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166925"/>
  <mc:AlternateContent xmlns:mc="http://schemas.openxmlformats.org/markup-compatibility/2006">
    <mc:Choice Requires="x15">
      <x15ac:absPath xmlns:x15ac="http://schemas.microsoft.com/office/spreadsheetml/2010/11/ac" url="C:\Users\Bloomy-3\Dropbox\Cap and Floor Model\"/>
    </mc:Choice>
  </mc:AlternateContent>
  <xr:revisionPtr revIDLastSave="0" documentId="13_ncr:1_{227847DD-6E00-4892-A146-99EBE337D8C5}" xr6:coauthVersionLast="47" xr6:coauthVersionMax="47" xr10:uidLastSave="{00000000-0000-0000-0000-000000000000}"/>
  <bookViews>
    <workbookView xWindow="28680" yWindow="-210" windowWidth="29040" windowHeight="15720" tabRatio="720" xr2:uid="{AA62481A-0213-4C02-A5D1-8E9B9EDACBED}"/>
  </bookViews>
  <sheets>
    <sheet name="Cap and Floor Pricer" sheetId="7" r:id="rId1"/>
    <sheet name="Schedules" sheetId="4" state="veryHidden" r:id="rId2"/>
    <sheet name="Control Panel" sheetId="5" state="veryHidden" r:id="rId3"/>
    <sheet name="Rate &amp; Vol Update" sheetId="3" state="veryHidden" r:id="rId4"/>
    <sheet name="Bank Adjustments" sheetId="8" state="veryHidden" r:id="rId5"/>
    <sheet name="Bachelier Model" sheetId="1" state="veryHidden" r:id="rId6"/>
    <sheet name="Adjustment Surface" sheetId="6" state="veryHidden" r:id="rId7"/>
    <sheet name="Market Scenarios" sheetId="13" state="veryHidden" r:id="rId8"/>
    <sheet name="Data Validation" sheetId="2" state="veryHidden" r:id="rId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3" l="1"/>
  <c r="B7" i="3"/>
  <c r="B8" i="3"/>
  <c r="B9" i="3" s="1"/>
  <c r="B10" i="3" l="1"/>
  <c r="B11" i="3" s="1"/>
  <c r="B12" i="3" l="1"/>
  <c r="E12" i="5"/>
  <c r="E13" i="5"/>
  <c r="E14" i="5"/>
  <c r="E15" i="5"/>
  <c r="E11" i="5"/>
  <c r="F15" i="5"/>
  <c r="F14" i="5"/>
  <c r="F13" i="5"/>
  <c r="F12" i="5"/>
  <c r="F11" i="5"/>
  <c r="AI23" i="6" a="1"/>
  <c r="AI23" i="6" s="1"/>
  <c r="AH23" i="6" a="1"/>
  <c r="AH23" i="6" s="1"/>
  <c r="AG23" i="6" a="1"/>
  <c r="AG23" i="6" s="1"/>
  <c r="AI22" i="6" a="1"/>
  <c r="AI22" i="6" s="1"/>
  <c r="AH22" i="6" a="1"/>
  <c r="AH22" i="6" s="1"/>
  <c r="AG22" i="6" a="1"/>
  <c r="AG22" i="6" s="1"/>
  <c r="AI21" i="6" a="1"/>
  <c r="AI21" i="6" s="1"/>
  <c r="AH21" i="6" a="1"/>
  <c r="AH21" i="6" s="1"/>
  <c r="AG21" i="6" a="1"/>
  <c r="AG21" i="6" s="1"/>
  <c r="AI20" i="6" a="1"/>
  <c r="AI20" i="6" s="1"/>
  <c r="AH20" i="6" a="1"/>
  <c r="AH20" i="6" s="1"/>
  <c r="AG20" i="6" a="1"/>
  <c r="AG20" i="6" s="1"/>
  <c r="AI19" i="6" a="1"/>
  <c r="AI19" i="6" s="1"/>
  <c r="AH19" i="6" a="1"/>
  <c r="AH19" i="6" s="1"/>
  <c r="AG19" i="6" a="1"/>
  <c r="AG19" i="6" s="1"/>
  <c r="AI18" i="6" a="1"/>
  <c r="AI18" i="6" s="1"/>
  <c r="AH18" i="6" a="1"/>
  <c r="AH18" i="6" s="1"/>
  <c r="AG18" i="6" a="1"/>
  <c r="AG18" i="6" s="1"/>
  <c r="B13" i="3" l="1"/>
  <c r="B14" i="3" s="1"/>
  <c r="E3" i="5"/>
  <c r="AI17" i="6" a="1"/>
  <c r="AI17" i="6" s="1"/>
  <c r="AH17" i="6" a="1"/>
  <c r="AH17" i="6" s="1"/>
  <c r="AG17" i="6" a="1"/>
  <c r="AG17" i="6" s="1"/>
  <c r="BH46" i="6" a="1"/>
  <c r="BH46" i="6" s="1"/>
  <c r="BG46" i="6" a="1"/>
  <c r="BG46" i="6" s="1"/>
  <c r="BF46" i="6" a="1"/>
  <c r="BF46" i="6" s="1"/>
  <c r="BE46" i="6" a="1"/>
  <c r="BE46" i="6" s="1"/>
  <c r="BD46" i="6" a="1"/>
  <c r="BD46" i="6" s="1"/>
  <c r="BC46" i="6" a="1"/>
  <c r="BC46" i="6" s="1"/>
  <c r="BB46" i="6" a="1"/>
  <c r="BB46" i="6" s="1"/>
  <c r="BA46" i="6" a="1"/>
  <c r="BA46" i="6" s="1"/>
  <c r="AZ46" i="6" a="1"/>
  <c r="AZ46" i="6" s="1"/>
  <c r="AY46" i="6" a="1"/>
  <c r="AY46" i="6" s="1"/>
  <c r="AX46" i="6" a="1"/>
  <c r="AX46" i="6" s="1"/>
  <c r="AW46" i="6" a="1"/>
  <c r="AW46" i="6" s="1"/>
  <c r="AV46" i="6" a="1"/>
  <c r="AV46" i="6" s="1"/>
  <c r="AU46" i="6" a="1"/>
  <c r="AU46" i="6" s="1"/>
  <c r="AT46" i="6" a="1"/>
  <c r="AT46" i="6" s="1"/>
  <c r="BH45" i="6" a="1"/>
  <c r="BH45" i="6" s="1"/>
  <c r="BG45" i="6" a="1"/>
  <c r="BG45" i="6" s="1"/>
  <c r="BF45" i="6" a="1"/>
  <c r="BF45" i="6" s="1"/>
  <c r="BE45" i="6" a="1"/>
  <c r="BE45" i="6" s="1"/>
  <c r="BD45" i="6" a="1"/>
  <c r="BD45" i="6" s="1"/>
  <c r="BC45" i="6" a="1"/>
  <c r="BC45" i="6" s="1"/>
  <c r="BB45" i="6" a="1"/>
  <c r="BB45" i="6" s="1"/>
  <c r="BA45" i="6" a="1"/>
  <c r="BA45" i="6" s="1"/>
  <c r="AZ45" i="6" a="1"/>
  <c r="AZ45" i="6" s="1"/>
  <c r="AY45" i="6" a="1"/>
  <c r="AY45" i="6" s="1"/>
  <c r="AX45" i="6" a="1"/>
  <c r="AX45" i="6" s="1"/>
  <c r="AW45" i="6" a="1"/>
  <c r="AW45" i="6" s="1"/>
  <c r="AV45" i="6" a="1"/>
  <c r="AV45" i="6" s="1"/>
  <c r="AU45" i="6" a="1"/>
  <c r="AU45" i="6" s="1"/>
  <c r="AT45" i="6" a="1"/>
  <c r="AT45" i="6" s="1"/>
  <c r="BH44" i="6" a="1"/>
  <c r="BH44" i="6" s="1"/>
  <c r="BG44" i="6" a="1"/>
  <c r="BG44" i="6" s="1"/>
  <c r="BF44" i="6" a="1"/>
  <c r="BF44" i="6" s="1"/>
  <c r="BE44" i="6" a="1"/>
  <c r="BE44" i="6" s="1"/>
  <c r="BD44" i="6" a="1"/>
  <c r="BD44" i="6" s="1"/>
  <c r="BC44" i="6" a="1"/>
  <c r="BC44" i="6" s="1"/>
  <c r="BB44" i="6" a="1"/>
  <c r="BB44" i="6" s="1"/>
  <c r="BA44" i="6" a="1"/>
  <c r="BA44" i="6" s="1"/>
  <c r="AZ44" i="6" a="1"/>
  <c r="AZ44" i="6" s="1"/>
  <c r="AY44" i="6" a="1"/>
  <c r="AY44" i="6" s="1"/>
  <c r="AX44" i="6" a="1"/>
  <c r="AX44" i="6" s="1"/>
  <c r="AW44" i="6" a="1"/>
  <c r="AW44" i="6" s="1"/>
  <c r="AV44" i="6" a="1"/>
  <c r="AV44" i="6" s="1"/>
  <c r="AU44" i="6" a="1"/>
  <c r="AU44" i="6" s="1"/>
  <c r="AT44" i="6" a="1"/>
  <c r="AT44" i="6" s="1"/>
  <c r="BH43" i="6" a="1"/>
  <c r="BH43" i="6" s="1"/>
  <c r="BG43" i="6" a="1"/>
  <c r="BG43" i="6" s="1"/>
  <c r="BF43" i="6" a="1"/>
  <c r="BF43" i="6" s="1"/>
  <c r="BE43" i="6" a="1"/>
  <c r="BE43" i="6" s="1"/>
  <c r="BD43" i="6" a="1"/>
  <c r="BD43" i="6" s="1"/>
  <c r="BC43" i="6" a="1"/>
  <c r="BC43" i="6" s="1"/>
  <c r="BB43" i="6" a="1"/>
  <c r="BB43" i="6" s="1"/>
  <c r="BA43" i="6" a="1"/>
  <c r="BA43" i="6" s="1"/>
  <c r="AZ43" i="6" a="1"/>
  <c r="AZ43" i="6" s="1"/>
  <c r="AY43" i="6" a="1"/>
  <c r="AY43" i="6" s="1"/>
  <c r="AX43" i="6" a="1"/>
  <c r="AX43" i="6" s="1"/>
  <c r="AW43" i="6" a="1"/>
  <c r="AW43" i="6" s="1"/>
  <c r="AV43" i="6" a="1"/>
  <c r="AV43" i="6" s="1"/>
  <c r="AU43" i="6" a="1"/>
  <c r="AU43" i="6" s="1"/>
  <c r="AT43" i="6" a="1"/>
  <c r="AT43" i="6" s="1"/>
  <c r="BH42" i="6" a="1"/>
  <c r="BH42" i="6" s="1"/>
  <c r="BG42" i="6" a="1"/>
  <c r="BG42" i="6" s="1"/>
  <c r="BF42" i="6" a="1"/>
  <c r="BF42" i="6" s="1"/>
  <c r="BE42" i="6" a="1"/>
  <c r="BE42" i="6" s="1"/>
  <c r="BD42" i="6" a="1"/>
  <c r="BD42" i="6" s="1"/>
  <c r="BC42" i="6" a="1"/>
  <c r="BC42" i="6" s="1"/>
  <c r="BB42" i="6" a="1"/>
  <c r="BB42" i="6" s="1"/>
  <c r="BA42" i="6" a="1"/>
  <c r="BA42" i="6" s="1"/>
  <c r="AZ42" i="6" a="1"/>
  <c r="AZ42" i="6" s="1"/>
  <c r="AY42" i="6" a="1"/>
  <c r="AY42" i="6" s="1"/>
  <c r="AX42" i="6" a="1"/>
  <c r="AX42" i="6" s="1"/>
  <c r="AW42" i="6" a="1"/>
  <c r="AW42" i="6" s="1"/>
  <c r="AV42" i="6" a="1"/>
  <c r="AV42" i="6" s="1"/>
  <c r="AU42" i="6" a="1"/>
  <c r="AU42" i="6" s="1"/>
  <c r="AT42" i="6" a="1"/>
  <c r="AT42" i="6" s="1"/>
  <c r="BH41" i="6" a="1"/>
  <c r="BH41" i="6" s="1"/>
  <c r="BG41" i="6" a="1"/>
  <c r="BG41" i="6" s="1"/>
  <c r="BF41" i="6" a="1"/>
  <c r="BF41" i="6" s="1"/>
  <c r="BE41" i="6" a="1"/>
  <c r="BE41" i="6" s="1"/>
  <c r="BD41" i="6" a="1"/>
  <c r="BD41" i="6" s="1"/>
  <c r="BC41" i="6" a="1"/>
  <c r="BC41" i="6" s="1"/>
  <c r="BB41" i="6" a="1"/>
  <c r="BB41" i="6" s="1"/>
  <c r="BA41" i="6" a="1"/>
  <c r="BA41" i="6" s="1"/>
  <c r="AZ41" i="6" a="1"/>
  <c r="AZ41" i="6" s="1"/>
  <c r="AY41" i="6" a="1"/>
  <c r="AY41" i="6" s="1"/>
  <c r="AX41" i="6" a="1"/>
  <c r="AX41" i="6" s="1"/>
  <c r="AW41" i="6" a="1"/>
  <c r="AW41" i="6" s="1"/>
  <c r="AV41" i="6" a="1"/>
  <c r="AV41" i="6" s="1"/>
  <c r="AU41" i="6" a="1"/>
  <c r="AU41" i="6" s="1"/>
  <c r="AT41" i="6" a="1"/>
  <c r="AT41" i="6" s="1"/>
  <c r="BH40" i="6" a="1"/>
  <c r="BH40" i="6" s="1"/>
  <c r="BG40" i="6" a="1"/>
  <c r="BG40" i="6" s="1"/>
  <c r="BF40" i="6" a="1"/>
  <c r="BF40" i="6" s="1"/>
  <c r="BE40" i="6" a="1"/>
  <c r="BE40" i="6" s="1"/>
  <c r="BD40" i="6" a="1"/>
  <c r="BD40" i="6" s="1"/>
  <c r="BC40" i="6" a="1"/>
  <c r="BC40" i="6" s="1"/>
  <c r="BB40" i="6" a="1"/>
  <c r="BB40" i="6" s="1"/>
  <c r="BA40" i="6" a="1"/>
  <c r="BA40" i="6" s="1"/>
  <c r="AZ40" i="6" a="1"/>
  <c r="AZ40" i="6" s="1"/>
  <c r="AY40" i="6" a="1"/>
  <c r="AY40" i="6" s="1"/>
  <c r="AX40" i="6" a="1"/>
  <c r="AX40" i="6" s="1"/>
  <c r="AW40" i="6" a="1"/>
  <c r="AW40" i="6" s="1"/>
  <c r="AV40" i="6" a="1"/>
  <c r="AV40" i="6" s="1"/>
  <c r="AU40" i="6" a="1"/>
  <c r="AU40" i="6" s="1"/>
  <c r="AT40" i="6" a="1"/>
  <c r="AT40" i="6" s="1"/>
  <c r="BH39" i="6" a="1"/>
  <c r="BH39" i="6" s="1"/>
  <c r="BG39" i="6" a="1"/>
  <c r="BG39" i="6" s="1"/>
  <c r="BF39" i="6" a="1"/>
  <c r="BF39" i="6" s="1"/>
  <c r="BE39" i="6" a="1"/>
  <c r="BE39" i="6" s="1"/>
  <c r="BD39" i="6" a="1"/>
  <c r="BD39" i="6" s="1"/>
  <c r="BC39" i="6" a="1"/>
  <c r="BC39" i="6" s="1"/>
  <c r="BB39" i="6" a="1"/>
  <c r="BB39" i="6" s="1"/>
  <c r="BA39" i="6" a="1"/>
  <c r="BA39" i="6" s="1"/>
  <c r="AZ39" i="6" a="1"/>
  <c r="AZ39" i="6" s="1"/>
  <c r="AY39" i="6" a="1"/>
  <c r="AY39" i="6" s="1"/>
  <c r="AX39" i="6" a="1"/>
  <c r="AX39" i="6" s="1"/>
  <c r="AW39" i="6" a="1"/>
  <c r="AW39" i="6" s="1"/>
  <c r="AV39" i="6" a="1"/>
  <c r="AV39" i="6" s="1"/>
  <c r="AU39" i="6" a="1"/>
  <c r="AU39" i="6" s="1"/>
  <c r="AT39" i="6" a="1"/>
  <c r="AT39" i="6" s="1"/>
  <c r="BH38" i="6" a="1"/>
  <c r="BH38" i="6" s="1"/>
  <c r="BG38" i="6" a="1"/>
  <c r="BG38" i="6" s="1"/>
  <c r="BF38" i="6" a="1"/>
  <c r="BF38" i="6" s="1"/>
  <c r="BE38" i="6" a="1"/>
  <c r="BE38" i="6" s="1"/>
  <c r="BD38" i="6" a="1"/>
  <c r="BD38" i="6" s="1"/>
  <c r="BC38" i="6" a="1"/>
  <c r="BC38" i="6" s="1"/>
  <c r="BB38" i="6" a="1"/>
  <c r="BB38" i="6" s="1"/>
  <c r="BA38" i="6" a="1"/>
  <c r="BA38" i="6" s="1"/>
  <c r="AZ38" i="6" a="1"/>
  <c r="AZ38" i="6" s="1"/>
  <c r="AY38" i="6" a="1"/>
  <c r="AY38" i="6" s="1"/>
  <c r="AX38" i="6" a="1"/>
  <c r="AX38" i="6" s="1"/>
  <c r="AW38" i="6" a="1"/>
  <c r="AW38" i="6" s="1"/>
  <c r="AV38" i="6" a="1"/>
  <c r="AV38" i="6" s="1"/>
  <c r="AU38" i="6" a="1"/>
  <c r="AU38" i="6" s="1"/>
  <c r="AT38" i="6" a="1"/>
  <c r="AT38" i="6" s="1"/>
  <c r="BH37" i="6" a="1"/>
  <c r="BH37" i="6" s="1"/>
  <c r="BG37" i="6" a="1"/>
  <c r="BG37" i="6" s="1"/>
  <c r="BF37" i="6" a="1"/>
  <c r="BF37" i="6" s="1"/>
  <c r="BE37" i="6" a="1"/>
  <c r="BE37" i="6" s="1"/>
  <c r="BD37" i="6" a="1"/>
  <c r="BD37" i="6" s="1"/>
  <c r="BC37" i="6" a="1"/>
  <c r="BC37" i="6" s="1"/>
  <c r="BB37" i="6" a="1"/>
  <c r="BB37" i="6" s="1"/>
  <c r="BA37" i="6" a="1"/>
  <c r="BA37" i="6" s="1"/>
  <c r="AZ37" i="6" a="1"/>
  <c r="AZ37" i="6" s="1"/>
  <c r="AY37" i="6" a="1"/>
  <c r="AY37" i="6" s="1"/>
  <c r="AX37" i="6" a="1"/>
  <c r="AX37" i="6" s="1"/>
  <c r="AW37" i="6" a="1"/>
  <c r="AW37" i="6" s="1"/>
  <c r="AV37" i="6" a="1"/>
  <c r="AV37" i="6" s="1"/>
  <c r="AU37" i="6" a="1"/>
  <c r="AU37" i="6" s="1"/>
  <c r="AT37" i="6" a="1"/>
  <c r="AT37" i="6" s="1"/>
  <c r="BH36" i="6" a="1"/>
  <c r="BH36" i="6" s="1"/>
  <c r="BG36" i="6" a="1"/>
  <c r="BG36" i="6" s="1"/>
  <c r="BF36" i="6" a="1"/>
  <c r="BF36" i="6" s="1"/>
  <c r="BE36" i="6" a="1"/>
  <c r="BE36" i="6" s="1"/>
  <c r="BD36" i="6" a="1"/>
  <c r="BD36" i="6" s="1"/>
  <c r="BC36" i="6" a="1"/>
  <c r="BC36" i="6" s="1"/>
  <c r="BB36" i="6" a="1"/>
  <c r="BB36" i="6" s="1"/>
  <c r="BA36" i="6" a="1"/>
  <c r="BA36" i="6" s="1"/>
  <c r="AZ36" i="6" a="1"/>
  <c r="AZ36" i="6" s="1"/>
  <c r="AY36" i="6" a="1"/>
  <c r="AY36" i="6" s="1"/>
  <c r="AX36" i="6" a="1"/>
  <c r="AX36" i="6" s="1"/>
  <c r="AW36" i="6" a="1"/>
  <c r="AW36" i="6" s="1"/>
  <c r="AV36" i="6" a="1"/>
  <c r="AV36" i="6" s="1"/>
  <c r="AU36" i="6" a="1"/>
  <c r="AU36" i="6" s="1"/>
  <c r="AT36" i="6" a="1"/>
  <c r="AT36" i="6" s="1"/>
  <c r="BH35" i="6" a="1"/>
  <c r="BH35" i="6" s="1"/>
  <c r="BG35" i="6" a="1"/>
  <c r="BG35" i="6" s="1"/>
  <c r="BF35" i="6" a="1"/>
  <c r="BF35" i="6" s="1"/>
  <c r="BE35" i="6" a="1"/>
  <c r="BE35" i="6" s="1"/>
  <c r="BD35" i="6" a="1"/>
  <c r="BD35" i="6" s="1"/>
  <c r="BC35" i="6" a="1"/>
  <c r="BC35" i="6" s="1"/>
  <c r="BB35" i="6" a="1"/>
  <c r="BB35" i="6" s="1"/>
  <c r="BA35" i="6" a="1"/>
  <c r="BA35" i="6" s="1"/>
  <c r="AZ35" i="6" a="1"/>
  <c r="AZ35" i="6" s="1"/>
  <c r="AY35" i="6" a="1"/>
  <c r="AY35" i="6" s="1"/>
  <c r="AX35" i="6" a="1"/>
  <c r="AX35" i="6" s="1"/>
  <c r="AW35" i="6" a="1"/>
  <c r="AW35" i="6" s="1"/>
  <c r="AV35" i="6" a="1"/>
  <c r="AV35" i="6" s="1"/>
  <c r="AU35" i="6" a="1"/>
  <c r="AU35" i="6" s="1"/>
  <c r="AT35" i="6" a="1"/>
  <c r="AT35" i="6" s="1"/>
  <c r="BH34" i="6" a="1"/>
  <c r="BH34" i="6" s="1"/>
  <c r="BG34" i="6" a="1"/>
  <c r="BG34" i="6" s="1"/>
  <c r="BF34" i="6" a="1"/>
  <c r="BF34" i="6" s="1"/>
  <c r="BE34" i="6" a="1"/>
  <c r="BE34" i="6" s="1"/>
  <c r="BD34" i="6" a="1"/>
  <c r="BD34" i="6" s="1"/>
  <c r="BC34" i="6" a="1"/>
  <c r="BC34" i="6" s="1"/>
  <c r="BB34" i="6" a="1"/>
  <c r="BB34" i="6" s="1"/>
  <c r="BA34" i="6" a="1"/>
  <c r="BA34" i="6" s="1"/>
  <c r="AZ34" i="6" a="1"/>
  <c r="AZ34" i="6" s="1"/>
  <c r="AY34" i="6" a="1"/>
  <c r="AY34" i="6" s="1"/>
  <c r="AX34" i="6" a="1"/>
  <c r="AX34" i="6" s="1"/>
  <c r="AW34" i="6" a="1"/>
  <c r="AW34" i="6" s="1"/>
  <c r="AV34" i="6" a="1"/>
  <c r="AV34" i="6" s="1"/>
  <c r="AU34" i="6" a="1"/>
  <c r="AU34" i="6" s="1"/>
  <c r="AT34" i="6" a="1"/>
  <c r="AT34" i="6" s="1"/>
  <c r="BH23" i="6" a="1"/>
  <c r="BH23" i="6" s="1"/>
  <c r="BG23" i="6" a="1"/>
  <c r="BG23" i="6" s="1"/>
  <c r="BF23" i="6" a="1"/>
  <c r="BF23" i="6" s="1"/>
  <c r="BE23" i="6" a="1"/>
  <c r="BE23" i="6" s="1"/>
  <c r="BD23" i="6" a="1"/>
  <c r="BD23" i="6" s="1"/>
  <c r="BC23" i="6" a="1"/>
  <c r="BC23" i="6" s="1"/>
  <c r="BB23" i="6" a="1"/>
  <c r="BB23" i="6" s="1"/>
  <c r="BA23" i="6" a="1"/>
  <c r="BA23" i="6" s="1"/>
  <c r="AZ23" i="6" a="1"/>
  <c r="AZ23" i="6" s="1"/>
  <c r="AY23" i="6" a="1"/>
  <c r="AY23" i="6" s="1"/>
  <c r="AX23" i="6" a="1"/>
  <c r="AX23" i="6" s="1"/>
  <c r="AW23" i="6" a="1"/>
  <c r="AW23" i="6" s="1"/>
  <c r="AV23" i="6" a="1"/>
  <c r="AV23" i="6" s="1"/>
  <c r="AU23" i="6" a="1"/>
  <c r="AU23" i="6" s="1"/>
  <c r="AT23" i="6" a="1"/>
  <c r="AT23" i="6" s="1"/>
  <c r="BH22" i="6" a="1"/>
  <c r="BH22" i="6" s="1"/>
  <c r="BG22" i="6" a="1"/>
  <c r="BG22" i="6" s="1"/>
  <c r="BF22" i="6" a="1"/>
  <c r="BF22" i="6" s="1"/>
  <c r="BE22" i="6" a="1"/>
  <c r="BE22" i="6" s="1"/>
  <c r="BD22" i="6" a="1"/>
  <c r="BD22" i="6" s="1"/>
  <c r="BC22" i="6" a="1"/>
  <c r="BC22" i="6" s="1"/>
  <c r="BB22" i="6" a="1"/>
  <c r="BB22" i="6" s="1"/>
  <c r="BA22" i="6" a="1"/>
  <c r="BA22" i="6" s="1"/>
  <c r="AZ22" i="6" a="1"/>
  <c r="AZ22" i="6" s="1"/>
  <c r="AY22" i="6" a="1"/>
  <c r="AY22" i="6" s="1"/>
  <c r="AX22" i="6" a="1"/>
  <c r="AX22" i="6" s="1"/>
  <c r="AW22" i="6" a="1"/>
  <c r="AW22" i="6" s="1"/>
  <c r="AV22" i="6" a="1"/>
  <c r="AV22" i="6" s="1"/>
  <c r="AU22" i="6" a="1"/>
  <c r="AU22" i="6" s="1"/>
  <c r="AT22" i="6" a="1"/>
  <c r="AT22" i="6" s="1"/>
  <c r="BH21" i="6" a="1"/>
  <c r="BH21" i="6" s="1"/>
  <c r="BG21" i="6" a="1"/>
  <c r="BG21" i="6" s="1"/>
  <c r="BF21" i="6" a="1"/>
  <c r="BF21" i="6" s="1"/>
  <c r="BE21" i="6" a="1"/>
  <c r="BE21" i="6" s="1"/>
  <c r="BD21" i="6" a="1"/>
  <c r="BD21" i="6" s="1"/>
  <c r="BC21" i="6" a="1"/>
  <c r="BC21" i="6" s="1"/>
  <c r="BB21" i="6" a="1"/>
  <c r="BB21" i="6" s="1"/>
  <c r="BA21" i="6" a="1"/>
  <c r="BA21" i="6" s="1"/>
  <c r="AZ21" i="6" a="1"/>
  <c r="AZ21" i="6" s="1"/>
  <c r="AY21" i="6" a="1"/>
  <c r="AY21" i="6" s="1"/>
  <c r="AX21" i="6" a="1"/>
  <c r="AX21" i="6" s="1"/>
  <c r="AW21" i="6" a="1"/>
  <c r="AW21" i="6" s="1"/>
  <c r="AV21" i="6" a="1"/>
  <c r="AV21" i="6" s="1"/>
  <c r="AU21" i="6" a="1"/>
  <c r="AU21" i="6" s="1"/>
  <c r="AT21" i="6" a="1"/>
  <c r="AT21" i="6" s="1"/>
  <c r="BH20" i="6" a="1"/>
  <c r="BH20" i="6" s="1"/>
  <c r="BG20" i="6" a="1"/>
  <c r="BG20" i="6" s="1"/>
  <c r="BF20" i="6" a="1"/>
  <c r="BF20" i="6" s="1"/>
  <c r="BE20" i="6" a="1"/>
  <c r="BE20" i="6" s="1"/>
  <c r="BD20" i="6" a="1"/>
  <c r="BD20" i="6" s="1"/>
  <c r="BC20" i="6" a="1"/>
  <c r="BC20" i="6" s="1"/>
  <c r="BB20" i="6" a="1"/>
  <c r="BB20" i="6" s="1"/>
  <c r="BA20" i="6" a="1"/>
  <c r="BA20" i="6" s="1"/>
  <c r="AZ20" i="6" a="1"/>
  <c r="AZ20" i="6" s="1"/>
  <c r="AY20" i="6" a="1"/>
  <c r="AY20" i="6" s="1"/>
  <c r="AX20" i="6" a="1"/>
  <c r="AX20" i="6" s="1"/>
  <c r="AW20" i="6" a="1"/>
  <c r="AW20" i="6" s="1"/>
  <c r="AV20" i="6" a="1"/>
  <c r="AV20" i="6" s="1"/>
  <c r="AU20" i="6" a="1"/>
  <c r="AU20" i="6" s="1"/>
  <c r="AT20" i="6" a="1"/>
  <c r="AT20" i="6" s="1"/>
  <c r="BH19" i="6" a="1"/>
  <c r="BH19" i="6" s="1"/>
  <c r="BG19" i="6" a="1"/>
  <c r="BG19" i="6" s="1"/>
  <c r="BF19" i="6" a="1"/>
  <c r="BF19" i="6" s="1"/>
  <c r="BE19" i="6" a="1"/>
  <c r="BE19" i="6" s="1"/>
  <c r="BD19" i="6" a="1"/>
  <c r="BD19" i="6" s="1"/>
  <c r="BC19" i="6" a="1"/>
  <c r="BC19" i="6" s="1"/>
  <c r="BB19" i="6" a="1"/>
  <c r="BB19" i="6" s="1"/>
  <c r="BA19" i="6" a="1"/>
  <c r="BA19" i="6" s="1"/>
  <c r="AZ19" i="6" a="1"/>
  <c r="AZ19" i="6" s="1"/>
  <c r="AY19" i="6" a="1"/>
  <c r="AY19" i="6" s="1"/>
  <c r="AX19" i="6" a="1"/>
  <c r="AX19" i="6" s="1"/>
  <c r="AW19" i="6" a="1"/>
  <c r="AW19" i="6" s="1"/>
  <c r="AV19" i="6" a="1"/>
  <c r="AV19" i="6" s="1"/>
  <c r="AU19" i="6" a="1"/>
  <c r="AU19" i="6" s="1"/>
  <c r="AT19" i="6" a="1"/>
  <c r="AT19" i="6" s="1"/>
  <c r="BH18" i="6" a="1"/>
  <c r="BH18" i="6" s="1"/>
  <c r="BG18" i="6" a="1"/>
  <c r="BG18" i="6" s="1"/>
  <c r="BF18" i="6" a="1"/>
  <c r="BF18" i="6" s="1"/>
  <c r="BE18" i="6" a="1"/>
  <c r="BE18" i="6" s="1"/>
  <c r="BD18" i="6" a="1"/>
  <c r="BD18" i="6" s="1"/>
  <c r="BC18" i="6" a="1"/>
  <c r="BC18" i="6" s="1"/>
  <c r="BB18" i="6" a="1"/>
  <c r="BB18" i="6" s="1"/>
  <c r="BA18" i="6" a="1"/>
  <c r="BA18" i="6" s="1"/>
  <c r="AZ18" i="6" a="1"/>
  <c r="AZ18" i="6" s="1"/>
  <c r="AY18" i="6" a="1"/>
  <c r="AY18" i="6" s="1"/>
  <c r="AX18" i="6" a="1"/>
  <c r="AX18" i="6" s="1"/>
  <c r="AW18" i="6" a="1"/>
  <c r="AW18" i="6" s="1"/>
  <c r="AV18" i="6" a="1"/>
  <c r="AV18" i="6" s="1"/>
  <c r="AU18" i="6" a="1"/>
  <c r="AU18" i="6" s="1"/>
  <c r="AT18" i="6" a="1"/>
  <c r="AT18" i="6" s="1"/>
  <c r="BH17" i="6" a="1"/>
  <c r="BH17" i="6" s="1"/>
  <c r="BG17" i="6" a="1"/>
  <c r="BG17" i="6" s="1"/>
  <c r="BF17" i="6" a="1"/>
  <c r="BF17" i="6" s="1"/>
  <c r="BE17" i="6" a="1"/>
  <c r="BE17" i="6" s="1"/>
  <c r="BD17" i="6" a="1"/>
  <c r="BD17" i="6" s="1"/>
  <c r="BC17" i="6" a="1"/>
  <c r="BC17" i="6" s="1"/>
  <c r="BB17" i="6" a="1"/>
  <c r="BB17" i="6" s="1"/>
  <c r="BA17" i="6" a="1"/>
  <c r="BA17" i="6" s="1"/>
  <c r="AZ17" i="6" a="1"/>
  <c r="AZ17" i="6" s="1"/>
  <c r="AY17" i="6" a="1"/>
  <c r="AY17" i="6" s="1"/>
  <c r="AX17" i="6" a="1"/>
  <c r="AX17" i="6" s="1"/>
  <c r="AW17" i="6" a="1"/>
  <c r="AW17" i="6" s="1"/>
  <c r="AV17" i="6" a="1"/>
  <c r="AV17" i="6" s="1"/>
  <c r="AU17" i="6" a="1"/>
  <c r="AU17" i="6" s="1"/>
  <c r="AT17" i="6" a="1"/>
  <c r="AT17" i="6" s="1"/>
  <c r="BH16" i="6" a="1"/>
  <c r="BH16" i="6" s="1"/>
  <c r="BG16" i="6" a="1"/>
  <c r="BG16" i="6" s="1"/>
  <c r="BF16" i="6" a="1"/>
  <c r="BF16" i="6" s="1"/>
  <c r="BE16" i="6" a="1"/>
  <c r="BE16" i="6" s="1"/>
  <c r="BD16" i="6" a="1"/>
  <c r="BD16" i="6" s="1"/>
  <c r="BC16" i="6" a="1"/>
  <c r="BC16" i="6" s="1"/>
  <c r="BB16" i="6" a="1"/>
  <c r="BB16" i="6" s="1"/>
  <c r="BA16" i="6" a="1"/>
  <c r="BA16" i="6" s="1"/>
  <c r="AZ16" i="6" a="1"/>
  <c r="AZ16" i="6" s="1"/>
  <c r="AY16" i="6" a="1"/>
  <c r="AY16" i="6" s="1"/>
  <c r="AX16" i="6" a="1"/>
  <c r="AX16" i="6" s="1"/>
  <c r="AW16" i="6" a="1"/>
  <c r="AW16" i="6" s="1"/>
  <c r="AV16" i="6" a="1"/>
  <c r="AV16" i="6" s="1"/>
  <c r="AU16" i="6" a="1"/>
  <c r="AU16" i="6" s="1"/>
  <c r="AT16" i="6" a="1"/>
  <c r="AT16" i="6" s="1"/>
  <c r="BH15" i="6" a="1"/>
  <c r="BH15" i="6" s="1"/>
  <c r="BG15" i="6" a="1"/>
  <c r="BG15" i="6" s="1"/>
  <c r="BF15" i="6" a="1"/>
  <c r="BF15" i="6" s="1"/>
  <c r="BE15" i="6" a="1"/>
  <c r="BE15" i="6" s="1"/>
  <c r="BD15" i="6" a="1"/>
  <c r="BD15" i="6" s="1"/>
  <c r="BC15" i="6" a="1"/>
  <c r="BC15" i="6" s="1"/>
  <c r="BB15" i="6" a="1"/>
  <c r="BB15" i="6" s="1"/>
  <c r="BA15" i="6" a="1"/>
  <c r="BA15" i="6" s="1"/>
  <c r="AZ15" i="6" a="1"/>
  <c r="AZ15" i="6" s="1"/>
  <c r="AY15" i="6" a="1"/>
  <c r="AY15" i="6" s="1"/>
  <c r="AX15" i="6" a="1"/>
  <c r="AX15" i="6" s="1"/>
  <c r="AW15" i="6" a="1"/>
  <c r="AW15" i="6" s="1"/>
  <c r="AV15" i="6" a="1"/>
  <c r="AV15" i="6" s="1"/>
  <c r="AU15" i="6" a="1"/>
  <c r="AU15" i="6" s="1"/>
  <c r="AT15" i="6" a="1"/>
  <c r="AT15" i="6" s="1"/>
  <c r="BH14" i="6" a="1"/>
  <c r="BH14" i="6" s="1"/>
  <c r="BG14" i="6" a="1"/>
  <c r="BG14" i="6" s="1"/>
  <c r="BF14" i="6" a="1"/>
  <c r="BF14" i="6" s="1"/>
  <c r="BE14" i="6" a="1"/>
  <c r="BE14" i="6" s="1"/>
  <c r="BD14" i="6" a="1"/>
  <c r="BD14" i="6" s="1"/>
  <c r="BC14" i="6" a="1"/>
  <c r="BC14" i="6" s="1"/>
  <c r="BB14" i="6" a="1"/>
  <c r="BB14" i="6" s="1"/>
  <c r="BA14" i="6" a="1"/>
  <c r="BA14" i="6" s="1"/>
  <c r="AZ14" i="6" a="1"/>
  <c r="AZ14" i="6" s="1"/>
  <c r="AY14" i="6" a="1"/>
  <c r="AY14" i="6" s="1"/>
  <c r="AX14" i="6" a="1"/>
  <c r="AX14" i="6" s="1"/>
  <c r="AW14" i="6" a="1"/>
  <c r="AW14" i="6" s="1"/>
  <c r="AV14" i="6" a="1"/>
  <c r="AV14" i="6" s="1"/>
  <c r="AU14" i="6" a="1"/>
  <c r="AU14" i="6" s="1"/>
  <c r="AT14" i="6" a="1"/>
  <c r="AT14" i="6" s="1"/>
  <c r="BH13" i="6" a="1"/>
  <c r="BH13" i="6" s="1"/>
  <c r="BG13" i="6" a="1"/>
  <c r="BG13" i="6" s="1"/>
  <c r="BF13" i="6" a="1"/>
  <c r="BF13" i="6" s="1"/>
  <c r="BE13" i="6" a="1"/>
  <c r="BE13" i="6" s="1"/>
  <c r="BD13" i="6" a="1"/>
  <c r="BD13" i="6" s="1"/>
  <c r="BC13" i="6" a="1"/>
  <c r="BC13" i="6" s="1"/>
  <c r="BB13" i="6" a="1"/>
  <c r="BB13" i="6" s="1"/>
  <c r="BA13" i="6" a="1"/>
  <c r="BA13" i="6" s="1"/>
  <c r="AZ13" i="6" a="1"/>
  <c r="AZ13" i="6" s="1"/>
  <c r="AY13" i="6" a="1"/>
  <c r="AY13" i="6" s="1"/>
  <c r="AX13" i="6" a="1"/>
  <c r="AX13" i="6" s="1"/>
  <c r="AW13" i="6" a="1"/>
  <c r="AW13" i="6" s="1"/>
  <c r="AV13" i="6" a="1"/>
  <c r="AV13" i="6" s="1"/>
  <c r="AU13" i="6" a="1"/>
  <c r="AU13" i="6" s="1"/>
  <c r="AT13" i="6" a="1"/>
  <c r="AT13" i="6" s="1"/>
  <c r="BH12" i="6" a="1"/>
  <c r="BH12" i="6" s="1"/>
  <c r="BG12" i="6" a="1"/>
  <c r="BG12" i="6" s="1"/>
  <c r="BF12" i="6" a="1"/>
  <c r="BF12" i="6" s="1"/>
  <c r="BE12" i="6" a="1"/>
  <c r="BE12" i="6" s="1"/>
  <c r="BD12" i="6" a="1"/>
  <c r="BD12" i="6" s="1"/>
  <c r="BC12" i="6" a="1"/>
  <c r="BC12" i="6" s="1"/>
  <c r="BB12" i="6" a="1"/>
  <c r="BB12" i="6" s="1"/>
  <c r="BA12" i="6" a="1"/>
  <c r="BA12" i="6" s="1"/>
  <c r="AZ12" i="6" a="1"/>
  <c r="AZ12" i="6" s="1"/>
  <c r="AY12" i="6" a="1"/>
  <c r="AY12" i="6" s="1"/>
  <c r="AX12" i="6" a="1"/>
  <c r="AX12" i="6" s="1"/>
  <c r="AW12" i="6" a="1"/>
  <c r="AW12" i="6" s="1"/>
  <c r="AV12" i="6" a="1"/>
  <c r="AV12" i="6" s="1"/>
  <c r="AU12" i="6" a="1"/>
  <c r="AU12" i="6" s="1"/>
  <c r="AT12" i="6" a="1"/>
  <c r="AT12" i="6" s="1"/>
  <c r="BH11" i="6" a="1"/>
  <c r="BH11" i="6" s="1"/>
  <c r="BG11" i="6" a="1"/>
  <c r="BG11" i="6" s="1"/>
  <c r="BF11" i="6" a="1"/>
  <c r="BF11" i="6" s="1"/>
  <c r="BE11" i="6" a="1"/>
  <c r="BE11" i="6" s="1"/>
  <c r="BD11" i="6" a="1"/>
  <c r="BD11" i="6" s="1"/>
  <c r="BC11" i="6" a="1"/>
  <c r="BC11" i="6" s="1"/>
  <c r="BB11" i="6" a="1"/>
  <c r="BB11" i="6" s="1"/>
  <c r="BA11" i="6" a="1"/>
  <c r="BA11" i="6" s="1"/>
  <c r="AZ11" i="6" a="1"/>
  <c r="AZ11" i="6" s="1"/>
  <c r="AY11" i="6" a="1"/>
  <c r="AY11" i="6" s="1"/>
  <c r="AX11" i="6" a="1"/>
  <c r="AX11" i="6" s="1"/>
  <c r="AW11" i="6" a="1"/>
  <c r="AW11" i="6" s="1"/>
  <c r="AV11" i="6" a="1"/>
  <c r="AV11" i="6" s="1"/>
  <c r="AU11" i="6" a="1"/>
  <c r="AU11" i="6" s="1"/>
  <c r="AT11" i="6" a="1"/>
  <c r="AT11" i="6" s="1"/>
  <c r="B15" i="3" l="1"/>
  <c r="B16" i="3" s="1"/>
  <c r="Q5" i="7"/>
  <c r="C10" i="7"/>
  <c r="G31" i="7"/>
  <c r="G16" i="7"/>
  <c r="G3" i="7"/>
  <c r="C14" i="7"/>
  <c r="C6" i="7"/>
  <c r="C2" i="6"/>
  <c r="AK4" i="6" s="1"/>
  <c r="CQ124" i="1"/>
  <c r="CN124" i="1"/>
  <c r="CL124" i="1"/>
  <c r="CG124" i="1"/>
  <c r="BY124" i="1"/>
  <c r="BV124" i="1"/>
  <c r="BT124" i="1"/>
  <c r="BO124" i="1"/>
  <c r="BG124" i="1"/>
  <c r="BD124" i="1"/>
  <c r="BB124" i="1"/>
  <c r="AW124" i="1"/>
  <c r="AO124" i="1"/>
  <c r="AL124" i="1"/>
  <c r="AJ124" i="1"/>
  <c r="AE124" i="1"/>
  <c r="CQ123" i="1"/>
  <c r="CN123" i="1"/>
  <c r="CL123" i="1"/>
  <c r="CG123" i="1"/>
  <c r="BY123" i="1"/>
  <c r="BV123" i="1"/>
  <c r="BT123" i="1"/>
  <c r="BO123" i="1"/>
  <c r="BG123" i="1"/>
  <c r="BD123" i="1"/>
  <c r="BB123" i="1"/>
  <c r="AW123" i="1"/>
  <c r="AO123" i="1"/>
  <c r="AL123" i="1"/>
  <c r="AJ123" i="1"/>
  <c r="AE123" i="1"/>
  <c r="CQ122" i="1"/>
  <c r="CN122" i="1"/>
  <c r="CL122" i="1"/>
  <c r="CG122" i="1"/>
  <c r="BY122" i="1"/>
  <c r="BV122" i="1"/>
  <c r="BT122" i="1"/>
  <c r="BO122" i="1"/>
  <c r="BG122" i="1"/>
  <c r="BD122" i="1"/>
  <c r="BB122" i="1"/>
  <c r="AW122" i="1"/>
  <c r="AO122" i="1"/>
  <c r="AL122" i="1"/>
  <c r="AJ122" i="1"/>
  <c r="AE122" i="1"/>
  <c r="CQ121" i="1"/>
  <c r="CN121" i="1"/>
  <c r="CL121" i="1"/>
  <c r="CG121" i="1"/>
  <c r="BY121" i="1"/>
  <c r="BV121" i="1"/>
  <c r="BT121" i="1"/>
  <c r="BO121" i="1"/>
  <c r="BG121" i="1"/>
  <c r="BD121" i="1"/>
  <c r="BB121" i="1"/>
  <c r="AW121" i="1"/>
  <c r="AO121" i="1"/>
  <c r="AL121" i="1"/>
  <c r="AJ121" i="1"/>
  <c r="AE121" i="1"/>
  <c r="CQ120" i="1"/>
  <c r="CN120" i="1"/>
  <c r="CL120" i="1"/>
  <c r="CG120" i="1"/>
  <c r="BY120" i="1"/>
  <c r="BV120" i="1"/>
  <c r="BT120" i="1"/>
  <c r="BO120" i="1"/>
  <c r="BG120" i="1"/>
  <c r="BD120" i="1"/>
  <c r="BB120" i="1"/>
  <c r="AW120" i="1"/>
  <c r="AO120" i="1"/>
  <c r="AL120" i="1"/>
  <c r="AJ120" i="1"/>
  <c r="AE120" i="1"/>
  <c r="CQ119" i="1"/>
  <c r="CN119" i="1"/>
  <c r="CL119" i="1"/>
  <c r="CG119" i="1"/>
  <c r="BY119" i="1"/>
  <c r="BV119" i="1"/>
  <c r="BT119" i="1"/>
  <c r="BO119" i="1"/>
  <c r="BG119" i="1"/>
  <c r="BD119" i="1"/>
  <c r="BB119" i="1"/>
  <c r="AW119" i="1"/>
  <c r="AO119" i="1"/>
  <c r="AL119" i="1"/>
  <c r="AJ119" i="1"/>
  <c r="AE119" i="1"/>
  <c r="CQ118" i="1"/>
  <c r="CN118" i="1"/>
  <c r="CL118" i="1"/>
  <c r="CG118" i="1"/>
  <c r="BY118" i="1"/>
  <c r="BV118" i="1"/>
  <c r="BT118" i="1"/>
  <c r="BO118" i="1"/>
  <c r="BG118" i="1"/>
  <c r="BD118" i="1"/>
  <c r="BB118" i="1"/>
  <c r="AW118" i="1"/>
  <c r="AO118" i="1"/>
  <c r="AL118" i="1"/>
  <c r="AJ118" i="1"/>
  <c r="AE118" i="1"/>
  <c r="CQ117" i="1"/>
  <c r="CN117" i="1"/>
  <c r="CL117" i="1"/>
  <c r="CG117" i="1"/>
  <c r="BY117" i="1"/>
  <c r="BV117" i="1"/>
  <c r="BT117" i="1"/>
  <c r="BO117" i="1"/>
  <c r="BG117" i="1"/>
  <c r="BD117" i="1"/>
  <c r="BB117" i="1"/>
  <c r="AW117" i="1"/>
  <c r="AO117" i="1"/>
  <c r="AL117" i="1"/>
  <c r="AJ117" i="1"/>
  <c r="AE117" i="1"/>
  <c r="CQ116" i="1"/>
  <c r="CN116" i="1"/>
  <c r="CL116" i="1"/>
  <c r="CG116" i="1"/>
  <c r="BY116" i="1"/>
  <c r="BV116" i="1"/>
  <c r="BT116" i="1"/>
  <c r="BO116" i="1"/>
  <c r="BG116" i="1"/>
  <c r="BD116" i="1"/>
  <c r="BB116" i="1"/>
  <c r="AW116" i="1"/>
  <c r="AO116" i="1"/>
  <c r="AL116" i="1"/>
  <c r="AJ116" i="1"/>
  <c r="AE116" i="1"/>
  <c r="CQ115" i="1"/>
  <c r="CN115" i="1"/>
  <c r="CL115" i="1"/>
  <c r="CG115" i="1"/>
  <c r="BY115" i="1"/>
  <c r="BV115" i="1"/>
  <c r="BT115" i="1"/>
  <c r="BO115" i="1"/>
  <c r="BG115" i="1"/>
  <c r="BD115" i="1"/>
  <c r="BB115" i="1"/>
  <c r="AW115" i="1"/>
  <c r="AO115" i="1"/>
  <c r="AL115" i="1"/>
  <c r="AJ115" i="1"/>
  <c r="AE115" i="1"/>
  <c r="CQ114" i="1"/>
  <c r="CN114" i="1"/>
  <c r="CL114" i="1"/>
  <c r="CG114" i="1"/>
  <c r="BY114" i="1"/>
  <c r="BV114" i="1"/>
  <c r="BT114" i="1"/>
  <c r="BO114" i="1"/>
  <c r="BG114" i="1"/>
  <c r="BD114" i="1"/>
  <c r="BB114" i="1"/>
  <c r="AW114" i="1"/>
  <c r="AO114" i="1"/>
  <c r="AL114" i="1"/>
  <c r="AJ114" i="1"/>
  <c r="AE114" i="1"/>
  <c r="CQ113" i="1"/>
  <c r="CN113" i="1"/>
  <c r="CL113" i="1"/>
  <c r="CG113" i="1"/>
  <c r="BY113" i="1"/>
  <c r="BV113" i="1"/>
  <c r="BT113" i="1"/>
  <c r="BO113" i="1"/>
  <c r="BG113" i="1"/>
  <c r="BD113" i="1"/>
  <c r="BB113" i="1"/>
  <c r="AW113" i="1"/>
  <c r="AO113" i="1"/>
  <c r="AL113" i="1"/>
  <c r="AJ113" i="1"/>
  <c r="AE113" i="1"/>
  <c r="CQ112" i="1"/>
  <c r="CN112" i="1"/>
  <c r="CL112" i="1"/>
  <c r="CG112" i="1"/>
  <c r="BY112" i="1"/>
  <c r="BV112" i="1"/>
  <c r="BT112" i="1"/>
  <c r="BO112" i="1"/>
  <c r="BG112" i="1"/>
  <c r="BD112" i="1"/>
  <c r="BB112" i="1"/>
  <c r="AW112" i="1"/>
  <c r="AO112" i="1"/>
  <c r="AL112" i="1"/>
  <c r="AJ112" i="1"/>
  <c r="AE112" i="1"/>
  <c r="CQ111" i="1"/>
  <c r="CN111" i="1"/>
  <c r="CL111" i="1"/>
  <c r="CG111" i="1"/>
  <c r="BY111" i="1"/>
  <c r="BV111" i="1"/>
  <c r="BT111" i="1"/>
  <c r="BO111" i="1"/>
  <c r="BG111" i="1"/>
  <c r="BD111" i="1"/>
  <c r="BB111" i="1"/>
  <c r="AW111" i="1"/>
  <c r="AO111" i="1"/>
  <c r="AL111" i="1"/>
  <c r="AJ111" i="1"/>
  <c r="AE111" i="1"/>
  <c r="CQ110" i="1"/>
  <c r="CN110" i="1"/>
  <c r="CL110" i="1"/>
  <c r="CG110" i="1"/>
  <c r="BY110" i="1"/>
  <c r="BV110" i="1"/>
  <c r="BT110" i="1"/>
  <c r="BO110" i="1"/>
  <c r="BG110" i="1"/>
  <c r="BD110" i="1"/>
  <c r="BB110" i="1"/>
  <c r="AW110" i="1"/>
  <c r="AO110" i="1"/>
  <c r="AL110" i="1"/>
  <c r="AJ110" i="1"/>
  <c r="AE110" i="1"/>
  <c r="CQ109" i="1"/>
  <c r="CN109" i="1"/>
  <c r="CL109" i="1"/>
  <c r="CG109" i="1"/>
  <c r="BY109" i="1"/>
  <c r="BV109" i="1"/>
  <c r="BT109" i="1"/>
  <c r="BO109" i="1"/>
  <c r="BG109" i="1"/>
  <c r="BD109" i="1"/>
  <c r="BB109" i="1"/>
  <c r="AW109" i="1"/>
  <c r="AO109" i="1"/>
  <c r="AL109" i="1"/>
  <c r="AJ109" i="1"/>
  <c r="AE109" i="1"/>
  <c r="CQ108" i="1"/>
  <c r="CN108" i="1"/>
  <c r="CL108" i="1"/>
  <c r="CG108" i="1"/>
  <c r="BY108" i="1"/>
  <c r="BV108" i="1"/>
  <c r="BT108" i="1"/>
  <c r="BO108" i="1"/>
  <c r="BG108" i="1"/>
  <c r="BD108" i="1"/>
  <c r="BB108" i="1"/>
  <c r="AW108" i="1"/>
  <c r="AO108" i="1"/>
  <c r="AL108" i="1"/>
  <c r="AJ108" i="1"/>
  <c r="AE108" i="1"/>
  <c r="CQ107" i="1"/>
  <c r="CN107" i="1"/>
  <c r="CL107" i="1"/>
  <c r="CG107" i="1"/>
  <c r="BY107" i="1"/>
  <c r="BV107" i="1"/>
  <c r="BT107" i="1"/>
  <c r="BO107" i="1"/>
  <c r="BG107" i="1"/>
  <c r="BD107" i="1"/>
  <c r="BB107" i="1"/>
  <c r="AW107" i="1"/>
  <c r="AO107" i="1"/>
  <c r="AL107" i="1"/>
  <c r="AJ107" i="1"/>
  <c r="AE107" i="1"/>
  <c r="CQ106" i="1"/>
  <c r="CN106" i="1"/>
  <c r="CL106" i="1"/>
  <c r="CG106" i="1"/>
  <c r="BY106" i="1"/>
  <c r="BV106" i="1"/>
  <c r="BT106" i="1"/>
  <c r="BO106" i="1"/>
  <c r="BG106" i="1"/>
  <c r="BD106" i="1"/>
  <c r="BB106" i="1"/>
  <c r="AW106" i="1"/>
  <c r="AO106" i="1"/>
  <c r="AL106" i="1"/>
  <c r="AJ106" i="1"/>
  <c r="AE106" i="1"/>
  <c r="CQ105" i="1"/>
  <c r="CN105" i="1"/>
  <c r="CL105" i="1"/>
  <c r="CG105" i="1"/>
  <c r="BY105" i="1"/>
  <c r="BV105" i="1"/>
  <c r="BT105" i="1"/>
  <c r="BO105" i="1"/>
  <c r="BG105" i="1"/>
  <c r="BD105" i="1"/>
  <c r="BB105" i="1"/>
  <c r="AW105" i="1"/>
  <c r="AO105" i="1"/>
  <c r="AL105" i="1"/>
  <c r="AJ105" i="1"/>
  <c r="AE105" i="1"/>
  <c r="CQ104" i="1"/>
  <c r="CN104" i="1"/>
  <c r="CL104" i="1"/>
  <c r="CG104" i="1"/>
  <c r="BY104" i="1"/>
  <c r="BV104" i="1"/>
  <c r="BT104" i="1"/>
  <c r="BO104" i="1"/>
  <c r="BG104" i="1"/>
  <c r="BD104" i="1"/>
  <c r="BB104" i="1"/>
  <c r="AW104" i="1"/>
  <c r="AO104" i="1"/>
  <c r="AL104" i="1"/>
  <c r="AJ104" i="1"/>
  <c r="AE104" i="1"/>
  <c r="CQ103" i="1"/>
  <c r="CN103" i="1"/>
  <c r="CL103" i="1"/>
  <c r="CG103" i="1"/>
  <c r="BY103" i="1"/>
  <c r="BV103" i="1"/>
  <c r="BT103" i="1"/>
  <c r="BO103" i="1"/>
  <c r="BG103" i="1"/>
  <c r="BD103" i="1"/>
  <c r="BB103" i="1"/>
  <c r="AW103" i="1"/>
  <c r="AO103" i="1"/>
  <c r="AL103" i="1"/>
  <c r="AJ103" i="1"/>
  <c r="AE103" i="1"/>
  <c r="CQ102" i="1"/>
  <c r="CN102" i="1"/>
  <c r="CL102" i="1"/>
  <c r="CG102" i="1"/>
  <c r="BY102" i="1"/>
  <c r="BV102" i="1"/>
  <c r="BT102" i="1"/>
  <c r="BO102" i="1"/>
  <c r="BG102" i="1"/>
  <c r="BD102" i="1"/>
  <c r="BB102" i="1"/>
  <c r="AW102" i="1"/>
  <c r="AO102" i="1"/>
  <c r="AL102" i="1"/>
  <c r="AJ102" i="1"/>
  <c r="AE102" i="1"/>
  <c r="CQ101" i="1"/>
  <c r="CN101" i="1"/>
  <c r="CL101" i="1"/>
  <c r="CG101" i="1"/>
  <c r="BY101" i="1"/>
  <c r="BV101" i="1"/>
  <c r="BT101" i="1"/>
  <c r="BO101" i="1"/>
  <c r="BG101" i="1"/>
  <c r="BD101" i="1"/>
  <c r="BB101" i="1"/>
  <c r="AW101" i="1"/>
  <c r="AO101" i="1"/>
  <c r="AL101" i="1"/>
  <c r="AJ101" i="1"/>
  <c r="AE101" i="1"/>
  <c r="CQ100" i="1"/>
  <c r="CN100" i="1"/>
  <c r="CL100" i="1"/>
  <c r="CG100" i="1"/>
  <c r="BY100" i="1"/>
  <c r="BV100" i="1"/>
  <c r="BT100" i="1"/>
  <c r="BO100" i="1"/>
  <c r="BG100" i="1"/>
  <c r="BD100" i="1"/>
  <c r="BB100" i="1"/>
  <c r="AW100" i="1"/>
  <c r="AO100" i="1"/>
  <c r="AL100" i="1"/>
  <c r="AJ100" i="1"/>
  <c r="AE100" i="1"/>
  <c r="CQ99" i="1"/>
  <c r="CN99" i="1"/>
  <c r="CL99" i="1"/>
  <c r="CG99" i="1"/>
  <c r="BY99" i="1"/>
  <c r="BV99" i="1"/>
  <c r="BT99" i="1"/>
  <c r="BO99" i="1"/>
  <c r="BG99" i="1"/>
  <c r="BD99" i="1"/>
  <c r="BB99" i="1"/>
  <c r="AW99" i="1"/>
  <c r="AO99" i="1"/>
  <c r="AL99" i="1"/>
  <c r="AJ99" i="1"/>
  <c r="AE99" i="1"/>
  <c r="CQ98" i="1"/>
  <c r="CN98" i="1"/>
  <c r="CL98" i="1"/>
  <c r="CG98" i="1"/>
  <c r="BY98" i="1"/>
  <c r="BV98" i="1"/>
  <c r="BT98" i="1"/>
  <c r="BO98" i="1"/>
  <c r="BG98" i="1"/>
  <c r="BD98" i="1"/>
  <c r="BB98" i="1"/>
  <c r="AW98" i="1"/>
  <c r="AO98" i="1"/>
  <c r="AL98" i="1"/>
  <c r="AJ98" i="1"/>
  <c r="AE98" i="1"/>
  <c r="CQ97" i="1"/>
  <c r="CN97" i="1"/>
  <c r="CL97" i="1"/>
  <c r="CG97" i="1"/>
  <c r="BY97" i="1"/>
  <c r="BV97" i="1"/>
  <c r="BT97" i="1"/>
  <c r="BO97" i="1"/>
  <c r="BG97" i="1"/>
  <c r="BD97" i="1"/>
  <c r="BB97" i="1"/>
  <c r="AW97" i="1"/>
  <c r="AO97" i="1"/>
  <c r="AL97" i="1"/>
  <c r="AJ97" i="1"/>
  <c r="AE97" i="1"/>
  <c r="CQ96" i="1"/>
  <c r="CN96" i="1"/>
  <c r="CL96" i="1"/>
  <c r="CG96" i="1"/>
  <c r="BY96" i="1"/>
  <c r="BV96" i="1"/>
  <c r="BT96" i="1"/>
  <c r="BO96" i="1"/>
  <c r="BG96" i="1"/>
  <c r="BD96" i="1"/>
  <c r="BB96" i="1"/>
  <c r="AW96" i="1"/>
  <c r="AO96" i="1"/>
  <c r="AL96" i="1"/>
  <c r="AJ96" i="1"/>
  <c r="AE96" i="1"/>
  <c r="CQ95" i="1"/>
  <c r="CN95" i="1"/>
  <c r="CL95" i="1"/>
  <c r="CG95" i="1"/>
  <c r="BY95" i="1"/>
  <c r="BV95" i="1"/>
  <c r="BT95" i="1"/>
  <c r="BO95" i="1"/>
  <c r="BG95" i="1"/>
  <c r="BD95" i="1"/>
  <c r="BB95" i="1"/>
  <c r="AW95" i="1"/>
  <c r="AO95" i="1"/>
  <c r="AL95" i="1"/>
  <c r="AJ95" i="1"/>
  <c r="AE95" i="1"/>
  <c r="CQ94" i="1"/>
  <c r="CN94" i="1"/>
  <c r="CL94" i="1"/>
  <c r="CG94" i="1"/>
  <c r="BY94" i="1"/>
  <c r="BV94" i="1"/>
  <c r="BT94" i="1"/>
  <c r="BO94" i="1"/>
  <c r="BG94" i="1"/>
  <c r="BD94" i="1"/>
  <c r="BB94" i="1"/>
  <c r="AW94" i="1"/>
  <c r="AO94" i="1"/>
  <c r="AL94" i="1"/>
  <c r="AJ94" i="1"/>
  <c r="AE94" i="1"/>
  <c r="CQ93" i="1"/>
  <c r="CN93" i="1"/>
  <c r="CL93" i="1"/>
  <c r="CG93" i="1"/>
  <c r="BY93" i="1"/>
  <c r="BV93" i="1"/>
  <c r="BT93" i="1"/>
  <c r="BO93" i="1"/>
  <c r="BG93" i="1"/>
  <c r="BD93" i="1"/>
  <c r="BB93" i="1"/>
  <c r="AW93" i="1"/>
  <c r="AO93" i="1"/>
  <c r="AL93" i="1"/>
  <c r="AJ93" i="1"/>
  <c r="AE93" i="1"/>
  <c r="CQ92" i="1"/>
  <c r="CN92" i="1"/>
  <c r="CL92" i="1"/>
  <c r="CG92" i="1"/>
  <c r="BY92" i="1"/>
  <c r="BV92" i="1"/>
  <c r="BT92" i="1"/>
  <c r="BO92" i="1"/>
  <c r="BG92" i="1"/>
  <c r="BD92" i="1"/>
  <c r="BB92" i="1"/>
  <c r="AW92" i="1"/>
  <c r="AO92" i="1"/>
  <c r="AL92" i="1"/>
  <c r="AJ92" i="1"/>
  <c r="AE92" i="1"/>
  <c r="CQ91" i="1"/>
  <c r="CN91" i="1"/>
  <c r="CL91" i="1"/>
  <c r="CG91" i="1"/>
  <c r="BY91" i="1"/>
  <c r="BV91" i="1"/>
  <c r="BT91" i="1"/>
  <c r="BO91" i="1"/>
  <c r="BG91" i="1"/>
  <c r="BD91" i="1"/>
  <c r="BB91" i="1"/>
  <c r="AW91" i="1"/>
  <c r="AO91" i="1"/>
  <c r="AL91" i="1"/>
  <c r="AJ91" i="1"/>
  <c r="AE91" i="1"/>
  <c r="CQ90" i="1"/>
  <c r="CN90" i="1"/>
  <c r="CL90" i="1"/>
  <c r="CG90" i="1"/>
  <c r="BY90" i="1"/>
  <c r="BV90" i="1"/>
  <c r="BT90" i="1"/>
  <c r="BO90" i="1"/>
  <c r="BG90" i="1"/>
  <c r="BD90" i="1"/>
  <c r="BB90" i="1"/>
  <c r="AW90" i="1"/>
  <c r="AO90" i="1"/>
  <c r="AL90" i="1"/>
  <c r="AJ90" i="1"/>
  <c r="AE90" i="1"/>
  <c r="CQ89" i="1"/>
  <c r="CN89" i="1"/>
  <c r="CL89" i="1"/>
  <c r="CG89" i="1"/>
  <c r="BY89" i="1"/>
  <c r="BV89" i="1"/>
  <c r="BT89" i="1"/>
  <c r="BO89" i="1"/>
  <c r="BG89" i="1"/>
  <c r="BD89" i="1"/>
  <c r="BB89" i="1"/>
  <c r="AW89" i="1"/>
  <c r="AO89" i="1"/>
  <c r="AL89" i="1"/>
  <c r="AJ89" i="1"/>
  <c r="AE89" i="1"/>
  <c r="CQ88" i="1"/>
  <c r="CN88" i="1"/>
  <c r="CL88" i="1"/>
  <c r="CG88" i="1"/>
  <c r="BY88" i="1"/>
  <c r="BV88" i="1"/>
  <c r="BT88" i="1"/>
  <c r="BO88" i="1"/>
  <c r="BG88" i="1"/>
  <c r="BD88" i="1"/>
  <c r="BB88" i="1"/>
  <c r="AW88" i="1"/>
  <c r="AO88" i="1"/>
  <c r="AL88" i="1"/>
  <c r="AJ88" i="1"/>
  <c r="AE88" i="1"/>
  <c r="CQ87" i="1"/>
  <c r="CN87" i="1"/>
  <c r="CL87" i="1"/>
  <c r="CG87" i="1"/>
  <c r="BY87" i="1"/>
  <c r="BV87" i="1"/>
  <c r="BT87" i="1"/>
  <c r="BO87" i="1"/>
  <c r="BG87" i="1"/>
  <c r="BD87" i="1"/>
  <c r="BB87" i="1"/>
  <c r="AW87" i="1"/>
  <c r="AO87" i="1"/>
  <c r="AL87" i="1"/>
  <c r="AJ87" i="1"/>
  <c r="AE87" i="1"/>
  <c r="CQ86" i="1"/>
  <c r="CN86" i="1"/>
  <c r="CL86" i="1"/>
  <c r="CG86" i="1"/>
  <c r="BY86" i="1"/>
  <c r="BV86" i="1"/>
  <c r="BT86" i="1"/>
  <c r="BO86" i="1"/>
  <c r="BG86" i="1"/>
  <c r="BD86" i="1"/>
  <c r="BB86" i="1"/>
  <c r="AW86" i="1"/>
  <c r="AO86" i="1"/>
  <c r="AL86" i="1"/>
  <c r="AJ86" i="1"/>
  <c r="AE86" i="1"/>
  <c r="CQ85" i="1"/>
  <c r="CN85" i="1"/>
  <c r="CL85" i="1"/>
  <c r="CG85" i="1"/>
  <c r="BY85" i="1"/>
  <c r="BV85" i="1"/>
  <c r="BT85" i="1"/>
  <c r="BO85" i="1"/>
  <c r="BG85" i="1"/>
  <c r="BD85" i="1"/>
  <c r="BB85" i="1"/>
  <c r="AW85" i="1"/>
  <c r="AO85" i="1"/>
  <c r="AL85" i="1"/>
  <c r="AJ85" i="1"/>
  <c r="AE85" i="1"/>
  <c r="CQ84" i="1"/>
  <c r="CN84" i="1"/>
  <c r="CL84" i="1"/>
  <c r="CG84" i="1"/>
  <c r="BY84" i="1"/>
  <c r="BV84" i="1"/>
  <c r="BT84" i="1"/>
  <c r="BO84" i="1"/>
  <c r="BG84" i="1"/>
  <c r="BD84" i="1"/>
  <c r="BB84" i="1"/>
  <c r="AW84" i="1"/>
  <c r="AO84" i="1"/>
  <c r="AL84" i="1"/>
  <c r="AJ84" i="1"/>
  <c r="AE84" i="1"/>
  <c r="CQ83" i="1"/>
  <c r="CN83" i="1"/>
  <c r="CL83" i="1"/>
  <c r="CG83" i="1"/>
  <c r="BY83" i="1"/>
  <c r="BV83" i="1"/>
  <c r="BT83" i="1"/>
  <c r="BO83" i="1"/>
  <c r="BG83" i="1"/>
  <c r="BD83" i="1"/>
  <c r="BB83" i="1"/>
  <c r="AW83" i="1"/>
  <c r="AO83" i="1"/>
  <c r="AL83" i="1"/>
  <c r="AJ83" i="1"/>
  <c r="AE83" i="1"/>
  <c r="CQ82" i="1"/>
  <c r="CN82" i="1"/>
  <c r="CL82" i="1"/>
  <c r="CG82" i="1"/>
  <c r="BY82" i="1"/>
  <c r="BV82" i="1"/>
  <c r="BT82" i="1"/>
  <c r="BO82" i="1"/>
  <c r="BG82" i="1"/>
  <c r="BD82" i="1"/>
  <c r="BB82" i="1"/>
  <c r="AW82" i="1"/>
  <c r="AO82" i="1"/>
  <c r="AL82" i="1"/>
  <c r="AJ82" i="1"/>
  <c r="AE82" i="1"/>
  <c r="CQ81" i="1"/>
  <c r="CN81" i="1"/>
  <c r="CL81" i="1"/>
  <c r="CG81" i="1"/>
  <c r="BY81" i="1"/>
  <c r="BV81" i="1"/>
  <c r="BT81" i="1"/>
  <c r="BO81" i="1"/>
  <c r="BG81" i="1"/>
  <c r="BD81" i="1"/>
  <c r="BB81" i="1"/>
  <c r="AW81" i="1"/>
  <c r="AO81" i="1"/>
  <c r="AL81" i="1"/>
  <c r="AJ81" i="1"/>
  <c r="AE81" i="1"/>
  <c r="CQ80" i="1"/>
  <c r="CN80" i="1"/>
  <c r="CL80" i="1"/>
  <c r="CG80" i="1"/>
  <c r="BY80" i="1"/>
  <c r="BV80" i="1"/>
  <c r="BT80" i="1"/>
  <c r="BO80" i="1"/>
  <c r="BG80" i="1"/>
  <c r="BD80" i="1"/>
  <c r="BB80" i="1"/>
  <c r="AW80" i="1"/>
  <c r="AO80" i="1"/>
  <c r="AL80" i="1"/>
  <c r="AJ80" i="1"/>
  <c r="AE80" i="1"/>
  <c r="CQ79" i="1"/>
  <c r="CN79" i="1"/>
  <c r="CL79" i="1"/>
  <c r="CG79" i="1"/>
  <c r="BY79" i="1"/>
  <c r="BV79" i="1"/>
  <c r="BT79" i="1"/>
  <c r="BO79" i="1"/>
  <c r="BG79" i="1"/>
  <c r="BD79" i="1"/>
  <c r="BB79" i="1"/>
  <c r="AW79" i="1"/>
  <c r="AO79" i="1"/>
  <c r="AL79" i="1"/>
  <c r="AJ79" i="1"/>
  <c r="AE79" i="1"/>
  <c r="CQ78" i="1"/>
  <c r="CN78" i="1"/>
  <c r="CL78" i="1"/>
  <c r="CG78" i="1"/>
  <c r="BY78" i="1"/>
  <c r="BV78" i="1"/>
  <c r="BT78" i="1"/>
  <c r="BO78" i="1"/>
  <c r="BG78" i="1"/>
  <c r="BD78" i="1"/>
  <c r="BB78" i="1"/>
  <c r="AW78" i="1"/>
  <c r="AO78" i="1"/>
  <c r="AL78" i="1"/>
  <c r="AJ78" i="1"/>
  <c r="AE78" i="1"/>
  <c r="CQ77" i="1"/>
  <c r="CN77" i="1"/>
  <c r="CL77" i="1"/>
  <c r="CG77" i="1"/>
  <c r="BY77" i="1"/>
  <c r="BV77" i="1"/>
  <c r="BT77" i="1"/>
  <c r="BO77" i="1"/>
  <c r="BG77" i="1"/>
  <c r="BD77" i="1"/>
  <c r="BB77" i="1"/>
  <c r="AW77" i="1"/>
  <c r="AO77" i="1"/>
  <c r="AL77" i="1"/>
  <c r="AJ77" i="1"/>
  <c r="AE77" i="1"/>
  <c r="CQ76" i="1"/>
  <c r="CN76" i="1"/>
  <c r="CL76" i="1"/>
  <c r="CG76" i="1"/>
  <c r="BY76" i="1"/>
  <c r="BV76" i="1"/>
  <c r="BT76" i="1"/>
  <c r="BO76" i="1"/>
  <c r="BG76" i="1"/>
  <c r="BD76" i="1"/>
  <c r="BB76" i="1"/>
  <c r="AW76" i="1"/>
  <c r="AO76" i="1"/>
  <c r="AL76" i="1"/>
  <c r="AJ76" i="1"/>
  <c r="AE76" i="1"/>
  <c r="CQ75" i="1"/>
  <c r="CN75" i="1"/>
  <c r="CL75" i="1"/>
  <c r="CG75" i="1"/>
  <c r="BY75" i="1"/>
  <c r="BV75" i="1"/>
  <c r="BT75" i="1"/>
  <c r="BO75" i="1"/>
  <c r="BG75" i="1"/>
  <c r="BD75" i="1"/>
  <c r="BB75" i="1"/>
  <c r="AW75" i="1"/>
  <c r="AO75" i="1"/>
  <c r="AL75" i="1"/>
  <c r="AJ75" i="1"/>
  <c r="AE75" i="1"/>
  <c r="CQ74" i="1"/>
  <c r="CN74" i="1"/>
  <c r="CL74" i="1"/>
  <c r="CG74" i="1"/>
  <c r="BY74" i="1"/>
  <c r="BV74" i="1"/>
  <c r="BT74" i="1"/>
  <c r="BO74" i="1"/>
  <c r="BG74" i="1"/>
  <c r="BD74" i="1"/>
  <c r="BB74" i="1"/>
  <c r="AW74" i="1"/>
  <c r="AO74" i="1"/>
  <c r="AL74" i="1"/>
  <c r="AJ74" i="1"/>
  <c r="AE74" i="1"/>
  <c r="CQ73" i="1"/>
  <c r="CN73" i="1"/>
  <c r="CL73" i="1"/>
  <c r="CG73" i="1"/>
  <c r="BY73" i="1"/>
  <c r="BV73" i="1"/>
  <c r="BT73" i="1"/>
  <c r="BO73" i="1"/>
  <c r="BG73" i="1"/>
  <c r="BD73" i="1"/>
  <c r="BB73" i="1"/>
  <c r="AW73" i="1"/>
  <c r="AO73" i="1"/>
  <c r="AL73" i="1"/>
  <c r="AJ73" i="1"/>
  <c r="AE73" i="1"/>
  <c r="CQ72" i="1"/>
  <c r="CN72" i="1"/>
  <c r="CL72" i="1"/>
  <c r="CG72" i="1"/>
  <c r="BY72" i="1"/>
  <c r="BV72" i="1"/>
  <c r="BT72" i="1"/>
  <c r="BO72" i="1"/>
  <c r="BG72" i="1"/>
  <c r="BD72" i="1"/>
  <c r="BB72" i="1"/>
  <c r="AW72" i="1"/>
  <c r="AO72" i="1"/>
  <c r="AL72" i="1"/>
  <c r="AJ72" i="1"/>
  <c r="AE72" i="1"/>
  <c r="CQ71" i="1"/>
  <c r="CN71" i="1"/>
  <c r="CL71" i="1"/>
  <c r="CG71" i="1"/>
  <c r="BY71" i="1"/>
  <c r="BV71" i="1"/>
  <c r="BT71" i="1"/>
  <c r="BO71" i="1"/>
  <c r="BG71" i="1"/>
  <c r="BD71" i="1"/>
  <c r="BB71" i="1"/>
  <c r="AW71" i="1"/>
  <c r="AO71" i="1"/>
  <c r="AL71" i="1"/>
  <c r="AJ71" i="1"/>
  <c r="AE71" i="1"/>
  <c r="CQ70" i="1"/>
  <c r="CN70" i="1"/>
  <c r="CL70" i="1"/>
  <c r="CG70" i="1"/>
  <c r="BY70" i="1"/>
  <c r="BV70" i="1"/>
  <c r="BT70" i="1"/>
  <c r="BO70" i="1"/>
  <c r="BG70" i="1"/>
  <c r="BD70" i="1"/>
  <c r="BB70" i="1"/>
  <c r="AW70" i="1"/>
  <c r="AO70" i="1"/>
  <c r="AL70" i="1"/>
  <c r="AJ70" i="1"/>
  <c r="AE70" i="1"/>
  <c r="CQ69" i="1"/>
  <c r="CN69" i="1"/>
  <c r="CL69" i="1"/>
  <c r="CG69" i="1"/>
  <c r="BY69" i="1"/>
  <c r="BV69" i="1"/>
  <c r="BT69" i="1"/>
  <c r="BO69" i="1"/>
  <c r="BG69" i="1"/>
  <c r="BD69" i="1"/>
  <c r="BB69" i="1"/>
  <c r="AW69" i="1"/>
  <c r="AO69" i="1"/>
  <c r="AL69" i="1"/>
  <c r="AJ69" i="1"/>
  <c r="AE69" i="1"/>
  <c r="CQ68" i="1"/>
  <c r="CN68" i="1"/>
  <c r="CL68" i="1"/>
  <c r="CG68" i="1"/>
  <c r="BY68" i="1"/>
  <c r="BV68" i="1"/>
  <c r="BT68" i="1"/>
  <c r="BO68" i="1"/>
  <c r="BG68" i="1"/>
  <c r="BD68" i="1"/>
  <c r="BB68" i="1"/>
  <c r="AW68" i="1"/>
  <c r="AO68" i="1"/>
  <c r="AL68" i="1"/>
  <c r="AJ68" i="1"/>
  <c r="AE68" i="1"/>
  <c r="CQ67" i="1"/>
  <c r="CN67" i="1"/>
  <c r="CL67" i="1"/>
  <c r="CG67" i="1"/>
  <c r="BY67" i="1"/>
  <c r="BV67" i="1"/>
  <c r="BT67" i="1"/>
  <c r="BO67" i="1"/>
  <c r="BG67" i="1"/>
  <c r="BD67" i="1"/>
  <c r="BB67" i="1"/>
  <c r="AW67" i="1"/>
  <c r="AO67" i="1"/>
  <c r="AL67" i="1"/>
  <c r="AJ67" i="1"/>
  <c r="AE67" i="1"/>
  <c r="CQ66" i="1"/>
  <c r="CN66" i="1"/>
  <c r="CL66" i="1"/>
  <c r="CG66" i="1"/>
  <c r="BY66" i="1"/>
  <c r="BV66" i="1"/>
  <c r="BT66" i="1"/>
  <c r="BO66" i="1"/>
  <c r="BG66" i="1"/>
  <c r="BD66" i="1"/>
  <c r="BB66" i="1"/>
  <c r="AW66" i="1"/>
  <c r="AO66" i="1"/>
  <c r="AL66" i="1"/>
  <c r="AJ66" i="1"/>
  <c r="AE66" i="1"/>
  <c r="CQ65" i="1"/>
  <c r="CN65" i="1"/>
  <c r="CL65" i="1"/>
  <c r="CG65" i="1"/>
  <c r="BY65" i="1"/>
  <c r="BV65" i="1"/>
  <c r="BT65" i="1"/>
  <c r="BO65" i="1"/>
  <c r="BG65" i="1"/>
  <c r="BD65" i="1"/>
  <c r="BB65" i="1"/>
  <c r="AW65" i="1"/>
  <c r="AO65" i="1"/>
  <c r="AL65" i="1"/>
  <c r="AJ65" i="1"/>
  <c r="AE65" i="1"/>
  <c r="CQ64" i="1"/>
  <c r="CN64" i="1"/>
  <c r="CL64" i="1"/>
  <c r="CG64" i="1"/>
  <c r="BY64" i="1"/>
  <c r="BV64" i="1"/>
  <c r="BT64" i="1"/>
  <c r="BO64" i="1"/>
  <c r="BG64" i="1"/>
  <c r="BD64" i="1"/>
  <c r="BB64" i="1"/>
  <c r="AW64" i="1"/>
  <c r="AO64" i="1"/>
  <c r="AL64" i="1"/>
  <c r="AJ64" i="1"/>
  <c r="AE64" i="1"/>
  <c r="CQ63" i="1"/>
  <c r="CN63" i="1"/>
  <c r="CL63" i="1"/>
  <c r="CG63" i="1"/>
  <c r="BY63" i="1"/>
  <c r="BV63" i="1"/>
  <c r="BT63" i="1"/>
  <c r="BO63" i="1"/>
  <c r="BG63" i="1"/>
  <c r="BD63" i="1"/>
  <c r="BB63" i="1"/>
  <c r="AW63" i="1"/>
  <c r="AO63" i="1"/>
  <c r="AL63" i="1"/>
  <c r="AJ63" i="1"/>
  <c r="AE63" i="1"/>
  <c r="CQ62" i="1"/>
  <c r="CN62" i="1"/>
  <c r="CL62" i="1"/>
  <c r="CG62" i="1"/>
  <c r="BY62" i="1"/>
  <c r="BV62" i="1"/>
  <c r="BT62" i="1"/>
  <c r="BO62" i="1"/>
  <c r="BG62" i="1"/>
  <c r="BD62" i="1"/>
  <c r="BB62" i="1"/>
  <c r="AW62" i="1"/>
  <c r="AO62" i="1"/>
  <c r="AL62" i="1"/>
  <c r="AJ62" i="1"/>
  <c r="AE62" i="1"/>
  <c r="CQ61" i="1"/>
  <c r="CN61" i="1"/>
  <c r="CL61" i="1"/>
  <c r="CG61" i="1"/>
  <c r="BY61" i="1"/>
  <c r="BV61" i="1"/>
  <c r="BT61" i="1"/>
  <c r="BO61" i="1"/>
  <c r="BG61" i="1"/>
  <c r="BD61" i="1"/>
  <c r="BB61" i="1"/>
  <c r="AW61" i="1"/>
  <c r="AO61" i="1"/>
  <c r="AL61" i="1"/>
  <c r="AJ61" i="1"/>
  <c r="AE61" i="1"/>
  <c r="CQ60" i="1"/>
  <c r="CN60" i="1"/>
  <c r="CL60" i="1"/>
  <c r="CG60" i="1"/>
  <c r="BY60" i="1"/>
  <c r="BV60" i="1"/>
  <c r="BT60" i="1"/>
  <c r="BO60" i="1"/>
  <c r="BG60" i="1"/>
  <c r="BD60" i="1"/>
  <c r="BB60" i="1"/>
  <c r="AW60" i="1"/>
  <c r="AO60" i="1"/>
  <c r="AL60" i="1"/>
  <c r="AJ60" i="1"/>
  <c r="AE60" i="1"/>
  <c r="CQ59" i="1"/>
  <c r="CN59" i="1"/>
  <c r="CL59" i="1"/>
  <c r="CG59" i="1"/>
  <c r="BY59" i="1"/>
  <c r="BV59" i="1"/>
  <c r="BT59" i="1"/>
  <c r="BO59" i="1"/>
  <c r="BG59" i="1"/>
  <c r="BD59" i="1"/>
  <c r="BB59" i="1"/>
  <c r="AW59" i="1"/>
  <c r="AO59" i="1"/>
  <c r="AL59" i="1"/>
  <c r="AJ59" i="1"/>
  <c r="AE59" i="1"/>
  <c r="CQ58" i="1"/>
  <c r="CN58" i="1"/>
  <c r="CL58" i="1"/>
  <c r="CG58" i="1"/>
  <c r="BY58" i="1"/>
  <c r="BV58" i="1"/>
  <c r="BT58" i="1"/>
  <c r="BO58" i="1"/>
  <c r="BG58" i="1"/>
  <c r="BD58" i="1"/>
  <c r="BB58" i="1"/>
  <c r="AW58" i="1"/>
  <c r="AO58" i="1"/>
  <c r="AL58" i="1"/>
  <c r="AJ58" i="1"/>
  <c r="AE58" i="1"/>
  <c r="CQ57" i="1"/>
  <c r="CN57" i="1"/>
  <c r="CL57" i="1"/>
  <c r="CG57" i="1"/>
  <c r="BY57" i="1"/>
  <c r="BV57" i="1"/>
  <c r="BT57" i="1"/>
  <c r="BO57" i="1"/>
  <c r="BG57" i="1"/>
  <c r="BD57" i="1"/>
  <c r="BB57" i="1"/>
  <c r="AW57" i="1"/>
  <c r="AO57" i="1"/>
  <c r="AL57" i="1"/>
  <c r="AJ57" i="1"/>
  <c r="AE57" i="1"/>
  <c r="CQ56" i="1"/>
  <c r="CN56" i="1"/>
  <c r="CL56" i="1"/>
  <c r="CG56" i="1"/>
  <c r="BY56" i="1"/>
  <c r="BV56" i="1"/>
  <c r="BT56" i="1"/>
  <c r="BO56" i="1"/>
  <c r="BG56" i="1"/>
  <c r="BD56" i="1"/>
  <c r="BB56" i="1"/>
  <c r="AW56" i="1"/>
  <c r="AO56" i="1"/>
  <c r="AL56" i="1"/>
  <c r="AJ56" i="1"/>
  <c r="AE56" i="1"/>
  <c r="CQ55" i="1"/>
  <c r="CN55" i="1"/>
  <c r="CL55" i="1"/>
  <c r="CG55" i="1"/>
  <c r="BY55" i="1"/>
  <c r="BV55" i="1"/>
  <c r="BT55" i="1"/>
  <c r="BO55" i="1"/>
  <c r="BG55" i="1"/>
  <c r="BD55" i="1"/>
  <c r="BB55" i="1"/>
  <c r="AW55" i="1"/>
  <c r="AO55" i="1"/>
  <c r="AL55" i="1"/>
  <c r="AJ55" i="1"/>
  <c r="AE55" i="1"/>
  <c r="CQ54" i="1"/>
  <c r="CN54" i="1"/>
  <c r="CL54" i="1"/>
  <c r="CG54" i="1"/>
  <c r="BY54" i="1"/>
  <c r="BV54" i="1"/>
  <c r="BT54" i="1"/>
  <c r="BO54" i="1"/>
  <c r="BG54" i="1"/>
  <c r="BD54" i="1"/>
  <c r="BB54" i="1"/>
  <c r="AW54" i="1"/>
  <c r="AO54" i="1"/>
  <c r="AL54" i="1"/>
  <c r="AJ54" i="1"/>
  <c r="AE54" i="1"/>
  <c r="CQ53" i="1"/>
  <c r="CN53" i="1"/>
  <c r="CL53" i="1"/>
  <c r="CG53" i="1"/>
  <c r="BY53" i="1"/>
  <c r="BV53" i="1"/>
  <c r="BT53" i="1"/>
  <c r="BO53" i="1"/>
  <c r="BG53" i="1"/>
  <c r="BD53" i="1"/>
  <c r="BB53" i="1"/>
  <c r="AW53" i="1"/>
  <c r="AO53" i="1"/>
  <c r="AL53" i="1"/>
  <c r="AJ53" i="1"/>
  <c r="AE53" i="1"/>
  <c r="CQ52" i="1"/>
  <c r="CN52" i="1"/>
  <c r="CL52" i="1"/>
  <c r="CG52" i="1"/>
  <c r="BY52" i="1"/>
  <c r="BV52" i="1"/>
  <c r="BT52" i="1"/>
  <c r="BO52" i="1"/>
  <c r="BG52" i="1"/>
  <c r="BD52" i="1"/>
  <c r="BB52" i="1"/>
  <c r="AW52" i="1"/>
  <c r="AO52" i="1"/>
  <c r="AL52" i="1"/>
  <c r="AJ52" i="1"/>
  <c r="AE52" i="1"/>
  <c r="Q6" i="3"/>
  <c r="R6" i="3"/>
  <c r="S6" i="3"/>
  <c r="T6" i="3"/>
  <c r="U6" i="3"/>
  <c r="V6" i="3"/>
  <c r="W6" i="3"/>
  <c r="X6" i="3"/>
  <c r="Y6" i="3"/>
  <c r="Z6" i="3"/>
  <c r="B17" i="3" l="1"/>
  <c r="AN4" i="6" a="1"/>
  <c r="AK27" i="6" a="1"/>
  <c r="AK27" i="6" s="1"/>
  <c r="AL27" i="6" a="1"/>
  <c r="AL27" i="6" s="1"/>
  <c r="AL4" i="6"/>
  <c r="AO3" i="6" a="1"/>
  <c r="AN27" i="6" a="1"/>
  <c r="AO26" i="6" a="1"/>
  <c r="C10" i="6"/>
  <c r="C5" i="6"/>
  <c r="C8" i="6"/>
  <c r="C7" i="6" s="1"/>
  <c r="C4" i="6"/>
  <c r="C3" i="6"/>
  <c r="C9" i="6"/>
  <c r="C11" i="6"/>
  <c r="I4" i="2"/>
  <c r="I3" i="2"/>
  <c r="I2" i="2"/>
  <c r="C24" i="7"/>
  <c r="C34" i="7"/>
  <c r="C33" i="7"/>
  <c r="C32" i="7"/>
  <c r="C31" i="7"/>
  <c r="C30" i="7"/>
  <c r="C29" i="7"/>
  <c r="C28" i="7"/>
  <c r="C26" i="7"/>
  <c r="G11" i="7"/>
  <c r="AS23" i="6" l="1" a="1"/>
  <c r="AS23" i="6" s="1"/>
  <c r="AS22" i="6" a="1"/>
  <c r="AS22" i="6" s="1"/>
  <c r="AS21" i="6" a="1"/>
  <c r="AS21" i="6" s="1"/>
  <c r="AS20" i="6" a="1"/>
  <c r="AS20" i="6" s="1"/>
  <c r="AS19" i="6" a="1"/>
  <c r="AS19" i="6" s="1"/>
  <c r="AS18" i="6" a="1"/>
  <c r="AS18" i="6" s="1"/>
  <c r="AS17" i="6" a="1"/>
  <c r="AS17" i="6" s="1"/>
  <c r="AS16" i="6" a="1"/>
  <c r="AS16" i="6" s="1"/>
  <c r="AS15" i="6" a="1"/>
  <c r="AS15" i="6" s="1"/>
  <c r="AS14" i="6" a="1"/>
  <c r="AS14" i="6" s="1"/>
  <c r="AS13" i="6" a="1"/>
  <c r="AS13" i="6" s="1"/>
  <c r="AS12" i="6" a="1"/>
  <c r="AS12" i="6" s="1"/>
  <c r="AS11" i="6" a="1"/>
  <c r="AS11" i="6" s="1"/>
  <c r="AS46" i="6" a="1"/>
  <c r="AS46" i="6" s="1"/>
  <c r="AS45" i="6" a="1"/>
  <c r="AS45" i="6" s="1"/>
  <c r="AS44" i="6" a="1"/>
  <c r="AS44" i="6" s="1"/>
  <c r="AS43" i="6" a="1"/>
  <c r="AS43" i="6" s="1"/>
  <c r="AS42" i="6" a="1"/>
  <c r="AS42" i="6" s="1"/>
  <c r="AS41" i="6" a="1"/>
  <c r="AS41" i="6" s="1"/>
  <c r="AS40" i="6" a="1"/>
  <c r="AS40" i="6" s="1"/>
  <c r="AS39" i="6" a="1"/>
  <c r="AS39" i="6" s="1"/>
  <c r="AS38" i="6" a="1"/>
  <c r="AS38" i="6" s="1"/>
  <c r="AS37" i="6" a="1"/>
  <c r="AS37" i="6" s="1"/>
  <c r="AS36" i="6" a="1"/>
  <c r="AS36" i="6" s="1"/>
  <c r="AS35" i="6" a="1"/>
  <c r="AS35" i="6" s="1"/>
  <c r="AS34" i="6" a="1"/>
  <c r="AS34" i="6" s="1"/>
  <c r="B18" i="3"/>
  <c r="AR46" i="6" a="1"/>
  <c r="AR46" i="6" s="1"/>
  <c r="AR38" i="6" a="1"/>
  <c r="AR38" i="6" s="1"/>
  <c r="AR45" i="6" a="1"/>
  <c r="AR45" i="6" s="1"/>
  <c r="AR37" i="6" a="1"/>
  <c r="AR37" i="6" s="1"/>
  <c r="AR44" i="6" a="1"/>
  <c r="AR44" i="6" s="1"/>
  <c r="AR36" i="6" a="1"/>
  <c r="AR36" i="6" s="1"/>
  <c r="AR43" i="6" a="1"/>
  <c r="AR43" i="6" s="1"/>
  <c r="AR35" i="6" a="1"/>
  <c r="AR35" i="6" s="1"/>
  <c r="AR42" i="6" a="1"/>
  <c r="AR42" i="6" s="1"/>
  <c r="AR34" i="6" a="1"/>
  <c r="AR34" i="6" s="1"/>
  <c r="AR41" i="6" a="1"/>
  <c r="AR41" i="6" s="1"/>
  <c r="AR33" i="6" a="1"/>
  <c r="AR33" i="6" s="1"/>
  <c r="AR40" i="6" a="1"/>
  <c r="AR40" i="6" s="1"/>
  <c r="AR32" i="6" a="1"/>
  <c r="AR32" i="6" s="1"/>
  <c r="AR39" i="6" a="1"/>
  <c r="AR39" i="6" s="1"/>
  <c r="BE33" i="6" a="1"/>
  <c r="BE33" i="6" s="1"/>
  <c r="AW33" i="6" a="1"/>
  <c r="AW33" i="6" s="1"/>
  <c r="BF32" i="6" a="1"/>
  <c r="BF32" i="6" s="1"/>
  <c r="AX32" i="6" a="1"/>
  <c r="AX32" i="6" s="1"/>
  <c r="BD33" i="6" a="1"/>
  <c r="BD33" i="6" s="1"/>
  <c r="AV33" i="6" a="1"/>
  <c r="AV33" i="6" s="1"/>
  <c r="BE32" i="6" a="1"/>
  <c r="BE32" i="6" s="1"/>
  <c r="AW32" i="6" a="1"/>
  <c r="AW32" i="6" s="1"/>
  <c r="BC33" i="6" a="1"/>
  <c r="BC33" i="6" s="1"/>
  <c r="AU33" i="6" a="1"/>
  <c r="AU33" i="6" s="1"/>
  <c r="BD32" i="6" a="1"/>
  <c r="BD32" i="6" s="1"/>
  <c r="AV32" i="6" a="1"/>
  <c r="AV32" i="6" s="1"/>
  <c r="BB33" i="6" a="1"/>
  <c r="BB33" i="6" s="1"/>
  <c r="AT33" i="6" a="1"/>
  <c r="AT33" i="6" s="1"/>
  <c r="BC32" i="6" a="1"/>
  <c r="BC32" i="6" s="1"/>
  <c r="AU32" i="6" a="1"/>
  <c r="AU32" i="6" s="1"/>
  <c r="BA33" i="6" a="1"/>
  <c r="BA33" i="6" s="1"/>
  <c r="AS33" i="6" a="1"/>
  <c r="AS33" i="6" s="1"/>
  <c r="BB32" i="6" a="1"/>
  <c r="BB32" i="6" s="1"/>
  <c r="AT32" i="6" a="1"/>
  <c r="AT32" i="6" s="1"/>
  <c r="BH33" i="6" a="1"/>
  <c r="BH33" i="6" s="1"/>
  <c r="AZ33" i="6" a="1"/>
  <c r="AZ33" i="6" s="1"/>
  <c r="BA32" i="6" a="1"/>
  <c r="BA32" i="6" s="1"/>
  <c r="AS32" i="6" a="1"/>
  <c r="AS32" i="6" s="1"/>
  <c r="BG33" i="6" a="1"/>
  <c r="BG33" i="6" s="1"/>
  <c r="AY33" i="6" a="1"/>
  <c r="AY33" i="6" s="1"/>
  <c r="BH32" i="6" a="1"/>
  <c r="BH32" i="6" s="1"/>
  <c r="AZ32" i="6" a="1"/>
  <c r="AZ32" i="6" s="1"/>
  <c r="BF33" i="6" a="1"/>
  <c r="BF33" i="6" s="1"/>
  <c r="AX33" i="6" a="1"/>
  <c r="AX33" i="6" s="1"/>
  <c r="BG32" i="6" a="1"/>
  <c r="BG32" i="6" s="1"/>
  <c r="AY32" i="6" a="1"/>
  <c r="AY32" i="6" s="1"/>
  <c r="AR22" i="6" a="1"/>
  <c r="AR22" i="6" s="1"/>
  <c r="AR14" i="6" a="1"/>
  <c r="AR14" i="6" s="1"/>
  <c r="AR21" i="6" a="1"/>
  <c r="AR21" i="6" s="1"/>
  <c r="AR13" i="6" a="1"/>
  <c r="AR13" i="6" s="1"/>
  <c r="AR20" i="6" a="1"/>
  <c r="AR20" i="6" s="1"/>
  <c r="AR12" i="6" a="1"/>
  <c r="AR12" i="6" s="1"/>
  <c r="AR19" i="6" a="1"/>
  <c r="AR19" i="6" s="1"/>
  <c r="AR11" i="6" a="1"/>
  <c r="AR11" i="6" s="1"/>
  <c r="AR18" i="6" a="1"/>
  <c r="AR18" i="6" s="1"/>
  <c r="AR10" i="6" a="1"/>
  <c r="AR10" i="6" s="1"/>
  <c r="AR17" i="6" a="1"/>
  <c r="AR17" i="6" s="1"/>
  <c r="AR9" i="6" a="1"/>
  <c r="AR9" i="6" s="1"/>
  <c r="AR16" i="6" a="1"/>
  <c r="AR16" i="6" s="1"/>
  <c r="AR23" i="6" a="1"/>
  <c r="AR23" i="6" s="1"/>
  <c r="AR15" i="6" a="1"/>
  <c r="AR15" i="6" s="1"/>
  <c r="BD10" i="6" a="1"/>
  <c r="BD10" i="6" s="1"/>
  <c r="AV10" i="6" a="1"/>
  <c r="AV10" i="6" s="1"/>
  <c r="BE9" i="6" a="1"/>
  <c r="BE9" i="6" s="1"/>
  <c r="AW9" i="6" a="1"/>
  <c r="AW9" i="6" s="1"/>
  <c r="BC10" i="6" a="1"/>
  <c r="BC10" i="6" s="1"/>
  <c r="AU10" i="6" a="1"/>
  <c r="AU10" i="6" s="1"/>
  <c r="BD9" i="6" a="1"/>
  <c r="BD9" i="6" s="1"/>
  <c r="AV9" i="6" a="1"/>
  <c r="AV9" i="6" s="1"/>
  <c r="AT10" i="6" a="1"/>
  <c r="AT10" i="6" s="1"/>
  <c r="AU9" i="6" a="1"/>
  <c r="AU9" i="6" s="1"/>
  <c r="AT9" i="6" a="1"/>
  <c r="AT9" i="6" s="1"/>
  <c r="BB10" i="6" a="1"/>
  <c r="BB10" i="6" s="1"/>
  <c r="BC9" i="6" a="1"/>
  <c r="BC9" i="6" s="1"/>
  <c r="BA10" i="6" a="1"/>
  <c r="BA10" i="6" s="1"/>
  <c r="BB9" i="6" a="1"/>
  <c r="BB9" i="6" s="1"/>
  <c r="AS10" i="6" a="1"/>
  <c r="AS10" i="6" s="1"/>
  <c r="BH10" i="6" a="1"/>
  <c r="BH10" i="6" s="1"/>
  <c r="AZ10" i="6" a="1"/>
  <c r="AZ10" i="6" s="1"/>
  <c r="BA9" i="6" a="1"/>
  <c r="BA9" i="6" s="1"/>
  <c r="AS9" i="6" a="1"/>
  <c r="AS9" i="6" s="1"/>
  <c r="BF9" i="6" a="1"/>
  <c r="BF9" i="6" s="1"/>
  <c r="BG10" i="6" a="1"/>
  <c r="BG10" i="6" s="1"/>
  <c r="AY10" i="6" a="1"/>
  <c r="AY10" i="6" s="1"/>
  <c r="BH9" i="6" a="1"/>
  <c r="BH9" i="6" s="1"/>
  <c r="AZ9" i="6" a="1"/>
  <c r="AZ9" i="6" s="1"/>
  <c r="AX10" i="6" a="1"/>
  <c r="AX10" i="6" s="1"/>
  <c r="BG9" i="6" a="1"/>
  <c r="BG9" i="6" s="1"/>
  <c r="BF10" i="6" a="1"/>
  <c r="BF10" i="6" s="1"/>
  <c r="AY9" i="6" a="1"/>
  <c r="AY9" i="6" s="1"/>
  <c r="BE10" i="6" a="1"/>
  <c r="BE10" i="6" s="1"/>
  <c r="AW10" i="6" a="1"/>
  <c r="AW10" i="6" s="1"/>
  <c r="AX9" i="6" a="1"/>
  <c r="AX9" i="6" s="1"/>
  <c r="BC31" i="6" a="1"/>
  <c r="BC31" i="6" s="1"/>
  <c r="AU31" i="6" a="1"/>
  <c r="AU31" i="6" s="1"/>
  <c r="BB31" i="6" a="1"/>
  <c r="BB31" i="6" s="1"/>
  <c r="AT31" i="6" a="1"/>
  <c r="AT31" i="6" s="1"/>
  <c r="BA31" i="6" a="1"/>
  <c r="BA31" i="6" s="1"/>
  <c r="AS31" i="6" a="1"/>
  <c r="AS31" i="6" s="1"/>
  <c r="BH31" i="6" a="1"/>
  <c r="BH31" i="6" s="1"/>
  <c r="AZ31" i="6" a="1"/>
  <c r="AZ31" i="6" s="1"/>
  <c r="AR31" i="6" a="1"/>
  <c r="AR31" i="6" s="1"/>
  <c r="BG31" i="6" a="1"/>
  <c r="BG31" i="6" s="1"/>
  <c r="AY31" i="6" a="1"/>
  <c r="AY31" i="6" s="1"/>
  <c r="BF31" i="6" a="1"/>
  <c r="BF31" i="6" s="1"/>
  <c r="AX31" i="6" a="1"/>
  <c r="AX31" i="6" s="1"/>
  <c r="BE31" i="6" a="1"/>
  <c r="BE31" i="6" s="1"/>
  <c r="AW31" i="6" a="1"/>
  <c r="AW31" i="6" s="1"/>
  <c r="BD31" i="6" a="1"/>
  <c r="BD31" i="6" s="1"/>
  <c r="AV31" i="6" a="1"/>
  <c r="AV31" i="6" s="1"/>
  <c r="AN4" i="6"/>
  <c r="AQ4" i="6" s="1" a="1"/>
  <c r="AQ4" i="6" s="1"/>
  <c r="BB8" i="6" a="1"/>
  <c r="BB8" i="6" s="1"/>
  <c r="AT8" i="6" a="1"/>
  <c r="AT8" i="6" s="1"/>
  <c r="BA8" i="6" a="1"/>
  <c r="BA8" i="6" s="1"/>
  <c r="AS8" i="6" a="1"/>
  <c r="AS8" i="6" s="1"/>
  <c r="AY8" i="6" a="1"/>
  <c r="AY8" i="6" s="1"/>
  <c r="BC8" i="6" a="1"/>
  <c r="BC8" i="6" s="1"/>
  <c r="BH8" i="6" a="1"/>
  <c r="BH8" i="6" s="1"/>
  <c r="AZ8" i="6" a="1"/>
  <c r="AZ8" i="6" s="1"/>
  <c r="AR8" i="6" a="1"/>
  <c r="AR8" i="6" s="1"/>
  <c r="BG8" i="6" a="1"/>
  <c r="BG8" i="6" s="1"/>
  <c r="BF8" i="6" a="1"/>
  <c r="BF8" i="6" s="1"/>
  <c r="AX8" i="6" a="1"/>
  <c r="AX8" i="6" s="1"/>
  <c r="BE8" i="6" a="1"/>
  <c r="BE8" i="6" s="1"/>
  <c r="AW8" i="6" a="1"/>
  <c r="AW8" i="6" s="1"/>
  <c r="BD8" i="6" a="1"/>
  <c r="BD8" i="6" s="1"/>
  <c r="AV8" i="6" a="1"/>
  <c r="AV8" i="6" s="1"/>
  <c r="AU8" i="6" a="1"/>
  <c r="AU8" i="6" s="1"/>
  <c r="AO26" i="6"/>
  <c r="AQ43" i="6" a="1"/>
  <c r="AQ43" i="6" s="1"/>
  <c r="AQ40" i="6" a="1"/>
  <c r="AQ40" i="6" s="1"/>
  <c r="AQ37" i="6" a="1"/>
  <c r="AQ37" i="6" s="1"/>
  <c r="AQ34" i="6" a="1"/>
  <c r="AQ34" i="6" s="1"/>
  <c r="AQ31" i="6" a="1"/>
  <c r="AQ31" i="6" s="1"/>
  <c r="AQ29" i="6" a="1"/>
  <c r="AQ29" i="6" s="1"/>
  <c r="AQ46" i="6" a="1"/>
  <c r="AQ46" i="6" s="1"/>
  <c r="AP43" i="6" a="1"/>
  <c r="AP43" i="6" s="1"/>
  <c r="AP40" i="6" a="1"/>
  <c r="AP40" i="6" s="1"/>
  <c r="AP37" i="6" a="1"/>
  <c r="AP37" i="6" s="1"/>
  <c r="AP34" i="6" a="1"/>
  <c r="AP34" i="6" s="1"/>
  <c r="AP31" i="6" a="1"/>
  <c r="AP31" i="6" s="1"/>
  <c r="AP29" i="6" a="1"/>
  <c r="AP29" i="6" s="1"/>
  <c r="AQ28" i="6" a="1"/>
  <c r="AQ28" i="6" s="1"/>
  <c r="AP46" i="6" a="1"/>
  <c r="AP46" i="6" s="1"/>
  <c r="AQ38" i="6" a="1"/>
  <c r="AQ38" i="6" s="1"/>
  <c r="AQ35" i="6" a="1"/>
  <c r="AQ35" i="6" s="1"/>
  <c r="AQ32" i="6" a="1"/>
  <c r="AQ32" i="6" s="1"/>
  <c r="AP28" i="6" a="1"/>
  <c r="AP28" i="6" s="1"/>
  <c r="AP45" i="6" a="1"/>
  <c r="AP45" i="6" s="1"/>
  <c r="AP42" i="6" a="1"/>
  <c r="AP42" i="6" s="1"/>
  <c r="AP39" i="6" a="1"/>
  <c r="AP39" i="6" s="1"/>
  <c r="AQ44" i="6" a="1"/>
  <c r="AQ44" i="6" s="1"/>
  <c r="AQ41" i="6" a="1"/>
  <c r="AQ41" i="6" s="1"/>
  <c r="AP38" i="6" a="1"/>
  <c r="AP38" i="6" s="1"/>
  <c r="AP35" i="6" a="1"/>
  <c r="AP35" i="6" s="1"/>
  <c r="AP32" i="6" a="1"/>
  <c r="AP32" i="6" s="1"/>
  <c r="AP44" i="6" a="1"/>
  <c r="AP44" i="6" s="1"/>
  <c r="AP41" i="6" a="1"/>
  <c r="AP41" i="6" s="1"/>
  <c r="AQ30" i="6" a="1"/>
  <c r="AQ30" i="6" s="1"/>
  <c r="AQ36" i="6" a="1"/>
  <c r="AQ36" i="6" s="1"/>
  <c r="AQ33" i="6" a="1"/>
  <c r="AQ33" i="6" s="1"/>
  <c r="AP30" i="6" a="1"/>
  <c r="AP30" i="6" s="1"/>
  <c r="AQ45" i="6" a="1"/>
  <c r="AQ45" i="6" s="1"/>
  <c r="AQ42" i="6" a="1"/>
  <c r="AQ42" i="6" s="1"/>
  <c r="AQ39" i="6" a="1"/>
  <c r="AQ39" i="6" s="1"/>
  <c r="AP36" i="6" a="1"/>
  <c r="AP36" i="6" s="1"/>
  <c r="AP33" i="6" a="1"/>
  <c r="AP33" i="6" s="1"/>
  <c r="AN27" i="6"/>
  <c r="AQ27" i="6" s="1" a="1"/>
  <c r="AQ27" i="6" s="1"/>
  <c r="BC30" i="6" a="1"/>
  <c r="BC30" i="6" s="1"/>
  <c r="AU30" i="6" a="1"/>
  <c r="AU30" i="6" s="1"/>
  <c r="BC29" i="6" a="1"/>
  <c r="BC29" i="6" s="1"/>
  <c r="BE28" i="6" a="1"/>
  <c r="BE28" i="6" s="1"/>
  <c r="AX28" i="6" a="1"/>
  <c r="AX28" i="6" s="1"/>
  <c r="AR28" i="6" a="1"/>
  <c r="AR28" i="6" s="1"/>
  <c r="BD30" i="6" a="1"/>
  <c r="BD30" i="6" s="1"/>
  <c r="AX29" i="6" a="1"/>
  <c r="AX29" i="6" s="1"/>
  <c r="BB30" i="6" a="1"/>
  <c r="BB30" i="6" s="1"/>
  <c r="AT30" i="6" a="1"/>
  <c r="AT30" i="6" s="1"/>
  <c r="BH29" i="6" a="1"/>
  <c r="BH29" i="6" s="1"/>
  <c r="BB29" i="6" a="1"/>
  <c r="BB29" i="6" s="1"/>
  <c r="AW29" i="6" a="1"/>
  <c r="AW29" i="6" s="1"/>
  <c r="BD28" i="6" a="1"/>
  <c r="BD28" i="6" s="1"/>
  <c r="AY28" i="6" a="1"/>
  <c r="AY28" i="6" s="1"/>
  <c r="BA30" i="6" a="1"/>
  <c r="BA30" i="6" s="1"/>
  <c r="AS30" i="6" a="1"/>
  <c r="AS30" i="6" s="1"/>
  <c r="BG29" i="6" a="1"/>
  <c r="BG29" i="6" s="1"/>
  <c r="AV29" i="6" a="1"/>
  <c r="AV29" i="6" s="1"/>
  <c r="BC28" i="6" a="1"/>
  <c r="BC28" i="6" s="1"/>
  <c r="AW28" i="6" a="1"/>
  <c r="AW28" i="6" s="1"/>
  <c r="BD29" i="6" a="1"/>
  <c r="BD29" i="6" s="1"/>
  <c r="BH30" i="6" a="1"/>
  <c r="BH30" i="6" s="1"/>
  <c r="AZ30" i="6" a="1"/>
  <c r="AZ30" i="6" s="1"/>
  <c r="AR30" i="6" a="1"/>
  <c r="AR30" i="6" s="1"/>
  <c r="BF29" i="6" a="1"/>
  <c r="BF29" i="6" s="1"/>
  <c r="BA29" i="6" a="1"/>
  <c r="BA29" i="6" s="1"/>
  <c r="AU29" i="6" a="1"/>
  <c r="AU29" i="6" s="1"/>
  <c r="BB28" i="6" a="1"/>
  <c r="BB28" i="6" s="1"/>
  <c r="AV28" i="6" a="1"/>
  <c r="AV28" i="6" s="1"/>
  <c r="AS28" i="6" a="1"/>
  <c r="AS28" i="6" s="1"/>
  <c r="BG30" i="6" a="1"/>
  <c r="BG30" i="6" s="1"/>
  <c r="AY30" i="6" a="1"/>
  <c r="AY30" i="6" s="1"/>
  <c r="AT29" i="6" a="1"/>
  <c r="AT29" i="6" s="1"/>
  <c r="BH28" i="6" a="1"/>
  <c r="BH28" i="6" s="1"/>
  <c r="AU28" i="6" a="1"/>
  <c r="AU28" i="6" s="1"/>
  <c r="BF30" i="6" a="1"/>
  <c r="BF30" i="6" s="1"/>
  <c r="AX30" i="6" a="1"/>
  <c r="AX30" i="6" s="1"/>
  <c r="BE29" i="6" a="1"/>
  <c r="BE29" i="6" s="1"/>
  <c r="AZ29" i="6" a="1"/>
  <c r="AZ29" i="6" s="1"/>
  <c r="BG28" i="6" a="1"/>
  <c r="BG28" i="6" s="1"/>
  <c r="BA28" i="6" a="1"/>
  <c r="BA28" i="6" s="1"/>
  <c r="AT28" i="6" a="1"/>
  <c r="AT28" i="6" s="1"/>
  <c r="AV30" i="6" a="1"/>
  <c r="AV30" i="6" s="1"/>
  <c r="AR29" i="6" a="1"/>
  <c r="AR29" i="6" s="1"/>
  <c r="BE30" i="6" a="1"/>
  <c r="BE30" i="6" s="1"/>
  <c r="AW30" i="6" a="1"/>
  <c r="AW30" i="6" s="1"/>
  <c r="AY29" i="6" a="1"/>
  <c r="AY29" i="6" s="1"/>
  <c r="AS29" i="6" a="1"/>
  <c r="AS29" i="6" s="1"/>
  <c r="BF28" i="6" a="1"/>
  <c r="BF28" i="6" s="1"/>
  <c r="AZ28" i="6" a="1"/>
  <c r="AZ28" i="6" s="1"/>
  <c r="BC7" i="6" a="1"/>
  <c r="BC7" i="6" s="1"/>
  <c r="AU7" i="6" a="1"/>
  <c r="AU7" i="6" s="1"/>
  <c r="BH6" i="6" a="1"/>
  <c r="BH6" i="6" s="1"/>
  <c r="BC6" i="6" a="1"/>
  <c r="BC6" i="6" s="1"/>
  <c r="AW6" i="6" a="1"/>
  <c r="AW6" i="6" s="1"/>
  <c r="AR6" i="6" a="1"/>
  <c r="AR6" i="6" s="1"/>
  <c r="BG5" i="6" a="1"/>
  <c r="BG5" i="6" s="1"/>
  <c r="BA5" i="6" a="1"/>
  <c r="BA5" i="6" s="1"/>
  <c r="AV5" i="6" a="1"/>
  <c r="AV5" i="6" s="1"/>
  <c r="BB7" i="6" a="1"/>
  <c r="BB7" i="6" s="1"/>
  <c r="AT7" i="6" a="1"/>
  <c r="AT7" i="6" s="1"/>
  <c r="BB6" i="6" a="1"/>
  <c r="BB6" i="6" s="1"/>
  <c r="BF5" i="6" a="1"/>
  <c r="BF5" i="6" s="1"/>
  <c r="AV7" i="6" a="1"/>
  <c r="AV7" i="6" s="1"/>
  <c r="BA7" i="6" a="1"/>
  <c r="BA7" i="6" s="1"/>
  <c r="AS7" i="6" a="1"/>
  <c r="AS7" i="6" s="1"/>
  <c r="BG6" i="6" a="1"/>
  <c r="BG6" i="6" s="1"/>
  <c r="BA6" i="6" a="1"/>
  <c r="BA6" i="6" s="1"/>
  <c r="AV6" i="6" a="1"/>
  <c r="AV6" i="6" s="1"/>
  <c r="BE5" i="6" a="1"/>
  <c r="BE5" i="6" s="1"/>
  <c r="AZ5" i="6" a="1"/>
  <c r="AZ5" i="6" s="1"/>
  <c r="AU5" i="6" a="1"/>
  <c r="AU5" i="6" s="1"/>
  <c r="AX6" i="6" a="1"/>
  <c r="AX6" i="6" s="1"/>
  <c r="BH7" i="6" a="1"/>
  <c r="BH7" i="6" s="1"/>
  <c r="AZ7" i="6" a="1"/>
  <c r="AZ7" i="6" s="1"/>
  <c r="AR7" i="6" a="1"/>
  <c r="AR7" i="6" s="1"/>
  <c r="BF6" i="6" a="1"/>
  <c r="BF6" i="6" s="1"/>
  <c r="AT5" i="6" a="1"/>
  <c r="AT5" i="6" s="1"/>
  <c r="BG7" i="6" a="1"/>
  <c r="BG7" i="6" s="1"/>
  <c r="AY7" i="6" a="1"/>
  <c r="AY7" i="6" s="1"/>
  <c r="BE6" i="6" a="1"/>
  <c r="BE6" i="6" s="1"/>
  <c r="AZ6" i="6" a="1"/>
  <c r="AZ6" i="6" s="1"/>
  <c r="AU6" i="6" a="1"/>
  <c r="AU6" i="6" s="1"/>
  <c r="BD5" i="6" a="1"/>
  <c r="BD5" i="6" s="1"/>
  <c r="AY5" i="6" a="1"/>
  <c r="AY5" i="6" s="1"/>
  <c r="AS5" i="6" a="1"/>
  <c r="AS5" i="6" s="1"/>
  <c r="BF7" i="6" a="1"/>
  <c r="BF7" i="6" s="1"/>
  <c r="AX7" i="6" a="1"/>
  <c r="AX7" i="6" s="1"/>
  <c r="AT6" i="6" a="1"/>
  <c r="AT6" i="6" s="1"/>
  <c r="AX5" i="6" a="1"/>
  <c r="AX5" i="6" s="1"/>
  <c r="BE7" i="6" a="1"/>
  <c r="BE7" i="6" s="1"/>
  <c r="AW7" i="6" a="1"/>
  <c r="AW7" i="6" s="1"/>
  <c r="BD6" i="6" a="1"/>
  <c r="BD6" i="6" s="1"/>
  <c r="AY6" i="6" a="1"/>
  <c r="AY6" i="6" s="1"/>
  <c r="AS6" i="6" a="1"/>
  <c r="AS6" i="6" s="1"/>
  <c r="BH5" i="6" a="1"/>
  <c r="BH5" i="6" s="1"/>
  <c r="BC5" i="6" a="1"/>
  <c r="BC5" i="6" s="1"/>
  <c r="AW5" i="6" a="1"/>
  <c r="AW5" i="6" s="1"/>
  <c r="AR5" i="6" a="1"/>
  <c r="AR5" i="6" s="1"/>
  <c r="BD7" i="6" a="1"/>
  <c r="BD7" i="6" s="1"/>
  <c r="BB5" i="6" a="1"/>
  <c r="BB5" i="6" s="1"/>
  <c r="AO3" i="6"/>
  <c r="AO7" i="6" s="1" a="1"/>
  <c r="AO7" i="6" s="1"/>
  <c r="AQ8" i="6" a="1"/>
  <c r="AQ8" i="6" s="1"/>
  <c r="AQ5" i="6" a="1"/>
  <c r="AQ5" i="6" s="1"/>
  <c r="AP16" i="6" a="1"/>
  <c r="AP16" i="6" s="1"/>
  <c r="AP8" i="6" a="1"/>
  <c r="AP8" i="6" s="1"/>
  <c r="AP5" i="6" a="1"/>
  <c r="AP5" i="6" s="1"/>
  <c r="AP22" i="6" a="1"/>
  <c r="AP22" i="6" s="1"/>
  <c r="AQ23" i="6" a="1"/>
  <c r="AQ23" i="6" s="1"/>
  <c r="AQ21" i="6" a="1"/>
  <c r="AQ21" i="6" s="1"/>
  <c r="AQ19" i="6" a="1"/>
  <c r="AQ19" i="6" s="1"/>
  <c r="AQ17" i="6" a="1"/>
  <c r="AQ17" i="6" s="1"/>
  <c r="AQ15" i="6" a="1"/>
  <c r="AQ15" i="6" s="1"/>
  <c r="AQ13" i="6" a="1"/>
  <c r="AQ13" i="6" s="1"/>
  <c r="AQ11" i="6" a="1"/>
  <c r="AQ11" i="6" s="1"/>
  <c r="AQ9" i="6" a="1"/>
  <c r="AQ9" i="6" s="1"/>
  <c r="AQ6" i="6" a="1"/>
  <c r="AQ6" i="6" s="1"/>
  <c r="AP12" i="6" a="1"/>
  <c r="AP12" i="6" s="1"/>
  <c r="AP10" i="6" a="1"/>
  <c r="AP10" i="6" s="1"/>
  <c r="AP23" i="6" a="1"/>
  <c r="AP23" i="6" s="1"/>
  <c r="AP21" i="6" a="1"/>
  <c r="AP21" i="6" s="1"/>
  <c r="AP19" i="6" a="1"/>
  <c r="AP19" i="6" s="1"/>
  <c r="AP17" i="6" a="1"/>
  <c r="AP17" i="6" s="1"/>
  <c r="AP15" i="6" a="1"/>
  <c r="AP15" i="6" s="1"/>
  <c r="AP13" i="6" a="1"/>
  <c r="AP13" i="6" s="1"/>
  <c r="AP11" i="6" a="1"/>
  <c r="AP11" i="6" s="1"/>
  <c r="AP9" i="6" a="1"/>
  <c r="AP9" i="6" s="1"/>
  <c r="AP6" i="6" a="1"/>
  <c r="AP6" i="6" s="1"/>
  <c r="AQ7" i="6" a="1"/>
  <c r="AQ7" i="6" s="1"/>
  <c r="AP7" i="6" a="1"/>
  <c r="AP7" i="6" s="1"/>
  <c r="AP20" i="6" a="1"/>
  <c r="AP20" i="6" s="1"/>
  <c r="AP18" i="6" a="1"/>
  <c r="AP18" i="6" s="1"/>
  <c r="AP14" i="6" a="1"/>
  <c r="AP14" i="6" s="1"/>
  <c r="AQ22" i="6" a="1"/>
  <c r="AQ22" i="6" s="1"/>
  <c r="AQ20" i="6" a="1"/>
  <c r="AQ20" i="6" s="1"/>
  <c r="AQ18" i="6" a="1"/>
  <c r="AQ18" i="6" s="1"/>
  <c r="AQ16" i="6" a="1"/>
  <c r="AQ16" i="6" s="1"/>
  <c r="AQ14" i="6" a="1"/>
  <c r="AQ14" i="6" s="1"/>
  <c r="AQ12" i="6" a="1"/>
  <c r="AQ12" i="6" s="1"/>
  <c r="AQ10" i="6" a="1"/>
  <c r="AQ10" i="6" s="1"/>
  <c r="AK5" i="6"/>
  <c r="AK6" i="6" s="1"/>
  <c r="AK7" i="6" s="1"/>
  <c r="AK8" i="6" s="1"/>
  <c r="AK9" i="6" s="1"/>
  <c r="AK10" i="6" s="1"/>
  <c r="AK11" i="6" s="1"/>
  <c r="AK12" i="6" s="1"/>
  <c r="AK13" i="6" s="1"/>
  <c r="AK14" i="6" s="1"/>
  <c r="AK15" i="6" s="1"/>
  <c r="AK16" i="6" s="1"/>
  <c r="AK17" i="6" s="1"/>
  <c r="AK18" i="6" s="1"/>
  <c r="AK19" i="6" s="1"/>
  <c r="AK20" i="6" s="1"/>
  <c r="AK21" i="6" s="1"/>
  <c r="AK22" i="6" s="1"/>
  <c r="AK23" i="6" s="1"/>
  <c r="AL5" i="6"/>
  <c r="AL6" i="6" s="1"/>
  <c r="AL7" i="6" s="1"/>
  <c r="AL8" i="6" s="1"/>
  <c r="AL9" i="6" s="1"/>
  <c r="AL10" i="6" s="1"/>
  <c r="AL11" i="6" s="1"/>
  <c r="AL12" i="6" s="1"/>
  <c r="AL13" i="6" s="1"/>
  <c r="AL14" i="6" s="1"/>
  <c r="AL15" i="6" s="1"/>
  <c r="AL16" i="6" s="1"/>
  <c r="C6" i="6"/>
  <c r="P2" i="13"/>
  <c r="O2" i="13"/>
  <c r="N2" i="13"/>
  <c r="M2" i="13"/>
  <c r="F4" i="3"/>
  <c r="H2" i="3"/>
  <c r="I2" i="3"/>
  <c r="J2" i="3"/>
  <c r="K2" i="3"/>
  <c r="G2" i="3"/>
  <c r="B19" i="3" l="1"/>
  <c r="B20" i="3" s="1"/>
  <c r="B21" i="3" s="1"/>
  <c r="B22" i="3" s="1"/>
  <c r="B23" i="3" s="1"/>
  <c r="B24" i="3" s="1"/>
  <c r="B25" i="3" s="1"/>
  <c r="B26" i="3" s="1"/>
  <c r="B27" i="3" s="1"/>
  <c r="B28" i="3" s="1"/>
  <c r="B29" i="3" s="1"/>
  <c r="B30" i="3" s="1"/>
  <c r="B31" i="3" s="1"/>
  <c r="B32" i="3" s="1"/>
  <c r="B33" i="3" s="1"/>
  <c r="B34" i="3" s="1"/>
  <c r="B35" i="3" s="1"/>
  <c r="B36" i="3" s="1"/>
  <c r="B37" i="3" s="1"/>
  <c r="B38" i="3" s="1"/>
  <c r="B39" i="3" s="1"/>
  <c r="B40" i="3" s="1"/>
  <c r="B41" i="3" s="1"/>
  <c r="B42" i="3" s="1"/>
  <c r="B43" i="3" s="1"/>
  <c r="B44" i="3" s="1"/>
  <c r="B45" i="3" s="1"/>
  <c r="B46" i="3" s="1"/>
  <c r="B47" i="3" s="1"/>
  <c r="B48" i="3" s="1"/>
  <c r="B49" i="3" s="1"/>
  <c r="B50" i="3" s="1"/>
  <c r="B51" i="3" s="1"/>
  <c r="B52" i="3" s="1"/>
  <c r="B53" i="3" s="1"/>
  <c r="B54" i="3" s="1"/>
  <c r="B55" i="3" s="1"/>
  <c r="B56" i="3" s="1"/>
  <c r="B57" i="3" s="1"/>
  <c r="B58" i="3" s="1"/>
  <c r="B59" i="3" s="1"/>
  <c r="B60" i="3" s="1"/>
  <c r="B61" i="3" s="1"/>
  <c r="B62" i="3" s="1"/>
  <c r="B63" i="3" s="1"/>
  <c r="B64" i="3" s="1"/>
  <c r="B65" i="3" s="1"/>
  <c r="B66" i="3" s="1"/>
  <c r="B67" i="3" s="1"/>
  <c r="B68" i="3" s="1"/>
  <c r="B69" i="3" s="1"/>
  <c r="B70" i="3" s="1"/>
  <c r="B71" i="3" s="1"/>
  <c r="B72" i="3" s="1"/>
  <c r="B73" i="3" s="1"/>
  <c r="B74" i="3" s="1"/>
  <c r="B75" i="3" s="1"/>
  <c r="B76" i="3" s="1"/>
  <c r="B77" i="3" s="1"/>
  <c r="B78" i="3" s="1"/>
  <c r="B79" i="3" s="1"/>
  <c r="B80" i="3" s="1"/>
  <c r="B81" i="3" s="1"/>
  <c r="B82" i="3" s="1"/>
  <c r="B83" i="3" s="1"/>
  <c r="B84" i="3" s="1"/>
  <c r="B85" i="3" s="1"/>
  <c r="B86" i="3" s="1"/>
  <c r="B87" i="3" s="1"/>
  <c r="B88" i="3" s="1"/>
  <c r="B89" i="3" s="1"/>
  <c r="B90" i="3" s="1"/>
  <c r="B91" i="3" s="1"/>
  <c r="B92" i="3" s="1"/>
  <c r="B93" i="3" s="1"/>
  <c r="B94" i="3" s="1"/>
  <c r="B95" i="3" s="1"/>
  <c r="B96" i="3" s="1"/>
  <c r="B97" i="3" s="1"/>
  <c r="B98" i="3" s="1"/>
  <c r="B99" i="3" s="1"/>
  <c r="B100" i="3" s="1"/>
  <c r="B101" i="3" s="1"/>
  <c r="B102" i="3" s="1"/>
  <c r="B103" i="3" s="1"/>
  <c r="B104" i="3" s="1"/>
  <c r="B105" i="3" s="1"/>
  <c r="B106" i="3" s="1"/>
  <c r="B107" i="3" s="1"/>
  <c r="B108" i="3" s="1"/>
  <c r="B109" i="3" s="1"/>
  <c r="B110" i="3" s="1"/>
  <c r="B111" i="3" s="1"/>
  <c r="B112" i="3" s="1"/>
  <c r="B113" i="3" s="1"/>
  <c r="B114" i="3" s="1"/>
  <c r="B115" i="3" s="1"/>
  <c r="AP27" i="6" a="1"/>
  <c r="AP27" i="6" s="1"/>
  <c r="BE4" i="6" a="1"/>
  <c r="BE4" i="6" s="1"/>
  <c r="AZ4" i="6" a="1"/>
  <c r="AZ4" i="6" s="1"/>
  <c r="AU4" i="6" a="1"/>
  <c r="AU4" i="6" s="1"/>
  <c r="AT4" i="6" a="1"/>
  <c r="AT4" i="6" s="1"/>
  <c r="BD4" i="6" a="1"/>
  <c r="BD4" i="6" s="1"/>
  <c r="AY4" i="6" a="1"/>
  <c r="AY4" i="6" s="1"/>
  <c r="AS4" i="6" a="1"/>
  <c r="AS4" i="6" s="1"/>
  <c r="AX4" i="6" a="1"/>
  <c r="AX4" i="6" s="1"/>
  <c r="AR4" i="6" a="1"/>
  <c r="AR4" i="6" s="1"/>
  <c r="BH4" i="6" a="1"/>
  <c r="BH4" i="6" s="1"/>
  <c r="BC4" i="6" a="1"/>
  <c r="BC4" i="6" s="1"/>
  <c r="AW4" i="6" a="1"/>
  <c r="AW4" i="6" s="1"/>
  <c r="BF4" i="6" a="1"/>
  <c r="BF4" i="6" s="1"/>
  <c r="BB4" i="6" a="1"/>
  <c r="BB4" i="6" s="1"/>
  <c r="BG4" i="6" a="1"/>
  <c r="BG4" i="6" s="1"/>
  <c r="BA4" i="6" a="1"/>
  <c r="BA4" i="6" s="1"/>
  <c r="AV4" i="6" a="1"/>
  <c r="AV4" i="6" s="1"/>
  <c r="AP4" i="6" a="1"/>
  <c r="AP4" i="6" s="1"/>
  <c r="AO22" i="6" a="1"/>
  <c r="AO22" i="6" s="1"/>
  <c r="AO20" i="6" a="1"/>
  <c r="AO20" i="6" s="1"/>
  <c r="AO18" i="6" a="1"/>
  <c r="AO18" i="6" s="1"/>
  <c r="AO16" i="6" a="1"/>
  <c r="AO16" i="6" s="1"/>
  <c r="AO14" i="6" a="1"/>
  <c r="AO14" i="6" s="1"/>
  <c r="AO12" i="6" a="1"/>
  <c r="AO12" i="6" s="1"/>
  <c r="AO10" i="6" a="1"/>
  <c r="AO10" i="6" s="1"/>
  <c r="AO4" i="6" a="1"/>
  <c r="AO4" i="6" s="1"/>
  <c r="AO8" i="6" a="1"/>
  <c r="AO8" i="6" s="1"/>
  <c r="AO5" i="6" a="1"/>
  <c r="AO5" i="6" s="1"/>
  <c r="AO23" i="6" a="1"/>
  <c r="AO23" i="6" s="1"/>
  <c r="AO21" i="6" a="1"/>
  <c r="AO21" i="6" s="1"/>
  <c r="AO19" i="6" a="1"/>
  <c r="AO19" i="6" s="1"/>
  <c r="AO17" i="6" a="1"/>
  <c r="AO17" i="6" s="1"/>
  <c r="AO15" i="6" a="1"/>
  <c r="AO15" i="6" s="1"/>
  <c r="AO13" i="6" a="1"/>
  <c r="AO13" i="6" s="1"/>
  <c r="AO11" i="6" a="1"/>
  <c r="AO11" i="6" s="1"/>
  <c r="AO9" i="6" a="1"/>
  <c r="AO9" i="6" s="1"/>
  <c r="AO6" i="6" a="1"/>
  <c r="AO6" i="6" s="1"/>
  <c r="AY27" i="6" a="1"/>
  <c r="AY27" i="6" s="1"/>
  <c r="AS27" i="6" a="1"/>
  <c r="AS27" i="6" s="1"/>
  <c r="BE27" i="6" a="1"/>
  <c r="BE27" i="6" s="1"/>
  <c r="AX27" i="6" a="1"/>
  <c r="AX27" i="6" s="1"/>
  <c r="AR27" i="6" a="1"/>
  <c r="AR27" i="6" s="1"/>
  <c r="BD27" i="6" a="1"/>
  <c r="BD27" i="6" s="1"/>
  <c r="BC27" i="6" a="1"/>
  <c r="BC27" i="6" s="1"/>
  <c r="AW27" i="6" a="1"/>
  <c r="AW27" i="6" s="1"/>
  <c r="BB27" i="6" a="1"/>
  <c r="BB27" i="6" s="1"/>
  <c r="AV27" i="6" a="1"/>
  <c r="AV27" i="6" s="1"/>
  <c r="BH27" i="6" a="1"/>
  <c r="BH27" i="6" s="1"/>
  <c r="AU27" i="6" a="1"/>
  <c r="AU27" i="6" s="1"/>
  <c r="AZ27" i="6" a="1"/>
  <c r="AZ27" i="6" s="1"/>
  <c r="BG27" i="6" a="1"/>
  <c r="BG27" i="6" s="1"/>
  <c r="BA27" i="6" a="1"/>
  <c r="BA27" i="6" s="1"/>
  <c r="AT27" i="6" a="1"/>
  <c r="AT27" i="6" s="1"/>
  <c r="BF27" i="6" a="1"/>
  <c r="BF27" i="6" s="1"/>
  <c r="AO45" i="6" a="1"/>
  <c r="AO45" i="6" s="1"/>
  <c r="AO42" i="6" a="1"/>
  <c r="AO42" i="6" s="1"/>
  <c r="AO39" i="6" a="1"/>
  <c r="AO39" i="6" s="1"/>
  <c r="AO36" i="6" a="1"/>
  <c r="AO36" i="6" s="1"/>
  <c r="AO43" i="6" a="1"/>
  <c r="AO43" i="6" s="1"/>
  <c r="AO40" i="6" a="1"/>
  <c r="AO40" i="6" s="1"/>
  <c r="AO37" i="6" a="1"/>
  <c r="AO37" i="6" s="1"/>
  <c r="AO34" i="6" a="1"/>
  <c r="AO34" i="6" s="1"/>
  <c r="AO31" i="6" a="1"/>
  <c r="AO31" i="6" s="1"/>
  <c r="AO29" i="6" a="1"/>
  <c r="AO29" i="6" s="1"/>
  <c r="AO46" i="6" a="1"/>
  <c r="AO46" i="6" s="1"/>
  <c r="AO35" i="6" a="1"/>
  <c r="AO35" i="6" s="1"/>
  <c r="AO32" i="6" a="1"/>
  <c r="AO32" i="6" s="1"/>
  <c r="AO28" i="6" a="1"/>
  <c r="AO28" i="6" s="1"/>
  <c r="AO27" i="6" a="1"/>
  <c r="AO27" i="6" s="1"/>
  <c r="AO41" i="6" a="1"/>
  <c r="AO41" i="6" s="1"/>
  <c r="AO38" i="6" a="1"/>
  <c r="AO38" i="6" s="1"/>
  <c r="AO33" i="6" a="1"/>
  <c r="AO33" i="6" s="1"/>
  <c r="AO30" i="6" a="1"/>
  <c r="AO30" i="6" s="1"/>
  <c r="AO44" i="6" a="1"/>
  <c r="AO44" i="6" s="1"/>
  <c r="L2" i="13"/>
  <c r="K2" i="13"/>
  <c r="J2" i="13"/>
  <c r="I2" i="13"/>
  <c r="H2" i="13"/>
  <c r="G2" i="13"/>
  <c r="F2" i="13"/>
  <c r="E2" i="13"/>
  <c r="D2" i="13"/>
  <c r="B15" i="6" l="1"/>
  <c r="B16" i="6"/>
  <c r="B18" i="6"/>
  <c r="B17" i="6"/>
  <c r="C14" i="6"/>
  <c r="D14" i="6"/>
  <c r="E14" i="6"/>
  <c r="F14" i="6"/>
  <c r="F11" i="6"/>
  <c r="F10" i="6"/>
  <c r="F9" i="6"/>
  <c r="J40" i="6" l="1"/>
  <c r="K40" i="6"/>
  <c r="L40" i="6"/>
  <c r="M40" i="6"/>
  <c r="J41" i="6"/>
  <c r="K41" i="6"/>
  <c r="L41" i="6"/>
  <c r="M41" i="6"/>
  <c r="J42" i="6"/>
  <c r="K42" i="6"/>
  <c r="L42" i="6"/>
  <c r="M42" i="6"/>
  <c r="J43" i="6"/>
  <c r="K43" i="6"/>
  <c r="L43" i="6"/>
  <c r="M43" i="6"/>
  <c r="J44" i="6"/>
  <c r="K44" i="6"/>
  <c r="L44" i="6"/>
  <c r="M44" i="6"/>
  <c r="J45" i="6"/>
  <c r="K45" i="6"/>
  <c r="L45" i="6"/>
  <c r="M45" i="6"/>
  <c r="J46" i="6"/>
  <c r="K46" i="6"/>
  <c r="L46" i="6"/>
  <c r="M46" i="6"/>
  <c r="I40" i="6"/>
  <c r="I41" i="6"/>
  <c r="I42" i="6"/>
  <c r="I43" i="6"/>
  <c r="I44" i="6"/>
  <c r="I45" i="6"/>
  <c r="I46" i="6"/>
  <c r="J21" i="6"/>
  <c r="K21" i="6"/>
  <c r="L21" i="6"/>
  <c r="M21" i="6"/>
  <c r="J22" i="6"/>
  <c r="K22" i="6"/>
  <c r="L22" i="6"/>
  <c r="M22" i="6"/>
  <c r="J23" i="6"/>
  <c r="K23" i="6"/>
  <c r="L23" i="6"/>
  <c r="M23" i="6"/>
  <c r="I21" i="6"/>
  <c r="I22" i="6"/>
  <c r="I23" i="6"/>
  <c r="F21" i="6" l="1"/>
  <c r="F28" i="6" s="1"/>
  <c r="E21" i="6"/>
  <c r="E28" i="6" s="1"/>
  <c r="D21" i="6"/>
  <c r="D28" i="6" s="1"/>
  <c r="C21" i="6"/>
  <c r="C28" i="6" s="1"/>
  <c r="B25" i="6"/>
  <c r="B32" i="6" s="1"/>
  <c r="B24" i="6"/>
  <c r="B31" i="6" s="1"/>
  <c r="B23" i="6"/>
  <c r="B30" i="6" s="1"/>
  <c r="B22" i="6"/>
  <c r="B29" i="6" s="1"/>
  <c r="B14" i="1"/>
  <c r="B7" i="1" s="1"/>
  <c r="B13" i="1"/>
  <c r="B6" i="1" s="1"/>
  <c r="B12" i="1"/>
  <c r="B5" i="1" s="1"/>
  <c r="B11" i="1"/>
  <c r="B4" i="1" s="1"/>
  <c r="F10" i="1"/>
  <c r="F3" i="1" s="1"/>
  <c r="E10" i="1"/>
  <c r="E3" i="1" s="1"/>
  <c r="D10" i="1"/>
  <c r="D3" i="1" s="1"/>
  <c r="C10" i="1"/>
  <c r="C3" i="1" s="1"/>
  <c r="M3" i="6"/>
  <c r="L3" i="6"/>
  <c r="K3" i="6"/>
  <c r="J3" i="6"/>
  <c r="CK124" i="1" l="1" a="1"/>
  <c r="CK124" i="1" s="1"/>
  <c r="CK123" i="1" a="1"/>
  <c r="CK123" i="1" s="1"/>
  <c r="CK122" i="1" a="1"/>
  <c r="CK122" i="1" s="1"/>
  <c r="CK121" i="1" a="1"/>
  <c r="CK121" i="1" s="1"/>
  <c r="CK120" i="1" a="1"/>
  <c r="CK120" i="1" s="1"/>
  <c r="CK119" i="1" a="1"/>
  <c r="CK119" i="1" s="1"/>
  <c r="CK118" i="1" a="1"/>
  <c r="CK118" i="1" s="1"/>
  <c r="CK117" i="1" a="1"/>
  <c r="CK117" i="1" s="1"/>
  <c r="CK116" i="1" a="1"/>
  <c r="CK116" i="1" s="1"/>
  <c r="CK115" i="1" a="1"/>
  <c r="CK115" i="1" s="1"/>
  <c r="CK114" i="1" a="1"/>
  <c r="CK114" i="1" s="1"/>
  <c r="CK113" i="1" a="1"/>
  <c r="CK113" i="1" s="1"/>
  <c r="CK112" i="1" a="1"/>
  <c r="CK112" i="1" s="1"/>
  <c r="CK111" i="1" a="1"/>
  <c r="CK111" i="1" s="1"/>
  <c r="CK110" i="1" a="1"/>
  <c r="CK110" i="1" s="1"/>
  <c r="CK109" i="1" a="1"/>
  <c r="CK109" i="1" s="1"/>
  <c r="CK108" i="1" a="1"/>
  <c r="CK108" i="1" s="1"/>
  <c r="CK107" i="1" a="1"/>
  <c r="CK107" i="1" s="1"/>
  <c r="CK106" i="1" a="1"/>
  <c r="CK106" i="1" s="1"/>
  <c r="CK105" i="1" a="1"/>
  <c r="CK105" i="1" s="1"/>
  <c r="CK104" i="1" a="1"/>
  <c r="CK104" i="1" s="1"/>
  <c r="CK103" i="1" a="1"/>
  <c r="CK103" i="1" s="1"/>
  <c r="CK102" i="1" a="1"/>
  <c r="CK102" i="1" s="1"/>
  <c r="CK101" i="1" a="1"/>
  <c r="CK101" i="1" s="1"/>
  <c r="CK100" i="1" a="1"/>
  <c r="CK100" i="1" s="1"/>
  <c r="CK99" i="1" a="1"/>
  <c r="CK99" i="1" s="1"/>
  <c r="CK98" i="1" a="1"/>
  <c r="CK98" i="1" s="1"/>
  <c r="CK97" i="1" a="1"/>
  <c r="CK97" i="1" s="1"/>
  <c r="CK96" i="1" a="1"/>
  <c r="CK96" i="1" s="1"/>
  <c r="CK95" i="1" a="1"/>
  <c r="CK95" i="1" s="1"/>
  <c r="CK94" i="1" a="1"/>
  <c r="CK94" i="1" s="1"/>
  <c r="CK93" i="1" a="1"/>
  <c r="CK93" i="1" s="1"/>
  <c r="CK92" i="1" a="1"/>
  <c r="CK92" i="1" s="1"/>
  <c r="CK91" i="1" a="1"/>
  <c r="CK91" i="1" s="1"/>
  <c r="CK90" i="1" a="1"/>
  <c r="CK90" i="1" s="1"/>
  <c r="CK89" i="1" a="1"/>
  <c r="CK89" i="1" s="1"/>
  <c r="CK88" i="1" a="1"/>
  <c r="CK88" i="1" s="1"/>
  <c r="CK87" i="1" a="1"/>
  <c r="CK87" i="1" s="1"/>
  <c r="CK86" i="1" a="1"/>
  <c r="CK86" i="1" s="1"/>
  <c r="CK85" i="1" a="1"/>
  <c r="CK85" i="1" s="1"/>
  <c r="CK84" i="1" a="1"/>
  <c r="CK84" i="1" s="1"/>
  <c r="CK83" i="1" a="1"/>
  <c r="CK83" i="1" s="1"/>
  <c r="CK82" i="1" a="1"/>
  <c r="CK82" i="1" s="1"/>
  <c r="CK81" i="1" a="1"/>
  <c r="CK81" i="1" s="1"/>
  <c r="CK80" i="1" a="1"/>
  <c r="CK80" i="1" s="1"/>
  <c r="CK79" i="1" a="1"/>
  <c r="CK79" i="1" s="1"/>
  <c r="CK78" i="1" a="1"/>
  <c r="CK78" i="1" s="1"/>
  <c r="CK77" i="1" a="1"/>
  <c r="CK77" i="1" s="1"/>
  <c r="CK76" i="1" a="1"/>
  <c r="CK76" i="1" s="1"/>
  <c r="CK75" i="1" a="1"/>
  <c r="CK75" i="1" s="1"/>
  <c r="CK74" i="1" a="1"/>
  <c r="CK74" i="1" s="1"/>
  <c r="CK73" i="1" a="1"/>
  <c r="CK73" i="1" s="1"/>
  <c r="CK72" i="1" a="1"/>
  <c r="CK72" i="1" s="1"/>
  <c r="CK71" i="1" a="1"/>
  <c r="CK71" i="1" s="1"/>
  <c r="CK70" i="1" a="1"/>
  <c r="CK70" i="1" s="1"/>
  <c r="CK69" i="1" a="1"/>
  <c r="CK69" i="1" s="1"/>
  <c r="CK68" i="1" a="1"/>
  <c r="CK68" i="1" s="1"/>
  <c r="CK67" i="1" a="1"/>
  <c r="CK67" i="1" s="1"/>
  <c r="CK66" i="1" a="1"/>
  <c r="CK66" i="1" s="1"/>
  <c r="CK65" i="1" a="1"/>
  <c r="CK65" i="1" s="1"/>
  <c r="BS124" i="1" a="1"/>
  <c r="BS124" i="1" s="1"/>
  <c r="BS123" i="1" a="1"/>
  <c r="BS123" i="1" s="1"/>
  <c r="BS122" i="1" a="1"/>
  <c r="BS122" i="1" s="1"/>
  <c r="BS121" i="1" a="1"/>
  <c r="BS121" i="1" s="1"/>
  <c r="BS120" i="1" a="1"/>
  <c r="BS120" i="1" s="1"/>
  <c r="BS119" i="1" a="1"/>
  <c r="BS119" i="1" s="1"/>
  <c r="BS118" i="1" a="1"/>
  <c r="BS118" i="1" s="1"/>
  <c r="BS117" i="1" a="1"/>
  <c r="BS117" i="1" s="1"/>
  <c r="BS116" i="1" a="1"/>
  <c r="BS116" i="1" s="1"/>
  <c r="BS115" i="1" a="1"/>
  <c r="BS115" i="1" s="1"/>
  <c r="BS114" i="1" a="1"/>
  <c r="BS114" i="1" s="1"/>
  <c r="BS113" i="1" a="1"/>
  <c r="BS113" i="1" s="1"/>
  <c r="BS112" i="1" a="1"/>
  <c r="BS112" i="1" s="1"/>
  <c r="BS111" i="1" a="1"/>
  <c r="BS111" i="1" s="1"/>
  <c r="BS110" i="1" a="1"/>
  <c r="BS110" i="1" s="1"/>
  <c r="BS109" i="1" a="1"/>
  <c r="BS109" i="1" s="1"/>
  <c r="BS108" i="1" a="1"/>
  <c r="BS108" i="1" s="1"/>
  <c r="BS107" i="1" a="1"/>
  <c r="BS107" i="1" s="1"/>
  <c r="BS106" i="1" a="1"/>
  <c r="BS106" i="1" s="1"/>
  <c r="BS105" i="1" a="1"/>
  <c r="BS105" i="1" s="1"/>
  <c r="BS104" i="1" a="1"/>
  <c r="BS104" i="1" s="1"/>
  <c r="BS103" i="1" a="1"/>
  <c r="BS103" i="1" s="1"/>
  <c r="BS102" i="1" a="1"/>
  <c r="BS102" i="1" s="1"/>
  <c r="BS101" i="1" a="1"/>
  <c r="BS101" i="1" s="1"/>
  <c r="BS100" i="1" a="1"/>
  <c r="BS100" i="1" s="1"/>
  <c r="BS99" i="1" a="1"/>
  <c r="BS99" i="1" s="1"/>
  <c r="BS98" i="1" a="1"/>
  <c r="BS98" i="1" s="1"/>
  <c r="BS97" i="1" a="1"/>
  <c r="BS97" i="1" s="1"/>
  <c r="BS96" i="1" a="1"/>
  <c r="BS96" i="1" s="1"/>
  <c r="BS95" i="1" a="1"/>
  <c r="BS95" i="1" s="1"/>
  <c r="BS94" i="1" a="1"/>
  <c r="BS94" i="1" s="1"/>
  <c r="BS93" i="1" a="1"/>
  <c r="BS93" i="1" s="1"/>
  <c r="BS92" i="1" a="1"/>
  <c r="BS92" i="1" s="1"/>
  <c r="BS91" i="1" a="1"/>
  <c r="BS91" i="1" s="1"/>
  <c r="BS90" i="1" a="1"/>
  <c r="BS90" i="1" s="1"/>
  <c r="BS89" i="1" a="1"/>
  <c r="BS89" i="1" s="1"/>
  <c r="BS88" i="1" a="1"/>
  <c r="BS88" i="1" s="1"/>
  <c r="BS87" i="1" a="1"/>
  <c r="BS87" i="1" s="1"/>
  <c r="BS86" i="1" a="1"/>
  <c r="BS86" i="1" s="1"/>
  <c r="BS85" i="1" a="1"/>
  <c r="BS85" i="1" s="1"/>
  <c r="BS84" i="1" a="1"/>
  <c r="BS84" i="1" s="1"/>
  <c r="BS83" i="1" a="1"/>
  <c r="BS83" i="1" s="1"/>
  <c r="BS82" i="1" a="1"/>
  <c r="BS82" i="1" s="1"/>
  <c r="BS81" i="1" a="1"/>
  <c r="BS81" i="1" s="1"/>
  <c r="BS80" i="1" a="1"/>
  <c r="BS80" i="1" s="1"/>
  <c r="BS79" i="1" a="1"/>
  <c r="BS79" i="1" s="1"/>
  <c r="BS78" i="1" a="1"/>
  <c r="BS78" i="1" s="1"/>
  <c r="BS77" i="1" a="1"/>
  <c r="BS77" i="1" s="1"/>
  <c r="BS76" i="1" a="1"/>
  <c r="BS76" i="1" s="1"/>
  <c r="BS75" i="1" a="1"/>
  <c r="BS75" i="1" s="1"/>
  <c r="BS74" i="1" a="1"/>
  <c r="BS74" i="1" s="1"/>
  <c r="BS73" i="1" a="1"/>
  <c r="BS73" i="1" s="1"/>
  <c r="BS72" i="1" a="1"/>
  <c r="BS72" i="1" s="1"/>
  <c r="BS71" i="1" a="1"/>
  <c r="BS71" i="1" s="1"/>
  <c r="BS70" i="1" a="1"/>
  <c r="BS70" i="1" s="1"/>
  <c r="BS69" i="1" a="1"/>
  <c r="BS69" i="1" s="1"/>
  <c r="BS68" i="1" a="1"/>
  <c r="BS68" i="1" s="1"/>
  <c r="BS67" i="1" a="1"/>
  <c r="BS67" i="1" s="1"/>
  <c r="BS66" i="1" a="1"/>
  <c r="BS66" i="1" s="1"/>
  <c r="BS65" i="1" a="1"/>
  <c r="BS65" i="1" s="1"/>
  <c r="BA124" i="1" a="1"/>
  <c r="BA124" i="1" s="1"/>
  <c r="BA123" i="1" a="1"/>
  <c r="BA123" i="1" s="1"/>
  <c r="BA122" i="1" a="1"/>
  <c r="BA122" i="1" s="1"/>
  <c r="BA121" i="1" a="1"/>
  <c r="BA121" i="1" s="1"/>
  <c r="BA120" i="1" a="1"/>
  <c r="BA120" i="1" s="1"/>
  <c r="BA119" i="1" a="1"/>
  <c r="BA119" i="1" s="1"/>
  <c r="BA118" i="1" a="1"/>
  <c r="BA118" i="1" s="1"/>
  <c r="BA117" i="1" a="1"/>
  <c r="BA117" i="1" s="1"/>
  <c r="BA116" i="1" a="1"/>
  <c r="BA116" i="1" s="1"/>
  <c r="BA115" i="1" a="1"/>
  <c r="BA115" i="1" s="1"/>
  <c r="BA114" i="1" a="1"/>
  <c r="BA114" i="1" s="1"/>
  <c r="BA113" i="1" a="1"/>
  <c r="BA113" i="1" s="1"/>
  <c r="BA112" i="1" a="1"/>
  <c r="BA112" i="1" s="1"/>
  <c r="BA111" i="1" a="1"/>
  <c r="BA111" i="1" s="1"/>
  <c r="BA110" i="1" a="1"/>
  <c r="BA110" i="1" s="1"/>
  <c r="BA109" i="1" a="1"/>
  <c r="BA109" i="1" s="1"/>
  <c r="BA108" i="1" a="1"/>
  <c r="BA108" i="1" s="1"/>
  <c r="BA107" i="1" a="1"/>
  <c r="BA107" i="1" s="1"/>
  <c r="BA106" i="1" a="1"/>
  <c r="BA106" i="1" s="1"/>
  <c r="BA105" i="1" a="1"/>
  <c r="BA105" i="1" s="1"/>
  <c r="BA104" i="1" a="1"/>
  <c r="BA104" i="1" s="1"/>
  <c r="BA103" i="1" a="1"/>
  <c r="BA103" i="1" s="1"/>
  <c r="BA102" i="1" a="1"/>
  <c r="BA102" i="1" s="1"/>
  <c r="BA101" i="1" a="1"/>
  <c r="BA101" i="1" s="1"/>
  <c r="BA100" i="1" a="1"/>
  <c r="BA100" i="1" s="1"/>
  <c r="BA99" i="1" a="1"/>
  <c r="BA99" i="1" s="1"/>
  <c r="BA98" i="1" a="1"/>
  <c r="BA98" i="1" s="1"/>
  <c r="BA97" i="1" a="1"/>
  <c r="BA97" i="1" s="1"/>
  <c r="BA96" i="1" a="1"/>
  <c r="BA96" i="1" s="1"/>
  <c r="BA95" i="1" a="1"/>
  <c r="BA95" i="1" s="1"/>
  <c r="BA94" i="1" a="1"/>
  <c r="BA94" i="1" s="1"/>
  <c r="BA93" i="1" a="1"/>
  <c r="BA93" i="1" s="1"/>
  <c r="BA92" i="1" a="1"/>
  <c r="BA92" i="1" s="1"/>
  <c r="BA91" i="1" a="1"/>
  <c r="BA91" i="1" s="1"/>
  <c r="BA90" i="1" a="1"/>
  <c r="BA90" i="1" s="1"/>
  <c r="BA89" i="1" a="1"/>
  <c r="BA89" i="1" s="1"/>
  <c r="BA88" i="1" a="1"/>
  <c r="BA88" i="1" s="1"/>
  <c r="BA87" i="1" a="1"/>
  <c r="BA87" i="1" s="1"/>
  <c r="BA86" i="1" a="1"/>
  <c r="BA86" i="1" s="1"/>
  <c r="BA85" i="1" a="1"/>
  <c r="BA85" i="1" s="1"/>
  <c r="BA84" i="1" a="1"/>
  <c r="BA84" i="1" s="1"/>
  <c r="BA83" i="1" a="1"/>
  <c r="BA83" i="1" s="1"/>
  <c r="BA82" i="1" a="1"/>
  <c r="BA82" i="1" s="1"/>
  <c r="BA81" i="1" a="1"/>
  <c r="BA81" i="1" s="1"/>
  <c r="BA80" i="1" a="1"/>
  <c r="BA80" i="1" s="1"/>
  <c r="BA79" i="1" a="1"/>
  <c r="BA79" i="1" s="1"/>
  <c r="BA78" i="1" a="1"/>
  <c r="BA78" i="1" s="1"/>
  <c r="BA77" i="1" a="1"/>
  <c r="BA77" i="1" s="1"/>
  <c r="BA76" i="1" a="1"/>
  <c r="BA76" i="1" s="1"/>
  <c r="BA75" i="1" a="1"/>
  <c r="BA75" i="1" s="1"/>
  <c r="BA74" i="1" a="1"/>
  <c r="BA74" i="1" s="1"/>
  <c r="BA73" i="1" a="1"/>
  <c r="BA73" i="1" s="1"/>
  <c r="BA72" i="1" a="1"/>
  <c r="BA72" i="1" s="1"/>
  <c r="BA71" i="1" a="1"/>
  <c r="BA71" i="1" s="1"/>
  <c r="BA70" i="1" a="1"/>
  <c r="BA70" i="1" s="1"/>
  <c r="BA69" i="1" a="1"/>
  <c r="BA69" i="1" s="1"/>
  <c r="BA68" i="1" a="1"/>
  <c r="BA68" i="1" s="1"/>
  <c r="BA67" i="1" a="1"/>
  <c r="BA67" i="1" s="1"/>
  <c r="BA66" i="1" a="1"/>
  <c r="BA66" i="1" s="1"/>
  <c r="BA65" i="1" a="1"/>
  <c r="BA65" i="1" s="1"/>
  <c r="AI65" i="1" a="1"/>
  <c r="AI65" i="1" s="1"/>
  <c r="AI66" i="1" a="1"/>
  <c r="AI66" i="1" s="1"/>
  <c r="AI67" i="1" a="1"/>
  <c r="AI67" i="1" s="1"/>
  <c r="AI68" i="1" a="1"/>
  <c r="AI68" i="1" s="1"/>
  <c r="AI69" i="1" a="1"/>
  <c r="AI69" i="1" s="1"/>
  <c r="AI70" i="1" a="1"/>
  <c r="AI70" i="1" s="1"/>
  <c r="AI71" i="1" a="1"/>
  <c r="AI71" i="1" s="1"/>
  <c r="AI72" i="1" a="1"/>
  <c r="AI72" i="1" s="1"/>
  <c r="AI73" i="1" a="1"/>
  <c r="AI73" i="1" s="1"/>
  <c r="AI74" i="1" a="1"/>
  <c r="AI74" i="1" s="1"/>
  <c r="AI75" i="1" a="1"/>
  <c r="AI75" i="1" s="1"/>
  <c r="AI76" i="1" a="1"/>
  <c r="AI76" i="1" s="1"/>
  <c r="AI77" i="1" a="1"/>
  <c r="AI77" i="1" s="1"/>
  <c r="AI78" i="1" a="1"/>
  <c r="AI78" i="1" s="1"/>
  <c r="AI79" i="1" a="1"/>
  <c r="AI79" i="1" s="1"/>
  <c r="AI80" i="1" a="1"/>
  <c r="AI80" i="1" s="1"/>
  <c r="AI81" i="1" a="1"/>
  <c r="AI81" i="1" s="1"/>
  <c r="AI82" i="1" a="1"/>
  <c r="AI82" i="1" s="1"/>
  <c r="AI83" i="1" a="1"/>
  <c r="AI83" i="1" s="1"/>
  <c r="AI84" i="1" a="1"/>
  <c r="AI84" i="1" s="1"/>
  <c r="AI85" i="1" a="1"/>
  <c r="AI85" i="1" s="1"/>
  <c r="AI86" i="1" a="1"/>
  <c r="AI86" i="1" s="1"/>
  <c r="AI87" i="1" a="1"/>
  <c r="AI87" i="1" s="1"/>
  <c r="AI88" i="1" a="1"/>
  <c r="AI88" i="1" s="1"/>
  <c r="AI89" i="1" a="1"/>
  <c r="AI89" i="1" s="1"/>
  <c r="AI90" i="1" a="1"/>
  <c r="AI90" i="1" s="1"/>
  <c r="AI91" i="1" a="1"/>
  <c r="AI91" i="1" s="1"/>
  <c r="AI92" i="1" a="1"/>
  <c r="AI92" i="1" s="1"/>
  <c r="AI93" i="1" a="1"/>
  <c r="AI93" i="1" s="1"/>
  <c r="AI94" i="1" a="1"/>
  <c r="AI94" i="1" s="1"/>
  <c r="AI95" i="1" a="1"/>
  <c r="AI95" i="1" s="1"/>
  <c r="AI96" i="1" a="1"/>
  <c r="AI96" i="1" s="1"/>
  <c r="AI97" i="1" a="1"/>
  <c r="AI97" i="1" s="1"/>
  <c r="AI98" i="1" a="1"/>
  <c r="AI98" i="1" s="1"/>
  <c r="AI99" i="1" a="1"/>
  <c r="AI99" i="1" s="1"/>
  <c r="AI100" i="1" a="1"/>
  <c r="AI100" i="1" s="1"/>
  <c r="AI101" i="1" a="1"/>
  <c r="AI101" i="1" s="1"/>
  <c r="AI102" i="1" a="1"/>
  <c r="AI102" i="1" s="1"/>
  <c r="AI103" i="1" a="1"/>
  <c r="AI103" i="1" s="1"/>
  <c r="AI104" i="1" a="1"/>
  <c r="AI104" i="1" s="1"/>
  <c r="AI105" i="1" a="1"/>
  <c r="AI105" i="1" s="1"/>
  <c r="AI106" i="1" a="1"/>
  <c r="AI106" i="1" s="1"/>
  <c r="AI107" i="1" a="1"/>
  <c r="AI107" i="1" s="1"/>
  <c r="AI108" i="1" a="1"/>
  <c r="AI108" i="1" s="1"/>
  <c r="AI109" i="1" a="1"/>
  <c r="AI109" i="1" s="1"/>
  <c r="AI110" i="1" a="1"/>
  <c r="AI110" i="1" s="1"/>
  <c r="AI111" i="1" a="1"/>
  <c r="AI111" i="1" s="1"/>
  <c r="AI112" i="1" a="1"/>
  <c r="AI112" i="1" s="1"/>
  <c r="AI113" i="1" a="1"/>
  <c r="AI113" i="1" s="1"/>
  <c r="AI114" i="1" a="1"/>
  <c r="AI114" i="1" s="1"/>
  <c r="AI115" i="1" a="1"/>
  <c r="AI115" i="1" s="1"/>
  <c r="AI116" i="1" a="1"/>
  <c r="AI116" i="1" s="1"/>
  <c r="AI117" i="1" a="1"/>
  <c r="AI117" i="1" s="1"/>
  <c r="AI118" i="1" a="1"/>
  <c r="AI118" i="1" s="1"/>
  <c r="AI119" i="1" a="1"/>
  <c r="AI119" i="1" s="1"/>
  <c r="AI120" i="1" a="1"/>
  <c r="AI120" i="1" s="1"/>
  <c r="AI121" i="1" a="1"/>
  <c r="AI121" i="1" s="1"/>
  <c r="AI122" i="1" a="1"/>
  <c r="AI122" i="1" s="1"/>
  <c r="AI123" i="1" a="1"/>
  <c r="AI123" i="1" s="1"/>
  <c r="AI124" i="1" a="1"/>
  <c r="AI124" i="1" s="1"/>
  <c r="J26" i="6" l="1" a="1"/>
  <c r="I3" i="6"/>
  <c r="J26" i="6" l="1"/>
  <c r="B39" i="6"/>
  <c r="B46" i="6" s="1"/>
  <c r="B37" i="6"/>
  <c r="B44" i="6" s="1"/>
  <c r="B38" i="6"/>
  <c r="B45" i="6" s="1"/>
  <c r="B36" i="6"/>
  <c r="B43" i="6" s="1"/>
  <c r="E35" i="6"/>
  <c r="E42" i="6" s="1"/>
  <c r="F35" i="6"/>
  <c r="F42" i="6" s="1"/>
  <c r="C35" i="6"/>
  <c r="C42" i="6" s="1"/>
  <c r="CH124" i="1"/>
  <c r="CH123" i="1"/>
  <c r="CH122" i="1"/>
  <c r="CH121" i="1"/>
  <c r="CH120" i="1"/>
  <c r="CH119" i="1"/>
  <c r="CH118" i="1"/>
  <c r="CH117" i="1"/>
  <c r="CH116" i="1"/>
  <c r="CH115" i="1"/>
  <c r="CH114" i="1"/>
  <c r="CH113" i="1"/>
  <c r="CH112" i="1"/>
  <c r="CH111" i="1"/>
  <c r="CH110" i="1"/>
  <c r="CH109" i="1"/>
  <c r="CH108" i="1"/>
  <c r="CH107" i="1"/>
  <c r="CH106" i="1"/>
  <c r="CH105" i="1"/>
  <c r="CH104" i="1"/>
  <c r="CH103" i="1"/>
  <c r="CH102" i="1"/>
  <c r="CH101" i="1"/>
  <c r="CH100" i="1"/>
  <c r="CH99" i="1"/>
  <c r="CH98" i="1"/>
  <c r="CH97" i="1"/>
  <c r="CH96" i="1"/>
  <c r="CH95" i="1"/>
  <c r="CH94" i="1"/>
  <c r="CH93" i="1"/>
  <c r="CH92" i="1"/>
  <c r="CH91" i="1"/>
  <c r="CH90" i="1"/>
  <c r="CH89" i="1"/>
  <c r="CH88" i="1"/>
  <c r="CH87" i="1"/>
  <c r="CH86" i="1"/>
  <c r="CH85" i="1"/>
  <c r="CH84" i="1"/>
  <c r="CH83" i="1"/>
  <c r="CH82" i="1"/>
  <c r="CH81" i="1"/>
  <c r="CH80" i="1"/>
  <c r="CH79" i="1"/>
  <c r="CH78" i="1"/>
  <c r="CH77" i="1"/>
  <c r="CH76" i="1"/>
  <c r="CH75" i="1"/>
  <c r="CH74" i="1"/>
  <c r="CH73" i="1"/>
  <c r="CH72" i="1"/>
  <c r="CH71" i="1"/>
  <c r="CH70" i="1"/>
  <c r="CH69" i="1"/>
  <c r="CH68" i="1"/>
  <c r="CH67" i="1"/>
  <c r="CH66" i="1"/>
  <c r="CH65" i="1"/>
  <c r="BP124" i="1"/>
  <c r="BP123" i="1"/>
  <c r="BP122" i="1"/>
  <c r="BP121" i="1"/>
  <c r="BP120" i="1"/>
  <c r="BP119" i="1"/>
  <c r="BP118" i="1"/>
  <c r="BP117" i="1"/>
  <c r="BP116" i="1"/>
  <c r="BP115" i="1"/>
  <c r="BP114" i="1"/>
  <c r="BP113" i="1"/>
  <c r="BP112" i="1"/>
  <c r="BP111" i="1"/>
  <c r="BP110" i="1"/>
  <c r="BP109" i="1"/>
  <c r="BP108" i="1"/>
  <c r="BP107" i="1"/>
  <c r="BP106" i="1"/>
  <c r="BP105" i="1"/>
  <c r="BP104" i="1"/>
  <c r="BP103" i="1"/>
  <c r="BP102" i="1"/>
  <c r="BP101" i="1"/>
  <c r="BP100" i="1"/>
  <c r="BP99" i="1"/>
  <c r="BP98" i="1"/>
  <c r="BP97" i="1"/>
  <c r="BP96" i="1"/>
  <c r="BP95" i="1"/>
  <c r="BP94" i="1"/>
  <c r="BP93" i="1"/>
  <c r="BP92" i="1"/>
  <c r="BP91" i="1"/>
  <c r="BP90" i="1"/>
  <c r="BP89" i="1"/>
  <c r="BP88" i="1"/>
  <c r="BP87" i="1"/>
  <c r="BP86" i="1"/>
  <c r="BP85" i="1"/>
  <c r="BP84" i="1"/>
  <c r="BP83" i="1"/>
  <c r="BP82" i="1"/>
  <c r="BP81" i="1"/>
  <c r="BP80" i="1"/>
  <c r="BP79" i="1"/>
  <c r="BP78" i="1"/>
  <c r="BP77" i="1"/>
  <c r="BP76" i="1"/>
  <c r="BP75" i="1"/>
  <c r="BP74" i="1"/>
  <c r="BP73" i="1"/>
  <c r="BP72" i="1"/>
  <c r="BP71" i="1"/>
  <c r="BP70" i="1"/>
  <c r="BP69" i="1"/>
  <c r="BP68" i="1"/>
  <c r="BP67" i="1"/>
  <c r="BP66" i="1"/>
  <c r="BP65" i="1"/>
  <c r="AX124" i="1"/>
  <c r="AX123" i="1"/>
  <c r="AX122" i="1"/>
  <c r="AX121" i="1"/>
  <c r="AX120" i="1"/>
  <c r="AX119" i="1"/>
  <c r="AX118" i="1"/>
  <c r="AX117" i="1"/>
  <c r="AX116" i="1"/>
  <c r="AX115" i="1"/>
  <c r="AX114" i="1"/>
  <c r="AX113" i="1"/>
  <c r="AX112" i="1"/>
  <c r="AX111" i="1"/>
  <c r="AX110" i="1"/>
  <c r="AX109" i="1"/>
  <c r="AX108" i="1"/>
  <c r="AX107" i="1"/>
  <c r="AX106" i="1"/>
  <c r="AX105" i="1"/>
  <c r="AX104" i="1"/>
  <c r="AX103" i="1"/>
  <c r="AX102" i="1"/>
  <c r="AX101" i="1"/>
  <c r="AX100" i="1"/>
  <c r="AX99" i="1"/>
  <c r="AX98" i="1"/>
  <c r="AX97" i="1"/>
  <c r="AX96" i="1"/>
  <c r="AX95" i="1"/>
  <c r="AX94" i="1"/>
  <c r="AX93" i="1"/>
  <c r="AX92" i="1"/>
  <c r="AX91" i="1"/>
  <c r="AX90" i="1"/>
  <c r="AX89" i="1"/>
  <c r="AX88" i="1"/>
  <c r="AX87" i="1"/>
  <c r="AX86" i="1"/>
  <c r="AX85" i="1"/>
  <c r="AX84" i="1"/>
  <c r="AX83" i="1"/>
  <c r="AX82" i="1"/>
  <c r="AX81" i="1"/>
  <c r="AX80" i="1"/>
  <c r="AX79" i="1"/>
  <c r="AX78" i="1"/>
  <c r="AX77" i="1"/>
  <c r="AX76" i="1"/>
  <c r="AX75" i="1"/>
  <c r="AX74" i="1"/>
  <c r="AX73" i="1"/>
  <c r="AX72" i="1"/>
  <c r="AX71" i="1"/>
  <c r="AX70" i="1"/>
  <c r="AX69" i="1"/>
  <c r="AX68" i="1"/>
  <c r="AX67" i="1"/>
  <c r="AX66" i="1"/>
  <c r="AX65" i="1"/>
  <c r="AF65" i="1"/>
  <c r="AF66" i="1"/>
  <c r="AF67" i="1"/>
  <c r="AF68" i="1"/>
  <c r="AF69" i="1"/>
  <c r="AF70" i="1"/>
  <c r="AF71" i="1"/>
  <c r="AF72" i="1"/>
  <c r="AF73" i="1"/>
  <c r="AF74" i="1"/>
  <c r="AF75" i="1"/>
  <c r="AF76" i="1"/>
  <c r="AF77" i="1"/>
  <c r="AF78" i="1"/>
  <c r="AF79" i="1"/>
  <c r="AF80" i="1"/>
  <c r="AF81" i="1"/>
  <c r="AF82" i="1"/>
  <c r="AF83" i="1"/>
  <c r="AF84" i="1"/>
  <c r="AF85" i="1"/>
  <c r="AF86" i="1"/>
  <c r="AF87" i="1"/>
  <c r="AF88" i="1"/>
  <c r="AF89" i="1"/>
  <c r="AF90" i="1"/>
  <c r="AF91" i="1"/>
  <c r="AF92" i="1"/>
  <c r="AF93" i="1"/>
  <c r="AF94" i="1"/>
  <c r="AF95" i="1"/>
  <c r="AF96" i="1"/>
  <c r="AF97" i="1"/>
  <c r="AF98" i="1"/>
  <c r="AF99" i="1"/>
  <c r="AF100" i="1"/>
  <c r="AF101" i="1"/>
  <c r="AF102" i="1"/>
  <c r="AF103" i="1"/>
  <c r="AF104" i="1"/>
  <c r="AF105" i="1"/>
  <c r="AF106" i="1"/>
  <c r="AF107" i="1"/>
  <c r="AF108" i="1"/>
  <c r="AF109" i="1"/>
  <c r="AF110" i="1"/>
  <c r="AF111" i="1"/>
  <c r="AF112" i="1"/>
  <c r="AF113" i="1"/>
  <c r="AF114" i="1"/>
  <c r="AF115" i="1"/>
  <c r="AF116" i="1"/>
  <c r="AF117" i="1"/>
  <c r="AF118" i="1"/>
  <c r="AF119" i="1"/>
  <c r="AF120" i="1"/>
  <c r="AF121" i="1"/>
  <c r="AF122" i="1"/>
  <c r="AF123" i="1"/>
  <c r="AF124" i="1"/>
  <c r="AA2" i="1"/>
  <c r="AG65" i="1"/>
  <c r="AG66" i="1"/>
  <c r="AG67" i="1"/>
  <c r="AG68" i="1"/>
  <c r="AG69" i="1"/>
  <c r="AG70" i="1"/>
  <c r="AG71" i="1"/>
  <c r="AG72" i="1"/>
  <c r="AG73" i="1"/>
  <c r="AG74" i="1"/>
  <c r="AG75" i="1"/>
  <c r="AG76" i="1"/>
  <c r="AG77" i="1"/>
  <c r="AG78" i="1"/>
  <c r="AG79" i="1"/>
  <c r="AG80" i="1"/>
  <c r="AG81" i="1"/>
  <c r="AG82" i="1"/>
  <c r="AG83" i="1"/>
  <c r="AG84" i="1"/>
  <c r="AG85" i="1"/>
  <c r="AG86" i="1"/>
  <c r="AG87" i="1"/>
  <c r="AG88" i="1"/>
  <c r="AG89" i="1"/>
  <c r="AG90" i="1"/>
  <c r="AG91" i="1"/>
  <c r="AG92" i="1"/>
  <c r="AG93" i="1"/>
  <c r="AG94" i="1"/>
  <c r="AG95" i="1"/>
  <c r="AG96" i="1"/>
  <c r="AG97" i="1"/>
  <c r="AG98" i="1"/>
  <c r="AG99" i="1"/>
  <c r="AG100" i="1"/>
  <c r="AG101" i="1"/>
  <c r="AG102" i="1"/>
  <c r="AG103" i="1"/>
  <c r="AG104" i="1"/>
  <c r="AG105" i="1"/>
  <c r="AG106" i="1"/>
  <c r="AG107" i="1"/>
  <c r="AG108" i="1"/>
  <c r="AG109" i="1"/>
  <c r="AG110" i="1"/>
  <c r="AG111" i="1"/>
  <c r="AG112" i="1"/>
  <c r="AG113" i="1"/>
  <c r="AG114" i="1"/>
  <c r="AG115" i="1"/>
  <c r="AG116" i="1"/>
  <c r="AG117" i="1"/>
  <c r="AG118" i="1"/>
  <c r="AG119" i="1"/>
  <c r="AG120" i="1"/>
  <c r="AG121" i="1"/>
  <c r="AG122" i="1"/>
  <c r="AG123" i="1"/>
  <c r="AG124" i="1"/>
  <c r="CC2" i="1"/>
  <c r="BK2" i="1"/>
  <c r="AS2" i="1"/>
  <c r="CR124" i="1"/>
  <c r="CO124" i="1"/>
  <c r="CJ124" i="1" a="1"/>
  <c r="CJ124" i="1" s="1"/>
  <c r="CI124" i="1"/>
  <c r="CF124" i="1"/>
  <c r="CR123" i="1"/>
  <c r="CO123" i="1"/>
  <c r="CJ123" i="1" a="1"/>
  <c r="CJ123" i="1" s="1"/>
  <c r="CI123" i="1"/>
  <c r="CF123" i="1"/>
  <c r="CR122" i="1"/>
  <c r="CO122" i="1"/>
  <c r="CJ122" i="1" a="1"/>
  <c r="CJ122" i="1" s="1"/>
  <c r="CI122" i="1"/>
  <c r="CF122" i="1"/>
  <c r="CR121" i="1"/>
  <c r="CO121" i="1"/>
  <c r="CJ121" i="1" a="1"/>
  <c r="CJ121" i="1" s="1"/>
  <c r="CI121" i="1"/>
  <c r="CF121" i="1"/>
  <c r="CR120" i="1"/>
  <c r="CO120" i="1"/>
  <c r="CJ120" i="1" a="1"/>
  <c r="CJ120" i="1" s="1"/>
  <c r="CI120" i="1"/>
  <c r="CF120" i="1"/>
  <c r="CR119" i="1"/>
  <c r="CO119" i="1"/>
  <c r="CJ119" i="1" a="1"/>
  <c r="CJ119" i="1" s="1"/>
  <c r="CI119" i="1"/>
  <c r="CF119" i="1"/>
  <c r="CR118" i="1"/>
  <c r="CO118" i="1"/>
  <c r="CJ118" i="1" a="1"/>
  <c r="CJ118" i="1" s="1"/>
  <c r="CI118" i="1"/>
  <c r="CF118" i="1"/>
  <c r="CR117" i="1"/>
  <c r="CO117" i="1"/>
  <c r="CJ117" i="1" a="1"/>
  <c r="CJ117" i="1" s="1"/>
  <c r="CI117" i="1"/>
  <c r="CF117" i="1"/>
  <c r="CR116" i="1"/>
  <c r="CO116" i="1"/>
  <c r="CJ116" i="1" a="1"/>
  <c r="CJ116" i="1" s="1"/>
  <c r="CI116" i="1"/>
  <c r="CF116" i="1"/>
  <c r="CR115" i="1"/>
  <c r="CO115" i="1"/>
  <c r="CJ115" i="1" a="1"/>
  <c r="CJ115" i="1" s="1"/>
  <c r="CI115" i="1"/>
  <c r="CF115" i="1"/>
  <c r="CR114" i="1"/>
  <c r="CO114" i="1"/>
  <c r="CJ114" i="1" a="1"/>
  <c r="CJ114" i="1" s="1"/>
  <c r="CI114" i="1"/>
  <c r="CF114" i="1"/>
  <c r="CR113" i="1"/>
  <c r="CO113" i="1"/>
  <c r="CJ113" i="1" a="1"/>
  <c r="CJ113" i="1" s="1"/>
  <c r="CI113" i="1"/>
  <c r="CF113" i="1"/>
  <c r="CR112" i="1"/>
  <c r="CO112" i="1"/>
  <c r="CJ112" i="1" a="1"/>
  <c r="CJ112" i="1" s="1"/>
  <c r="CI112" i="1"/>
  <c r="CF112" i="1"/>
  <c r="CR111" i="1"/>
  <c r="CO111" i="1"/>
  <c r="CJ111" i="1" a="1"/>
  <c r="CJ111" i="1" s="1"/>
  <c r="CI111" i="1"/>
  <c r="CF111" i="1"/>
  <c r="CR110" i="1"/>
  <c r="CO110" i="1"/>
  <c r="CJ110" i="1" a="1"/>
  <c r="CJ110" i="1" s="1"/>
  <c r="CI110" i="1"/>
  <c r="CF110" i="1"/>
  <c r="CR109" i="1"/>
  <c r="CO109" i="1"/>
  <c r="CJ109" i="1" a="1"/>
  <c r="CJ109" i="1" s="1"/>
  <c r="CI109" i="1"/>
  <c r="CF109" i="1"/>
  <c r="CR108" i="1"/>
  <c r="CO108" i="1"/>
  <c r="CJ108" i="1" a="1"/>
  <c r="CJ108" i="1" s="1"/>
  <c r="CI108" i="1"/>
  <c r="CF108" i="1"/>
  <c r="CR107" i="1"/>
  <c r="CO107" i="1"/>
  <c r="CJ107" i="1" a="1"/>
  <c r="CJ107" i="1" s="1"/>
  <c r="CI107" i="1"/>
  <c r="CF107" i="1"/>
  <c r="CR106" i="1"/>
  <c r="CO106" i="1"/>
  <c r="CJ106" i="1" a="1"/>
  <c r="CJ106" i="1" s="1"/>
  <c r="CI106" i="1"/>
  <c r="CF106" i="1"/>
  <c r="CR105" i="1"/>
  <c r="CO105" i="1"/>
  <c r="CJ105" i="1" a="1"/>
  <c r="CJ105" i="1" s="1"/>
  <c r="CI105" i="1"/>
  <c r="CF105" i="1"/>
  <c r="CR104" i="1"/>
  <c r="CO104" i="1"/>
  <c r="CJ104" i="1" a="1"/>
  <c r="CJ104" i="1" s="1"/>
  <c r="CI104" i="1"/>
  <c r="CF104" i="1"/>
  <c r="CR103" i="1"/>
  <c r="CO103" i="1"/>
  <c r="CJ103" i="1" a="1"/>
  <c r="CJ103" i="1" s="1"/>
  <c r="CI103" i="1"/>
  <c r="CF103" i="1"/>
  <c r="CR102" i="1"/>
  <c r="CO102" i="1"/>
  <c r="CJ102" i="1" a="1"/>
  <c r="CJ102" i="1" s="1"/>
  <c r="CI102" i="1"/>
  <c r="CF102" i="1"/>
  <c r="CR101" i="1"/>
  <c r="CO101" i="1"/>
  <c r="CJ101" i="1" a="1"/>
  <c r="CJ101" i="1" s="1"/>
  <c r="CI101" i="1"/>
  <c r="CF101" i="1"/>
  <c r="CR100" i="1"/>
  <c r="CO100" i="1"/>
  <c r="CJ100" i="1" a="1"/>
  <c r="CJ100" i="1" s="1"/>
  <c r="CI100" i="1"/>
  <c r="CF100" i="1"/>
  <c r="CR99" i="1"/>
  <c r="CO99" i="1"/>
  <c r="CJ99" i="1" a="1"/>
  <c r="CJ99" i="1" s="1"/>
  <c r="CI99" i="1"/>
  <c r="CF99" i="1"/>
  <c r="CR98" i="1"/>
  <c r="CO98" i="1"/>
  <c r="CJ98" i="1" a="1"/>
  <c r="CJ98" i="1" s="1"/>
  <c r="CI98" i="1"/>
  <c r="CF98" i="1"/>
  <c r="CR97" i="1"/>
  <c r="CO97" i="1"/>
  <c r="CJ97" i="1" a="1"/>
  <c r="CJ97" i="1" s="1"/>
  <c r="CI97" i="1"/>
  <c r="CF97" i="1"/>
  <c r="CR96" i="1"/>
  <c r="CO96" i="1"/>
  <c r="CJ96" i="1" a="1"/>
  <c r="CJ96" i="1" s="1"/>
  <c r="CI96" i="1"/>
  <c r="CF96" i="1"/>
  <c r="CR95" i="1"/>
  <c r="CO95" i="1"/>
  <c r="CJ95" i="1" a="1"/>
  <c r="CJ95" i="1" s="1"/>
  <c r="CI95" i="1"/>
  <c r="CF95" i="1"/>
  <c r="CR94" i="1"/>
  <c r="CO94" i="1"/>
  <c r="CJ94" i="1" a="1"/>
  <c r="CJ94" i="1" s="1"/>
  <c r="CI94" i="1"/>
  <c r="CF94" i="1"/>
  <c r="CR93" i="1"/>
  <c r="CO93" i="1"/>
  <c r="CJ93" i="1" a="1"/>
  <c r="CJ93" i="1" s="1"/>
  <c r="CI93" i="1"/>
  <c r="CF93" i="1"/>
  <c r="CR92" i="1"/>
  <c r="CO92" i="1"/>
  <c r="CJ92" i="1" a="1"/>
  <c r="CJ92" i="1" s="1"/>
  <c r="CI92" i="1"/>
  <c r="CF92" i="1"/>
  <c r="CR91" i="1"/>
  <c r="CO91" i="1"/>
  <c r="CJ91" i="1" a="1"/>
  <c r="CJ91" i="1" s="1"/>
  <c r="CI91" i="1"/>
  <c r="CF91" i="1"/>
  <c r="CR90" i="1"/>
  <c r="CO90" i="1"/>
  <c r="CJ90" i="1" a="1"/>
  <c r="CJ90" i="1" s="1"/>
  <c r="CI90" i="1"/>
  <c r="CF90" i="1"/>
  <c r="CR89" i="1"/>
  <c r="CO89" i="1"/>
  <c r="CJ89" i="1" a="1"/>
  <c r="CJ89" i="1" s="1"/>
  <c r="CI89" i="1"/>
  <c r="CF89" i="1"/>
  <c r="CR88" i="1"/>
  <c r="CO88" i="1"/>
  <c r="CJ88" i="1" a="1"/>
  <c r="CJ88" i="1" s="1"/>
  <c r="CI88" i="1"/>
  <c r="CF88" i="1"/>
  <c r="CR87" i="1"/>
  <c r="CO87" i="1"/>
  <c r="CJ87" i="1" a="1"/>
  <c r="CJ87" i="1" s="1"/>
  <c r="CI87" i="1"/>
  <c r="CF87" i="1"/>
  <c r="CR86" i="1"/>
  <c r="CO86" i="1"/>
  <c r="CJ86" i="1" a="1"/>
  <c r="CJ86" i="1" s="1"/>
  <c r="CI86" i="1"/>
  <c r="CF86" i="1"/>
  <c r="CR85" i="1"/>
  <c r="CO85" i="1"/>
  <c r="CJ85" i="1" a="1"/>
  <c r="CJ85" i="1" s="1"/>
  <c r="CI85" i="1"/>
  <c r="CF85" i="1"/>
  <c r="CR84" i="1"/>
  <c r="CO84" i="1"/>
  <c r="CJ84" i="1" a="1"/>
  <c r="CJ84" i="1" s="1"/>
  <c r="CI84" i="1"/>
  <c r="CF84" i="1"/>
  <c r="CR83" i="1"/>
  <c r="CO83" i="1"/>
  <c r="CJ83" i="1" a="1"/>
  <c r="CJ83" i="1" s="1"/>
  <c r="CI83" i="1"/>
  <c r="CF83" i="1"/>
  <c r="CR82" i="1"/>
  <c r="CO82" i="1"/>
  <c r="CJ82" i="1" a="1"/>
  <c r="CJ82" i="1" s="1"/>
  <c r="CI82" i="1"/>
  <c r="CF82" i="1"/>
  <c r="CR81" i="1"/>
  <c r="CO81" i="1"/>
  <c r="CJ81" i="1" a="1"/>
  <c r="CJ81" i="1" s="1"/>
  <c r="CI81" i="1"/>
  <c r="CF81" i="1"/>
  <c r="CR80" i="1"/>
  <c r="CO80" i="1"/>
  <c r="CJ80" i="1" a="1"/>
  <c r="CJ80" i="1" s="1"/>
  <c r="CI80" i="1"/>
  <c r="CF80" i="1"/>
  <c r="CR79" i="1"/>
  <c r="CO79" i="1"/>
  <c r="CJ79" i="1" a="1"/>
  <c r="CJ79" i="1" s="1"/>
  <c r="CI79" i="1"/>
  <c r="CF79" i="1"/>
  <c r="CR78" i="1"/>
  <c r="CO78" i="1"/>
  <c r="CJ78" i="1" a="1"/>
  <c r="CJ78" i="1" s="1"/>
  <c r="CI78" i="1"/>
  <c r="CF78" i="1"/>
  <c r="CR77" i="1"/>
  <c r="CO77" i="1"/>
  <c r="CJ77" i="1" a="1"/>
  <c r="CJ77" i="1" s="1"/>
  <c r="CI77" i="1"/>
  <c r="CF77" i="1"/>
  <c r="CR76" i="1"/>
  <c r="CO76" i="1"/>
  <c r="CJ76" i="1" a="1"/>
  <c r="CJ76" i="1" s="1"/>
  <c r="CI76" i="1"/>
  <c r="CF76" i="1"/>
  <c r="CR75" i="1"/>
  <c r="CO75" i="1"/>
  <c r="CJ75" i="1" a="1"/>
  <c r="CJ75" i="1" s="1"/>
  <c r="CI75" i="1"/>
  <c r="CF75" i="1"/>
  <c r="CR74" i="1"/>
  <c r="CO74" i="1"/>
  <c r="CJ74" i="1" a="1"/>
  <c r="CJ74" i="1" s="1"/>
  <c r="CI74" i="1"/>
  <c r="CF74" i="1"/>
  <c r="CR73" i="1"/>
  <c r="CO73" i="1"/>
  <c r="CJ73" i="1" a="1"/>
  <c r="CJ73" i="1" s="1"/>
  <c r="CI73" i="1"/>
  <c r="CF73" i="1"/>
  <c r="CR72" i="1"/>
  <c r="CO72" i="1"/>
  <c r="CJ72" i="1" a="1"/>
  <c r="CJ72" i="1" s="1"/>
  <c r="CI72" i="1"/>
  <c r="CF72" i="1"/>
  <c r="CR71" i="1"/>
  <c r="CO71" i="1"/>
  <c r="CJ71" i="1" a="1"/>
  <c r="CJ71" i="1" s="1"/>
  <c r="CI71" i="1"/>
  <c r="CF71" i="1"/>
  <c r="CR70" i="1"/>
  <c r="CO70" i="1"/>
  <c r="CJ70" i="1" a="1"/>
  <c r="CJ70" i="1" s="1"/>
  <c r="CI70" i="1"/>
  <c r="CF70" i="1"/>
  <c r="CR69" i="1"/>
  <c r="CO69" i="1"/>
  <c r="CJ69" i="1" a="1"/>
  <c r="CJ69" i="1" s="1"/>
  <c r="CI69" i="1"/>
  <c r="CF69" i="1"/>
  <c r="CR68" i="1"/>
  <c r="CO68" i="1"/>
  <c r="CJ68" i="1" a="1"/>
  <c r="CJ68" i="1" s="1"/>
  <c r="CI68" i="1"/>
  <c r="CF68" i="1"/>
  <c r="CR67" i="1"/>
  <c r="CO67" i="1"/>
  <c r="CJ67" i="1" a="1"/>
  <c r="CJ67" i="1" s="1"/>
  <c r="CI67" i="1"/>
  <c r="CF67" i="1"/>
  <c r="CR66" i="1"/>
  <c r="CO66" i="1"/>
  <c r="CJ66" i="1" a="1"/>
  <c r="CJ66" i="1" s="1"/>
  <c r="CI66" i="1"/>
  <c r="CF66" i="1"/>
  <c r="CR65" i="1"/>
  <c r="CO65" i="1"/>
  <c r="CJ65" i="1" a="1"/>
  <c r="CJ65" i="1" s="1"/>
  <c r="CI65" i="1"/>
  <c r="CF65" i="1"/>
  <c r="CE4" i="1"/>
  <c r="CD5" i="1" s="1"/>
  <c r="CE5" i="1" s="1"/>
  <c r="CD6" i="1" s="1"/>
  <c r="CE6" i="1" s="1"/>
  <c r="CD7" i="1" s="1"/>
  <c r="CE7" i="1" s="1"/>
  <c r="CD8" i="1" s="1"/>
  <c r="CE8" i="1" s="1"/>
  <c r="CD9" i="1" s="1"/>
  <c r="CE9" i="1" s="1"/>
  <c r="CD10" i="1" s="1"/>
  <c r="CE10" i="1" s="1"/>
  <c r="CD11" i="1" s="1"/>
  <c r="CE11" i="1" s="1"/>
  <c r="CD12" i="1" s="1"/>
  <c r="CE12" i="1" s="1"/>
  <c r="CD13" i="1" s="1"/>
  <c r="CE13" i="1" s="1"/>
  <c r="CD14" i="1" s="1"/>
  <c r="CE14" i="1" s="1"/>
  <c r="CD15" i="1" s="1"/>
  <c r="CE15" i="1" s="1"/>
  <c r="CD16" i="1" s="1"/>
  <c r="CE16" i="1" s="1"/>
  <c r="CD17" i="1" s="1"/>
  <c r="CE17" i="1" s="1"/>
  <c r="CD18" i="1" s="1"/>
  <c r="CE18" i="1" s="1"/>
  <c r="CD19" i="1" s="1"/>
  <c r="CE19" i="1" s="1"/>
  <c r="CD20" i="1" s="1"/>
  <c r="CE20" i="1" s="1"/>
  <c r="CD21" i="1" s="1"/>
  <c r="CE21" i="1" s="1"/>
  <c r="CD22" i="1" s="1"/>
  <c r="CE22" i="1" s="1"/>
  <c r="CD23" i="1" s="1"/>
  <c r="CE23" i="1" s="1"/>
  <c r="CD24" i="1" s="1"/>
  <c r="CE24" i="1" s="1"/>
  <c r="CD25" i="1" s="1"/>
  <c r="CE25" i="1" s="1"/>
  <c r="CD26" i="1" s="1"/>
  <c r="CE26" i="1" s="1"/>
  <c r="CD27" i="1" s="1"/>
  <c r="CE27" i="1" s="1"/>
  <c r="CD28" i="1" s="1"/>
  <c r="CE28" i="1" s="1"/>
  <c r="CD29" i="1" s="1"/>
  <c r="CE29" i="1" s="1"/>
  <c r="CD30" i="1" s="1"/>
  <c r="CE30" i="1" s="1"/>
  <c r="CD31" i="1" s="1"/>
  <c r="CE31" i="1" s="1"/>
  <c r="CD32" i="1" s="1"/>
  <c r="CE32" i="1" s="1"/>
  <c r="CD33" i="1" s="1"/>
  <c r="CE33" i="1" s="1"/>
  <c r="CD34" i="1" s="1"/>
  <c r="CE34" i="1" s="1"/>
  <c r="CD35" i="1" s="1"/>
  <c r="CE35" i="1" s="1"/>
  <c r="CD36" i="1" s="1"/>
  <c r="CE36" i="1" s="1"/>
  <c r="CD37" i="1" s="1"/>
  <c r="CE37" i="1" s="1"/>
  <c r="CD38" i="1" s="1"/>
  <c r="CE38" i="1" s="1"/>
  <c r="CD39" i="1" s="1"/>
  <c r="CE39" i="1" s="1"/>
  <c r="CD40" i="1" s="1"/>
  <c r="CE40" i="1" s="1"/>
  <c r="CD41" i="1" s="1"/>
  <c r="CE41" i="1" s="1"/>
  <c r="CD42" i="1" s="1"/>
  <c r="CE42" i="1" s="1"/>
  <c r="CD43" i="1" s="1"/>
  <c r="CE43" i="1" s="1"/>
  <c r="CD44" i="1" s="1"/>
  <c r="CE44" i="1" s="1"/>
  <c r="CD45" i="1" s="1"/>
  <c r="CE45" i="1" s="1"/>
  <c r="CD46" i="1" s="1"/>
  <c r="CE46" i="1" s="1"/>
  <c r="CD47" i="1" s="1"/>
  <c r="CE47" i="1" s="1"/>
  <c r="CD48" i="1" s="1"/>
  <c r="CE48" i="1" s="1"/>
  <c r="CD49" i="1" s="1"/>
  <c r="CE49" i="1" s="1"/>
  <c r="CD50" i="1" s="1"/>
  <c r="CE50" i="1" s="1"/>
  <c r="CD51" i="1" s="1"/>
  <c r="CE51" i="1" s="1"/>
  <c r="CD52" i="1" s="1"/>
  <c r="CE52" i="1" s="1"/>
  <c r="CD53" i="1" s="1"/>
  <c r="CE53" i="1" s="1"/>
  <c r="CD54" i="1" s="1"/>
  <c r="CE54" i="1" s="1"/>
  <c r="CD55" i="1" s="1"/>
  <c r="CE55" i="1" s="1"/>
  <c r="CD56" i="1" s="1"/>
  <c r="CE56" i="1" s="1"/>
  <c r="CD57" i="1" s="1"/>
  <c r="CE57" i="1" s="1"/>
  <c r="CD58" i="1" s="1"/>
  <c r="CE58" i="1" s="1"/>
  <c r="CD59" i="1" s="1"/>
  <c r="CE59" i="1" s="1"/>
  <c r="CD60" i="1" s="1"/>
  <c r="CE60" i="1" s="1"/>
  <c r="CD61" i="1" s="1"/>
  <c r="CE61" i="1" s="1"/>
  <c r="CD62" i="1" s="1"/>
  <c r="CE62" i="1" s="1"/>
  <c r="CD63" i="1" s="1"/>
  <c r="CE63" i="1" s="1"/>
  <c r="CD64" i="1" s="1"/>
  <c r="CD4" i="1"/>
  <c r="CN3" i="1"/>
  <c r="BZ124" i="1"/>
  <c r="BW124" i="1"/>
  <c r="BR124" i="1" a="1"/>
  <c r="BR124" i="1" s="1"/>
  <c r="BQ124" i="1"/>
  <c r="BN124" i="1"/>
  <c r="BZ123" i="1"/>
  <c r="BW123" i="1"/>
  <c r="BR123" i="1" a="1"/>
  <c r="BR123" i="1" s="1"/>
  <c r="BQ123" i="1"/>
  <c r="BN123" i="1"/>
  <c r="BZ122" i="1"/>
  <c r="BW122" i="1"/>
  <c r="BR122" i="1" a="1"/>
  <c r="BR122" i="1" s="1"/>
  <c r="BQ122" i="1"/>
  <c r="BN122" i="1"/>
  <c r="BZ121" i="1"/>
  <c r="BW121" i="1"/>
  <c r="BR121" i="1" a="1"/>
  <c r="BR121" i="1" s="1"/>
  <c r="BQ121" i="1"/>
  <c r="BN121" i="1"/>
  <c r="BZ120" i="1"/>
  <c r="BW120" i="1"/>
  <c r="BR120" i="1" a="1"/>
  <c r="BR120" i="1" s="1"/>
  <c r="BQ120" i="1"/>
  <c r="BN120" i="1"/>
  <c r="BZ119" i="1"/>
  <c r="BW119" i="1"/>
  <c r="BR119" i="1" a="1"/>
  <c r="BR119" i="1" s="1"/>
  <c r="BQ119" i="1"/>
  <c r="BN119" i="1"/>
  <c r="BZ118" i="1"/>
  <c r="BW118" i="1"/>
  <c r="BR118" i="1" a="1"/>
  <c r="BR118" i="1" s="1"/>
  <c r="BQ118" i="1"/>
  <c r="BN118" i="1"/>
  <c r="BZ117" i="1"/>
  <c r="BW117" i="1"/>
  <c r="BR117" i="1" a="1"/>
  <c r="BR117" i="1" s="1"/>
  <c r="BQ117" i="1"/>
  <c r="BN117" i="1"/>
  <c r="BZ116" i="1"/>
  <c r="BW116" i="1"/>
  <c r="BR116" i="1" a="1"/>
  <c r="BR116" i="1" s="1"/>
  <c r="BQ116" i="1"/>
  <c r="BN116" i="1"/>
  <c r="BZ115" i="1"/>
  <c r="BW115" i="1"/>
  <c r="BR115" i="1" a="1"/>
  <c r="BR115" i="1" s="1"/>
  <c r="BQ115" i="1"/>
  <c r="BN115" i="1"/>
  <c r="BZ114" i="1"/>
  <c r="BW114" i="1"/>
  <c r="BR114" i="1" a="1"/>
  <c r="BR114" i="1" s="1"/>
  <c r="BQ114" i="1"/>
  <c r="BN114" i="1"/>
  <c r="BZ113" i="1"/>
  <c r="BW113" i="1"/>
  <c r="BR113" i="1" a="1"/>
  <c r="BR113" i="1" s="1"/>
  <c r="BQ113" i="1"/>
  <c r="BN113" i="1"/>
  <c r="BZ112" i="1"/>
  <c r="BW112" i="1"/>
  <c r="BR112" i="1" a="1"/>
  <c r="BR112" i="1" s="1"/>
  <c r="BQ112" i="1"/>
  <c r="BN112" i="1"/>
  <c r="BZ111" i="1"/>
  <c r="BW111" i="1"/>
  <c r="BR111" i="1" a="1"/>
  <c r="BR111" i="1" s="1"/>
  <c r="BQ111" i="1"/>
  <c r="BN111" i="1"/>
  <c r="BZ110" i="1"/>
  <c r="BW110" i="1"/>
  <c r="BR110" i="1" a="1"/>
  <c r="BR110" i="1" s="1"/>
  <c r="BQ110" i="1"/>
  <c r="BN110" i="1"/>
  <c r="BZ109" i="1"/>
  <c r="BW109" i="1"/>
  <c r="BR109" i="1" a="1"/>
  <c r="BR109" i="1" s="1"/>
  <c r="BQ109" i="1"/>
  <c r="BN109" i="1"/>
  <c r="BZ108" i="1"/>
  <c r="BW108" i="1"/>
  <c r="BR108" i="1" a="1"/>
  <c r="BR108" i="1" s="1"/>
  <c r="BQ108" i="1"/>
  <c r="BN108" i="1"/>
  <c r="BZ107" i="1"/>
  <c r="BW107" i="1"/>
  <c r="BR107" i="1" a="1"/>
  <c r="BR107" i="1" s="1"/>
  <c r="BQ107" i="1"/>
  <c r="BN107" i="1"/>
  <c r="BZ106" i="1"/>
  <c r="BW106" i="1"/>
  <c r="BR106" i="1" a="1"/>
  <c r="BR106" i="1" s="1"/>
  <c r="BQ106" i="1"/>
  <c r="BN106" i="1"/>
  <c r="BZ105" i="1"/>
  <c r="BW105" i="1"/>
  <c r="BR105" i="1" a="1"/>
  <c r="BR105" i="1" s="1"/>
  <c r="BQ105" i="1"/>
  <c r="BN105" i="1"/>
  <c r="BZ104" i="1"/>
  <c r="BW104" i="1"/>
  <c r="BR104" i="1" a="1"/>
  <c r="BR104" i="1" s="1"/>
  <c r="BQ104" i="1"/>
  <c r="BN104" i="1"/>
  <c r="BZ103" i="1"/>
  <c r="BW103" i="1"/>
  <c r="BR103" i="1" a="1"/>
  <c r="BR103" i="1" s="1"/>
  <c r="BQ103" i="1"/>
  <c r="BN103" i="1"/>
  <c r="BZ102" i="1"/>
  <c r="BW102" i="1"/>
  <c r="BR102" i="1" a="1"/>
  <c r="BR102" i="1" s="1"/>
  <c r="BQ102" i="1"/>
  <c r="BN102" i="1"/>
  <c r="BZ101" i="1"/>
  <c r="BW101" i="1"/>
  <c r="BR101" i="1" a="1"/>
  <c r="BR101" i="1" s="1"/>
  <c r="BQ101" i="1"/>
  <c r="BN101" i="1"/>
  <c r="BZ100" i="1"/>
  <c r="BW100" i="1"/>
  <c r="BR100" i="1" a="1"/>
  <c r="BR100" i="1" s="1"/>
  <c r="BQ100" i="1"/>
  <c r="BN100" i="1"/>
  <c r="BZ99" i="1"/>
  <c r="BW99" i="1"/>
  <c r="BR99" i="1" a="1"/>
  <c r="BR99" i="1" s="1"/>
  <c r="BQ99" i="1"/>
  <c r="BN99" i="1"/>
  <c r="BZ98" i="1"/>
  <c r="BW98" i="1"/>
  <c r="BR98" i="1" a="1"/>
  <c r="BR98" i="1" s="1"/>
  <c r="BQ98" i="1"/>
  <c r="BN98" i="1"/>
  <c r="BZ97" i="1"/>
  <c r="BW97" i="1"/>
  <c r="BR97" i="1" a="1"/>
  <c r="BR97" i="1" s="1"/>
  <c r="BQ97" i="1"/>
  <c r="BN97" i="1"/>
  <c r="BZ96" i="1"/>
  <c r="BW96" i="1"/>
  <c r="BR96" i="1" a="1"/>
  <c r="BR96" i="1" s="1"/>
  <c r="BQ96" i="1"/>
  <c r="BN96" i="1"/>
  <c r="BZ95" i="1"/>
  <c r="BW95" i="1"/>
  <c r="BR95" i="1" a="1"/>
  <c r="BR95" i="1" s="1"/>
  <c r="BQ95" i="1"/>
  <c r="BN95" i="1"/>
  <c r="BZ94" i="1"/>
  <c r="BW94" i="1"/>
  <c r="BR94" i="1" a="1"/>
  <c r="BR94" i="1" s="1"/>
  <c r="BQ94" i="1"/>
  <c r="BN94" i="1"/>
  <c r="BZ93" i="1"/>
  <c r="BW93" i="1"/>
  <c r="BR93" i="1" a="1"/>
  <c r="BR93" i="1" s="1"/>
  <c r="BQ93" i="1"/>
  <c r="BN93" i="1"/>
  <c r="BZ92" i="1"/>
  <c r="BW92" i="1"/>
  <c r="BR92" i="1" a="1"/>
  <c r="BR92" i="1" s="1"/>
  <c r="BQ92" i="1"/>
  <c r="BN92" i="1"/>
  <c r="BZ91" i="1"/>
  <c r="BW91" i="1"/>
  <c r="BR91" i="1" a="1"/>
  <c r="BR91" i="1" s="1"/>
  <c r="BQ91" i="1"/>
  <c r="BN91" i="1"/>
  <c r="BZ90" i="1"/>
  <c r="BW90" i="1"/>
  <c r="BR90" i="1" a="1"/>
  <c r="BR90" i="1" s="1"/>
  <c r="BQ90" i="1"/>
  <c r="BN90" i="1"/>
  <c r="BZ89" i="1"/>
  <c r="BW89" i="1"/>
  <c r="BR89" i="1" a="1"/>
  <c r="BR89" i="1" s="1"/>
  <c r="BQ89" i="1"/>
  <c r="BN89" i="1"/>
  <c r="BZ88" i="1"/>
  <c r="BW88" i="1"/>
  <c r="BR88" i="1" a="1"/>
  <c r="BR88" i="1" s="1"/>
  <c r="BQ88" i="1"/>
  <c r="BN88" i="1"/>
  <c r="BZ87" i="1"/>
  <c r="BW87" i="1"/>
  <c r="BR87" i="1" a="1"/>
  <c r="BR87" i="1" s="1"/>
  <c r="BQ87" i="1"/>
  <c r="BN87" i="1"/>
  <c r="BZ86" i="1"/>
  <c r="BW86" i="1"/>
  <c r="BR86" i="1" a="1"/>
  <c r="BR86" i="1" s="1"/>
  <c r="BQ86" i="1"/>
  <c r="BN86" i="1"/>
  <c r="BZ85" i="1"/>
  <c r="BW85" i="1"/>
  <c r="BR85" i="1" a="1"/>
  <c r="BR85" i="1" s="1"/>
  <c r="BQ85" i="1"/>
  <c r="BN85" i="1"/>
  <c r="BZ84" i="1"/>
  <c r="BW84" i="1"/>
  <c r="BR84" i="1" a="1"/>
  <c r="BR84" i="1" s="1"/>
  <c r="BQ84" i="1"/>
  <c r="BN84" i="1"/>
  <c r="BZ83" i="1"/>
  <c r="BW83" i="1"/>
  <c r="BR83" i="1" a="1"/>
  <c r="BR83" i="1" s="1"/>
  <c r="BQ83" i="1"/>
  <c r="BN83" i="1"/>
  <c r="BZ82" i="1"/>
  <c r="BW82" i="1"/>
  <c r="BR82" i="1" a="1"/>
  <c r="BR82" i="1" s="1"/>
  <c r="BQ82" i="1"/>
  <c r="BN82" i="1"/>
  <c r="BZ81" i="1"/>
  <c r="BW81" i="1"/>
  <c r="BR81" i="1" a="1"/>
  <c r="BR81" i="1" s="1"/>
  <c r="BQ81" i="1"/>
  <c r="BN81" i="1"/>
  <c r="BZ80" i="1"/>
  <c r="BW80" i="1"/>
  <c r="BR80" i="1" a="1"/>
  <c r="BR80" i="1" s="1"/>
  <c r="BQ80" i="1"/>
  <c r="BN80" i="1"/>
  <c r="BZ79" i="1"/>
  <c r="BW79" i="1"/>
  <c r="BR79" i="1" a="1"/>
  <c r="BR79" i="1" s="1"/>
  <c r="BQ79" i="1"/>
  <c r="BN79" i="1"/>
  <c r="BZ78" i="1"/>
  <c r="BW78" i="1"/>
  <c r="BR78" i="1" a="1"/>
  <c r="BR78" i="1" s="1"/>
  <c r="BQ78" i="1"/>
  <c r="BN78" i="1"/>
  <c r="BZ77" i="1"/>
  <c r="BW77" i="1"/>
  <c r="BR77" i="1" a="1"/>
  <c r="BR77" i="1" s="1"/>
  <c r="BQ77" i="1"/>
  <c r="BN77" i="1"/>
  <c r="BZ76" i="1"/>
  <c r="BW76" i="1"/>
  <c r="BR76" i="1" a="1"/>
  <c r="BR76" i="1" s="1"/>
  <c r="BQ76" i="1"/>
  <c r="BN76" i="1"/>
  <c r="BZ75" i="1"/>
  <c r="BW75" i="1"/>
  <c r="BR75" i="1" a="1"/>
  <c r="BR75" i="1" s="1"/>
  <c r="BQ75" i="1"/>
  <c r="BN75" i="1"/>
  <c r="BZ74" i="1"/>
  <c r="BW74" i="1"/>
  <c r="BR74" i="1" a="1"/>
  <c r="BR74" i="1" s="1"/>
  <c r="BQ74" i="1"/>
  <c r="BN74" i="1"/>
  <c r="BZ73" i="1"/>
  <c r="BW73" i="1"/>
  <c r="BR73" i="1" a="1"/>
  <c r="BR73" i="1" s="1"/>
  <c r="BQ73" i="1"/>
  <c r="BN73" i="1"/>
  <c r="BZ72" i="1"/>
  <c r="BW72" i="1"/>
  <c r="BR72" i="1" a="1"/>
  <c r="BR72" i="1" s="1"/>
  <c r="BQ72" i="1"/>
  <c r="BN72" i="1"/>
  <c r="BZ71" i="1"/>
  <c r="BW71" i="1"/>
  <c r="BR71" i="1" a="1"/>
  <c r="BR71" i="1" s="1"/>
  <c r="BQ71" i="1"/>
  <c r="BN71" i="1"/>
  <c r="BZ70" i="1"/>
  <c r="BW70" i="1"/>
  <c r="BR70" i="1" a="1"/>
  <c r="BR70" i="1" s="1"/>
  <c r="BQ70" i="1"/>
  <c r="BN70" i="1"/>
  <c r="BZ69" i="1"/>
  <c r="BW69" i="1"/>
  <c r="BR69" i="1" a="1"/>
  <c r="BR69" i="1" s="1"/>
  <c r="BQ69" i="1"/>
  <c r="BN69" i="1"/>
  <c r="BZ68" i="1"/>
  <c r="BW68" i="1"/>
  <c r="BR68" i="1" a="1"/>
  <c r="BR68" i="1" s="1"/>
  <c r="BQ68" i="1"/>
  <c r="BN68" i="1"/>
  <c r="BZ67" i="1"/>
  <c r="BW67" i="1"/>
  <c r="BR67" i="1" a="1"/>
  <c r="BR67" i="1" s="1"/>
  <c r="BQ67" i="1"/>
  <c r="BN67" i="1"/>
  <c r="BZ66" i="1"/>
  <c r="BW66" i="1"/>
  <c r="BR66" i="1" a="1"/>
  <c r="BR66" i="1" s="1"/>
  <c r="BQ66" i="1"/>
  <c r="BN66" i="1"/>
  <c r="BZ65" i="1"/>
  <c r="BW65" i="1"/>
  <c r="BR65" i="1" a="1"/>
  <c r="BR65" i="1" s="1"/>
  <c r="BQ65" i="1"/>
  <c r="BN65" i="1"/>
  <c r="BM4" i="1"/>
  <c r="BL5" i="1" s="1"/>
  <c r="BM5" i="1" s="1"/>
  <c r="BL6" i="1" s="1"/>
  <c r="BM6" i="1" s="1"/>
  <c r="BL7" i="1" s="1"/>
  <c r="BM7" i="1" s="1"/>
  <c r="BL8" i="1" s="1"/>
  <c r="BM8" i="1" s="1"/>
  <c r="BL9" i="1" s="1"/>
  <c r="BM9" i="1" s="1"/>
  <c r="BL10" i="1" s="1"/>
  <c r="BM10" i="1" s="1"/>
  <c r="BL11" i="1" s="1"/>
  <c r="BM11" i="1" s="1"/>
  <c r="BL12" i="1" s="1"/>
  <c r="BM12" i="1" s="1"/>
  <c r="BL13" i="1" s="1"/>
  <c r="BM13" i="1" s="1"/>
  <c r="BL14" i="1" s="1"/>
  <c r="BM14" i="1" s="1"/>
  <c r="BL15" i="1" s="1"/>
  <c r="BM15" i="1" s="1"/>
  <c r="BL16" i="1" s="1"/>
  <c r="BM16" i="1" s="1"/>
  <c r="BL17" i="1" s="1"/>
  <c r="BM17" i="1" s="1"/>
  <c r="BL18" i="1" s="1"/>
  <c r="BM18" i="1" s="1"/>
  <c r="BL19" i="1" s="1"/>
  <c r="BM19" i="1" s="1"/>
  <c r="BL20" i="1" s="1"/>
  <c r="BM20" i="1" s="1"/>
  <c r="BL21" i="1" s="1"/>
  <c r="BM21" i="1" s="1"/>
  <c r="BL22" i="1" s="1"/>
  <c r="BM22" i="1" s="1"/>
  <c r="BL23" i="1" s="1"/>
  <c r="BM23" i="1" s="1"/>
  <c r="BL24" i="1" s="1"/>
  <c r="BM24" i="1" s="1"/>
  <c r="BL25" i="1" s="1"/>
  <c r="BM25" i="1" s="1"/>
  <c r="BL26" i="1" s="1"/>
  <c r="BM26" i="1" s="1"/>
  <c r="BL27" i="1" s="1"/>
  <c r="BM27" i="1" s="1"/>
  <c r="BL28" i="1" s="1"/>
  <c r="BM28" i="1" s="1"/>
  <c r="BL29" i="1" s="1"/>
  <c r="BM29" i="1" s="1"/>
  <c r="BL30" i="1" s="1"/>
  <c r="BM30" i="1" s="1"/>
  <c r="BL31" i="1" s="1"/>
  <c r="BM31" i="1" s="1"/>
  <c r="BL32" i="1" s="1"/>
  <c r="BM32" i="1" s="1"/>
  <c r="BL33" i="1" s="1"/>
  <c r="BM33" i="1" s="1"/>
  <c r="BL34" i="1" s="1"/>
  <c r="BM34" i="1" s="1"/>
  <c r="BL35" i="1" s="1"/>
  <c r="BM35" i="1" s="1"/>
  <c r="BL36" i="1" s="1"/>
  <c r="BM36" i="1" s="1"/>
  <c r="BL37" i="1" s="1"/>
  <c r="BM37" i="1" s="1"/>
  <c r="BL38" i="1" s="1"/>
  <c r="BM38" i="1" s="1"/>
  <c r="BL39" i="1" s="1"/>
  <c r="BM39" i="1" s="1"/>
  <c r="BL40" i="1" s="1"/>
  <c r="BM40" i="1" s="1"/>
  <c r="BL41" i="1" s="1"/>
  <c r="BM41" i="1" s="1"/>
  <c r="BL42" i="1" s="1"/>
  <c r="BM42" i="1" s="1"/>
  <c r="BL43" i="1" s="1"/>
  <c r="BM43" i="1" s="1"/>
  <c r="BL44" i="1" s="1"/>
  <c r="BM44" i="1" s="1"/>
  <c r="BL45" i="1" s="1"/>
  <c r="BM45" i="1" s="1"/>
  <c r="BL46" i="1" s="1"/>
  <c r="BM46" i="1" s="1"/>
  <c r="BL47" i="1" s="1"/>
  <c r="BM47" i="1" s="1"/>
  <c r="BL48" i="1" s="1"/>
  <c r="BM48" i="1" s="1"/>
  <c r="BL49" i="1" s="1"/>
  <c r="BM49" i="1" s="1"/>
  <c r="BL50" i="1" s="1"/>
  <c r="BM50" i="1" s="1"/>
  <c r="BL51" i="1" s="1"/>
  <c r="BM51" i="1" s="1"/>
  <c r="BL52" i="1" s="1"/>
  <c r="BM52" i="1" s="1"/>
  <c r="BL53" i="1" s="1"/>
  <c r="BM53" i="1" s="1"/>
  <c r="BL54" i="1" s="1"/>
  <c r="BM54" i="1" s="1"/>
  <c r="BL55" i="1" s="1"/>
  <c r="BM55" i="1" s="1"/>
  <c r="BL56" i="1" s="1"/>
  <c r="BM56" i="1" s="1"/>
  <c r="BL57" i="1" s="1"/>
  <c r="BM57" i="1" s="1"/>
  <c r="BL58" i="1" s="1"/>
  <c r="BM58" i="1" s="1"/>
  <c r="BL59" i="1" s="1"/>
  <c r="BM59" i="1" s="1"/>
  <c r="BL60" i="1" s="1"/>
  <c r="BM60" i="1" s="1"/>
  <c r="BL61" i="1" s="1"/>
  <c r="BM61" i="1" s="1"/>
  <c r="BL62" i="1" s="1"/>
  <c r="BM62" i="1" s="1"/>
  <c r="BL63" i="1" s="1"/>
  <c r="BM63" i="1" s="1"/>
  <c r="BL64" i="1" s="1"/>
  <c r="BL4" i="1"/>
  <c r="BV3" i="1"/>
  <c r="BD3" i="1"/>
  <c r="AL3" i="1"/>
  <c r="BH124" i="1"/>
  <c r="BE124" i="1"/>
  <c r="AZ124" i="1" a="1"/>
  <c r="AZ124" i="1" s="1"/>
  <c r="AY124" i="1"/>
  <c r="AV124" i="1"/>
  <c r="BH123" i="1"/>
  <c r="BE123" i="1"/>
  <c r="AZ123" i="1" a="1"/>
  <c r="AZ123" i="1" s="1"/>
  <c r="AY123" i="1"/>
  <c r="AV123" i="1"/>
  <c r="BH122" i="1"/>
  <c r="BE122" i="1"/>
  <c r="AZ122" i="1" a="1"/>
  <c r="AZ122" i="1" s="1"/>
  <c r="AY122" i="1"/>
  <c r="AV122" i="1"/>
  <c r="BH121" i="1"/>
  <c r="BE121" i="1"/>
  <c r="AZ121" i="1" a="1"/>
  <c r="AZ121" i="1" s="1"/>
  <c r="AY121" i="1"/>
  <c r="AV121" i="1"/>
  <c r="BH120" i="1"/>
  <c r="BE120" i="1"/>
  <c r="AZ120" i="1" a="1"/>
  <c r="AZ120" i="1" s="1"/>
  <c r="AY120" i="1"/>
  <c r="AV120" i="1"/>
  <c r="BH119" i="1"/>
  <c r="BE119" i="1"/>
  <c r="AZ119" i="1" a="1"/>
  <c r="AZ119" i="1" s="1"/>
  <c r="AY119" i="1"/>
  <c r="AV119" i="1"/>
  <c r="BH118" i="1"/>
  <c r="BE118" i="1"/>
  <c r="AZ118" i="1" a="1"/>
  <c r="AZ118" i="1" s="1"/>
  <c r="AY118" i="1"/>
  <c r="AV118" i="1"/>
  <c r="BH117" i="1"/>
  <c r="BE117" i="1"/>
  <c r="AZ117" i="1" a="1"/>
  <c r="AZ117" i="1" s="1"/>
  <c r="AY117" i="1"/>
  <c r="AV117" i="1"/>
  <c r="BH116" i="1"/>
  <c r="BE116" i="1"/>
  <c r="AZ116" i="1" a="1"/>
  <c r="AZ116" i="1" s="1"/>
  <c r="AY116" i="1"/>
  <c r="AV116" i="1"/>
  <c r="BH115" i="1"/>
  <c r="BE115" i="1"/>
  <c r="AZ115" i="1" a="1"/>
  <c r="AZ115" i="1" s="1"/>
  <c r="AY115" i="1"/>
  <c r="AV115" i="1"/>
  <c r="BH114" i="1"/>
  <c r="BE114" i="1"/>
  <c r="AZ114" i="1" a="1"/>
  <c r="AZ114" i="1" s="1"/>
  <c r="AY114" i="1"/>
  <c r="AV114" i="1"/>
  <c r="BH113" i="1"/>
  <c r="BE113" i="1"/>
  <c r="AZ113" i="1" a="1"/>
  <c r="AZ113" i="1" s="1"/>
  <c r="AY113" i="1"/>
  <c r="AV113" i="1"/>
  <c r="BH112" i="1"/>
  <c r="BE112" i="1"/>
  <c r="AZ112" i="1" a="1"/>
  <c r="AZ112" i="1" s="1"/>
  <c r="AY112" i="1"/>
  <c r="AV112" i="1"/>
  <c r="BH111" i="1"/>
  <c r="BE111" i="1"/>
  <c r="AZ111" i="1" a="1"/>
  <c r="AZ111" i="1" s="1"/>
  <c r="AY111" i="1"/>
  <c r="AV111" i="1"/>
  <c r="BH110" i="1"/>
  <c r="BE110" i="1"/>
  <c r="AZ110" i="1" a="1"/>
  <c r="AZ110" i="1" s="1"/>
  <c r="AY110" i="1"/>
  <c r="AV110" i="1"/>
  <c r="BH109" i="1"/>
  <c r="BE109" i="1"/>
  <c r="AZ109" i="1" a="1"/>
  <c r="AZ109" i="1" s="1"/>
  <c r="AY109" i="1"/>
  <c r="AV109" i="1"/>
  <c r="BH108" i="1"/>
  <c r="BE108" i="1"/>
  <c r="AZ108" i="1" a="1"/>
  <c r="AZ108" i="1" s="1"/>
  <c r="AY108" i="1"/>
  <c r="AV108" i="1"/>
  <c r="BH107" i="1"/>
  <c r="BE107" i="1"/>
  <c r="AZ107" i="1" a="1"/>
  <c r="AZ107" i="1" s="1"/>
  <c r="AY107" i="1"/>
  <c r="AV107" i="1"/>
  <c r="BH106" i="1"/>
  <c r="BE106" i="1"/>
  <c r="AZ106" i="1" a="1"/>
  <c r="AZ106" i="1" s="1"/>
  <c r="AY106" i="1"/>
  <c r="AV106" i="1"/>
  <c r="BH105" i="1"/>
  <c r="BE105" i="1"/>
  <c r="AZ105" i="1" a="1"/>
  <c r="AZ105" i="1" s="1"/>
  <c r="AY105" i="1"/>
  <c r="AV105" i="1"/>
  <c r="BH104" i="1"/>
  <c r="BE104" i="1"/>
  <c r="AZ104" i="1" a="1"/>
  <c r="AZ104" i="1" s="1"/>
  <c r="AY104" i="1"/>
  <c r="AV104" i="1"/>
  <c r="BH103" i="1"/>
  <c r="BE103" i="1"/>
  <c r="AZ103" i="1" a="1"/>
  <c r="AZ103" i="1" s="1"/>
  <c r="AY103" i="1"/>
  <c r="AV103" i="1"/>
  <c r="BH102" i="1"/>
  <c r="BE102" i="1"/>
  <c r="AZ102" i="1" a="1"/>
  <c r="AZ102" i="1" s="1"/>
  <c r="AY102" i="1"/>
  <c r="AV102" i="1"/>
  <c r="BH101" i="1"/>
  <c r="BE101" i="1"/>
  <c r="AZ101" i="1" a="1"/>
  <c r="AZ101" i="1" s="1"/>
  <c r="AY101" i="1"/>
  <c r="AV101" i="1"/>
  <c r="BH100" i="1"/>
  <c r="BE100" i="1"/>
  <c r="AZ100" i="1" a="1"/>
  <c r="AZ100" i="1" s="1"/>
  <c r="AY100" i="1"/>
  <c r="AV100" i="1"/>
  <c r="BH99" i="1"/>
  <c r="BE99" i="1"/>
  <c r="AZ99" i="1" a="1"/>
  <c r="AZ99" i="1" s="1"/>
  <c r="AY99" i="1"/>
  <c r="AV99" i="1"/>
  <c r="BH98" i="1"/>
  <c r="BE98" i="1"/>
  <c r="AZ98" i="1" a="1"/>
  <c r="AZ98" i="1" s="1"/>
  <c r="AY98" i="1"/>
  <c r="AV98" i="1"/>
  <c r="BH97" i="1"/>
  <c r="BE97" i="1"/>
  <c r="AZ97" i="1" a="1"/>
  <c r="AZ97" i="1" s="1"/>
  <c r="AY97" i="1"/>
  <c r="AV97" i="1"/>
  <c r="BH96" i="1"/>
  <c r="BE96" i="1"/>
  <c r="AZ96" i="1" a="1"/>
  <c r="AZ96" i="1" s="1"/>
  <c r="AY96" i="1"/>
  <c r="AV96" i="1"/>
  <c r="BH95" i="1"/>
  <c r="BE95" i="1"/>
  <c r="AZ95" i="1" a="1"/>
  <c r="AZ95" i="1" s="1"/>
  <c r="AY95" i="1"/>
  <c r="AV95" i="1"/>
  <c r="BH94" i="1"/>
  <c r="BE94" i="1"/>
  <c r="AZ94" i="1" a="1"/>
  <c r="AZ94" i="1" s="1"/>
  <c r="AY94" i="1"/>
  <c r="AV94" i="1"/>
  <c r="BH93" i="1"/>
  <c r="BE93" i="1"/>
  <c r="AZ93" i="1" a="1"/>
  <c r="AZ93" i="1" s="1"/>
  <c r="AY93" i="1"/>
  <c r="AV93" i="1"/>
  <c r="BH92" i="1"/>
  <c r="BE92" i="1"/>
  <c r="AZ92" i="1" a="1"/>
  <c r="AZ92" i="1" s="1"/>
  <c r="AY92" i="1"/>
  <c r="AV92" i="1"/>
  <c r="BH91" i="1"/>
  <c r="BE91" i="1"/>
  <c r="AZ91" i="1" a="1"/>
  <c r="AZ91" i="1" s="1"/>
  <c r="AY91" i="1"/>
  <c r="AV91" i="1"/>
  <c r="BH90" i="1"/>
  <c r="BE90" i="1"/>
  <c r="AZ90" i="1" a="1"/>
  <c r="AZ90" i="1" s="1"/>
  <c r="AY90" i="1"/>
  <c r="AV90" i="1"/>
  <c r="BH89" i="1"/>
  <c r="BE89" i="1"/>
  <c r="AZ89" i="1" a="1"/>
  <c r="AZ89" i="1" s="1"/>
  <c r="AY89" i="1"/>
  <c r="AV89" i="1"/>
  <c r="BH88" i="1"/>
  <c r="BE88" i="1"/>
  <c r="AZ88" i="1" a="1"/>
  <c r="AZ88" i="1" s="1"/>
  <c r="AY88" i="1"/>
  <c r="AV88" i="1"/>
  <c r="BH87" i="1"/>
  <c r="BE87" i="1"/>
  <c r="AZ87" i="1" a="1"/>
  <c r="AZ87" i="1" s="1"/>
  <c r="AY87" i="1"/>
  <c r="AV87" i="1"/>
  <c r="BH86" i="1"/>
  <c r="BE86" i="1"/>
  <c r="AZ86" i="1" a="1"/>
  <c r="AZ86" i="1" s="1"/>
  <c r="AY86" i="1"/>
  <c r="AV86" i="1"/>
  <c r="BH85" i="1"/>
  <c r="BE85" i="1"/>
  <c r="AZ85" i="1" a="1"/>
  <c r="AZ85" i="1" s="1"/>
  <c r="AY85" i="1"/>
  <c r="AV85" i="1"/>
  <c r="BH84" i="1"/>
  <c r="BE84" i="1"/>
  <c r="AZ84" i="1" a="1"/>
  <c r="AZ84" i="1" s="1"/>
  <c r="AY84" i="1"/>
  <c r="AV84" i="1"/>
  <c r="BH83" i="1"/>
  <c r="BE83" i="1"/>
  <c r="AZ83" i="1" a="1"/>
  <c r="AZ83" i="1" s="1"/>
  <c r="AY83" i="1"/>
  <c r="AV83" i="1"/>
  <c r="BH82" i="1"/>
  <c r="BE82" i="1"/>
  <c r="AZ82" i="1" a="1"/>
  <c r="AZ82" i="1" s="1"/>
  <c r="AY82" i="1"/>
  <c r="AV82" i="1"/>
  <c r="BH81" i="1"/>
  <c r="BE81" i="1"/>
  <c r="AZ81" i="1" a="1"/>
  <c r="AZ81" i="1" s="1"/>
  <c r="AY81" i="1"/>
  <c r="AV81" i="1"/>
  <c r="BH80" i="1"/>
  <c r="BE80" i="1"/>
  <c r="AZ80" i="1" a="1"/>
  <c r="AZ80" i="1" s="1"/>
  <c r="AY80" i="1"/>
  <c r="AV80" i="1"/>
  <c r="BH79" i="1"/>
  <c r="BE79" i="1"/>
  <c r="AZ79" i="1" a="1"/>
  <c r="AZ79" i="1" s="1"/>
  <c r="AY79" i="1"/>
  <c r="AV79" i="1"/>
  <c r="BH78" i="1"/>
  <c r="BE78" i="1"/>
  <c r="AZ78" i="1" a="1"/>
  <c r="AZ78" i="1" s="1"/>
  <c r="AY78" i="1"/>
  <c r="AV78" i="1"/>
  <c r="BH77" i="1"/>
  <c r="BE77" i="1"/>
  <c r="AZ77" i="1" a="1"/>
  <c r="AZ77" i="1" s="1"/>
  <c r="AY77" i="1"/>
  <c r="AV77" i="1"/>
  <c r="BH76" i="1"/>
  <c r="BE76" i="1"/>
  <c r="AZ76" i="1" a="1"/>
  <c r="AZ76" i="1" s="1"/>
  <c r="AY76" i="1"/>
  <c r="AV76" i="1"/>
  <c r="BH75" i="1"/>
  <c r="BE75" i="1"/>
  <c r="AZ75" i="1" a="1"/>
  <c r="AZ75" i="1" s="1"/>
  <c r="AY75" i="1"/>
  <c r="AV75" i="1"/>
  <c r="BH74" i="1"/>
  <c r="BE74" i="1"/>
  <c r="AZ74" i="1" a="1"/>
  <c r="AZ74" i="1" s="1"/>
  <c r="AY74" i="1"/>
  <c r="AV74" i="1"/>
  <c r="BH73" i="1"/>
  <c r="BE73" i="1"/>
  <c r="AZ73" i="1" a="1"/>
  <c r="AZ73" i="1" s="1"/>
  <c r="AY73" i="1"/>
  <c r="AV73" i="1"/>
  <c r="BH72" i="1"/>
  <c r="BE72" i="1"/>
  <c r="AZ72" i="1" a="1"/>
  <c r="AZ72" i="1" s="1"/>
  <c r="AY72" i="1"/>
  <c r="AV72" i="1"/>
  <c r="BH71" i="1"/>
  <c r="BE71" i="1"/>
  <c r="AZ71" i="1" a="1"/>
  <c r="AZ71" i="1" s="1"/>
  <c r="AY71" i="1"/>
  <c r="AV71" i="1"/>
  <c r="BH70" i="1"/>
  <c r="BE70" i="1"/>
  <c r="AZ70" i="1" a="1"/>
  <c r="AZ70" i="1" s="1"/>
  <c r="AY70" i="1"/>
  <c r="AV70" i="1"/>
  <c r="BH69" i="1"/>
  <c r="BE69" i="1"/>
  <c r="AZ69" i="1" a="1"/>
  <c r="AZ69" i="1" s="1"/>
  <c r="AY69" i="1"/>
  <c r="AV69" i="1"/>
  <c r="BH68" i="1"/>
  <c r="BE68" i="1"/>
  <c r="AZ68" i="1" a="1"/>
  <c r="AZ68" i="1" s="1"/>
  <c r="AY68" i="1"/>
  <c r="AV68" i="1"/>
  <c r="BH67" i="1"/>
  <c r="BE67" i="1"/>
  <c r="AZ67" i="1" a="1"/>
  <c r="AZ67" i="1" s="1"/>
  <c r="AY67" i="1"/>
  <c r="AV67" i="1"/>
  <c r="BH66" i="1"/>
  <c r="BE66" i="1"/>
  <c r="AZ66" i="1" a="1"/>
  <c r="AZ66" i="1" s="1"/>
  <c r="AY66" i="1"/>
  <c r="AV66" i="1"/>
  <c r="BH65" i="1"/>
  <c r="BE65" i="1"/>
  <c r="AZ65" i="1" a="1"/>
  <c r="AZ65" i="1" s="1"/>
  <c r="AY65" i="1"/>
  <c r="AV65" i="1"/>
  <c r="AU4" i="1"/>
  <c r="AT5" i="1" s="1"/>
  <c r="AU5" i="1" s="1"/>
  <c r="AT6" i="1" s="1"/>
  <c r="AU6" i="1" s="1"/>
  <c r="AT7" i="1" s="1"/>
  <c r="AU7" i="1" s="1"/>
  <c r="AT8" i="1" s="1"/>
  <c r="AU8" i="1" s="1"/>
  <c r="AT9" i="1" s="1"/>
  <c r="AU9" i="1" s="1"/>
  <c r="AT10" i="1" s="1"/>
  <c r="AU10" i="1" s="1"/>
  <c r="AT11" i="1" s="1"/>
  <c r="AU11" i="1" s="1"/>
  <c r="AT12" i="1" s="1"/>
  <c r="AU12" i="1" s="1"/>
  <c r="AT13" i="1" s="1"/>
  <c r="AU13" i="1" s="1"/>
  <c r="AT14" i="1" s="1"/>
  <c r="AU14" i="1" s="1"/>
  <c r="AT15" i="1" s="1"/>
  <c r="AU15" i="1" s="1"/>
  <c r="AT16" i="1" s="1"/>
  <c r="AU16" i="1" s="1"/>
  <c r="AT17" i="1" s="1"/>
  <c r="AU17" i="1" s="1"/>
  <c r="AT18" i="1" s="1"/>
  <c r="AU18" i="1" s="1"/>
  <c r="AT19" i="1" s="1"/>
  <c r="AU19" i="1" s="1"/>
  <c r="AT20" i="1" s="1"/>
  <c r="AU20" i="1" s="1"/>
  <c r="AT21" i="1" s="1"/>
  <c r="AU21" i="1" s="1"/>
  <c r="AT22" i="1" s="1"/>
  <c r="AU22" i="1" s="1"/>
  <c r="AT23" i="1" s="1"/>
  <c r="AU23" i="1" s="1"/>
  <c r="AT24" i="1" s="1"/>
  <c r="AU24" i="1" s="1"/>
  <c r="AT25" i="1" s="1"/>
  <c r="AU25" i="1" s="1"/>
  <c r="AT26" i="1" s="1"/>
  <c r="AU26" i="1" s="1"/>
  <c r="AT27" i="1" s="1"/>
  <c r="AU27" i="1" s="1"/>
  <c r="AT28" i="1" s="1"/>
  <c r="AU28" i="1" s="1"/>
  <c r="AT29" i="1" s="1"/>
  <c r="AU29" i="1" s="1"/>
  <c r="AT30" i="1" s="1"/>
  <c r="AU30" i="1" s="1"/>
  <c r="AT31" i="1" s="1"/>
  <c r="AU31" i="1" s="1"/>
  <c r="AT32" i="1" s="1"/>
  <c r="AU32" i="1" s="1"/>
  <c r="AT33" i="1" s="1"/>
  <c r="AU33" i="1" s="1"/>
  <c r="AT34" i="1" s="1"/>
  <c r="AU34" i="1" s="1"/>
  <c r="AT35" i="1" s="1"/>
  <c r="AU35" i="1" s="1"/>
  <c r="AT36" i="1" s="1"/>
  <c r="AU36" i="1" s="1"/>
  <c r="AT37" i="1" s="1"/>
  <c r="AU37" i="1" s="1"/>
  <c r="AT38" i="1" s="1"/>
  <c r="AU38" i="1" s="1"/>
  <c r="AT39" i="1" s="1"/>
  <c r="AU39" i="1" s="1"/>
  <c r="AT40" i="1" s="1"/>
  <c r="AU40" i="1" s="1"/>
  <c r="AT41" i="1" s="1"/>
  <c r="AU41" i="1" s="1"/>
  <c r="AT42" i="1" s="1"/>
  <c r="AU42" i="1" s="1"/>
  <c r="AT43" i="1" s="1"/>
  <c r="AU43" i="1" s="1"/>
  <c r="AT44" i="1" s="1"/>
  <c r="AU44" i="1" s="1"/>
  <c r="AT45" i="1" s="1"/>
  <c r="AU45" i="1" s="1"/>
  <c r="AT46" i="1" s="1"/>
  <c r="AU46" i="1" s="1"/>
  <c r="AT47" i="1" s="1"/>
  <c r="AU47" i="1" s="1"/>
  <c r="AT48" i="1" s="1"/>
  <c r="AU48" i="1" s="1"/>
  <c r="AT49" i="1" s="1"/>
  <c r="AU49" i="1" s="1"/>
  <c r="AT50" i="1" s="1"/>
  <c r="AU50" i="1" s="1"/>
  <c r="AT51" i="1" s="1"/>
  <c r="AU51" i="1" s="1"/>
  <c r="AT52" i="1" s="1"/>
  <c r="AU52" i="1" s="1"/>
  <c r="AT53" i="1" s="1"/>
  <c r="AU53" i="1" s="1"/>
  <c r="AT54" i="1" s="1"/>
  <c r="AU54" i="1" s="1"/>
  <c r="AT55" i="1" s="1"/>
  <c r="AU55" i="1" s="1"/>
  <c r="AT56" i="1" s="1"/>
  <c r="AU56" i="1" s="1"/>
  <c r="AT57" i="1" s="1"/>
  <c r="AU57" i="1" s="1"/>
  <c r="AT58" i="1" s="1"/>
  <c r="AU58" i="1" s="1"/>
  <c r="AT59" i="1" s="1"/>
  <c r="AU59" i="1" s="1"/>
  <c r="AT60" i="1" s="1"/>
  <c r="AU60" i="1" s="1"/>
  <c r="AT61" i="1" s="1"/>
  <c r="AU61" i="1" s="1"/>
  <c r="AT62" i="1" s="1"/>
  <c r="AU62" i="1" s="1"/>
  <c r="AT63" i="1" s="1"/>
  <c r="AU63" i="1" s="1"/>
  <c r="AT64" i="1" s="1"/>
  <c r="AT4" i="1"/>
  <c r="AH65" i="1" a="1"/>
  <c r="AH65" i="1" s="1"/>
  <c r="AH66" i="1" a="1"/>
  <c r="AH66" i="1" s="1"/>
  <c r="AH67" i="1" a="1"/>
  <c r="AH67" i="1" s="1"/>
  <c r="AH68" i="1" a="1"/>
  <c r="AH68" i="1" s="1"/>
  <c r="AH69" i="1" a="1"/>
  <c r="AH69" i="1" s="1"/>
  <c r="AH70" i="1" a="1"/>
  <c r="AH70" i="1" s="1"/>
  <c r="AH71" i="1" a="1"/>
  <c r="AH71" i="1" s="1"/>
  <c r="AH72" i="1" a="1"/>
  <c r="AH72" i="1" s="1"/>
  <c r="AH73" i="1" a="1"/>
  <c r="AH73" i="1" s="1"/>
  <c r="AH74" i="1" a="1"/>
  <c r="AH74" i="1" s="1"/>
  <c r="AH75" i="1" a="1"/>
  <c r="AH75" i="1" s="1"/>
  <c r="AH76" i="1" a="1"/>
  <c r="AH76" i="1" s="1"/>
  <c r="AH77" i="1" a="1"/>
  <c r="AH77" i="1" s="1"/>
  <c r="AH78" i="1" a="1"/>
  <c r="AH78" i="1" s="1"/>
  <c r="AH79" i="1" a="1"/>
  <c r="AH79" i="1" s="1"/>
  <c r="AH80" i="1" a="1"/>
  <c r="AH80" i="1" s="1"/>
  <c r="AH81" i="1" a="1"/>
  <c r="AH81" i="1" s="1"/>
  <c r="AH82" i="1" a="1"/>
  <c r="AH82" i="1" s="1"/>
  <c r="AH83" i="1" a="1"/>
  <c r="AH83" i="1" s="1"/>
  <c r="AH84" i="1" a="1"/>
  <c r="AH84" i="1" s="1"/>
  <c r="AH85" i="1" a="1"/>
  <c r="AH85" i="1" s="1"/>
  <c r="AH86" i="1" a="1"/>
  <c r="AH86" i="1" s="1"/>
  <c r="AH87" i="1" a="1"/>
  <c r="AH87" i="1" s="1"/>
  <c r="AH88" i="1" a="1"/>
  <c r="AH88" i="1" s="1"/>
  <c r="AH89" i="1" a="1"/>
  <c r="AH89" i="1" s="1"/>
  <c r="AH90" i="1" a="1"/>
  <c r="AH90" i="1" s="1"/>
  <c r="AH91" i="1" a="1"/>
  <c r="AH91" i="1" s="1"/>
  <c r="AH92" i="1" a="1"/>
  <c r="AH92" i="1" s="1"/>
  <c r="AH93" i="1" a="1"/>
  <c r="AH93" i="1" s="1"/>
  <c r="AH94" i="1" a="1"/>
  <c r="AH94" i="1" s="1"/>
  <c r="AH95" i="1" a="1"/>
  <c r="AH95" i="1" s="1"/>
  <c r="AH96" i="1" a="1"/>
  <c r="AH96" i="1" s="1"/>
  <c r="AH97" i="1" a="1"/>
  <c r="AH97" i="1" s="1"/>
  <c r="AH98" i="1" a="1"/>
  <c r="AH98" i="1" s="1"/>
  <c r="AH99" i="1" a="1"/>
  <c r="AH99" i="1" s="1"/>
  <c r="AH100" i="1" a="1"/>
  <c r="AH100" i="1" s="1"/>
  <c r="AH101" i="1" a="1"/>
  <c r="AH101" i="1" s="1"/>
  <c r="AH102" i="1" a="1"/>
  <c r="AH102" i="1" s="1"/>
  <c r="AH103" i="1" a="1"/>
  <c r="AH103" i="1" s="1"/>
  <c r="AH104" i="1" a="1"/>
  <c r="AH104" i="1" s="1"/>
  <c r="AH105" i="1" a="1"/>
  <c r="AH105" i="1" s="1"/>
  <c r="AH106" i="1" a="1"/>
  <c r="AH106" i="1" s="1"/>
  <c r="AH107" i="1" a="1"/>
  <c r="AH107" i="1" s="1"/>
  <c r="AH108" i="1" a="1"/>
  <c r="AH108" i="1" s="1"/>
  <c r="AH109" i="1" a="1"/>
  <c r="AH109" i="1" s="1"/>
  <c r="AH110" i="1" a="1"/>
  <c r="AH110" i="1" s="1"/>
  <c r="AH111" i="1" a="1"/>
  <c r="AH111" i="1" s="1"/>
  <c r="AH112" i="1" a="1"/>
  <c r="AH112" i="1" s="1"/>
  <c r="AH113" i="1" a="1"/>
  <c r="AH113" i="1" s="1"/>
  <c r="AH114" i="1" a="1"/>
  <c r="AH114" i="1" s="1"/>
  <c r="AH115" i="1" a="1"/>
  <c r="AH115" i="1" s="1"/>
  <c r="AH116" i="1" a="1"/>
  <c r="AH116" i="1" s="1"/>
  <c r="AH117" i="1" a="1"/>
  <c r="AH117" i="1" s="1"/>
  <c r="AH118" i="1" a="1"/>
  <c r="AH118" i="1" s="1"/>
  <c r="AH119" i="1" a="1"/>
  <c r="AH119" i="1" s="1"/>
  <c r="AH120" i="1" a="1"/>
  <c r="AH120" i="1" s="1"/>
  <c r="AH121" i="1" a="1"/>
  <c r="AH121" i="1" s="1"/>
  <c r="AH122" i="1" a="1"/>
  <c r="AH122" i="1" s="1"/>
  <c r="AH123" i="1" a="1"/>
  <c r="AH123" i="1" s="1"/>
  <c r="AH124" i="1" a="1"/>
  <c r="AH124" i="1" s="1"/>
  <c r="AC4" i="1"/>
  <c r="AB5" i="1" s="1"/>
  <c r="AC5" i="1" s="1"/>
  <c r="AB4" i="1"/>
  <c r="AB6" i="1" l="1"/>
  <c r="AC6" i="1" s="1"/>
  <c r="D35" i="6"/>
  <c r="D42" i="6" s="1"/>
  <c r="CE64" i="1"/>
  <c r="AU64" i="1"/>
  <c r="BM64" i="1"/>
  <c r="BL65" i="1" l="1"/>
  <c r="BM65" i="1" s="1"/>
  <c r="AT65" i="1"/>
  <c r="AU65" i="1" s="1"/>
  <c r="AT66" i="1" s="1"/>
  <c r="AU66" i="1" s="1"/>
  <c r="AT67" i="1" s="1"/>
  <c r="AU67" i="1" s="1"/>
  <c r="AT68" i="1" s="1"/>
  <c r="AU68" i="1" s="1"/>
  <c r="AT69" i="1" s="1"/>
  <c r="AU69" i="1" s="1"/>
  <c r="AT70" i="1" s="1"/>
  <c r="AU70" i="1" s="1"/>
  <c r="AT71" i="1" s="1"/>
  <c r="AU71" i="1" s="1"/>
  <c r="AT72" i="1" s="1"/>
  <c r="AU72" i="1" s="1"/>
  <c r="AT73" i="1" s="1"/>
  <c r="AU73" i="1" s="1"/>
  <c r="AT74" i="1" s="1"/>
  <c r="AU74" i="1" s="1"/>
  <c r="AT75" i="1" s="1"/>
  <c r="AU75" i="1" s="1"/>
  <c r="AT76" i="1" s="1"/>
  <c r="AU76" i="1" s="1"/>
  <c r="AT77" i="1" s="1"/>
  <c r="AU77" i="1" s="1"/>
  <c r="AT78" i="1" s="1"/>
  <c r="AU78" i="1" s="1"/>
  <c r="AT79" i="1" s="1"/>
  <c r="AU79" i="1" s="1"/>
  <c r="AT80" i="1" s="1"/>
  <c r="AU80" i="1" s="1"/>
  <c r="AT81" i="1" s="1"/>
  <c r="AU81" i="1" s="1"/>
  <c r="AT82" i="1" s="1"/>
  <c r="AU82" i="1" s="1"/>
  <c r="AT83" i="1" s="1"/>
  <c r="AU83" i="1" s="1"/>
  <c r="AT84" i="1" s="1"/>
  <c r="AU84" i="1" s="1"/>
  <c r="AT85" i="1" s="1"/>
  <c r="AU85" i="1" s="1"/>
  <c r="AT86" i="1" s="1"/>
  <c r="AU86" i="1" s="1"/>
  <c r="AT87" i="1" s="1"/>
  <c r="AU87" i="1" s="1"/>
  <c r="AT88" i="1" s="1"/>
  <c r="AU88" i="1" s="1"/>
  <c r="AT89" i="1" s="1"/>
  <c r="AU89" i="1" s="1"/>
  <c r="AT90" i="1" s="1"/>
  <c r="AU90" i="1" s="1"/>
  <c r="AT91" i="1" s="1"/>
  <c r="AU91" i="1" s="1"/>
  <c r="AT92" i="1" s="1"/>
  <c r="AU92" i="1" s="1"/>
  <c r="AT93" i="1" s="1"/>
  <c r="AU93" i="1" s="1"/>
  <c r="AT94" i="1" s="1"/>
  <c r="AU94" i="1" s="1"/>
  <c r="AT95" i="1" s="1"/>
  <c r="AU95" i="1" s="1"/>
  <c r="AT96" i="1" s="1"/>
  <c r="AU96" i="1" s="1"/>
  <c r="AT97" i="1" s="1"/>
  <c r="AU97" i="1" s="1"/>
  <c r="AT98" i="1" s="1"/>
  <c r="AU98" i="1" s="1"/>
  <c r="AT99" i="1" s="1"/>
  <c r="AU99" i="1" s="1"/>
  <c r="AT100" i="1" s="1"/>
  <c r="AU100" i="1" s="1"/>
  <c r="AT101" i="1" s="1"/>
  <c r="AU101" i="1" s="1"/>
  <c r="AT102" i="1" s="1"/>
  <c r="AU102" i="1" s="1"/>
  <c r="AT103" i="1" s="1"/>
  <c r="AU103" i="1" s="1"/>
  <c r="AT104" i="1" s="1"/>
  <c r="AU104" i="1" s="1"/>
  <c r="AT105" i="1" s="1"/>
  <c r="AU105" i="1" s="1"/>
  <c r="AT106" i="1" s="1"/>
  <c r="AU106" i="1" s="1"/>
  <c r="AT107" i="1" s="1"/>
  <c r="AU107" i="1" s="1"/>
  <c r="AT108" i="1" s="1"/>
  <c r="AU108" i="1" s="1"/>
  <c r="AT109" i="1" s="1"/>
  <c r="AU109" i="1" s="1"/>
  <c r="AT110" i="1" s="1"/>
  <c r="AU110" i="1" s="1"/>
  <c r="AT111" i="1" s="1"/>
  <c r="AU111" i="1" s="1"/>
  <c r="AT112" i="1" s="1"/>
  <c r="AU112" i="1" s="1"/>
  <c r="AT113" i="1" s="1"/>
  <c r="AU113" i="1" s="1"/>
  <c r="AT114" i="1" s="1"/>
  <c r="AU114" i="1" s="1"/>
  <c r="AT115" i="1" s="1"/>
  <c r="AU115" i="1" s="1"/>
  <c r="AT116" i="1" s="1"/>
  <c r="AU116" i="1" s="1"/>
  <c r="AT117" i="1" s="1"/>
  <c r="AU117" i="1" s="1"/>
  <c r="AT118" i="1" s="1"/>
  <c r="AU118" i="1" s="1"/>
  <c r="AT119" i="1" s="1"/>
  <c r="AU119" i="1" s="1"/>
  <c r="AT120" i="1" s="1"/>
  <c r="AU120" i="1" s="1"/>
  <c r="AT121" i="1" s="1"/>
  <c r="AU121" i="1" s="1"/>
  <c r="AT122" i="1" s="1"/>
  <c r="AU122" i="1" s="1"/>
  <c r="AT123" i="1" s="1"/>
  <c r="AU123" i="1" s="1"/>
  <c r="AT124" i="1" s="1"/>
  <c r="AU124" i="1" s="1"/>
  <c r="CD65" i="1"/>
  <c r="CE65" i="1" s="1"/>
  <c r="AB7" i="1"/>
  <c r="AC7" i="1" s="1"/>
  <c r="CD66" i="1" l="1"/>
  <c r="CE66" i="1" s="1"/>
  <c r="BL66" i="1"/>
  <c r="BM66" i="1" s="1"/>
  <c r="AS4" i="1" a="1"/>
  <c r="AB8" i="1"/>
  <c r="AW50" i="1" l="1"/>
  <c r="AW46" i="1"/>
  <c r="AW42" i="1"/>
  <c r="AW39" i="1"/>
  <c r="AW32" i="1"/>
  <c r="AW23" i="1"/>
  <c r="AW16" i="1"/>
  <c r="AW7" i="1"/>
  <c r="AW30" i="1"/>
  <c r="AW51" i="1"/>
  <c r="AW47" i="1"/>
  <c r="AW43" i="1"/>
  <c r="AW37" i="1"/>
  <c r="AW21" i="1"/>
  <c r="AW35" i="1"/>
  <c r="AW28" i="1"/>
  <c r="AW19" i="1"/>
  <c r="AW12" i="1"/>
  <c r="AW33" i="1"/>
  <c r="AW26" i="1"/>
  <c r="AW17" i="1"/>
  <c r="AW10" i="1"/>
  <c r="AW48" i="1"/>
  <c r="AW44" i="1"/>
  <c r="AW40" i="1"/>
  <c r="AW31" i="1"/>
  <c r="AW24" i="1"/>
  <c r="AW15" i="1"/>
  <c r="AW8" i="1"/>
  <c r="AW49" i="1"/>
  <c r="AW45" i="1"/>
  <c r="AW41" i="1"/>
  <c r="AW38" i="1"/>
  <c r="AW29" i="1"/>
  <c r="AW22" i="1"/>
  <c r="AW13" i="1"/>
  <c r="AW6" i="1"/>
  <c r="AW34" i="1"/>
  <c r="AW27" i="1"/>
  <c r="AW18" i="1"/>
  <c r="AW11" i="1"/>
  <c r="AW36" i="1"/>
  <c r="AW9" i="1"/>
  <c r="AW25" i="1"/>
  <c r="AW5" i="1"/>
  <c r="AW20" i="1"/>
  <c r="AW14" i="1"/>
  <c r="AV48" i="1"/>
  <c r="AX63" i="1"/>
  <c r="AX55" i="1"/>
  <c r="AY64" i="1"/>
  <c r="BA64" i="1" s="1" a="1"/>
  <c r="BA64" i="1" s="1"/>
  <c r="BE62" i="1"/>
  <c r="AV61" i="1"/>
  <c r="AZ59" i="1" a="1"/>
  <c r="AZ59" i="1" s="1"/>
  <c r="BH57" i="1"/>
  <c r="AY56" i="1"/>
  <c r="BA56" i="1" s="1" a="1"/>
  <c r="BA56" i="1" s="1"/>
  <c r="BE54" i="1"/>
  <c r="AY53" i="1"/>
  <c r="BA53" i="1" s="1" a="1"/>
  <c r="BA53" i="1" s="1"/>
  <c r="BE58" i="1"/>
  <c r="BE53" i="1"/>
  <c r="AX62" i="1"/>
  <c r="AX54" i="1"/>
  <c r="AV64" i="1"/>
  <c r="AZ62" i="1" a="1"/>
  <c r="AZ62" i="1" s="1"/>
  <c r="BH60" i="1"/>
  <c r="AY59" i="1"/>
  <c r="BA59" i="1" s="1" a="1"/>
  <c r="BA59" i="1" s="1"/>
  <c r="BE57" i="1"/>
  <c r="AV56" i="1"/>
  <c r="AZ54" i="1" a="1"/>
  <c r="AZ54" i="1" s="1"/>
  <c r="AV53" i="1"/>
  <c r="AZ55" i="1" a="1"/>
  <c r="AZ55" i="1" s="1"/>
  <c r="BE64" i="1"/>
  <c r="BH59" i="1"/>
  <c r="AX61" i="1"/>
  <c r="AX53" i="1"/>
  <c r="BH63" i="1"/>
  <c r="AY62" i="1"/>
  <c r="BA62" i="1" s="1" a="1"/>
  <c r="BA62" i="1" s="1"/>
  <c r="BE60" i="1"/>
  <c r="AV59" i="1"/>
  <c r="AZ57" i="1" a="1"/>
  <c r="AZ57" i="1" s="1"/>
  <c r="BH55" i="1"/>
  <c r="AY54" i="1"/>
  <c r="BA54" i="1" s="1" a="1"/>
  <c r="BA54" i="1" s="1"/>
  <c r="AX60" i="1"/>
  <c r="BE63" i="1"/>
  <c r="AV62" i="1"/>
  <c r="AZ60" i="1" a="1"/>
  <c r="AZ60" i="1" s="1"/>
  <c r="BH58" i="1"/>
  <c r="AY57" i="1"/>
  <c r="BA57" i="1" s="1" a="1"/>
  <c r="BA57" i="1" s="1"/>
  <c r="BE55" i="1"/>
  <c r="BH61" i="1"/>
  <c r="AV57" i="1"/>
  <c r="AV63" i="1"/>
  <c r="BE56" i="1"/>
  <c r="AX59" i="1"/>
  <c r="AX58" i="1"/>
  <c r="BH64" i="1"/>
  <c r="AY63" i="1"/>
  <c r="BA63" i="1" s="1" a="1"/>
  <c r="BA63" i="1" s="1"/>
  <c r="BE61" i="1"/>
  <c r="AV60" i="1"/>
  <c r="AZ58" i="1" a="1"/>
  <c r="AZ58" i="1" s="1"/>
  <c r="BH56" i="1"/>
  <c r="AY55" i="1"/>
  <c r="BA55" i="1" s="1" a="1"/>
  <c r="BA55" i="1" s="1"/>
  <c r="BH53" i="1"/>
  <c r="AY58" i="1"/>
  <c r="BA58" i="1" s="1" a="1"/>
  <c r="BA58" i="1" s="1"/>
  <c r="AX57" i="1"/>
  <c r="AX64" i="1"/>
  <c r="AX56" i="1"/>
  <c r="AZ64" i="1" a="1"/>
  <c r="AZ64" i="1" s="1"/>
  <c r="BH62" i="1"/>
  <c r="AY61" i="1"/>
  <c r="BA61" i="1" s="1" a="1"/>
  <c r="BA61" i="1" s="1"/>
  <c r="BE59" i="1"/>
  <c r="AV58" i="1"/>
  <c r="AZ56" i="1" a="1"/>
  <c r="AZ56" i="1" s="1"/>
  <c r="BH54" i="1"/>
  <c r="AZ53" i="1" a="1"/>
  <c r="AZ53" i="1" s="1"/>
  <c r="AZ63" i="1" a="1"/>
  <c r="AZ63" i="1" s="1"/>
  <c r="AY60" i="1"/>
  <c r="BA60" i="1" s="1" a="1"/>
  <c r="BA60" i="1" s="1"/>
  <c r="AV54" i="1"/>
  <c r="AZ61" i="1" a="1"/>
  <c r="AZ61" i="1" s="1"/>
  <c r="AV55" i="1"/>
  <c r="AV52" i="1"/>
  <c r="AY52" i="1"/>
  <c r="AV24" i="1"/>
  <c r="AV27" i="1"/>
  <c r="AY10" i="1"/>
  <c r="AV6" i="1"/>
  <c r="AV7" i="1"/>
  <c r="AV8" i="1"/>
  <c r="AY14" i="1"/>
  <c r="AV23" i="1"/>
  <c r="AY9" i="1"/>
  <c r="AY32" i="1"/>
  <c r="AY45" i="1"/>
  <c r="AY31" i="1"/>
  <c r="AV31" i="1"/>
  <c r="AY18" i="1"/>
  <c r="AY13" i="1"/>
  <c r="AY36" i="1"/>
  <c r="AY25" i="1"/>
  <c r="AV13" i="1"/>
  <c r="AV17" i="1"/>
  <c r="AV40" i="1"/>
  <c r="AY15" i="1"/>
  <c r="AV38" i="1"/>
  <c r="AV14" i="1"/>
  <c r="AY33" i="1"/>
  <c r="AY17" i="1"/>
  <c r="AY24" i="1"/>
  <c r="AV29" i="1"/>
  <c r="AY30" i="1"/>
  <c r="AY38" i="1"/>
  <c r="AV47" i="1"/>
  <c r="AV46" i="1"/>
  <c r="AV45" i="1"/>
  <c r="AV43" i="1"/>
  <c r="AV36" i="1"/>
  <c r="AV49" i="1"/>
  <c r="AV22" i="1"/>
  <c r="AV37" i="1"/>
  <c r="AV51" i="1"/>
  <c r="AY50" i="1"/>
  <c r="AY49" i="1"/>
  <c r="AY48" i="1"/>
  <c r="AY46" i="1"/>
  <c r="AY39" i="1"/>
  <c r="AY26" i="1"/>
  <c r="AY40" i="1"/>
  <c r="AV5" i="1"/>
  <c r="AY7" i="1"/>
  <c r="AY6" i="1"/>
  <c r="AY5" i="1"/>
  <c r="AV9" i="1"/>
  <c r="AV16" i="1"/>
  <c r="AY27" i="1"/>
  <c r="AY29" i="1"/>
  <c r="AV15" i="1"/>
  <c r="AY8" i="1"/>
  <c r="AV12" i="1"/>
  <c r="AV11" i="1"/>
  <c r="AV10" i="1"/>
  <c r="AY12" i="1"/>
  <c r="AY19" i="1"/>
  <c r="AV42" i="1"/>
  <c r="AV32" i="1"/>
  <c r="AY41" i="1"/>
  <c r="AY16" i="1"/>
  <c r="AV20" i="1"/>
  <c r="AV19" i="1"/>
  <c r="AV18" i="1"/>
  <c r="AY20" i="1"/>
  <c r="AV30" i="1"/>
  <c r="AV50" i="1"/>
  <c r="AY51" i="1"/>
  <c r="AS4" i="1"/>
  <c r="AY11" i="1"/>
  <c r="AV21" i="1"/>
  <c r="AY23" i="1"/>
  <c r="AY22" i="1"/>
  <c r="AY21" i="1"/>
  <c r="AV25" i="1"/>
  <c r="AV28" i="1"/>
  <c r="AY28" i="1"/>
  <c r="AY47" i="1"/>
  <c r="CD67" i="1"/>
  <c r="CE67" i="1" s="1"/>
  <c r="CD68" i="1" s="1"/>
  <c r="CE68" i="1" s="1"/>
  <c r="CD69" i="1" s="1"/>
  <c r="CE69" i="1" s="1"/>
  <c r="CD70" i="1" s="1"/>
  <c r="CE70" i="1" s="1"/>
  <c r="CD71" i="1" s="1"/>
  <c r="CE71" i="1" s="1"/>
  <c r="CD72" i="1" s="1"/>
  <c r="CE72" i="1" s="1"/>
  <c r="CD73" i="1" s="1"/>
  <c r="CE73" i="1" s="1"/>
  <c r="CD74" i="1" s="1"/>
  <c r="CE74" i="1" s="1"/>
  <c r="CD75" i="1" s="1"/>
  <c r="CE75" i="1" s="1"/>
  <c r="CD76" i="1" s="1"/>
  <c r="CE76" i="1" s="1"/>
  <c r="CD77" i="1" s="1"/>
  <c r="CE77" i="1" s="1"/>
  <c r="CD78" i="1" s="1"/>
  <c r="CE78" i="1" s="1"/>
  <c r="CD79" i="1" s="1"/>
  <c r="CE79" i="1" s="1"/>
  <c r="CD80" i="1" s="1"/>
  <c r="CE80" i="1" s="1"/>
  <c r="CD81" i="1" s="1"/>
  <c r="CE81" i="1" s="1"/>
  <c r="CD82" i="1" s="1"/>
  <c r="CE82" i="1" s="1"/>
  <c r="CD83" i="1" s="1"/>
  <c r="CE83" i="1" s="1"/>
  <c r="CD84" i="1" s="1"/>
  <c r="CE84" i="1" s="1"/>
  <c r="CD85" i="1" s="1"/>
  <c r="CE85" i="1" s="1"/>
  <c r="CD86" i="1" s="1"/>
  <c r="CE86" i="1" s="1"/>
  <c r="CD87" i="1" s="1"/>
  <c r="CE87" i="1" s="1"/>
  <c r="CD88" i="1" s="1"/>
  <c r="CE88" i="1" s="1"/>
  <c r="CD89" i="1" s="1"/>
  <c r="CE89" i="1" s="1"/>
  <c r="CD90" i="1" s="1"/>
  <c r="CE90" i="1" s="1"/>
  <c r="CD91" i="1" s="1"/>
  <c r="CE91" i="1" s="1"/>
  <c r="CD92" i="1" s="1"/>
  <c r="CE92" i="1" s="1"/>
  <c r="CD93" i="1" s="1"/>
  <c r="CE93" i="1" s="1"/>
  <c r="CD94" i="1" s="1"/>
  <c r="CE94" i="1" s="1"/>
  <c r="CD95" i="1" s="1"/>
  <c r="CE95" i="1" s="1"/>
  <c r="CD96" i="1" s="1"/>
  <c r="CE96" i="1" s="1"/>
  <c r="CD97" i="1" s="1"/>
  <c r="CE97" i="1" s="1"/>
  <c r="CD98" i="1" s="1"/>
  <c r="CE98" i="1" s="1"/>
  <c r="CD99" i="1" s="1"/>
  <c r="CE99" i="1" s="1"/>
  <c r="CD100" i="1" s="1"/>
  <c r="CE100" i="1" s="1"/>
  <c r="CD101" i="1" s="1"/>
  <c r="CE101" i="1" s="1"/>
  <c r="CD102" i="1" s="1"/>
  <c r="CE102" i="1" s="1"/>
  <c r="CD103" i="1" s="1"/>
  <c r="CE103" i="1" s="1"/>
  <c r="CD104" i="1" s="1"/>
  <c r="CE104" i="1" s="1"/>
  <c r="CD105" i="1" s="1"/>
  <c r="CE105" i="1" s="1"/>
  <c r="CD106" i="1" s="1"/>
  <c r="CE106" i="1" s="1"/>
  <c r="CD107" i="1" s="1"/>
  <c r="CE107" i="1" s="1"/>
  <c r="CD108" i="1" s="1"/>
  <c r="CE108" i="1" s="1"/>
  <c r="CD109" i="1" s="1"/>
  <c r="CE109" i="1" s="1"/>
  <c r="CD110" i="1" s="1"/>
  <c r="CE110" i="1" s="1"/>
  <c r="CD111" i="1" s="1"/>
  <c r="CE111" i="1" s="1"/>
  <c r="CD112" i="1" s="1"/>
  <c r="CE112" i="1" s="1"/>
  <c r="CD113" i="1" s="1"/>
  <c r="CE113" i="1" s="1"/>
  <c r="CD114" i="1" s="1"/>
  <c r="CE114" i="1" s="1"/>
  <c r="CD115" i="1" s="1"/>
  <c r="CE115" i="1" s="1"/>
  <c r="CD116" i="1" s="1"/>
  <c r="CE116" i="1" s="1"/>
  <c r="CD117" i="1" s="1"/>
  <c r="CE117" i="1" s="1"/>
  <c r="CD118" i="1" s="1"/>
  <c r="CE118" i="1" s="1"/>
  <c r="CD119" i="1" s="1"/>
  <c r="CE119" i="1" s="1"/>
  <c r="CD120" i="1" s="1"/>
  <c r="CE120" i="1" s="1"/>
  <c r="CD121" i="1" s="1"/>
  <c r="CE121" i="1" s="1"/>
  <c r="CD122" i="1" s="1"/>
  <c r="CE122" i="1" s="1"/>
  <c r="CD123" i="1" s="1"/>
  <c r="CE123" i="1" s="1"/>
  <c r="CD124" i="1" s="1"/>
  <c r="CE124" i="1" s="1"/>
  <c r="AV44" i="1"/>
  <c r="AV33" i="1"/>
  <c r="AY35" i="1"/>
  <c r="AV26" i="1"/>
  <c r="AY34" i="1"/>
  <c r="AV39" i="1"/>
  <c r="AV41" i="1"/>
  <c r="AY43" i="1"/>
  <c r="AV34" i="1"/>
  <c r="AV35" i="1"/>
  <c r="AY42" i="1"/>
  <c r="AY37" i="1"/>
  <c r="AY44" i="1"/>
  <c r="BL67" i="1"/>
  <c r="AC8" i="1"/>
  <c r="AB9" i="1" s="1"/>
  <c r="AC9" i="1" s="1"/>
  <c r="AB10" i="1" s="1"/>
  <c r="AC10" i="1" s="1"/>
  <c r="AW4" i="1" l="1"/>
  <c r="AV4" i="1"/>
  <c r="AY4" i="1"/>
  <c r="CC4" i="1" a="1"/>
  <c r="BM67" i="1"/>
  <c r="AB11" i="1"/>
  <c r="AC11" i="1" s="1"/>
  <c r="CG49" i="1" l="1"/>
  <c r="CG45" i="1"/>
  <c r="CG41" i="1"/>
  <c r="CG38" i="1"/>
  <c r="CG29" i="1"/>
  <c r="CG22" i="1"/>
  <c r="CG13" i="1"/>
  <c r="CG6" i="1"/>
  <c r="CG36" i="1"/>
  <c r="CG27" i="1"/>
  <c r="CG34" i="1"/>
  <c r="CG25" i="1"/>
  <c r="CG18" i="1"/>
  <c r="CG9" i="1"/>
  <c r="CG50" i="1"/>
  <c r="CG46" i="1"/>
  <c r="CG42" i="1"/>
  <c r="CG39" i="1"/>
  <c r="CG32" i="1"/>
  <c r="CG23" i="1"/>
  <c r="CG16" i="1"/>
  <c r="CG7" i="1"/>
  <c r="CG51" i="1"/>
  <c r="CG47" i="1"/>
  <c r="CG43" i="1"/>
  <c r="CG37" i="1"/>
  <c r="CG30" i="1"/>
  <c r="CG21" i="1"/>
  <c r="CG14" i="1"/>
  <c r="CG5" i="1"/>
  <c r="CG35" i="1"/>
  <c r="CG28" i="1"/>
  <c r="CG19" i="1"/>
  <c r="CG12" i="1"/>
  <c r="CG48" i="1"/>
  <c r="CG31" i="1"/>
  <c r="CG17" i="1"/>
  <c r="CG20" i="1"/>
  <c r="CG33" i="1"/>
  <c r="CG24" i="1"/>
  <c r="CG44" i="1"/>
  <c r="CG10" i="1"/>
  <c r="CG15" i="1"/>
  <c r="CG11" i="1"/>
  <c r="CG40" i="1"/>
  <c r="CG8" i="1"/>
  <c r="CG26" i="1"/>
  <c r="CH63" i="1"/>
  <c r="CH55" i="1"/>
  <c r="CR64" i="1"/>
  <c r="CI63" i="1"/>
  <c r="CK63" i="1" s="1" a="1"/>
  <c r="CK63" i="1" s="1"/>
  <c r="CO61" i="1"/>
  <c r="CF60" i="1"/>
  <c r="CJ58" i="1" a="1"/>
  <c r="CJ58" i="1" s="1"/>
  <c r="CR56" i="1"/>
  <c r="CI55" i="1"/>
  <c r="CK55" i="1" s="1" a="1"/>
  <c r="CK55" i="1" s="1"/>
  <c r="CR53" i="1"/>
  <c r="CH62" i="1"/>
  <c r="CH54" i="1"/>
  <c r="CO64" i="1"/>
  <c r="CF63" i="1"/>
  <c r="CJ61" i="1" a="1"/>
  <c r="CJ61" i="1" s="1"/>
  <c r="CR59" i="1"/>
  <c r="CI58" i="1"/>
  <c r="CK58" i="1" s="1" a="1"/>
  <c r="CK58" i="1" s="1"/>
  <c r="CO56" i="1"/>
  <c r="CF55" i="1"/>
  <c r="CO53" i="1"/>
  <c r="CH61" i="1"/>
  <c r="CH53" i="1"/>
  <c r="CJ64" i="1" a="1"/>
  <c r="CJ64" i="1" s="1"/>
  <c r="CR62" i="1"/>
  <c r="CI61" i="1"/>
  <c r="CK61" i="1" s="1" a="1"/>
  <c r="CK61" i="1" s="1"/>
  <c r="CO59" i="1"/>
  <c r="CF58" i="1"/>
  <c r="CJ56" i="1" a="1"/>
  <c r="CJ56" i="1" s="1"/>
  <c r="CR54" i="1"/>
  <c r="CJ53" i="1" a="1"/>
  <c r="CJ53" i="1" s="1"/>
  <c r="CH60" i="1"/>
  <c r="CI64" i="1"/>
  <c r="CK64" i="1" s="1" a="1"/>
  <c r="CK64" i="1" s="1"/>
  <c r="CO62" i="1"/>
  <c r="CF61" i="1"/>
  <c r="CJ59" i="1" a="1"/>
  <c r="CJ59" i="1" s="1"/>
  <c r="CR57" i="1"/>
  <c r="CI56" i="1"/>
  <c r="CK56" i="1" s="1" a="1"/>
  <c r="CK56" i="1" s="1"/>
  <c r="CO54" i="1"/>
  <c r="CI53" i="1"/>
  <c r="CK53" i="1" s="1" a="1"/>
  <c r="CK53" i="1" s="1"/>
  <c r="CH59" i="1"/>
  <c r="CF64" i="1"/>
  <c r="CJ62" i="1" a="1"/>
  <c r="CJ62" i="1" s="1"/>
  <c r="CR60" i="1"/>
  <c r="CI59" i="1"/>
  <c r="CK59" i="1" s="1" a="1"/>
  <c r="CK59" i="1" s="1"/>
  <c r="CO57" i="1"/>
  <c r="CF56" i="1"/>
  <c r="CJ54" i="1" a="1"/>
  <c r="CJ54" i="1" s="1"/>
  <c r="CH58" i="1"/>
  <c r="CR63" i="1"/>
  <c r="CI62" i="1"/>
  <c r="CK62" i="1" s="1" a="1"/>
  <c r="CK62" i="1" s="1"/>
  <c r="CO60" i="1"/>
  <c r="CF59" i="1"/>
  <c r="CJ57" i="1" a="1"/>
  <c r="CJ57" i="1" s="1"/>
  <c r="CR55" i="1"/>
  <c r="CI54" i="1"/>
  <c r="CK54" i="1" s="1" a="1"/>
  <c r="CK54" i="1" s="1"/>
  <c r="CF53" i="1"/>
  <c r="CH57" i="1"/>
  <c r="CO63" i="1"/>
  <c r="CF62" i="1"/>
  <c r="CJ60" i="1" a="1"/>
  <c r="CJ60" i="1" s="1"/>
  <c r="CR58" i="1"/>
  <c r="CI57" i="1"/>
  <c r="CK57" i="1" s="1" a="1"/>
  <c r="CK57" i="1" s="1"/>
  <c r="CO55" i="1"/>
  <c r="CH64" i="1"/>
  <c r="CH56" i="1"/>
  <c r="CJ63" i="1" a="1"/>
  <c r="CJ63" i="1" s="1"/>
  <c r="CR61" i="1"/>
  <c r="CI60" i="1"/>
  <c r="CK60" i="1" s="1" a="1"/>
  <c r="CK60" i="1" s="1"/>
  <c r="CO58" i="1"/>
  <c r="CF57" i="1"/>
  <c r="CJ55" i="1" a="1"/>
  <c r="CJ55" i="1" s="1"/>
  <c r="CF54" i="1"/>
  <c r="CI30" i="1"/>
  <c r="CI52" i="1"/>
  <c r="CF52" i="1"/>
  <c r="CF19" i="1"/>
  <c r="CI22" i="1"/>
  <c r="CI20" i="1"/>
  <c r="CF32" i="1"/>
  <c r="CF35" i="1"/>
  <c r="CI36" i="1"/>
  <c r="CF45" i="1"/>
  <c r="CI41" i="1"/>
  <c r="CI24" i="1"/>
  <c r="CF24" i="1"/>
  <c r="CF26" i="1"/>
  <c r="CI27" i="1"/>
  <c r="CF31" i="1"/>
  <c r="CF25" i="1"/>
  <c r="CF15" i="1"/>
  <c r="CF49" i="1"/>
  <c r="CF23" i="1"/>
  <c r="CF13" i="1"/>
  <c r="CF30" i="1"/>
  <c r="CF33" i="1"/>
  <c r="CI28" i="1"/>
  <c r="CF11" i="1"/>
  <c r="CI7" i="1"/>
  <c r="CC4" i="1"/>
  <c r="CI17" i="1"/>
  <c r="CI19" i="1"/>
  <c r="CI35" i="1"/>
  <c r="CI9" i="1"/>
  <c r="CF43" i="1"/>
  <c r="CI51" i="1"/>
  <c r="CF12" i="1"/>
  <c r="CI49" i="1"/>
  <c r="CF5" i="1"/>
  <c r="CF38" i="1"/>
  <c r="CF48" i="1"/>
  <c r="CI48" i="1"/>
  <c r="CF16" i="1"/>
  <c r="CI10" i="1"/>
  <c r="CF6" i="1"/>
  <c r="CI38" i="1"/>
  <c r="CF47" i="1"/>
  <c r="CI47" i="1"/>
  <c r="CF10" i="1"/>
  <c r="CI14" i="1"/>
  <c r="CI6" i="1"/>
  <c r="CI12" i="1"/>
  <c r="CF50" i="1"/>
  <c r="CI18" i="1"/>
  <c r="CI13" i="1"/>
  <c r="CF18" i="1"/>
  <c r="CF40" i="1"/>
  <c r="CI31" i="1"/>
  <c r="CF29" i="1"/>
  <c r="CF39" i="1"/>
  <c r="CI34" i="1"/>
  <c r="CF44" i="1"/>
  <c r="CF27" i="1"/>
  <c r="CF46" i="1"/>
  <c r="CI50" i="1"/>
  <c r="CF17" i="1"/>
  <c r="CI46" i="1"/>
  <c r="CF8" i="1"/>
  <c r="CI11" i="1"/>
  <c r="CI26" i="1"/>
  <c r="CF51" i="1"/>
  <c r="CF42" i="1"/>
  <c r="CF36" i="1"/>
  <c r="CI23" i="1"/>
  <c r="CI5" i="1"/>
  <c r="CF37" i="1"/>
  <c r="CI25" i="1"/>
  <c r="CF34" i="1"/>
  <c r="CF28" i="1"/>
  <c r="CI21" i="1"/>
  <c r="CI33" i="1"/>
  <c r="CF7" i="1"/>
  <c r="CI32" i="1"/>
  <c r="CI8" i="1"/>
  <c r="CI16" i="1"/>
  <c r="CF21" i="1"/>
  <c r="CF41" i="1"/>
  <c r="CI37" i="1"/>
  <c r="CF9" i="1"/>
  <c r="CF20" i="1"/>
  <c r="CI40" i="1"/>
  <c r="CI39" i="1"/>
  <c r="CI42" i="1"/>
  <c r="CI29" i="1"/>
  <c r="CI15" i="1"/>
  <c r="CI45" i="1"/>
  <c r="CF14" i="1"/>
  <c r="CI44" i="1"/>
  <c r="CF22" i="1"/>
  <c r="CI43" i="1"/>
  <c r="BL68" i="1"/>
  <c r="AB12" i="1"/>
  <c r="AC12" i="1" s="1"/>
  <c r="CG4" i="1" l="1"/>
  <c r="CI4" i="1"/>
  <c r="CF4" i="1"/>
  <c r="BM68" i="1"/>
  <c r="AB13" i="1"/>
  <c r="AC13" i="1" s="1"/>
  <c r="F2" i="3"/>
  <c r="K4" i="1"/>
  <c r="O6" i="7" s="1"/>
  <c r="J4" i="1"/>
  <c r="T3" i="1"/>
  <c r="B3" i="13" l="1"/>
  <c r="N6" i="7"/>
  <c r="B3" i="4"/>
  <c r="J5" i="1"/>
  <c r="N7" i="7" s="1"/>
  <c r="BL69" i="1"/>
  <c r="AB14" i="1"/>
  <c r="AC14" i="1" s="1"/>
  <c r="C3" i="4"/>
  <c r="AX4" i="1" l="1"/>
  <c r="CH4" i="1"/>
  <c r="P3" i="13"/>
  <c r="O3" i="13"/>
  <c r="N3" i="13"/>
  <c r="K5" i="1"/>
  <c r="B4" i="13"/>
  <c r="B4" i="4"/>
  <c r="BM69" i="1"/>
  <c r="AB15" i="1"/>
  <c r="AC15" i="1" s="1"/>
  <c r="CH5" i="1" l="1"/>
  <c r="AX5" i="1"/>
  <c r="O4" i="13"/>
  <c r="N4" i="13"/>
  <c r="P4" i="13"/>
  <c r="O7" i="7"/>
  <c r="C4" i="4"/>
  <c r="BL70" i="1"/>
  <c r="AB16" i="1"/>
  <c r="AC16" i="1" s="1"/>
  <c r="BM70" i="1" l="1"/>
  <c r="BL71" i="1" s="1"/>
  <c r="BM71" i="1" s="1"/>
  <c r="BL72" i="1" s="1"/>
  <c r="BM72" i="1" s="1"/>
  <c r="BL73" i="1" s="1"/>
  <c r="BM73" i="1" s="1"/>
  <c r="BL74" i="1" s="1"/>
  <c r="BM74" i="1" s="1"/>
  <c r="BL75" i="1" s="1"/>
  <c r="BM75" i="1" s="1"/>
  <c r="BL76" i="1" s="1"/>
  <c r="BM76" i="1" s="1"/>
  <c r="BL77" i="1" s="1"/>
  <c r="BM77" i="1" s="1"/>
  <c r="BL78" i="1" s="1"/>
  <c r="BM78" i="1" s="1"/>
  <c r="BL79" i="1" s="1"/>
  <c r="BM79" i="1" s="1"/>
  <c r="BL80" i="1" s="1"/>
  <c r="BM80" i="1" s="1"/>
  <c r="BL81" i="1" s="1"/>
  <c r="BM81" i="1" s="1"/>
  <c r="BL82" i="1" s="1"/>
  <c r="BM82" i="1" s="1"/>
  <c r="BL83" i="1" s="1"/>
  <c r="BM83" i="1" s="1"/>
  <c r="BL84" i="1" s="1"/>
  <c r="BM84" i="1" s="1"/>
  <c r="BL85" i="1" s="1"/>
  <c r="BM85" i="1" s="1"/>
  <c r="BL86" i="1" s="1"/>
  <c r="BM86" i="1" s="1"/>
  <c r="BL87" i="1" s="1"/>
  <c r="BM87" i="1" s="1"/>
  <c r="BL88" i="1" s="1"/>
  <c r="BM88" i="1" s="1"/>
  <c r="BL89" i="1" s="1"/>
  <c r="BM89" i="1" s="1"/>
  <c r="BL90" i="1" s="1"/>
  <c r="BM90" i="1" s="1"/>
  <c r="BL91" i="1" s="1"/>
  <c r="BM91" i="1" s="1"/>
  <c r="BL92" i="1" s="1"/>
  <c r="BM92" i="1" s="1"/>
  <c r="BL93" i="1" s="1"/>
  <c r="BM93" i="1" s="1"/>
  <c r="BL94" i="1" s="1"/>
  <c r="BM94" i="1" s="1"/>
  <c r="BL95" i="1" s="1"/>
  <c r="BM95" i="1" s="1"/>
  <c r="BL96" i="1" s="1"/>
  <c r="BM96" i="1" s="1"/>
  <c r="BL97" i="1" s="1"/>
  <c r="BM97" i="1" s="1"/>
  <c r="BL98" i="1" s="1"/>
  <c r="BM98" i="1" s="1"/>
  <c r="BL99" i="1" s="1"/>
  <c r="BM99" i="1" s="1"/>
  <c r="BL100" i="1" s="1"/>
  <c r="BM100" i="1" s="1"/>
  <c r="BL101" i="1" s="1"/>
  <c r="BM101" i="1" s="1"/>
  <c r="BL102" i="1" s="1"/>
  <c r="BM102" i="1" s="1"/>
  <c r="BL103" i="1" s="1"/>
  <c r="BM103" i="1" s="1"/>
  <c r="BL104" i="1" s="1"/>
  <c r="BM104" i="1" s="1"/>
  <c r="BL105" i="1" s="1"/>
  <c r="BM105" i="1" s="1"/>
  <c r="BL106" i="1" s="1"/>
  <c r="BM106" i="1" s="1"/>
  <c r="BL107" i="1" s="1"/>
  <c r="BM107" i="1" s="1"/>
  <c r="BL108" i="1" s="1"/>
  <c r="BM108" i="1" s="1"/>
  <c r="BL109" i="1" s="1"/>
  <c r="BM109" i="1" s="1"/>
  <c r="BL110" i="1" s="1"/>
  <c r="BM110" i="1" s="1"/>
  <c r="BL111" i="1" s="1"/>
  <c r="BM111" i="1" s="1"/>
  <c r="BL112" i="1" s="1"/>
  <c r="BM112" i="1" s="1"/>
  <c r="BL113" i="1" s="1"/>
  <c r="BM113" i="1" s="1"/>
  <c r="BL114" i="1" s="1"/>
  <c r="BM114" i="1" s="1"/>
  <c r="BL115" i="1" s="1"/>
  <c r="BM115" i="1" s="1"/>
  <c r="BL116" i="1" s="1"/>
  <c r="BM116" i="1" s="1"/>
  <c r="BL117" i="1" s="1"/>
  <c r="BM117" i="1" s="1"/>
  <c r="BL118" i="1" s="1"/>
  <c r="BM118" i="1" s="1"/>
  <c r="BL119" i="1" s="1"/>
  <c r="BM119" i="1" s="1"/>
  <c r="BL120" i="1" s="1"/>
  <c r="BM120" i="1" s="1"/>
  <c r="BL121" i="1" s="1"/>
  <c r="BM121" i="1" s="1"/>
  <c r="BL122" i="1" s="1"/>
  <c r="BM122" i="1" s="1"/>
  <c r="BL123" i="1" s="1"/>
  <c r="BM123" i="1" s="1"/>
  <c r="BL124" i="1" s="1"/>
  <c r="BM124" i="1" s="1"/>
  <c r="AB17" i="1"/>
  <c r="AC17" i="1" s="1"/>
  <c r="BK4" i="1" l="1" a="1"/>
  <c r="AB18" i="1"/>
  <c r="AC18" i="1" s="1"/>
  <c r="BO35" i="1" l="1"/>
  <c r="BO26" i="1"/>
  <c r="BO19" i="1"/>
  <c r="BO10" i="1"/>
  <c r="BO44" i="1"/>
  <c r="BO33" i="1"/>
  <c r="BO48" i="1"/>
  <c r="BO40" i="1"/>
  <c r="BO24" i="1"/>
  <c r="BO38" i="1"/>
  <c r="BO31" i="1"/>
  <c r="BO22" i="1"/>
  <c r="BO15" i="1"/>
  <c r="BO6" i="1"/>
  <c r="BO49" i="1"/>
  <c r="BO45" i="1"/>
  <c r="BO41" i="1"/>
  <c r="BO36" i="1"/>
  <c r="BO29" i="1"/>
  <c r="BO20" i="1"/>
  <c r="BO13" i="1"/>
  <c r="BO34" i="1"/>
  <c r="BO27" i="1"/>
  <c r="BO18" i="1"/>
  <c r="BO11" i="1"/>
  <c r="BO50" i="1"/>
  <c r="BO46" i="1"/>
  <c r="BO42" i="1"/>
  <c r="BO32" i="1"/>
  <c r="BO25" i="1"/>
  <c r="BO16" i="1"/>
  <c r="BO9" i="1"/>
  <c r="BO14" i="1"/>
  <c r="BO21" i="1"/>
  <c r="BO7" i="1"/>
  <c r="BO51" i="1"/>
  <c r="BO43" i="1"/>
  <c r="BO23" i="1"/>
  <c r="BO39" i="1"/>
  <c r="BO28" i="1"/>
  <c r="BO12" i="1"/>
  <c r="BO17" i="1"/>
  <c r="BO5" i="1"/>
  <c r="BO8" i="1"/>
  <c r="BO30" i="1"/>
  <c r="BO37" i="1"/>
  <c r="BO47" i="1"/>
  <c r="BP63" i="1"/>
  <c r="BP55" i="1"/>
  <c r="BQ64" i="1"/>
  <c r="BS64" i="1" s="1" a="1"/>
  <c r="BS64" i="1" s="1"/>
  <c r="BW62" i="1"/>
  <c r="BN61" i="1"/>
  <c r="BR59" i="1" a="1"/>
  <c r="BR59" i="1" s="1"/>
  <c r="BZ57" i="1"/>
  <c r="BR56" i="1" a="1"/>
  <c r="BR56" i="1" s="1"/>
  <c r="BZ54" i="1"/>
  <c r="BP62" i="1"/>
  <c r="BP54" i="1"/>
  <c r="BN64" i="1"/>
  <c r="BR62" i="1" a="1"/>
  <c r="BR62" i="1" s="1"/>
  <c r="BZ60" i="1"/>
  <c r="BQ59" i="1"/>
  <c r="BS59" i="1" s="1" a="1"/>
  <c r="BS59" i="1" s="1"/>
  <c r="BW57" i="1"/>
  <c r="BQ56" i="1"/>
  <c r="BS56" i="1" s="1" a="1"/>
  <c r="BS56" i="1" s="1"/>
  <c r="BW54" i="1"/>
  <c r="BR53" i="1" a="1"/>
  <c r="BR53" i="1" s="1"/>
  <c r="BZ59" i="1"/>
  <c r="BP61" i="1"/>
  <c r="BP53" i="1"/>
  <c r="BZ63" i="1"/>
  <c r="BQ62" i="1"/>
  <c r="BS62" i="1" s="1" a="1"/>
  <c r="BS62" i="1" s="1"/>
  <c r="BW60" i="1"/>
  <c r="BN59" i="1"/>
  <c r="BR57" i="1" a="1"/>
  <c r="BR57" i="1" s="1"/>
  <c r="BN56" i="1"/>
  <c r="BQ53" i="1"/>
  <c r="BS53" i="1" s="1" a="1"/>
  <c r="BS53" i="1" s="1"/>
  <c r="BP60" i="1"/>
  <c r="BW63" i="1"/>
  <c r="BN62" i="1"/>
  <c r="BR60" i="1" a="1"/>
  <c r="BR60" i="1" s="1"/>
  <c r="BZ58" i="1"/>
  <c r="BQ57" i="1"/>
  <c r="BS57" i="1" s="1" a="1"/>
  <c r="BS57" i="1" s="1"/>
  <c r="BZ55" i="1"/>
  <c r="BR54" i="1" a="1"/>
  <c r="BR54" i="1" s="1"/>
  <c r="BN53" i="1"/>
  <c r="BN63" i="1"/>
  <c r="BZ56" i="1"/>
  <c r="BP59" i="1"/>
  <c r="BR63" i="1" a="1"/>
  <c r="BR63" i="1" s="1"/>
  <c r="BZ61" i="1"/>
  <c r="BQ60" i="1"/>
  <c r="BS60" i="1" s="1" a="1"/>
  <c r="BS60" i="1" s="1"/>
  <c r="BW58" i="1"/>
  <c r="BW55" i="1"/>
  <c r="BQ54" i="1"/>
  <c r="BS54" i="1" s="1" a="1"/>
  <c r="BS54" i="1" s="1"/>
  <c r="BP58" i="1"/>
  <c r="BZ64" i="1"/>
  <c r="BQ63" i="1"/>
  <c r="BS63" i="1" s="1" a="1"/>
  <c r="BS63" i="1" s="1"/>
  <c r="BW61" i="1"/>
  <c r="BN60" i="1"/>
  <c r="BR58" i="1" a="1"/>
  <c r="BR58" i="1" s="1"/>
  <c r="BN57" i="1"/>
  <c r="BR55" i="1" a="1"/>
  <c r="BR55" i="1" s="1"/>
  <c r="BN54" i="1"/>
  <c r="BW64" i="1"/>
  <c r="BQ58" i="1"/>
  <c r="BS58" i="1" s="1" a="1"/>
  <c r="BS58" i="1" s="1"/>
  <c r="BZ53" i="1"/>
  <c r="BP57" i="1"/>
  <c r="BP64" i="1"/>
  <c r="BP56" i="1"/>
  <c r="BR64" i="1" a="1"/>
  <c r="BR64" i="1" s="1"/>
  <c r="BZ62" i="1"/>
  <c r="BQ61" i="1"/>
  <c r="BS61" i="1" s="1" a="1"/>
  <c r="BS61" i="1" s="1"/>
  <c r="BW59" i="1"/>
  <c r="BN58" i="1"/>
  <c r="BW56" i="1"/>
  <c r="BN55" i="1"/>
  <c r="BW53" i="1"/>
  <c r="BR61" i="1" a="1"/>
  <c r="BR61" i="1" s="1"/>
  <c r="BQ55" i="1"/>
  <c r="BS55" i="1" s="1" a="1"/>
  <c r="BS55" i="1" s="1"/>
  <c r="BN52" i="1"/>
  <c r="BQ52" i="1"/>
  <c r="BN33" i="1"/>
  <c r="BN51" i="1"/>
  <c r="BN45" i="1"/>
  <c r="BN38" i="1"/>
  <c r="BQ19" i="1"/>
  <c r="BN25" i="1"/>
  <c r="BQ21" i="1"/>
  <c r="BQ35" i="1"/>
  <c r="BN7" i="1"/>
  <c r="BQ7" i="1"/>
  <c r="BQ8" i="1"/>
  <c r="BQ17" i="1"/>
  <c r="BQ48" i="1"/>
  <c r="BN26" i="1"/>
  <c r="BN12" i="1"/>
  <c r="BQ28" i="1"/>
  <c r="BQ46" i="1"/>
  <c r="BQ40" i="1"/>
  <c r="BQ33" i="1"/>
  <c r="BN16" i="1"/>
  <c r="BQ20" i="1"/>
  <c r="BN18" i="1"/>
  <c r="BN28" i="1"/>
  <c r="BK4" i="1"/>
  <c r="BN23" i="1"/>
  <c r="BN5" i="1"/>
  <c r="BN14" i="1"/>
  <c r="BQ36" i="1"/>
  <c r="BN24" i="1"/>
  <c r="BQ31" i="1"/>
  <c r="BN15" i="1"/>
  <c r="BN50" i="1"/>
  <c r="BN43" i="1"/>
  <c r="BN37" i="1"/>
  <c r="BN30" i="1"/>
  <c r="BQ11" i="1"/>
  <c r="BN17" i="1"/>
  <c r="BQ13" i="1"/>
  <c r="BQ22" i="1"/>
  <c r="BN39" i="1"/>
  <c r="BQ26" i="1"/>
  <c r="BQ9" i="1"/>
  <c r="BQ29" i="1"/>
  <c r="BN22" i="1"/>
  <c r="BQ45" i="1"/>
  <c r="BQ38" i="1"/>
  <c r="BQ32" i="1"/>
  <c r="BN47" i="1"/>
  <c r="BN8" i="1"/>
  <c r="BQ12" i="1"/>
  <c r="BN10" i="1"/>
  <c r="BN19" i="1"/>
  <c r="BQ39" i="1"/>
  <c r="BN32" i="1"/>
  <c r="BQ50" i="1"/>
  <c r="BN6" i="1"/>
  <c r="BQ41" i="1"/>
  <c r="BQ42" i="1"/>
  <c r="BN13" i="1"/>
  <c r="BN49" i="1"/>
  <c r="BN42" i="1"/>
  <c r="BN35" i="1"/>
  <c r="BN29" i="1"/>
  <c r="BN40" i="1"/>
  <c r="BQ10" i="1"/>
  <c r="BN9" i="1"/>
  <c r="BQ5" i="1"/>
  <c r="BQ14" i="1"/>
  <c r="BQ23" i="1"/>
  <c r="BQ24" i="1"/>
  <c r="BQ43" i="1"/>
  <c r="BQ44" i="1"/>
  <c r="BQ37" i="1"/>
  <c r="BQ30" i="1"/>
  <c r="BQ49" i="1"/>
  <c r="BQ34" i="1"/>
  <c r="BQ51" i="1"/>
  <c r="BQ47" i="1"/>
  <c r="BQ18" i="1"/>
  <c r="BN11" i="1"/>
  <c r="BN20" i="1"/>
  <c r="BN21" i="1"/>
  <c r="BN36" i="1"/>
  <c r="BN41" i="1"/>
  <c r="BN34" i="1"/>
  <c r="BN27" i="1"/>
  <c r="BN46" i="1"/>
  <c r="BQ27" i="1"/>
  <c r="BN44" i="1"/>
  <c r="BN31" i="1"/>
  <c r="BN48" i="1"/>
  <c r="BQ6" i="1"/>
  <c r="BQ15" i="1"/>
  <c r="BQ16" i="1"/>
  <c r="BQ25" i="1"/>
  <c r="AB19" i="1"/>
  <c r="AC19" i="1" s="1"/>
  <c r="BO4" i="1" l="1"/>
  <c r="BQ4" i="1"/>
  <c r="BP4" i="1"/>
  <c r="BP5" i="1" s="1"/>
  <c r="BN4" i="1"/>
  <c r="AB20" i="1"/>
  <c r="AC20" i="1" s="1"/>
  <c r="AB21" i="1" l="1"/>
  <c r="AC21" i="1" s="1"/>
  <c r="AB22" i="1" l="1"/>
  <c r="AC22" i="1" s="1"/>
  <c r="BR52" i="1" a="1"/>
  <c r="BR52" i="1" s="1"/>
  <c r="AZ52" i="1" a="1"/>
  <c r="AZ52" i="1" s="1"/>
  <c r="CJ52" i="1" a="1"/>
  <c r="CJ52" i="1" s="1"/>
  <c r="J6" i="1"/>
  <c r="B5" i="13" l="1"/>
  <c r="N8" i="7"/>
  <c r="BA47" i="1" a="1"/>
  <c r="BA47" i="1" s="1"/>
  <c r="BA48" i="1" a="1"/>
  <c r="BA48" i="1" s="1"/>
  <c r="BA40" i="1" a="1"/>
  <c r="BA40" i="1" s="1"/>
  <c r="BA52" i="1" a="1"/>
  <c r="BA52" i="1" s="1"/>
  <c r="BA41" i="1" a="1"/>
  <c r="BA41" i="1" s="1"/>
  <c r="BA38" i="1" a="1"/>
  <c r="BA38" i="1" s="1"/>
  <c r="BA42" i="1" a="1"/>
  <c r="BA42" i="1" s="1"/>
  <c r="BA43" i="1" a="1"/>
  <c r="BA43" i="1" s="1"/>
  <c r="BA44" i="1" a="1"/>
  <c r="BA44" i="1" s="1"/>
  <c r="BA46" i="1" a="1"/>
  <c r="BA46" i="1" s="1"/>
  <c r="BA51" i="1" a="1"/>
  <c r="BA51" i="1" s="1"/>
  <c r="BA39" i="1" a="1"/>
  <c r="BA39" i="1" s="1"/>
  <c r="BA50" i="1" a="1"/>
  <c r="BA50" i="1" s="1"/>
  <c r="BA45" i="1" a="1"/>
  <c r="BA45" i="1" s="1"/>
  <c r="BA49" i="1" a="1"/>
  <c r="BA49" i="1" s="1"/>
  <c r="CK50" i="1" a="1"/>
  <c r="CK50" i="1" s="1"/>
  <c r="CK45" i="1" a="1"/>
  <c r="CK45" i="1" s="1"/>
  <c r="CK39" i="1" a="1"/>
  <c r="CK39" i="1" s="1"/>
  <c r="CK48" i="1" a="1"/>
  <c r="CK48" i="1" s="1"/>
  <c r="CK38" i="1" a="1"/>
  <c r="CK38" i="1" s="1"/>
  <c r="CK49" i="1" a="1"/>
  <c r="CK49" i="1" s="1"/>
  <c r="CK43" i="1" a="1"/>
  <c r="CK43" i="1" s="1"/>
  <c r="CK40" i="1" a="1"/>
  <c r="CK40" i="1" s="1"/>
  <c r="CK47" i="1" a="1"/>
  <c r="CK47" i="1" s="1"/>
  <c r="CK41" i="1" a="1"/>
  <c r="CK41" i="1" s="1"/>
  <c r="CK52" i="1" a="1"/>
  <c r="CK52" i="1" s="1"/>
  <c r="CK51" i="1" a="1"/>
  <c r="CK51" i="1" s="1"/>
  <c r="CK44" i="1" a="1"/>
  <c r="CK44" i="1" s="1"/>
  <c r="CK46" i="1" a="1"/>
  <c r="CK46" i="1" s="1"/>
  <c r="CK42" i="1" a="1"/>
  <c r="CK42" i="1" s="1"/>
  <c r="BS47" i="1" a="1"/>
  <c r="BS47" i="1" s="1"/>
  <c r="BS42" i="1" a="1"/>
  <c r="BS42" i="1" s="1"/>
  <c r="BS41" i="1" a="1"/>
  <c r="BS41" i="1" s="1"/>
  <c r="BS52" i="1" a="1"/>
  <c r="BS52" i="1" s="1"/>
  <c r="BS48" i="1" a="1"/>
  <c r="BS48" i="1" s="1"/>
  <c r="BS38" i="1" a="1"/>
  <c r="BS38" i="1" s="1"/>
  <c r="BS49" i="1" a="1"/>
  <c r="BS49" i="1" s="1"/>
  <c r="BS46" i="1" a="1"/>
  <c r="BS46" i="1" s="1"/>
  <c r="BS40" i="1" a="1"/>
  <c r="BS40" i="1" s="1"/>
  <c r="BS43" i="1" a="1"/>
  <c r="BS43" i="1" s="1"/>
  <c r="BS50" i="1" a="1"/>
  <c r="BS50" i="1" s="1"/>
  <c r="BS51" i="1" a="1"/>
  <c r="BS51" i="1" s="1"/>
  <c r="BS44" i="1" a="1"/>
  <c r="BS44" i="1" s="1"/>
  <c r="BS39" i="1" a="1"/>
  <c r="BS39" i="1" s="1"/>
  <c r="BS45" i="1" a="1"/>
  <c r="BS45" i="1" s="1"/>
  <c r="B5" i="4"/>
  <c r="AB23" i="1"/>
  <c r="AC23" i="1" s="1"/>
  <c r="K6" i="1"/>
  <c r="B116" i="3" l="1"/>
  <c r="B117" i="3" s="1"/>
  <c r="B118" i="3" s="1"/>
  <c r="B119" i="3" s="1"/>
  <c r="B120" i="3" s="1"/>
  <c r="CJ48" i="1" a="1"/>
  <c r="CJ48" i="1" s="1"/>
  <c r="O8" i="7"/>
  <c r="P5" i="13"/>
  <c r="O5" i="13"/>
  <c r="N5" i="13"/>
  <c r="AB24" i="1"/>
  <c r="AC24" i="1" s="1"/>
  <c r="J7" i="1"/>
  <c r="C5" i="4"/>
  <c r="B121" i="3" l="1"/>
  <c r="B122" i="3" s="1"/>
  <c r="B123" i="3" s="1"/>
  <c r="B124" i="3" s="1"/>
  <c r="B125" i="3" s="1"/>
  <c r="B126" i="3" s="1"/>
  <c r="B127" i="3" s="1"/>
  <c r="BR49" i="1" s="1" a="1"/>
  <c r="BR49" i="1" s="1"/>
  <c r="CK21" i="1" a="1"/>
  <c r="CK21" i="1" s="1"/>
  <c r="BS34" i="1" a="1"/>
  <c r="BS34" i="1" s="1"/>
  <c r="BS30" i="1" a="1"/>
  <c r="BS30" i="1" s="1"/>
  <c r="BS22" i="1" a="1"/>
  <c r="BS22" i="1" s="1"/>
  <c r="CK4" i="1" a="1"/>
  <c r="CK4" i="1" s="1"/>
  <c r="BA26" i="1" a="1"/>
  <c r="BA26" i="1" s="1"/>
  <c r="CK26" i="1" a="1"/>
  <c r="CK26" i="1" s="1"/>
  <c r="CK15" i="1" a="1"/>
  <c r="CK15" i="1" s="1"/>
  <c r="CK13" i="1" a="1"/>
  <c r="CK13" i="1" s="1"/>
  <c r="CK33" i="1" a="1"/>
  <c r="CK33" i="1" s="1"/>
  <c r="BS17" i="1" a="1"/>
  <c r="BS17" i="1" s="1"/>
  <c r="BS13" i="1" a="1"/>
  <c r="BS13" i="1" s="1"/>
  <c r="BS29" i="1" a="1"/>
  <c r="BS29" i="1" s="1"/>
  <c r="C3" i="13"/>
  <c r="BA23" i="1" a="1"/>
  <c r="BA23" i="1" s="1"/>
  <c r="BA16" i="1" a="1"/>
  <c r="BA16" i="1" s="1"/>
  <c r="BA35" i="1" a="1"/>
  <c r="BA35" i="1" s="1"/>
  <c r="BA10" i="1" a="1"/>
  <c r="BA10" i="1" s="1"/>
  <c r="CK28" i="1" a="1"/>
  <c r="CK28" i="1" s="1"/>
  <c r="CK20" i="1" a="1"/>
  <c r="CK20" i="1" s="1"/>
  <c r="CK5" i="1" a="1"/>
  <c r="CK5" i="1" s="1"/>
  <c r="CK29" i="1" a="1"/>
  <c r="CK29" i="1" s="1"/>
  <c r="BS25" i="1" a="1"/>
  <c r="BS25" i="1" s="1"/>
  <c r="BS6" i="1" a="1"/>
  <c r="BS6" i="1" s="1"/>
  <c r="BS7" i="1" a="1"/>
  <c r="BS7" i="1" s="1"/>
  <c r="BS32" i="1" a="1"/>
  <c r="BS32" i="1" s="1"/>
  <c r="BS4" i="1" a="1"/>
  <c r="BS4" i="1" s="1"/>
  <c r="BA36" i="1" a="1"/>
  <c r="BA36" i="1" s="1"/>
  <c r="BA8" i="1" a="1"/>
  <c r="BA8" i="1" s="1"/>
  <c r="BA27" i="1" a="1"/>
  <c r="BA27" i="1" s="1"/>
  <c r="BA5" i="1" a="1"/>
  <c r="BA5" i="1" s="1"/>
  <c r="CK14" i="1" a="1"/>
  <c r="CK14" i="1" s="1"/>
  <c r="CK37" i="1" a="1"/>
  <c r="CK37" i="1" s="1"/>
  <c r="CK34" i="1" a="1"/>
  <c r="CK34" i="1" s="1"/>
  <c r="CK7" i="1" a="1"/>
  <c r="CK7" i="1" s="1"/>
  <c r="BS5" i="1" a="1"/>
  <c r="BS5" i="1" s="1"/>
  <c r="BS27" i="1" a="1"/>
  <c r="BS27" i="1" s="1"/>
  <c r="BS16" i="1" a="1"/>
  <c r="BS16" i="1" s="1"/>
  <c r="BS21" i="1" a="1"/>
  <c r="BS21" i="1" s="1"/>
  <c r="BA34" i="1" a="1"/>
  <c r="BA34" i="1" s="1"/>
  <c r="BA9" i="1" a="1"/>
  <c r="BA9" i="1" s="1"/>
  <c r="BA18" i="1" a="1"/>
  <c r="BA18" i="1" s="1"/>
  <c r="BA33" i="1" a="1"/>
  <c r="BA33" i="1" s="1"/>
  <c r="CK35" i="1" a="1"/>
  <c r="CK35" i="1" s="1"/>
  <c r="CK12" i="1" a="1"/>
  <c r="CK12" i="1" s="1"/>
  <c r="CK10" i="1" a="1"/>
  <c r="CK10" i="1" s="1"/>
  <c r="CK22" i="1" a="1"/>
  <c r="CK22" i="1" s="1"/>
  <c r="CK30" i="1" a="1"/>
  <c r="CK30" i="1" s="1"/>
  <c r="BS19" i="1" a="1"/>
  <c r="BS19" i="1" s="1"/>
  <c r="BS11" i="1" a="1"/>
  <c r="BS11" i="1" s="1"/>
  <c r="BS10" i="1" a="1"/>
  <c r="BS10" i="1" s="1"/>
  <c r="BS36" i="1" a="1"/>
  <c r="BS36" i="1" s="1"/>
  <c r="BA19" i="1" a="1"/>
  <c r="BA19" i="1" s="1"/>
  <c r="BA11" i="1" a="1"/>
  <c r="BA11" i="1" s="1"/>
  <c r="BA14" i="1" a="1"/>
  <c r="BA14" i="1" s="1"/>
  <c r="CK11" i="1" a="1"/>
  <c r="CK11" i="1" s="1"/>
  <c r="CK32" i="1" a="1"/>
  <c r="CK32" i="1" s="1"/>
  <c r="CK24" i="1" a="1"/>
  <c r="CK24" i="1" s="1"/>
  <c r="CK16" i="1" a="1"/>
  <c r="CK16" i="1" s="1"/>
  <c r="BS24" i="1" a="1"/>
  <c r="BS24" i="1" s="1"/>
  <c r="BS15" i="1" a="1"/>
  <c r="BS15" i="1" s="1"/>
  <c r="BS8" i="1" a="1"/>
  <c r="BS8" i="1" s="1"/>
  <c r="BS35" i="1" a="1"/>
  <c r="BS35" i="1" s="1"/>
  <c r="BA28" i="1" a="1"/>
  <c r="BA28" i="1" s="1"/>
  <c r="BA31" i="1" a="1"/>
  <c r="BA31" i="1" s="1"/>
  <c r="BA25" i="1" a="1"/>
  <c r="BA25" i="1" s="1"/>
  <c r="BA37" i="1" a="1"/>
  <c r="BA37" i="1" s="1"/>
  <c r="CK6" i="1" a="1"/>
  <c r="CK6" i="1" s="1"/>
  <c r="CK18" i="1" a="1"/>
  <c r="CK18" i="1" s="1"/>
  <c r="CK8" i="1" a="1"/>
  <c r="CK8" i="1" s="1"/>
  <c r="CK19" i="1" a="1"/>
  <c r="CK19" i="1" s="1"/>
  <c r="CK36" i="1" a="1"/>
  <c r="CK36" i="1" s="1"/>
  <c r="C4" i="13"/>
  <c r="BS9" i="1" a="1"/>
  <c r="BS9" i="1" s="1"/>
  <c r="BS14" i="1" a="1"/>
  <c r="BS14" i="1" s="1"/>
  <c r="BS37" i="1" a="1"/>
  <c r="BS37" i="1" s="1"/>
  <c r="BA29" i="1" a="1"/>
  <c r="BA29" i="1" s="1"/>
  <c r="BA20" i="1" a="1"/>
  <c r="BA20" i="1" s="1"/>
  <c r="BA22" i="1" a="1"/>
  <c r="BA22" i="1" s="1"/>
  <c r="BA32" i="1" a="1"/>
  <c r="BA32" i="1" s="1"/>
  <c r="BA13" i="1" a="1"/>
  <c r="BA13" i="1" s="1"/>
  <c r="CK31" i="1" a="1"/>
  <c r="CK31" i="1" s="1"/>
  <c r="CK25" i="1" a="1"/>
  <c r="CK25" i="1" s="1"/>
  <c r="CK9" i="1" a="1"/>
  <c r="CK9" i="1" s="1"/>
  <c r="CK27" i="1" a="1"/>
  <c r="CK27" i="1" s="1"/>
  <c r="CK17" i="1" a="1"/>
  <c r="CK17" i="1" s="1"/>
  <c r="BS23" i="1" a="1"/>
  <c r="BS23" i="1" s="1"/>
  <c r="BS31" i="1" a="1"/>
  <c r="BS31" i="1" s="1"/>
  <c r="BS33" i="1" a="1"/>
  <c r="BS33" i="1" s="1"/>
  <c r="BS28" i="1" a="1"/>
  <c r="BS28" i="1" s="1"/>
  <c r="C5" i="13"/>
  <c r="BR16" i="1" a="1"/>
  <c r="BR16" i="1" s="1"/>
  <c r="BT16" i="1" s="1"/>
  <c r="CJ31" i="1" a="1"/>
  <c r="CJ31" i="1" s="1"/>
  <c r="CL31" i="1" s="1"/>
  <c r="CJ10" i="1" a="1"/>
  <c r="CJ10" i="1" s="1"/>
  <c r="CL10" i="1" s="1"/>
  <c r="AZ18" i="1" a="1"/>
  <c r="AZ18" i="1" s="1"/>
  <c r="BB18" i="1" s="1"/>
  <c r="BR17" i="1" a="1"/>
  <c r="BR17" i="1" s="1"/>
  <c r="BT17" i="1" s="1"/>
  <c r="BR9" i="1" a="1"/>
  <c r="BR9" i="1" s="1"/>
  <c r="BT9" i="1" s="1"/>
  <c r="BR13" i="1" a="1"/>
  <c r="BR13" i="1" s="1"/>
  <c r="BT13" i="1" s="1"/>
  <c r="AZ22" i="1" a="1"/>
  <c r="AZ22" i="1" s="1"/>
  <c r="BB22" i="1" s="1"/>
  <c r="CJ25" i="1" a="1"/>
  <c r="CJ25" i="1" s="1"/>
  <c r="CL25" i="1" s="1"/>
  <c r="BR21" i="1" a="1"/>
  <c r="BR21" i="1" s="1"/>
  <c r="BT21" i="1" s="1"/>
  <c r="BR29" i="1" a="1"/>
  <c r="BR29" i="1" s="1"/>
  <c r="BT29" i="1" s="1"/>
  <c r="CJ47" i="1" a="1"/>
  <c r="CJ47" i="1" s="1"/>
  <c r="CL47" i="1" s="1"/>
  <c r="CJ20" i="1" a="1"/>
  <c r="CJ20" i="1" s="1"/>
  <c r="CL20" i="1" s="1"/>
  <c r="CL48" i="1"/>
  <c r="BT49" i="1"/>
  <c r="CJ39" i="1" a="1"/>
  <c r="CJ39" i="1" s="1"/>
  <c r="CJ6" i="1" a="1"/>
  <c r="CJ6" i="1" s="1"/>
  <c r="CJ44" i="1" a="1"/>
  <c r="CJ44" i="1" s="1"/>
  <c r="BR19" i="1" a="1"/>
  <c r="BR19" i="1" s="1"/>
  <c r="AZ47" i="1" a="1"/>
  <c r="AZ47" i="1" s="1"/>
  <c r="AZ16" i="1" a="1"/>
  <c r="AZ16" i="1" s="1"/>
  <c r="BR25" i="1" a="1"/>
  <c r="BR25" i="1" s="1"/>
  <c r="BR7" i="1" a="1"/>
  <c r="BR7" i="1" s="1"/>
  <c r="AZ11" i="1" a="1"/>
  <c r="AZ11" i="1" s="1"/>
  <c r="AZ50" i="1" a="1"/>
  <c r="AZ50" i="1" s="1"/>
  <c r="CJ21" i="1" a="1"/>
  <c r="CJ21" i="1" s="1"/>
  <c r="BR26" i="1" a="1"/>
  <c r="BR26" i="1" s="1"/>
  <c r="BR6" i="1" a="1"/>
  <c r="BR6" i="1" s="1"/>
  <c r="BR44" i="1" a="1"/>
  <c r="BR44" i="1" s="1"/>
  <c r="CJ30" i="1" a="1"/>
  <c r="CJ30" i="1" s="1"/>
  <c r="BR34" i="1" a="1"/>
  <c r="BR34" i="1" s="1"/>
  <c r="CJ43" i="1" a="1"/>
  <c r="CJ43" i="1" s="1"/>
  <c r="CJ8" i="1" a="1"/>
  <c r="CJ8" i="1" s="1"/>
  <c r="BR45" i="1" a="1"/>
  <c r="BR45" i="1" s="1"/>
  <c r="BR42" i="1" a="1"/>
  <c r="BR42" i="1" s="1"/>
  <c r="AZ7" i="1" a="1"/>
  <c r="AZ7" i="1" s="1"/>
  <c r="CJ15" i="1" a="1"/>
  <c r="CJ15" i="1" s="1"/>
  <c r="BR50" i="1" a="1"/>
  <c r="BR50" i="1" s="1"/>
  <c r="AZ6" i="1" a="1"/>
  <c r="AZ6" i="1" s="1"/>
  <c r="BR43" i="1" a="1"/>
  <c r="BR43" i="1" s="1"/>
  <c r="CJ34" i="1" a="1"/>
  <c r="CJ34" i="1" s="1"/>
  <c r="BR35" i="1" a="1"/>
  <c r="BR35" i="1" s="1"/>
  <c r="AZ36" i="1" a="1"/>
  <c r="AZ36" i="1" s="1"/>
  <c r="BR37" i="1" a="1"/>
  <c r="BR37" i="1" s="1"/>
  <c r="AZ23" i="1" a="1"/>
  <c r="AZ23" i="1" s="1"/>
  <c r="AZ44" i="1" a="1"/>
  <c r="AZ44" i="1" s="1"/>
  <c r="AZ33" i="1" a="1"/>
  <c r="AZ33" i="1" s="1"/>
  <c r="AZ40" i="1" a="1"/>
  <c r="AZ40" i="1" s="1"/>
  <c r="AZ14" i="1" a="1"/>
  <c r="AZ14" i="1" s="1"/>
  <c r="AZ35" i="1" a="1"/>
  <c r="AZ35" i="1" s="1"/>
  <c r="AZ49" i="1" a="1"/>
  <c r="AZ49" i="1" s="1"/>
  <c r="AZ48" i="1" a="1"/>
  <c r="AZ48" i="1" s="1"/>
  <c r="CJ46" i="1" a="1"/>
  <c r="CJ46" i="1" s="1"/>
  <c r="BR4" i="1" a="1"/>
  <c r="BR4" i="1" s="1"/>
  <c r="BR10" i="1" a="1"/>
  <c r="BR10" i="1" s="1"/>
  <c r="AZ25" i="1" a="1"/>
  <c r="AZ25" i="1" s="1"/>
  <c r="BR12" i="1" a="1"/>
  <c r="BR12" i="1" s="1"/>
  <c r="BR48" i="1" a="1"/>
  <c r="BR48" i="1" s="1"/>
  <c r="CJ7" i="1" a="1"/>
  <c r="CJ7" i="1" s="1"/>
  <c r="BR30" i="1" a="1"/>
  <c r="BR30" i="1" s="1"/>
  <c r="AZ21" i="1" a="1"/>
  <c r="AZ21" i="1" s="1"/>
  <c r="CJ36" i="1" a="1"/>
  <c r="CJ36" i="1" s="1"/>
  <c r="AZ15" i="1" a="1"/>
  <c r="AZ15" i="1" s="1"/>
  <c r="CJ50" i="1" a="1"/>
  <c r="CJ50" i="1" s="1"/>
  <c r="AZ20" i="1" a="1"/>
  <c r="AZ20" i="1" s="1"/>
  <c r="BR22" i="1" a="1"/>
  <c r="BR22" i="1" s="1"/>
  <c r="CJ32" i="1" a="1"/>
  <c r="CJ32" i="1" s="1"/>
  <c r="AZ31" i="1" a="1"/>
  <c r="AZ31" i="1" s="1"/>
  <c r="CJ23" i="1" a="1"/>
  <c r="CJ23" i="1" s="1"/>
  <c r="CJ18" i="1" a="1"/>
  <c r="CJ18" i="1" s="1"/>
  <c r="BR40" i="1" a="1"/>
  <c r="BR40" i="1" s="1"/>
  <c r="AZ30" i="1" a="1"/>
  <c r="AZ30" i="1" s="1"/>
  <c r="CJ19" i="1" a="1"/>
  <c r="CJ19" i="1" s="1"/>
  <c r="BR11" i="1" a="1"/>
  <c r="BR11" i="1" s="1"/>
  <c r="CJ24" i="1" a="1"/>
  <c r="CJ24" i="1" s="1"/>
  <c r="BR20" i="1" a="1"/>
  <c r="BR20" i="1" s="1"/>
  <c r="CJ22" i="1" a="1"/>
  <c r="CJ22" i="1" s="1"/>
  <c r="AZ10" i="1" a="1"/>
  <c r="AZ10" i="1" s="1"/>
  <c r="AZ27" i="1" a="1"/>
  <c r="AZ27" i="1" s="1"/>
  <c r="CJ45" i="1" a="1"/>
  <c r="CJ45" i="1" s="1"/>
  <c r="CJ4" i="1" a="1"/>
  <c r="CJ4" i="1" s="1"/>
  <c r="CJ37" i="1" a="1"/>
  <c r="CJ37" i="1" s="1"/>
  <c r="AZ9" i="1" a="1"/>
  <c r="AZ9" i="1" s="1"/>
  <c r="CJ26" i="1" a="1"/>
  <c r="CJ26" i="1" s="1"/>
  <c r="BR31" i="1" a="1"/>
  <c r="BR31" i="1" s="1"/>
  <c r="CJ35" i="1" a="1"/>
  <c r="CJ35" i="1" s="1"/>
  <c r="AZ42" i="1" a="1"/>
  <c r="AZ42" i="1" s="1"/>
  <c r="CJ40" i="1" a="1"/>
  <c r="CJ40" i="1" s="1"/>
  <c r="AZ41" i="1" a="1"/>
  <c r="AZ41" i="1" s="1"/>
  <c r="AZ13" i="1" a="1"/>
  <c r="AZ13" i="1" s="1"/>
  <c r="CJ14" i="1" a="1"/>
  <c r="CJ14" i="1" s="1"/>
  <c r="BR18" i="1" a="1"/>
  <c r="BR18" i="1" s="1"/>
  <c r="CJ16" i="1" a="1"/>
  <c r="CJ16" i="1" s="1"/>
  <c r="CJ12" i="1" a="1"/>
  <c r="CJ12" i="1" s="1"/>
  <c r="CJ17" i="1" a="1"/>
  <c r="CJ17" i="1" s="1"/>
  <c r="AZ26" i="1" a="1"/>
  <c r="AZ26" i="1" s="1"/>
  <c r="CJ38" i="1" a="1"/>
  <c r="CJ38" i="1" s="1"/>
  <c r="BR27" i="1" a="1"/>
  <c r="BR27" i="1" s="1"/>
  <c r="CJ5" i="1" a="1"/>
  <c r="CJ5" i="1" s="1"/>
  <c r="BR46" i="1" a="1"/>
  <c r="BR46" i="1" s="1"/>
  <c r="CJ13" i="1" a="1"/>
  <c r="CJ13" i="1" s="1"/>
  <c r="BR8" i="1" a="1"/>
  <c r="BR8" i="1" s="1"/>
  <c r="BR41" i="1" a="1"/>
  <c r="BR41" i="1" s="1"/>
  <c r="CJ51" i="1" a="1"/>
  <c r="CJ51" i="1" s="1"/>
  <c r="AZ28" i="1" a="1"/>
  <c r="AZ28" i="1" s="1"/>
  <c r="AZ17" i="1" a="1"/>
  <c r="AZ17" i="1" s="1"/>
  <c r="AZ51" i="1" a="1"/>
  <c r="AZ51" i="1" s="1"/>
  <c r="AZ38" i="1" a="1"/>
  <c r="AZ38" i="1" s="1"/>
  <c r="BR32" i="1" a="1"/>
  <c r="BR32" i="1" s="1"/>
  <c r="CJ28" i="1" a="1"/>
  <c r="CJ28" i="1" s="1"/>
  <c r="AZ24" i="1" a="1"/>
  <c r="AZ24" i="1" s="1"/>
  <c r="BR33" i="1" a="1"/>
  <c r="BR33" i="1" s="1"/>
  <c r="BR36" i="1" a="1"/>
  <c r="BR36" i="1" s="1"/>
  <c r="AZ5" i="1" a="1"/>
  <c r="AZ5" i="1" s="1"/>
  <c r="CJ42" i="1" a="1"/>
  <c r="CJ42" i="1" s="1"/>
  <c r="CJ11" i="1" a="1"/>
  <c r="CJ11" i="1" s="1"/>
  <c r="AZ29" i="1" a="1"/>
  <c r="AZ29" i="1" s="1"/>
  <c r="AZ39" i="1" a="1"/>
  <c r="AZ39" i="1" s="1"/>
  <c r="AZ34" i="1" a="1"/>
  <c r="AZ34" i="1" s="1"/>
  <c r="AZ45" i="1" a="1"/>
  <c r="AZ45" i="1" s="1"/>
  <c r="AZ32" i="1" a="1"/>
  <c r="AZ32" i="1" s="1"/>
  <c r="BR23" i="1" a="1"/>
  <c r="BR23" i="1" s="1"/>
  <c r="BR15" i="1" a="1"/>
  <c r="BR15" i="1" s="1"/>
  <c r="CJ49" i="1" a="1"/>
  <c r="CJ49" i="1" s="1"/>
  <c r="CJ41" i="1" a="1"/>
  <c r="CJ41" i="1" s="1"/>
  <c r="AZ43" i="1" a="1"/>
  <c r="AZ43" i="1" s="1"/>
  <c r="AZ8" i="1" a="1"/>
  <c r="AZ8" i="1" s="1"/>
  <c r="CJ27" i="1" a="1"/>
  <c r="CJ27" i="1" s="1"/>
  <c r="AZ19" i="1" a="1"/>
  <c r="AZ19" i="1" s="1"/>
  <c r="BR24" i="1" a="1"/>
  <c r="BR24" i="1" s="1"/>
  <c r="AZ46" i="1" a="1"/>
  <c r="AZ46" i="1" s="1"/>
  <c r="BR28" i="1" a="1"/>
  <c r="BR28" i="1" s="1"/>
  <c r="BR5" i="1" a="1"/>
  <c r="BR5" i="1" s="1"/>
  <c r="AZ4" i="1" a="1"/>
  <c r="AZ4" i="1" s="1"/>
  <c r="CJ33" i="1" a="1"/>
  <c r="CJ33" i="1" s="1"/>
  <c r="AZ12" i="1" a="1"/>
  <c r="AZ12" i="1" s="1"/>
  <c r="BR38" i="1" a="1"/>
  <c r="BR38" i="1" s="1"/>
  <c r="BR14" i="1" a="1"/>
  <c r="BR14" i="1" s="1"/>
  <c r="CJ29" i="1" a="1"/>
  <c r="CJ29" i="1" s="1"/>
  <c r="CJ9" i="1" a="1"/>
  <c r="CJ9" i="1" s="1"/>
  <c r="AZ37" i="1" a="1"/>
  <c r="AZ37" i="1" s="1"/>
  <c r="BR39" i="1" a="1"/>
  <c r="BR39" i="1" s="1"/>
  <c r="BR47" i="1" a="1"/>
  <c r="BR47" i="1" s="1"/>
  <c r="BR51" i="1" a="1"/>
  <c r="BR51" i="1" s="1"/>
  <c r="B6" i="13"/>
  <c r="C6" i="13" s="1"/>
  <c r="N9" i="7"/>
  <c r="B6" i="4"/>
  <c r="AB25" i="1"/>
  <c r="AC25" i="1" s="1"/>
  <c r="K7" i="1"/>
  <c r="O9" i="7" s="1"/>
  <c r="BA21" i="1" l="1" a="1"/>
  <c r="BA21" i="1" s="1"/>
  <c r="BA6" i="1" a="1"/>
  <c r="BA6" i="1" s="1"/>
  <c r="BA12" i="1" a="1"/>
  <c r="BA12" i="1" s="1"/>
  <c r="BS18" i="1" a="1"/>
  <c r="BS18" i="1" s="1"/>
  <c r="BA7" i="1" a="1"/>
  <c r="BA7" i="1" s="1"/>
  <c r="BS12" i="1" a="1"/>
  <c r="BS12" i="1" s="1"/>
  <c r="BA17" i="1" a="1"/>
  <c r="BA17" i="1" s="1"/>
  <c r="BA24" i="1" a="1"/>
  <c r="BA24" i="1" s="1"/>
  <c r="BS20" i="1" a="1"/>
  <c r="BS20" i="1" s="1"/>
  <c r="BA30" i="1" a="1"/>
  <c r="BA30" i="1" s="1"/>
  <c r="BS26" i="1" a="1"/>
  <c r="BS26" i="1" s="1"/>
  <c r="BA15" i="1" a="1"/>
  <c r="BA15" i="1" s="1"/>
  <c r="CK23" i="1" a="1"/>
  <c r="CK23" i="1" s="1"/>
  <c r="BA4" i="1" a="1"/>
  <c r="BA4" i="1" s="1"/>
  <c r="CL38" i="1"/>
  <c r="BB20" i="1"/>
  <c r="CL8" i="1"/>
  <c r="BT51" i="1"/>
  <c r="BB12" i="1"/>
  <c r="CL27" i="1"/>
  <c r="BB45" i="1"/>
  <c r="BT33" i="1"/>
  <c r="CL51" i="1"/>
  <c r="BB26" i="1"/>
  <c r="CL40" i="1"/>
  <c r="CL45" i="1"/>
  <c r="BB30" i="1"/>
  <c r="CL50" i="1"/>
  <c r="BB25" i="1"/>
  <c r="BB40" i="1"/>
  <c r="BT43" i="1"/>
  <c r="CL43" i="1"/>
  <c r="BB11" i="1"/>
  <c r="CL39" i="1"/>
  <c r="BT36" i="1"/>
  <c r="CL19" i="1"/>
  <c r="BB50" i="1"/>
  <c r="BT47" i="1"/>
  <c r="CL33" i="1"/>
  <c r="BB8" i="1"/>
  <c r="BB34" i="1"/>
  <c r="BB24" i="1"/>
  <c r="BT41" i="1"/>
  <c r="CL17" i="1"/>
  <c r="BB42" i="1"/>
  <c r="BB27" i="1"/>
  <c r="BT40" i="1"/>
  <c r="BB15" i="1"/>
  <c r="BT10" i="1"/>
  <c r="BB33" i="1"/>
  <c r="BB6" i="1"/>
  <c r="BT34" i="1"/>
  <c r="BT7" i="1"/>
  <c r="BB39" i="1"/>
  <c r="CL28" i="1"/>
  <c r="BT8" i="1"/>
  <c r="CL12" i="1"/>
  <c r="CL35" i="1"/>
  <c r="BB10" i="1"/>
  <c r="CL18" i="1"/>
  <c r="CL36" i="1"/>
  <c r="BT4" i="1"/>
  <c r="BV4" i="1" s="1"/>
  <c r="BY4" i="1" s="1"/>
  <c r="BB44" i="1"/>
  <c r="BT50" i="1"/>
  <c r="CL30" i="1"/>
  <c r="BT25" i="1"/>
  <c r="BT38" i="1"/>
  <c r="BB41" i="1"/>
  <c r="BB14" i="1"/>
  <c r="BB43" i="1"/>
  <c r="BB37" i="1"/>
  <c r="BT5" i="1"/>
  <c r="BV5" i="1" s="1"/>
  <c r="BY5" i="1" s="1"/>
  <c r="CL41" i="1"/>
  <c r="BB29" i="1"/>
  <c r="BT32" i="1"/>
  <c r="CL13" i="1"/>
  <c r="CL16" i="1"/>
  <c r="BT31" i="1"/>
  <c r="CL22" i="1"/>
  <c r="CL23" i="1"/>
  <c r="BB21" i="1"/>
  <c r="CL46" i="1"/>
  <c r="BB23" i="1"/>
  <c r="CL15" i="1"/>
  <c r="BT44" i="1"/>
  <c r="BB16" i="1"/>
  <c r="BB28" i="1"/>
  <c r="BT12" i="1"/>
  <c r="CL6" i="1"/>
  <c r="BT39" i="1"/>
  <c r="CL9" i="1"/>
  <c r="BT28" i="1"/>
  <c r="CL49" i="1"/>
  <c r="CL11" i="1"/>
  <c r="BB38" i="1"/>
  <c r="BT46" i="1"/>
  <c r="BT18" i="1"/>
  <c r="CL26" i="1"/>
  <c r="BT20" i="1"/>
  <c r="BB31" i="1"/>
  <c r="BT30" i="1"/>
  <c r="BB48" i="1"/>
  <c r="BT37" i="1"/>
  <c r="BB7" i="1"/>
  <c r="BT6" i="1"/>
  <c r="BB47" i="1"/>
  <c r="BB19" i="1"/>
  <c r="CL4" i="1"/>
  <c r="CN4" i="1" s="1"/>
  <c r="CQ4" i="1" s="1"/>
  <c r="CL34" i="1"/>
  <c r="BB4" i="1"/>
  <c r="CL29" i="1"/>
  <c r="BB46" i="1"/>
  <c r="BT15" i="1"/>
  <c r="CL42" i="1"/>
  <c r="BB51" i="1"/>
  <c r="CL5" i="1"/>
  <c r="CN5" i="1" s="1"/>
  <c r="CQ5" i="1" s="1"/>
  <c r="CL14" i="1"/>
  <c r="BB9" i="1"/>
  <c r="CL24" i="1"/>
  <c r="CL32" i="1"/>
  <c r="CL7" i="1"/>
  <c r="BB49" i="1"/>
  <c r="BB36" i="1"/>
  <c r="BT42" i="1"/>
  <c r="BT26" i="1"/>
  <c r="BT19" i="1"/>
  <c r="BB32" i="1"/>
  <c r="BT14" i="1"/>
  <c r="BT24" i="1"/>
  <c r="BT23" i="1"/>
  <c r="BB5" i="1"/>
  <c r="BD5" i="1" s="1"/>
  <c r="BG5" i="1" s="1"/>
  <c r="BB17" i="1"/>
  <c r="BT27" i="1"/>
  <c r="BB13" i="1"/>
  <c r="CL37" i="1"/>
  <c r="BT11" i="1"/>
  <c r="BT22" i="1"/>
  <c r="BT48" i="1"/>
  <c r="BB35" i="1"/>
  <c r="BT35" i="1"/>
  <c r="BT45" i="1"/>
  <c r="CL21" i="1"/>
  <c r="CL44" i="1"/>
  <c r="P6" i="13"/>
  <c r="O6" i="13"/>
  <c r="N6" i="13"/>
  <c r="J8" i="1"/>
  <c r="K8" i="1" s="1"/>
  <c r="AB26" i="1"/>
  <c r="AC26" i="1" s="1"/>
  <c r="C6" i="4"/>
  <c r="BD4" i="1" l="1"/>
  <c r="BW4" i="1"/>
  <c r="BW5" i="1"/>
  <c r="CO5" i="1"/>
  <c r="CO4" i="1"/>
  <c r="O10" i="7"/>
  <c r="B7" i="13"/>
  <c r="C7" i="13" s="1"/>
  <c r="N10" i="7"/>
  <c r="B7" i="4"/>
  <c r="AB27" i="1"/>
  <c r="AC27" i="1" s="1"/>
  <c r="J9" i="1"/>
  <c r="N11" i="7" s="1"/>
  <c r="C7" i="4"/>
  <c r="BE5" i="1" l="1"/>
  <c r="BE4" i="1"/>
  <c r="BG4" i="1"/>
  <c r="BH4" i="1" s="1"/>
  <c r="CR4" i="1"/>
  <c r="CR5" i="1"/>
  <c r="BZ5" i="1"/>
  <c r="BZ4" i="1"/>
  <c r="P7" i="13"/>
  <c r="O7" i="13"/>
  <c r="N7" i="13"/>
  <c r="B8" i="13"/>
  <c r="AB28" i="1"/>
  <c r="AC28" i="1" s="1"/>
  <c r="K9" i="1"/>
  <c r="B8" i="4"/>
  <c r="BH5" i="1" l="1"/>
  <c r="O11" i="7"/>
  <c r="P8" i="13"/>
  <c r="O8" i="13"/>
  <c r="N8" i="13"/>
  <c r="C8" i="13"/>
  <c r="AB29" i="1"/>
  <c r="AC29" i="1" s="1"/>
  <c r="J10" i="1"/>
  <c r="N12" i="7" s="1"/>
  <c r="C8" i="4"/>
  <c r="B9" i="13" l="1"/>
  <c r="AB30" i="1"/>
  <c r="AC30" i="1" s="1"/>
  <c r="B9" i="4"/>
  <c r="K10" i="1"/>
  <c r="O12" i="7" l="1"/>
  <c r="P9" i="13"/>
  <c r="O9" i="13"/>
  <c r="N9" i="13"/>
  <c r="C9" i="13"/>
  <c r="AB31" i="1"/>
  <c r="AC31" i="1" s="1"/>
  <c r="J11" i="1"/>
  <c r="N13" i="7" s="1"/>
  <c r="C9" i="4"/>
  <c r="B10" i="13" l="1"/>
  <c r="AB32" i="1"/>
  <c r="AC32" i="1" s="1"/>
  <c r="B10" i="4"/>
  <c r="K11" i="1"/>
  <c r="O13" i="7" l="1"/>
  <c r="P10" i="13"/>
  <c r="O10" i="13"/>
  <c r="N10" i="13"/>
  <c r="C10" i="13"/>
  <c r="AB33" i="1"/>
  <c r="AC33" i="1" s="1"/>
  <c r="J12" i="1"/>
  <c r="N14" i="7" s="1"/>
  <c r="C10" i="4"/>
  <c r="B11" i="13" l="1"/>
  <c r="AB34" i="1"/>
  <c r="AC34" i="1" s="1"/>
  <c r="B11" i="4"/>
  <c r="K12" i="1"/>
  <c r="O14" i="7" l="1"/>
  <c r="O11" i="13"/>
  <c r="N11" i="13"/>
  <c r="P11" i="13"/>
  <c r="C11" i="13"/>
  <c r="AB35" i="1"/>
  <c r="AC35" i="1" s="1"/>
  <c r="J13" i="1"/>
  <c r="N15" i="7" s="1"/>
  <c r="C11" i="4"/>
  <c r="B12" i="13" l="1"/>
  <c r="AB36" i="1"/>
  <c r="AC36" i="1" s="1"/>
  <c r="B12" i="4"/>
  <c r="K13" i="1"/>
  <c r="O15" i="7" l="1"/>
  <c r="O12" i="13"/>
  <c r="N12" i="13"/>
  <c r="P12" i="13"/>
  <c r="C12" i="13"/>
  <c r="AB37" i="1"/>
  <c r="AC37" i="1" s="1"/>
  <c r="J14" i="1"/>
  <c r="N16" i="7" s="1"/>
  <c r="C12" i="4"/>
  <c r="B13" i="13" l="1"/>
  <c r="AB38" i="1"/>
  <c r="AC38" i="1" s="1"/>
  <c r="B13" i="4"/>
  <c r="K14" i="1"/>
  <c r="O16" i="7" l="1"/>
  <c r="P13" i="13"/>
  <c r="O13" i="13"/>
  <c r="N13" i="13"/>
  <c r="C13" i="13"/>
  <c r="AB39" i="1"/>
  <c r="AC39" i="1" s="1"/>
  <c r="J15" i="1"/>
  <c r="N17" i="7" s="1"/>
  <c r="C13" i="4"/>
  <c r="B14" i="13" l="1"/>
  <c r="AB40" i="1"/>
  <c r="AC40" i="1" s="1"/>
  <c r="B14" i="4"/>
  <c r="K15" i="1"/>
  <c r="O17" i="7" l="1"/>
  <c r="P14" i="13"/>
  <c r="O14" i="13"/>
  <c r="N14" i="13"/>
  <c r="C14" i="13"/>
  <c r="AB41" i="1"/>
  <c r="AC41" i="1" s="1"/>
  <c r="J16" i="1"/>
  <c r="N18" i="7" s="1"/>
  <c r="C14" i="4"/>
  <c r="B15" i="13" l="1"/>
  <c r="AB42" i="1"/>
  <c r="AC42" i="1" s="1"/>
  <c r="B15" i="4"/>
  <c r="K16" i="1"/>
  <c r="O18" i="7" l="1"/>
  <c r="P15" i="13"/>
  <c r="O15" i="13"/>
  <c r="N15" i="13"/>
  <c r="C15" i="13"/>
  <c r="AB43" i="1"/>
  <c r="AC43" i="1" s="1"/>
  <c r="J17" i="1"/>
  <c r="N19" i="7" s="1"/>
  <c r="C15" i="4"/>
  <c r="B16" i="13" l="1"/>
  <c r="AB44" i="1"/>
  <c r="AC44" i="1" s="1"/>
  <c r="B16" i="4"/>
  <c r="K17" i="1"/>
  <c r="O19" i="7" l="1"/>
  <c r="P16" i="13"/>
  <c r="O16" i="13"/>
  <c r="N16" i="13"/>
  <c r="C16" i="13"/>
  <c r="AB45" i="1"/>
  <c r="AC45" i="1" s="1"/>
  <c r="J18" i="1"/>
  <c r="N20" i="7" s="1"/>
  <c r="C16" i="4"/>
  <c r="B17" i="13" l="1"/>
  <c r="AB46" i="1"/>
  <c r="AC46" i="1" s="1"/>
  <c r="B17" i="4"/>
  <c r="K18" i="1"/>
  <c r="P17" i="13" l="1"/>
  <c r="O17" i="13"/>
  <c r="N17" i="13"/>
  <c r="O20" i="7"/>
  <c r="C17" i="13"/>
  <c r="AB47" i="1"/>
  <c r="AC47" i="1" s="1"/>
  <c r="J19" i="1"/>
  <c r="N21" i="7" s="1"/>
  <c r="C17" i="4"/>
  <c r="B18" i="13" l="1"/>
  <c r="AB48" i="1"/>
  <c r="AC48" i="1" s="1"/>
  <c r="B18" i="4"/>
  <c r="K19" i="1"/>
  <c r="O21" i="7" l="1"/>
  <c r="P18" i="13"/>
  <c r="O18" i="13"/>
  <c r="N18" i="13"/>
  <c r="C18" i="13"/>
  <c r="AB49" i="1"/>
  <c r="AC49" i="1" s="1"/>
  <c r="J20" i="1"/>
  <c r="N22" i="7" s="1"/>
  <c r="C18" i="4"/>
  <c r="B19" i="13" l="1"/>
  <c r="AB50" i="1"/>
  <c r="AC50" i="1" s="1"/>
  <c r="B19" i="4"/>
  <c r="K20" i="1"/>
  <c r="O22" i="7" l="1"/>
  <c r="O19" i="13"/>
  <c r="P19" i="13"/>
  <c r="N19" i="13"/>
  <c r="C19" i="13"/>
  <c r="AB51" i="1"/>
  <c r="AC51" i="1" s="1"/>
  <c r="J21" i="1"/>
  <c r="N23" i="7" s="1"/>
  <c r="C19" i="4"/>
  <c r="B20" i="13" l="1"/>
  <c r="AB52" i="1"/>
  <c r="AC52" i="1" s="1"/>
  <c r="B20" i="4"/>
  <c r="K21" i="1"/>
  <c r="O23" i="7" l="1"/>
  <c r="O20" i="13"/>
  <c r="N20" i="13"/>
  <c r="P20" i="13"/>
  <c r="C20" i="13"/>
  <c r="AB53" i="1"/>
  <c r="AC53" i="1" s="1"/>
  <c r="J22" i="1"/>
  <c r="N24" i="7" s="1"/>
  <c r="C20" i="4"/>
  <c r="B21" i="13" l="1"/>
  <c r="AB54" i="1"/>
  <c r="AC54" i="1" s="1"/>
  <c r="B21" i="4"/>
  <c r="K22" i="1"/>
  <c r="O24" i="7" l="1"/>
  <c r="P21" i="13"/>
  <c r="O21" i="13"/>
  <c r="N21" i="13"/>
  <c r="C21" i="13"/>
  <c r="AB55" i="1"/>
  <c r="AC55" i="1" s="1"/>
  <c r="J23" i="1"/>
  <c r="N25" i="7" s="1"/>
  <c r="C21" i="4"/>
  <c r="B22" i="13" l="1"/>
  <c r="AB56" i="1"/>
  <c r="AC56" i="1" s="1"/>
  <c r="B22" i="4"/>
  <c r="K23" i="1"/>
  <c r="O25" i="7" l="1"/>
  <c r="P22" i="13"/>
  <c r="O22" i="13"/>
  <c r="N22" i="13"/>
  <c r="C22" i="13"/>
  <c r="AB57" i="1"/>
  <c r="AC57" i="1" s="1"/>
  <c r="J24" i="1"/>
  <c r="N26" i="7" s="1"/>
  <c r="C22" i="4"/>
  <c r="B23" i="13" l="1"/>
  <c r="AB58" i="1"/>
  <c r="AC58" i="1" s="1"/>
  <c r="B23" i="4"/>
  <c r="K24" i="1"/>
  <c r="O26" i="7" l="1"/>
  <c r="P23" i="13"/>
  <c r="O23" i="13"/>
  <c r="N23" i="13"/>
  <c r="C23" i="13"/>
  <c r="AB59" i="1"/>
  <c r="AC59" i="1" s="1"/>
  <c r="J25" i="1"/>
  <c r="N27" i="7" s="1"/>
  <c r="C23" i="4"/>
  <c r="B24" i="13" l="1"/>
  <c r="AB60" i="1"/>
  <c r="AC60" i="1" s="1"/>
  <c r="B24" i="4"/>
  <c r="K25" i="1"/>
  <c r="P24" i="13" l="1"/>
  <c r="O24" i="13"/>
  <c r="N24" i="13"/>
  <c r="O27" i="7"/>
  <c r="C24" i="13"/>
  <c r="AB61" i="1"/>
  <c r="AC61" i="1" s="1"/>
  <c r="J26" i="1"/>
  <c r="N28" i="7" s="1"/>
  <c r="C24" i="4"/>
  <c r="B25" i="13" l="1"/>
  <c r="AB62" i="1"/>
  <c r="AC62" i="1" s="1"/>
  <c r="B25" i="4"/>
  <c r="K26" i="1"/>
  <c r="O28" i="7" l="1"/>
  <c r="P25" i="13"/>
  <c r="O25" i="13"/>
  <c r="N25" i="13"/>
  <c r="C25" i="13"/>
  <c r="AB63" i="1"/>
  <c r="AC63" i="1" s="1"/>
  <c r="J27" i="1"/>
  <c r="N29" i="7" s="1"/>
  <c r="C25" i="4"/>
  <c r="B26" i="13" l="1"/>
  <c r="AB64" i="1"/>
  <c r="B26" i="4"/>
  <c r="K27" i="1"/>
  <c r="O29" i="7" l="1"/>
  <c r="P26" i="13"/>
  <c r="N26" i="13"/>
  <c r="O26" i="13"/>
  <c r="C26" i="13"/>
  <c r="AC64" i="1"/>
  <c r="J28" i="1"/>
  <c r="N30" i="7" s="1"/>
  <c r="C26" i="4"/>
  <c r="B27" i="13" l="1"/>
  <c r="AB65" i="1"/>
  <c r="B27" i="4"/>
  <c r="K28" i="1"/>
  <c r="O30" i="7" l="1"/>
  <c r="N27" i="13"/>
  <c r="O27" i="13"/>
  <c r="P27" i="13"/>
  <c r="C27" i="13"/>
  <c r="AC65" i="1"/>
  <c r="J29" i="1"/>
  <c r="N31" i="7" s="1"/>
  <c r="C27" i="4"/>
  <c r="B28" i="13" l="1"/>
  <c r="AB66" i="1"/>
  <c r="B28" i="4"/>
  <c r="K29" i="1"/>
  <c r="O31" i="7" l="1"/>
  <c r="O28" i="13"/>
  <c r="N28" i="13"/>
  <c r="P28" i="13"/>
  <c r="C28" i="13"/>
  <c r="AC66" i="1"/>
  <c r="J30" i="1"/>
  <c r="N32" i="7" s="1"/>
  <c r="C28" i="4"/>
  <c r="B29" i="13" l="1"/>
  <c r="AB67" i="1"/>
  <c r="B29" i="4"/>
  <c r="K30" i="1"/>
  <c r="O32" i="7" l="1"/>
  <c r="P29" i="13"/>
  <c r="O29" i="13"/>
  <c r="N29" i="13"/>
  <c r="C29" i="13"/>
  <c r="AC67" i="1"/>
  <c r="J31" i="1"/>
  <c r="N33" i="7" s="1"/>
  <c r="C29" i="4"/>
  <c r="B30" i="13" l="1"/>
  <c r="AB68" i="1"/>
  <c r="B30" i="4"/>
  <c r="K31" i="1"/>
  <c r="O33" i="7" l="1"/>
  <c r="P30" i="13"/>
  <c r="O30" i="13"/>
  <c r="N30" i="13"/>
  <c r="C30" i="13"/>
  <c r="AC68" i="1"/>
  <c r="J32" i="1"/>
  <c r="N34" i="7" s="1"/>
  <c r="C30" i="4"/>
  <c r="B31" i="13" l="1"/>
  <c r="AB69" i="1"/>
  <c r="AC69" i="1" s="1"/>
  <c r="AB70" i="1" s="1"/>
  <c r="AC70" i="1" s="1"/>
  <c r="AB71" i="1" s="1"/>
  <c r="AC71" i="1" s="1"/>
  <c r="AB72" i="1" s="1"/>
  <c r="AC72" i="1" s="1"/>
  <c r="AB73" i="1" s="1"/>
  <c r="AC73" i="1" s="1"/>
  <c r="AB74" i="1" s="1"/>
  <c r="AC74" i="1" s="1"/>
  <c r="AB75" i="1" s="1"/>
  <c r="AC75" i="1" s="1"/>
  <c r="B31" i="4"/>
  <c r="K32" i="1"/>
  <c r="O34" i="7" l="1"/>
  <c r="P31" i="13"/>
  <c r="O31" i="13"/>
  <c r="N31" i="13"/>
  <c r="C31" i="13"/>
  <c r="AB76" i="1"/>
  <c r="AC76" i="1" s="1"/>
  <c r="J33" i="1"/>
  <c r="N35" i="7" s="1"/>
  <c r="C31" i="4"/>
  <c r="B32" i="13" l="1"/>
  <c r="AB77" i="1"/>
  <c r="AC77" i="1" s="1"/>
  <c r="B32" i="4"/>
  <c r="K33" i="1"/>
  <c r="O35" i="7" l="1"/>
  <c r="P32" i="13"/>
  <c r="O32" i="13"/>
  <c r="N32" i="13"/>
  <c r="C32" i="13"/>
  <c r="AB78" i="1"/>
  <c r="AC78" i="1" s="1"/>
  <c r="J34" i="1"/>
  <c r="N36" i="7" s="1"/>
  <c r="C32" i="4"/>
  <c r="B33" i="13" l="1"/>
  <c r="AB79" i="1"/>
  <c r="AC79" i="1" s="1"/>
  <c r="B33" i="4"/>
  <c r="K34" i="1"/>
  <c r="O36" i="7" l="1"/>
  <c r="P33" i="13"/>
  <c r="O33" i="13"/>
  <c r="N33" i="13"/>
  <c r="C33" i="13"/>
  <c r="AB80" i="1"/>
  <c r="AC80" i="1" s="1"/>
  <c r="J35" i="1"/>
  <c r="N37" i="7" s="1"/>
  <c r="C33" i="4"/>
  <c r="B34" i="13" l="1"/>
  <c r="AB81" i="1"/>
  <c r="AC81" i="1" s="1"/>
  <c r="B34" i="4"/>
  <c r="K35" i="1"/>
  <c r="P34" i="13" l="1"/>
  <c r="N34" i="13"/>
  <c r="O34" i="13"/>
  <c r="O37" i="7"/>
  <c r="C34" i="13"/>
  <c r="AB82" i="1"/>
  <c r="AC82" i="1" s="1"/>
  <c r="J36" i="1"/>
  <c r="N38" i="7" s="1"/>
  <c r="C34" i="4"/>
  <c r="B35" i="13" l="1"/>
  <c r="AB83" i="1"/>
  <c r="AC83" i="1" s="1"/>
  <c r="B35" i="4"/>
  <c r="K36" i="1"/>
  <c r="O35" i="13" l="1"/>
  <c r="P35" i="13"/>
  <c r="N35" i="13"/>
  <c r="O38" i="7"/>
  <c r="C35" i="13"/>
  <c r="AB84" i="1"/>
  <c r="AC84" i="1" s="1"/>
  <c r="J37" i="1"/>
  <c r="N39" i="7" s="1"/>
  <c r="C35" i="4"/>
  <c r="B36" i="13" l="1"/>
  <c r="AB85" i="1"/>
  <c r="AC85" i="1" s="1"/>
  <c r="B36" i="4"/>
  <c r="K37" i="1"/>
  <c r="O39" i="7" l="1"/>
  <c r="N36" i="13"/>
  <c r="P36" i="13"/>
  <c r="O36" i="13"/>
  <c r="C36" i="13"/>
  <c r="AB86" i="1"/>
  <c r="AC86" i="1" s="1"/>
  <c r="J38" i="1"/>
  <c r="N40" i="7" s="1"/>
  <c r="C36" i="4"/>
  <c r="B37" i="13" l="1"/>
  <c r="AB87" i="1"/>
  <c r="AC87" i="1" s="1"/>
  <c r="B37" i="4"/>
  <c r="K38" i="1"/>
  <c r="O40" i="7" l="1"/>
  <c r="P37" i="13"/>
  <c r="O37" i="13"/>
  <c r="N37" i="13"/>
  <c r="C37" i="13"/>
  <c r="AB88" i="1"/>
  <c r="AC88" i="1" s="1"/>
  <c r="J39" i="1"/>
  <c r="N41" i="7" s="1"/>
  <c r="C37" i="4"/>
  <c r="B38" i="13" l="1"/>
  <c r="AB89" i="1"/>
  <c r="AC89" i="1" s="1"/>
  <c r="B38" i="4"/>
  <c r="K39" i="1"/>
  <c r="O41" i="7" l="1"/>
  <c r="P38" i="13"/>
  <c r="O38" i="13"/>
  <c r="N38" i="13"/>
  <c r="C38" i="13"/>
  <c r="AB90" i="1"/>
  <c r="AC90" i="1" s="1"/>
  <c r="J40" i="1"/>
  <c r="N42" i="7" s="1"/>
  <c r="C38" i="4"/>
  <c r="B39" i="13" l="1"/>
  <c r="AB91" i="1"/>
  <c r="AC91" i="1" s="1"/>
  <c r="B39" i="4"/>
  <c r="K40" i="1"/>
  <c r="O42" i="7" l="1"/>
  <c r="M39" i="13"/>
  <c r="P39" i="13"/>
  <c r="O39" i="13"/>
  <c r="N39" i="13"/>
  <c r="C39" i="13"/>
  <c r="AB92" i="1"/>
  <c r="AC92" i="1" s="1"/>
  <c r="J41" i="1"/>
  <c r="N43" i="7" s="1"/>
  <c r="C39" i="4"/>
  <c r="B40" i="13" l="1"/>
  <c r="AB93" i="1"/>
  <c r="AC93" i="1" s="1"/>
  <c r="B40" i="4"/>
  <c r="K41" i="1"/>
  <c r="O43" i="7" l="1"/>
  <c r="M40" i="13"/>
  <c r="P40" i="13"/>
  <c r="O40" i="13"/>
  <c r="N40" i="13"/>
  <c r="C40" i="13"/>
  <c r="AB94" i="1"/>
  <c r="AC94" i="1" s="1"/>
  <c r="J42" i="1"/>
  <c r="N44" i="7" s="1"/>
  <c r="C40" i="4"/>
  <c r="B41" i="13" l="1"/>
  <c r="AB95" i="1"/>
  <c r="AC95" i="1" s="1"/>
  <c r="B41" i="4"/>
  <c r="K42" i="1"/>
  <c r="M41" i="13" l="1"/>
  <c r="P41" i="13"/>
  <c r="O41" i="13"/>
  <c r="N41" i="13"/>
  <c r="O44" i="7"/>
  <c r="C41" i="13"/>
  <c r="AB96" i="1"/>
  <c r="AC96" i="1" s="1"/>
  <c r="J43" i="1"/>
  <c r="N45" i="7" s="1"/>
  <c r="C41" i="4"/>
  <c r="B42" i="13" l="1"/>
  <c r="AB97" i="1"/>
  <c r="AC97" i="1" s="1"/>
  <c r="B42" i="4"/>
  <c r="K43" i="1"/>
  <c r="O45" i="7" l="1"/>
  <c r="M42" i="13"/>
  <c r="P42" i="13"/>
  <c r="O42" i="13"/>
  <c r="N42" i="13"/>
  <c r="C42" i="13"/>
  <c r="AB98" i="1"/>
  <c r="AC98" i="1" s="1"/>
  <c r="J44" i="1"/>
  <c r="N46" i="7" s="1"/>
  <c r="C42" i="4"/>
  <c r="B43" i="13" l="1"/>
  <c r="AB99" i="1"/>
  <c r="AC99" i="1" s="1"/>
  <c r="B43" i="4"/>
  <c r="K44" i="1"/>
  <c r="O46" i="7" l="1"/>
  <c r="M43" i="13"/>
  <c r="P43" i="13"/>
  <c r="O43" i="13"/>
  <c r="N43" i="13"/>
  <c r="C43" i="13"/>
  <c r="AB100" i="1"/>
  <c r="AC100" i="1" s="1"/>
  <c r="J45" i="1"/>
  <c r="N47" i="7" s="1"/>
  <c r="C43" i="4"/>
  <c r="B44" i="13" l="1"/>
  <c r="AB101" i="1"/>
  <c r="AC101" i="1" s="1"/>
  <c r="B44" i="4"/>
  <c r="K45" i="1"/>
  <c r="O47" i="7" l="1"/>
  <c r="M44" i="13"/>
  <c r="N44" i="13"/>
  <c r="P44" i="13"/>
  <c r="O44" i="13"/>
  <c r="C44" i="13"/>
  <c r="AB102" i="1"/>
  <c r="AC102" i="1" s="1"/>
  <c r="J46" i="1"/>
  <c r="N48" i="7" s="1"/>
  <c r="C44" i="4"/>
  <c r="B45" i="13" l="1"/>
  <c r="AB103" i="1"/>
  <c r="AC103" i="1" s="1"/>
  <c r="B45" i="4"/>
  <c r="K46" i="1"/>
  <c r="M45" i="13" l="1"/>
  <c r="P45" i="13"/>
  <c r="O45" i="13"/>
  <c r="N45" i="13"/>
  <c r="O48" i="7"/>
  <c r="C45" i="13"/>
  <c r="AB104" i="1"/>
  <c r="AC104" i="1" s="1"/>
  <c r="J47" i="1"/>
  <c r="N49" i="7" s="1"/>
  <c r="C45" i="4"/>
  <c r="B46" i="13" l="1"/>
  <c r="AB105" i="1"/>
  <c r="AC105" i="1" s="1"/>
  <c r="B46" i="4"/>
  <c r="K47" i="1"/>
  <c r="M46" i="13" l="1"/>
  <c r="P46" i="13"/>
  <c r="O46" i="13"/>
  <c r="N46" i="13"/>
  <c r="O49" i="7"/>
  <c r="C46" i="13"/>
  <c r="AB106" i="1"/>
  <c r="AC106" i="1" s="1"/>
  <c r="J48" i="1"/>
  <c r="N50" i="7" s="1"/>
  <c r="C46" i="4"/>
  <c r="B47" i="13" l="1"/>
  <c r="AB107" i="1"/>
  <c r="AC107" i="1" s="1"/>
  <c r="B47" i="4"/>
  <c r="K48" i="1"/>
  <c r="M47" i="13" l="1"/>
  <c r="P47" i="13"/>
  <c r="N47" i="13"/>
  <c r="O47" i="13"/>
  <c r="O50" i="7"/>
  <c r="C47" i="13"/>
  <c r="AB108" i="1"/>
  <c r="AC108" i="1" s="1"/>
  <c r="J49" i="1"/>
  <c r="N51" i="7" s="1"/>
  <c r="C47" i="4"/>
  <c r="B48" i="13" l="1"/>
  <c r="AB109" i="1"/>
  <c r="AC109" i="1" s="1"/>
  <c r="B48" i="4"/>
  <c r="K49" i="1"/>
  <c r="M48" i="13" l="1"/>
  <c r="P48" i="13"/>
  <c r="O48" i="13"/>
  <c r="N48" i="13"/>
  <c r="O51" i="7"/>
  <c r="C48" i="13"/>
  <c r="AB110" i="1"/>
  <c r="AC110" i="1" s="1"/>
  <c r="J50" i="1"/>
  <c r="N52" i="7" s="1"/>
  <c r="C48" i="4"/>
  <c r="B49" i="13" l="1"/>
  <c r="AB111" i="1"/>
  <c r="AC111" i="1" s="1"/>
  <c r="B49" i="4"/>
  <c r="K50" i="1"/>
  <c r="M49" i="13" l="1"/>
  <c r="P49" i="13"/>
  <c r="O49" i="13"/>
  <c r="N49" i="13"/>
  <c r="O52" i="7"/>
  <c r="C49" i="13"/>
  <c r="AB112" i="1"/>
  <c r="AC112" i="1" s="1"/>
  <c r="J51" i="1"/>
  <c r="N53" i="7" s="1"/>
  <c r="C49" i="4"/>
  <c r="B50" i="13" l="1"/>
  <c r="AB113" i="1"/>
  <c r="AC113" i="1" s="1"/>
  <c r="B50" i="4"/>
  <c r="K51" i="1"/>
  <c r="O53" i="7" l="1"/>
  <c r="M50" i="13"/>
  <c r="P50" i="13"/>
  <c r="N50" i="13"/>
  <c r="O50" i="13"/>
  <c r="C50" i="13"/>
  <c r="AB114" i="1"/>
  <c r="AC114" i="1" s="1"/>
  <c r="J52" i="1"/>
  <c r="N54" i="7" s="1"/>
  <c r="C50" i="4"/>
  <c r="B51" i="13" l="1"/>
  <c r="AB115" i="1"/>
  <c r="AC115" i="1" s="1"/>
  <c r="B51" i="4"/>
  <c r="K52" i="1"/>
  <c r="O54" i="7" l="1"/>
  <c r="M51" i="13"/>
  <c r="N51" i="13"/>
  <c r="O51" i="13"/>
  <c r="P51" i="13"/>
  <c r="C51" i="13"/>
  <c r="AB116" i="1"/>
  <c r="AC116" i="1" s="1"/>
  <c r="J53" i="1"/>
  <c r="N55" i="7" s="1"/>
  <c r="C51" i="4"/>
  <c r="B52" i="13" l="1"/>
  <c r="AB117" i="1"/>
  <c r="AC117" i="1" s="1"/>
  <c r="B52" i="4"/>
  <c r="K53" i="1"/>
  <c r="O55" i="7" l="1"/>
  <c r="M52" i="13"/>
  <c r="N52" i="13"/>
  <c r="P52" i="13"/>
  <c r="O52" i="13"/>
  <c r="C52" i="13"/>
  <c r="AB118" i="1"/>
  <c r="AC118" i="1" s="1"/>
  <c r="J54" i="1"/>
  <c r="N56" i="7" s="1"/>
  <c r="C52" i="4"/>
  <c r="B53" i="13" l="1"/>
  <c r="AB119" i="1"/>
  <c r="AC119" i="1" s="1"/>
  <c r="B53" i="4"/>
  <c r="K54" i="1"/>
  <c r="O56" i="7" l="1"/>
  <c r="M53" i="13"/>
  <c r="P53" i="13"/>
  <c r="O53" i="13"/>
  <c r="N53" i="13"/>
  <c r="C53" i="13"/>
  <c r="AB120" i="1"/>
  <c r="AC120" i="1" s="1"/>
  <c r="J55" i="1"/>
  <c r="N57" i="7" s="1"/>
  <c r="C53" i="4"/>
  <c r="B54" i="13" l="1"/>
  <c r="AB121" i="1"/>
  <c r="AC121" i="1" s="1"/>
  <c r="B54" i="4"/>
  <c r="K55" i="1"/>
  <c r="O57" i="7" l="1"/>
  <c r="M54" i="13"/>
  <c r="P54" i="13"/>
  <c r="O54" i="13"/>
  <c r="N54" i="13"/>
  <c r="C54" i="13"/>
  <c r="AB122" i="1"/>
  <c r="AC122" i="1" s="1"/>
  <c r="J56" i="1"/>
  <c r="N58" i="7" s="1"/>
  <c r="C54" i="4"/>
  <c r="B55" i="13" l="1"/>
  <c r="AB123" i="1"/>
  <c r="AC123" i="1" s="1"/>
  <c r="B55" i="4"/>
  <c r="K56" i="1"/>
  <c r="O58" i="7" l="1"/>
  <c r="M55" i="13"/>
  <c r="P55" i="13"/>
  <c r="N55" i="13"/>
  <c r="O55" i="13"/>
  <c r="C55" i="13"/>
  <c r="AB124" i="1"/>
  <c r="J57" i="1"/>
  <c r="N59" i="7" s="1"/>
  <c r="C55" i="4"/>
  <c r="B56" i="13" l="1"/>
  <c r="AC124" i="1"/>
  <c r="AA4" i="1" a="1"/>
  <c r="B56" i="4"/>
  <c r="K57" i="1"/>
  <c r="AE49" i="1" l="1"/>
  <c r="AE45" i="1"/>
  <c r="AE41" i="1"/>
  <c r="AE36" i="1"/>
  <c r="AE29" i="1"/>
  <c r="AE20" i="1"/>
  <c r="AE13" i="1"/>
  <c r="AE34" i="1"/>
  <c r="AE27" i="1"/>
  <c r="AE50" i="1"/>
  <c r="AE46" i="1"/>
  <c r="AE42" i="1"/>
  <c r="AE32" i="1"/>
  <c r="AE25" i="1"/>
  <c r="AE16" i="1"/>
  <c r="AE9" i="1"/>
  <c r="AE39" i="1"/>
  <c r="AE30" i="1"/>
  <c r="AE23" i="1"/>
  <c r="AE14" i="1"/>
  <c r="AE7" i="1"/>
  <c r="AE51" i="1"/>
  <c r="AE47" i="1"/>
  <c r="AE43" i="1"/>
  <c r="AE37" i="1"/>
  <c r="AE28" i="1"/>
  <c r="AE21" i="1"/>
  <c r="AE12" i="1"/>
  <c r="AE5" i="1"/>
  <c r="AE35" i="1"/>
  <c r="AE26" i="1"/>
  <c r="AE19" i="1"/>
  <c r="AE10" i="1"/>
  <c r="AE18" i="1"/>
  <c r="AE6" i="1"/>
  <c r="AE11" i="1"/>
  <c r="AE22" i="1"/>
  <c r="AE24" i="1"/>
  <c r="AE48" i="1"/>
  <c r="AE38" i="1"/>
  <c r="AE17" i="1"/>
  <c r="AE31" i="1"/>
  <c r="AE44" i="1"/>
  <c r="AE33" i="1"/>
  <c r="AE40" i="1"/>
  <c r="AE15" i="1"/>
  <c r="AE8" i="1"/>
  <c r="AA4" i="1"/>
  <c r="AF58" i="1"/>
  <c r="AG60" i="1"/>
  <c r="AI60" i="1" s="1" a="1"/>
  <c r="AI60" i="1" s="1"/>
  <c r="AH57" i="1" a="1"/>
  <c r="AH57" i="1" s="1"/>
  <c r="AH59" i="1" a="1"/>
  <c r="AH59" i="1" s="1"/>
  <c r="AH63" i="1" a="1"/>
  <c r="AH63" i="1" s="1"/>
  <c r="AF59" i="1"/>
  <c r="AG53" i="1"/>
  <c r="AI53" i="1" s="1" a="1"/>
  <c r="AI53" i="1" s="1"/>
  <c r="AG61" i="1"/>
  <c r="AI61" i="1" s="1" a="1"/>
  <c r="AI61" i="1" s="1"/>
  <c r="AH58" i="1" a="1"/>
  <c r="AH58" i="1" s="1"/>
  <c r="AF60" i="1"/>
  <c r="AG54" i="1"/>
  <c r="AI54" i="1" s="1" a="1"/>
  <c r="AI54" i="1" s="1"/>
  <c r="AG62" i="1"/>
  <c r="AI62" i="1" s="1" a="1"/>
  <c r="AI62" i="1" s="1"/>
  <c r="AF53" i="1"/>
  <c r="AF61" i="1"/>
  <c r="AG55" i="1"/>
  <c r="AI55" i="1" s="1" a="1"/>
  <c r="AI55" i="1" s="1"/>
  <c r="AG63" i="1"/>
  <c r="AI63" i="1" s="1" a="1"/>
  <c r="AI63" i="1" s="1"/>
  <c r="AH60" i="1" a="1"/>
  <c r="AH60" i="1" s="1"/>
  <c r="AH61" i="1" a="1"/>
  <c r="AH61" i="1" s="1"/>
  <c r="AF54" i="1"/>
  <c r="AF62" i="1"/>
  <c r="AG56" i="1"/>
  <c r="AI56" i="1" s="1" a="1"/>
  <c r="AI56" i="1" s="1"/>
  <c r="AG64" i="1"/>
  <c r="AI64" i="1" s="1" a="1"/>
  <c r="AI64" i="1" s="1"/>
  <c r="AF55" i="1"/>
  <c r="AF63" i="1"/>
  <c r="AG57" i="1"/>
  <c r="AI57" i="1" s="1" a="1"/>
  <c r="AI57" i="1" s="1"/>
  <c r="AH54" i="1" a="1"/>
  <c r="AH54" i="1" s="1"/>
  <c r="AH62" i="1" a="1"/>
  <c r="AH62" i="1" s="1"/>
  <c r="AH55" i="1" a="1"/>
  <c r="AH55" i="1" s="1"/>
  <c r="AF56" i="1"/>
  <c r="AF64" i="1"/>
  <c r="AG58" i="1"/>
  <c r="AI58" i="1" s="1" a="1"/>
  <c r="AI58" i="1" s="1"/>
  <c r="AF57" i="1"/>
  <c r="AG59" i="1"/>
  <c r="AI59" i="1" s="1" a="1"/>
  <c r="AI59" i="1" s="1"/>
  <c r="AH56" i="1" a="1"/>
  <c r="AH56" i="1" s="1"/>
  <c r="AH64" i="1" a="1"/>
  <c r="AH64" i="1" s="1"/>
  <c r="AH53" i="1" a="1"/>
  <c r="AH53" i="1" s="1"/>
  <c r="M56" i="13"/>
  <c r="P56" i="13"/>
  <c r="O56" i="13"/>
  <c r="N56" i="13"/>
  <c r="O59" i="7"/>
  <c r="C56" i="13"/>
  <c r="J58" i="1"/>
  <c r="N60" i="7" s="1"/>
  <c r="C56" i="4"/>
  <c r="AE4" i="1" l="1"/>
  <c r="AF4" i="1"/>
  <c r="AH4" i="1" a="1"/>
  <c r="AH4" i="1" s="1"/>
  <c r="AD4" i="1"/>
  <c r="AG4" i="1"/>
  <c r="AI4" i="1" s="1" a="1"/>
  <c r="AI4" i="1" s="1"/>
  <c r="B57" i="13"/>
  <c r="B57" i="4"/>
  <c r="K58" i="1"/>
  <c r="AJ4" i="1" l="1"/>
  <c r="AL4" i="1" s="1"/>
  <c r="AO4" i="1" s="1"/>
  <c r="O60" i="7"/>
  <c r="M57" i="13"/>
  <c r="P57" i="13"/>
  <c r="O57" i="13"/>
  <c r="N57" i="13"/>
  <c r="C57" i="13"/>
  <c r="J59" i="1"/>
  <c r="N61" i="7" s="1"/>
  <c r="C57" i="4"/>
  <c r="AM4" i="1" l="1"/>
  <c r="B58" i="13"/>
  <c r="B58" i="4"/>
  <c r="K59" i="1"/>
  <c r="M58" i="13" l="1"/>
  <c r="P58" i="13"/>
  <c r="O58" i="13"/>
  <c r="N58" i="13"/>
  <c r="O61" i="7"/>
  <c r="C58" i="13"/>
  <c r="J60" i="1"/>
  <c r="N62" i="7" s="1"/>
  <c r="C58" i="4"/>
  <c r="B59" i="13" l="1"/>
  <c r="B59" i="4"/>
  <c r="K60" i="1"/>
  <c r="O62" i="7" l="1"/>
  <c r="M59" i="13"/>
  <c r="O59" i="13"/>
  <c r="P59" i="13"/>
  <c r="N59" i="13"/>
  <c r="C59" i="13"/>
  <c r="J61" i="1"/>
  <c r="N63" i="7" s="1"/>
  <c r="C59" i="4"/>
  <c r="B60" i="13" l="1"/>
  <c r="B60" i="4"/>
  <c r="K61" i="1"/>
  <c r="O63" i="7" l="1"/>
  <c r="M60" i="13"/>
  <c r="N60" i="13"/>
  <c r="P60" i="13"/>
  <c r="O60" i="13"/>
  <c r="C60" i="13"/>
  <c r="J62" i="1"/>
  <c r="N64" i="7" s="1"/>
  <c r="C60" i="4"/>
  <c r="B61" i="13" l="1"/>
  <c r="B61" i="4"/>
  <c r="K62" i="1"/>
  <c r="O64" i="7" l="1"/>
  <c r="M61" i="13"/>
  <c r="P61" i="13"/>
  <c r="O61" i="13"/>
  <c r="N61" i="13"/>
  <c r="C61" i="13"/>
  <c r="J63" i="1"/>
  <c r="N65" i="7" s="1"/>
  <c r="C61" i="4"/>
  <c r="B62" i="13" l="1"/>
  <c r="B62" i="4"/>
  <c r="K63" i="1"/>
  <c r="O65" i="7" l="1"/>
  <c r="M62" i="13"/>
  <c r="P62" i="13"/>
  <c r="O62" i="13"/>
  <c r="N62" i="13"/>
  <c r="C62" i="13"/>
  <c r="J64" i="1"/>
  <c r="N66" i="7" s="1"/>
  <c r="C62" i="4"/>
  <c r="B63" i="13" l="1"/>
  <c r="B63" i="4"/>
  <c r="K64" i="1"/>
  <c r="O66" i="7" l="1"/>
  <c r="M63" i="13"/>
  <c r="P63" i="13"/>
  <c r="N63" i="13"/>
  <c r="O63" i="13"/>
  <c r="C63" i="13"/>
  <c r="J65" i="1"/>
  <c r="N67" i="7" s="1"/>
  <c r="C63" i="4"/>
  <c r="B64" i="13" l="1"/>
  <c r="B64" i="4"/>
  <c r="K65" i="1"/>
  <c r="O67" i="7" l="1"/>
  <c r="M64" i="13"/>
  <c r="P64" i="13"/>
  <c r="O64" i="13"/>
  <c r="N64" i="13"/>
  <c r="C64" i="13"/>
  <c r="J66" i="1"/>
  <c r="N68" i="7" s="1"/>
  <c r="C64" i="4"/>
  <c r="B65" i="13" l="1"/>
  <c r="B65" i="4"/>
  <c r="K66" i="1"/>
  <c r="M65" i="13" l="1"/>
  <c r="P65" i="13"/>
  <c r="O65" i="13"/>
  <c r="N65" i="13"/>
  <c r="O68" i="7"/>
  <c r="C65" i="13"/>
  <c r="J67" i="1"/>
  <c r="N69" i="7" s="1"/>
  <c r="C65" i="4"/>
  <c r="B66" i="13" l="1"/>
  <c r="B66" i="4"/>
  <c r="K67" i="1"/>
  <c r="O69" i="7" l="1"/>
  <c r="M66" i="13"/>
  <c r="P66" i="13"/>
  <c r="N66" i="13"/>
  <c r="O66" i="13"/>
  <c r="C66" i="13"/>
  <c r="J68" i="1"/>
  <c r="N70" i="7" s="1"/>
  <c r="C66" i="4"/>
  <c r="B67" i="13" l="1"/>
  <c r="B67" i="4"/>
  <c r="K68" i="1"/>
  <c r="M67" i="13" l="1"/>
  <c r="N67" i="13"/>
  <c r="O67" i="13"/>
  <c r="P67" i="13"/>
  <c r="O70" i="7"/>
  <c r="C67" i="13"/>
  <c r="J69" i="1"/>
  <c r="N71" i="7" s="1"/>
  <c r="C67" i="4"/>
  <c r="B68" i="13" l="1"/>
  <c r="B68" i="4"/>
  <c r="K69" i="1"/>
  <c r="M68" i="13" l="1"/>
  <c r="N68" i="13"/>
  <c r="P68" i="13"/>
  <c r="O68" i="13"/>
  <c r="O71" i="7"/>
  <c r="C68" i="13"/>
  <c r="J70" i="1"/>
  <c r="N72" i="7" s="1"/>
  <c r="C68" i="4"/>
  <c r="B69" i="13" l="1"/>
  <c r="B69" i="4"/>
  <c r="K70" i="1"/>
  <c r="M69" i="13" l="1"/>
  <c r="P69" i="13"/>
  <c r="O69" i="13"/>
  <c r="N69" i="13"/>
  <c r="O72" i="7"/>
  <c r="C69" i="13"/>
  <c r="J71" i="1"/>
  <c r="N73" i="7" s="1"/>
  <c r="C69" i="4"/>
  <c r="B70" i="13" l="1"/>
  <c r="B70" i="4"/>
  <c r="K71" i="1"/>
  <c r="O73" i="7" l="1"/>
  <c r="M70" i="13"/>
  <c r="P70" i="13"/>
  <c r="O70" i="13"/>
  <c r="N70" i="13"/>
  <c r="C70" i="13"/>
  <c r="J72" i="1"/>
  <c r="N74" i="7" s="1"/>
  <c r="C70" i="4"/>
  <c r="B71" i="13" l="1"/>
  <c r="B71" i="4"/>
  <c r="K72" i="1"/>
  <c r="M71" i="13" l="1"/>
  <c r="P71" i="13"/>
  <c r="N71" i="13"/>
  <c r="O71" i="13"/>
  <c r="O74" i="7"/>
  <c r="C71" i="13"/>
  <c r="J73" i="1"/>
  <c r="N75" i="7" s="1"/>
  <c r="C71" i="4"/>
  <c r="B72" i="13" l="1"/>
  <c r="B72" i="4"/>
  <c r="K73" i="1"/>
  <c r="O75" i="7" l="1"/>
  <c r="M72" i="13"/>
  <c r="P72" i="13"/>
  <c r="O72" i="13"/>
  <c r="N72" i="13"/>
  <c r="C72" i="13"/>
  <c r="J74" i="1"/>
  <c r="N76" i="7" s="1"/>
  <c r="C72" i="4"/>
  <c r="B73" i="13" l="1"/>
  <c r="B73" i="4"/>
  <c r="K74" i="1"/>
  <c r="M73" i="13" l="1"/>
  <c r="P73" i="13"/>
  <c r="O73" i="13"/>
  <c r="N73" i="13"/>
  <c r="O76" i="7"/>
  <c r="C73" i="13"/>
  <c r="J75" i="1"/>
  <c r="N77" i="7" s="1"/>
  <c r="C73" i="4"/>
  <c r="B74" i="13" l="1"/>
  <c r="B74" i="4"/>
  <c r="K75" i="1"/>
  <c r="O77" i="7" l="1"/>
  <c r="M74" i="13"/>
  <c r="P74" i="13"/>
  <c r="O74" i="13"/>
  <c r="N74" i="13"/>
  <c r="C74" i="13"/>
  <c r="J76" i="1"/>
  <c r="N78" i="7" s="1"/>
  <c r="C74" i="4"/>
  <c r="B75" i="13" l="1"/>
  <c r="B75" i="4"/>
  <c r="K76" i="1"/>
  <c r="M75" i="13" l="1"/>
  <c r="N75" i="13"/>
  <c r="P75" i="13"/>
  <c r="O75" i="13"/>
  <c r="O78" i="7"/>
  <c r="C75" i="13"/>
  <c r="J77" i="1"/>
  <c r="N79" i="7" s="1"/>
  <c r="C75" i="4"/>
  <c r="B76" i="13" l="1"/>
  <c r="B76" i="4"/>
  <c r="K77" i="1"/>
  <c r="O79" i="7" l="1"/>
  <c r="M76" i="13"/>
  <c r="N76" i="13"/>
  <c r="P76" i="13"/>
  <c r="O76" i="13"/>
  <c r="C76" i="13"/>
  <c r="J78" i="1"/>
  <c r="N80" i="7" s="1"/>
  <c r="C76" i="4"/>
  <c r="B77" i="13" l="1"/>
  <c r="B77" i="4"/>
  <c r="K78" i="1"/>
  <c r="O80" i="7" l="1"/>
  <c r="M77" i="13"/>
  <c r="P77" i="13"/>
  <c r="O77" i="13"/>
  <c r="N77" i="13"/>
  <c r="C77" i="13"/>
  <c r="J79" i="1"/>
  <c r="N81" i="7" s="1"/>
  <c r="C77" i="4"/>
  <c r="B78" i="13" l="1"/>
  <c r="B78" i="4"/>
  <c r="K79" i="1"/>
  <c r="M78" i="13" l="1"/>
  <c r="P78" i="13"/>
  <c r="O78" i="13"/>
  <c r="N78" i="13"/>
  <c r="O81" i="7"/>
  <c r="C78" i="13"/>
  <c r="J80" i="1"/>
  <c r="N82" i="7" s="1"/>
  <c r="C78" i="4"/>
  <c r="B79" i="13" l="1"/>
  <c r="B79" i="4"/>
  <c r="K80" i="1"/>
  <c r="M79" i="13" l="1"/>
  <c r="P79" i="13"/>
  <c r="N79" i="13"/>
  <c r="O79" i="13"/>
  <c r="O82" i="7"/>
  <c r="C79" i="13"/>
  <c r="J81" i="1"/>
  <c r="N83" i="7" s="1"/>
  <c r="C79" i="4"/>
  <c r="B80" i="13" l="1"/>
  <c r="B80" i="4"/>
  <c r="K81" i="1"/>
  <c r="M80" i="13" l="1"/>
  <c r="P80" i="13"/>
  <c r="O80" i="13"/>
  <c r="N80" i="13"/>
  <c r="O83" i="7"/>
  <c r="C80" i="13"/>
  <c r="J82" i="1"/>
  <c r="N84" i="7" s="1"/>
  <c r="C80" i="4"/>
  <c r="B81" i="13" l="1"/>
  <c r="B81" i="4"/>
  <c r="K82" i="1"/>
  <c r="M81" i="13" l="1"/>
  <c r="P81" i="13"/>
  <c r="O81" i="13"/>
  <c r="N81" i="13"/>
  <c r="O84" i="7"/>
  <c r="C81" i="13"/>
  <c r="J83" i="1"/>
  <c r="N85" i="7" s="1"/>
  <c r="C81" i="4"/>
  <c r="B82" i="13" l="1"/>
  <c r="B82" i="4"/>
  <c r="K83" i="1"/>
  <c r="O85" i="7" l="1"/>
  <c r="M82" i="13"/>
  <c r="P82" i="13"/>
  <c r="N82" i="13"/>
  <c r="O82" i="13"/>
  <c r="C82" i="13"/>
  <c r="J84" i="1"/>
  <c r="N86" i="7" s="1"/>
  <c r="C82" i="4"/>
  <c r="B83" i="13" l="1"/>
  <c r="B83" i="4"/>
  <c r="K84" i="1"/>
  <c r="O86" i="7" l="1"/>
  <c r="M83" i="13"/>
  <c r="O83" i="13"/>
  <c r="P83" i="13"/>
  <c r="N83" i="13"/>
  <c r="C83" i="13"/>
  <c r="J85" i="1"/>
  <c r="N87" i="7" s="1"/>
  <c r="C83" i="4"/>
  <c r="B84" i="13" l="1"/>
  <c r="B84" i="4"/>
  <c r="K85" i="1"/>
  <c r="M84" i="13" l="1"/>
  <c r="N84" i="13"/>
  <c r="O84" i="13"/>
  <c r="P84" i="13"/>
  <c r="O87" i="7"/>
  <c r="C84" i="13"/>
  <c r="J86" i="1"/>
  <c r="N88" i="7" s="1"/>
  <c r="C84" i="4"/>
  <c r="B85" i="13" l="1"/>
  <c r="B85" i="4"/>
  <c r="K86" i="1"/>
  <c r="O88" i="7" l="1"/>
  <c r="M85" i="13"/>
  <c r="P85" i="13"/>
  <c r="O85" i="13"/>
  <c r="N85" i="13"/>
  <c r="C85" i="13"/>
  <c r="J87" i="1"/>
  <c r="N89" i="7" s="1"/>
  <c r="C85" i="4"/>
  <c r="B86" i="13" l="1"/>
  <c r="B86" i="4"/>
  <c r="K87" i="1"/>
  <c r="M86" i="13" l="1"/>
  <c r="P86" i="13"/>
  <c r="O86" i="13"/>
  <c r="N86" i="13"/>
  <c r="O89" i="7"/>
  <c r="C86" i="13"/>
  <c r="J88" i="1"/>
  <c r="C86" i="4"/>
  <c r="B87" i="13" l="1"/>
  <c r="B87" i="4"/>
  <c r="K88" i="1"/>
  <c r="M87" i="13" l="1"/>
  <c r="P87" i="13"/>
  <c r="N87" i="13"/>
  <c r="O87" i="13"/>
  <c r="I87" i="13"/>
  <c r="J87" i="13"/>
  <c r="L87" i="13"/>
  <c r="K87" i="13"/>
  <c r="C87" i="13"/>
  <c r="H87" i="13" s="1"/>
  <c r="G87" i="13"/>
  <c r="F87" i="13"/>
  <c r="J89" i="1"/>
  <c r="C87" i="4"/>
  <c r="E87" i="13" l="1"/>
  <c r="B88" i="13"/>
  <c r="B88" i="4"/>
  <c r="K89" i="1"/>
  <c r="M88" i="13" l="1"/>
  <c r="P88" i="13"/>
  <c r="O88" i="13"/>
  <c r="N88" i="13"/>
  <c r="J88" i="13"/>
  <c r="K88" i="13"/>
  <c r="L88" i="13"/>
  <c r="I88" i="13"/>
  <c r="C88" i="13"/>
  <c r="H88" i="13" s="1"/>
  <c r="G88" i="13"/>
  <c r="J90" i="1"/>
  <c r="C88" i="4"/>
  <c r="F88" i="13" l="1"/>
  <c r="E88" i="13"/>
  <c r="B89" i="13"/>
  <c r="B89" i="4"/>
  <c r="K90" i="1"/>
  <c r="M89" i="13" l="1"/>
  <c r="P89" i="13"/>
  <c r="O89" i="13"/>
  <c r="N89" i="13"/>
  <c r="L89" i="13"/>
  <c r="I89" i="13"/>
  <c r="J89" i="13"/>
  <c r="K89" i="13"/>
  <c r="C89" i="13"/>
  <c r="G89" i="13" s="1"/>
  <c r="J91" i="1"/>
  <c r="C89" i="4"/>
  <c r="E89" i="13" l="1"/>
  <c r="F89" i="13"/>
  <c r="H89" i="13"/>
  <c r="B90" i="13"/>
  <c r="B90" i="4"/>
  <c r="K91" i="1"/>
  <c r="M90" i="13" l="1"/>
  <c r="P90" i="13"/>
  <c r="O90" i="13"/>
  <c r="N90" i="13"/>
  <c r="J90" i="13"/>
  <c r="K90" i="13"/>
  <c r="L90" i="13"/>
  <c r="I90" i="13"/>
  <c r="C90" i="13"/>
  <c r="G90" i="13" s="1"/>
  <c r="J92" i="1"/>
  <c r="C90" i="4"/>
  <c r="H90" i="13" l="1"/>
  <c r="F90" i="13"/>
  <c r="E90" i="13"/>
  <c r="B91" i="13"/>
  <c r="B91" i="4"/>
  <c r="K92" i="1"/>
  <c r="M91" i="13" l="1"/>
  <c r="O91" i="13"/>
  <c r="N91" i="13"/>
  <c r="P91" i="13"/>
  <c r="I91" i="13"/>
  <c r="J91" i="13"/>
  <c r="K91" i="13"/>
  <c r="L91" i="13"/>
  <c r="C91" i="13"/>
  <c r="E91" i="13" s="1"/>
  <c r="J93" i="1"/>
  <c r="C91" i="4"/>
  <c r="G91" i="13" l="1"/>
  <c r="H91" i="13"/>
  <c r="F91" i="13"/>
  <c r="B92" i="13"/>
  <c r="B92" i="4"/>
  <c r="K93" i="1"/>
  <c r="M92" i="13" l="1"/>
  <c r="N92" i="13"/>
  <c r="O92" i="13"/>
  <c r="P92" i="13"/>
  <c r="J92" i="13"/>
  <c r="K92" i="13"/>
  <c r="L92" i="13"/>
  <c r="I92" i="13"/>
  <c r="C92" i="13"/>
  <c r="F92" i="13" s="1"/>
  <c r="J94" i="1"/>
  <c r="C92" i="4"/>
  <c r="E92" i="13" l="1"/>
  <c r="G92" i="13"/>
  <c r="H92" i="13"/>
  <c r="B93" i="13"/>
  <c r="B93" i="4"/>
  <c r="K94" i="1"/>
  <c r="M93" i="13" l="1"/>
  <c r="P93" i="13"/>
  <c r="O93" i="13"/>
  <c r="N93" i="13"/>
  <c r="L93" i="13"/>
  <c r="I93" i="13"/>
  <c r="J93" i="13"/>
  <c r="K93" i="13"/>
  <c r="C93" i="13"/>
  <c r="F93" i="13" s="1"/>
  <c r="G93" i="13"/>
  <c r="J95" i="1"/>
  <c r="C93" i="4"/>
  <c r="H93" i="13" l="1"/>
  <c r="E93" i="13"/>
  <c r="B94" i="13"/>
  <c r="B94" i="4"/>
  <c r="K95" i="1"/>
  <c r="M94" i="13" l="1"/>
  <c r="P94" i="13"/>
  <c r="O94" i="13"/>
  <c r="N94" i="13"/>
  <c r="J94" i="13"/>
  <c r="K94" i="13"/>
  <c r="L94" i="13"/>
  <c r="I94" i="13"/>
  <c r="C94" i="13"/>
  <c r="E94" i="13" s="1"/>
  <c r="F94" i="13"/>
  <c r="J96" i="1"/>
  <c r="C94" i="4"/>
  <c r="H94" i="13" l="1"/>
  <c r="G94" i="13"/>
  <c r="B95" i="13"/>
  <c r="B95" i="4"/>
  <c r="K96" i="1"/>
  <c r="M95" i="13" l="1"/>
  <c r="P95" i="13"/>
  <c r="N95" i="13"/>
  <c r="O95" i="13"/>
  <c r="I95" i="13"/>
  <c r="L95" i="13"/>
  <c r="J95" i="13"/>
  <c r="K95" i="13"/>
  <c r="C95" i="13"/>
  <c r="H95" i="13" s="1"/>
  <c r="E95" i="13"/>
  <c r="F95" i="13"/>
  <c r="J97" i="1"/>
  <c r="C95" i="4"/>
  <c r="G95" i="13" l="1"/>
  <c r="B96" i="13"/>
  <c r="B96" i="4"/>
  <c r="K97" i="1"/>
  <c r="M96" i="13" l="1"/>
  <c r="P96" i="13"/>
  <c r="O96" i="13"/>
  <c r="N96" i="13"/>
  <c r="J96" i="13"/>
  <c r="K96" i="13"/>
  <c r="L96" i="13"/>
  <c r="I96" i="13"/>
  <c r="C96" i="13"/>
  <c r="F96" i="13" s="1"/>
  <c r="J98" i="1"/>
  <c r="C96" i="4"/>
  <c r="H96" i="13" l="1"/>
  <c r="G96" i="13"/>
  <c r="E96" i="13"/>
  <c r="B97" i="13"/>
  <c r="B97" i="4"/>
  <c r="K98" i="1"/>
  <c r="M97" i="13" l="1"/>
  <c r="P97" i="13"/>
  <c r="O97" i="13"/>
  <c r="N97" i="13"/>
  <c r="I97" i="13"/>
  <c r="J97" i="13"/>
  <c r="L97" i="13"/>
  <c r="K97" i="13"/>
  <c r="C97" i="13"/>
  <c r="G97" i="13" s="1"/>
  <c r="J99" i="1"/>
  <c r="C97" i="4"/>
  <c r="E97" i="13" l="1"/>
  <c r="F97" i="13"/>
  <c r="H97" i="13"/>
  <c r="B98" i="13"/>
  <c r="B98" i="4"/>
  <c r="K99" i="1"/>
  <c r="M98" i="13" l="1"/>
  <c r="P98" i="13"/>
  <c r="N98" i="13"/>
  <c r="O98" i="13"/>
  <c r="J98" i="13"/>
  <c r="K98" i="13"/>
  <c r="L98" i="13"/>
  <c r="I98" i="13"/>
  <c r="C98" i="13"/>
  <c r="E98" i="13" s="1"/>
  <c r="F98" i="13"/>
  <c r="J100" i="1"/>
  <c r="C98" i="4"/>
  <c r="H98" i="13" l="1"/>
  <c r="G98" i="13"/>
  <c r="B99" i="13"/>
  <c r="B99" i="4"/>
  <c r="K100" i="1"/>
  <c r="M99" i="13" l="1"/>
  <c r="P99" i="13"/>
  <c r="O99" i="13"/>
  <c r="N99" i="13"/>
  <c r="L99" i="13"/>
  <c r="I99" i="13"/>
  <c r="J99" i="13"/>
  <c r="K99" i="13"/>
  <c r="C99" i="13"/>
  <c r="G99" i="13" s="1"/>
  <c r="J101" i="1"/>
  <c r="C99" i="4"/>
  <c r="F99" i="13" l="1"/>
  <c r="E99" i="13"/>
  <c r="H99" i="13"/>
  <c r="B100" i="13"/>
  <c r="B100" i="4"/>
  <c r="K101" i="1"/>
  <c r="M100" i="13" l="1"/>
  <c r="N100" i="13"/>
  <c r="P100" i="13"/>
  <c r="O100" i="13"/>
  <c r="J100" i="13"/>
  <c r="K100" i="13"/>
  <c r="L100" i="13"/>
  <c r="I100" i="13"/>
  <c r="C100" i="13"/>
  <c r="E100" i="13" s="1"/>
  <c r="J102" i="1"/>
  <c r="C100" i="4"/>
  <c r="H100" i="13" l="1"/>
  <c r="F100" i="13"/>
  <c r="G100" i="13"/>
  <c r="B101" i="13"/>
  <c r="B101" i="4"/>
  <c r="K102" i="1"/>
  <c r="M101" i="13" l="1"/>
  <c r="P101" i="13"/>
  <c r="O101" i="13"/>
  <c r="N101" i="13"/>
  <c r="I101" i="13"/>
  <c r="J101" i="13"/>
  <c r="K101" i="13"/>
  <c r="L101" i="13"/>
  <c r="C101" i="13"/>
  <c r="H101" i="13" s="1"/>
  <c r="J103" i="1"/>
  <c r="C101" i="4"/>
  <c r="E101" i="13" l="1"/>
  <c r="F101" i="13"/>
  <c r="G101" i="13"/>
  <c r="B102" i="13"/>
  <c r="B102" i="4"/>
  <c r="K103" i="1"/>
  <c r="M102" i="13" l="1"/>
  <c r="P102" i="13"/>
  <c r="O102" i="13"/>
  <c r="N102" i="13"/>
  <c r="J102" i="13"/>
  <c r="K102" i="13"/>
  <c r="L102" i="13"/>
  <c r="I102" i="13"/>
  <c r="C102" i="13"/>
  <c r="E102" i="13" s="1"/>
  <c r="F102" i="13"/>
  <c r="J104" i="1"/>
  <c r="C102" i="4"/>
  <c r="H102" i="13" l="1"/>
  <c r="G102" i="13"/>
  <c r="B103" i="13"/>
  <c r="B103" i="4"/>
  <c r="K104" i="1"/>
  <c r="M103" i="13" l="1"/>
  <c r="P103" i="13"/>
  <c r="N103" i="13"/>
  <c r="O103" i="13"/>
  <c r="L103" i="13"/>
  <c r="I103" i="13"/>
  <c r="J103" i="13"/>
  <c r="K103" i="13"/>
  <c r="C103" i="13"/>
  <c r="E103" i="13" s="1"/>
  <c r="J105" i="1"/>
  <c r="C103" i="4"/>
  <c r="F103" i="13" l="1"/>
  <c r="G103" i="13"/>
  <c r="H103" i="13"/>
  <c r="B104" i="13"/>
  <c r="B104" i="4"/>
  <c r="K105" i="1"/>
  <c r="M104" i="13" l="1"/>
  <c r="P104" i="13"/>
  <c r="O104" i="13"/>
  <c r="N104" i="13"/>
  <c r="J104" i="13"/>
  <c r="K104" i="13"/>
  <c r="L104" i="13"/>
  <c r="I104" i="13"/>
  <c r="C104" i="13"/>
  <c r="G104" i="13" s="1"/>
  <c r="F104" i="13"/>
  <c r="J106" i="1"/>
  <c r="C104" i="4"/>
  <c r="E104" i="13" l="1"/>
  <c r="H104" i="13"/>
  <c r="B105" i="13"/>
  <c r="B105" i="4"/>
  <c r="K106" i="1"/>
  <c r="M105" i="13" l="1"/>
  <c r="P105" i="13"/>
  <c r="O105" i="13"/>
  <c r="N105" i="13"/>
  <c r="I105" i="13"/>
  <c r="J105" i="13"/>
  <c r="L105" i="13"/>
  <c r="K105" i="13"/>
  <c r="C105" i="13"/>
  <c r="G105" i="13" s="1"/>
  <c r="J107" i="1"/>
  <c r="C105" i="4"/>
  <c r="H105" i="13" l="1"/>
  <c r="F105" i="13"/>
  <c r="E105" i="13"/>
  <c r="B106" i="13"/>
  <c r="B106" i="4"/>
  <c r="K107" i="1"/>
  <c r="M106" i="13" l="1"/>
  <c r="P106" i="13"/>
  <c r="O106" i="13"/>
  <c r="N106" i="13"/>
  <c r="J106" i="13"/>
  <c r="K106" i="13"/>
  <c r="L106" i="13"/>
  <c r="I106" i="13"/>
  <c r="C106" i="13"/>
  <c r="H106" i="13" s="1"/>
  <c r="J108" i="1"/>
  <c r="C106" i="4"/>
  <c r="F106" i="13" l="1"/>
  <c r="G106" i="13"/>
  <c r="E106" i="13"/>
  <c r="B107" i="13"/>
  <c r="B107" i="4"/>
  <c r="K108" i="1"/>
  <c r="M107" i="13" l="1"/>
  <c r="P107" i="13"/>
  <c r="O107" i="13"/>
  <c r="N107" i="13"/>
  <c r="I107" i="13"/>
  <c r="J107" i="13"/>
  <c r="K107" i="13"/>
  <c r="L107" i="13"/>
  <c r="C107" i="13"/>
  <c r="G107" i="13" s="1"/>
  <c r="H107" i="13"/>
  <c r="J109" i="1"/>
  <c r="C107" i="4"/>
  <c r="E107" i="13" l="1"/>
  <c r="F107" i="13"/>
  <c r="B108" i="13"/>
  <c r="B108" i="4"/>
  <c r="K109" i="1"/>
  <c r="M108" i="13" l="1"/>
  <c r="N108" i="13"/>
  <c r="P108" i="13"/>
  <c r="O108" i="13"/>
  <c r="J108" i="13"/>
  <c r="K108" i="13"/>
  <c r="L108" i="13"/>
  <c r="I108" i="13"/>
  <c r="C108" i="13"/>
  <c r="F108" i="13" s="1"/>
  <c r="J110" i="1"/>
  <c r="C108" i="4"/>
  <c r="E108" i="13" l="1"/>
  <c r="G108" i="13"/>
  <c r="H108" i="13"/>
  <c r="B109" i="13"/>
  <c r="B109" i="4"/>
  <c r="K110" i="1"/>
  <c r="M109" i="13" l="1"/>
  <c r="P109" i="13"/>
  <c r="O109" i="13"/>
  <c r="N109" i="13"/>
  <c r="L109" i="13"/>
  <c r="I109" i="13"/>
  <c r="J109" i="13"/>
  <c r="K109" i="13"/>
  <c r="C109" i="13"/>
  <c r="E109" i="13" s="1"/>
  <c r="F109" i="13"/>
  <c r="G109" i="13"/>
  <c r="J111" i="1"/>
  <c r="C109" i="4"/>
  <c r="H109" i="13" l="1"/>
  <c r="B110" i="13"/>
  <c r="B110" i="4"/>
  <c r="K111" i="1"/>
  <c r="M110" i="13" l="1"/>
  <c r="P110" i="13"/>
  <c r="O110" i="13"/>
  <c r="N110" i="13"/>
  <c r="J110" i="13"/>
  <c r="K110" i="13"/>
  <c r="L110" i="13"/>
  <c r="I110" i="13"/>
  <c r="C110" i="13"/>
  <c r="G110" i="13" s="1"/>
  <c r="F110" i="13"/>
  <c r="J112" i="1"/>
  <c r="C110" i="4"/>
  <c r="E110" i="13" l="1"/>
  <c r="H110" i="13"/>
  <c r="B111" i="13"/>
  <c r="B111" i="4"/>
  <c r="K112" i="1"/>
  <c r="M111" i="13" l="1"/>
  <c r="P111" i="13"/>
  <c r="N111" i="13"/>
  <c r="O111" i="13"/>
  <c r="I111" i="13"/>
  <c r="L111" i="13"/>
  <c r="J111" i="13"/>
  <c r="K111" i="13"/>
  <c r="C111" i="13"/>
  <c r="G111" i="13" s="1"/>
  <c r="E111" i="13"/>
  <c r="J113" i="1"/>
  <c r="C111" i="4"/>
  <c r="F111" i="13" l="1"/>
  <c r="H111" i="13"/>
  <c r="B112" i="13"/>
  <c r="B112" i="4"/>
  <c r="K113" i="1"/>
  <c r="M112" i="13" l="1"/>
  <c r="P112" i="13"/>
  <c r="O112" i="13"/>
  <c r="N112" i="13"/>
  <c r="J112" i="13"/>
  <c r="K112" i="13"/>
  <c r="L112" i="13"/>
  <c r="I112" i="13"/>
  <c r="C112" i="13"/>
  <c r="E112" i="13" s="1"/>
  <c r="J114" i="1"/>
  <c r="C112" i="4"/>
  <c r="G112" i="13" l="1"/>
  <c r="F112" i="13"/>
  <c r="H112" i="13"/>
  <c r="B113" i="13"/>
  <c r="B113" i="4"/>
  <c r="K114" i="1"/>
  <c r="M113" i="13" l="1"/>
  <c r="P113" i="13"/>
  <c r="O113" i="13"/>
  <c r="N113" i="13"/>
  <c r="I113" i="13"/>
  <c r="L113" i="13"/>
  <c r="J113" i="13"/>
  <c r="K113" i="13"/>
  <c r="C113" i="13"/>
  <c r="H113" i="13" s="1"/>
  <c r="J115" i="1"/>
  <c r="C113" i="4"/>
  <c r="G113" i="13" l="1"/>
  <c r="E113" i="13"/>
  <c r="F113" i="13"/>
  <c r="B114" i="13"/>
  <c r="B114" i="4"/>
  <c r="K115" i="1"/>
  <c r="M114" i="13" l="1"/>
  <c r="P114" i="13"/>
  <c r="N114" i="13"/>
  <c r="O114" i="13"/>
  <c r="J114" i="13"/>
  <c r="K114" i="13"/>
  <c r="L114" i="13"/>
  <c r="I114" i="13"/>
  <c r="C114" i="13"/>
  <c r="E114" i="13" s="1"/>
  <c r="G114" i="13"/>
  <c r="F114" i="13"/>
  <c r="J116" i="1"/>
  <c r="C114" i="4"/>
  <c r="H114" i="13" l="1"/>
  <c r="B115" i="13"/>
  <c r="B115" i="4"/>
  <c r="K116" i="1"/>
  <c r="M115" i="13" l="1"/>
  <c r="N115" i="13"/>
  <c r="O115" i="13"/>
  <c r="P115" i="13"/>
  <c r="L115" i="13"/>
  <c r="I115" i="13"/>
  <c r="J115" i="13"/>
  <c r="K115" i="13"/>
  <c r="C115" i="13"/>
  <c r="H115" i="13" s="1"/>
  <c r="E115" i="13"/>
  <c r="J117" i="1"/>
  <c r="C115" i="4"/>
  <c r="F115" i="13" l="1"/>
  <c r="G115" i="13"/>
  <c r="B116" i="13"/>
  <c r="B116" i="4"/>
  <c r="K117" i="1"/>
  <c r="M116" i="13" l="1"/>
  <c r="N116" i="13"/>
  <c r="O116" i="13"/>
  <c r="P116" i="13"/>
  <c r="J116" i="13"/>
  <c r="K116" i="13"/>
  <c r="L116" i="13"/>
  <c r="I116" i="13"/>
  <c r="C116" i="13"/>
  <c r="F116" i="13" s="1"/>
  <c r="E116" i="13"/>
  <c r="J118" i="1"/>
  <c r="C116" i="4"/>
  <c r="G116" i="13" l="1"/>
  <c r="H116" i="13"/>
  <c r="B117" i="13"/>
  <c r="B117" i="4"/>
  <c r="K118" i="1"/>
  <c r="M117" i="13" l="1"/>
  <c r="P117" i="13"/>
  <c r="O117" i="13"/>
  <c r="N117" i="13"/>
  <c r="I117" i="13"/>
  <c r="J117" i="13"/>
  <c r="L117" i="13"/>
  <c r="K117" i="13"/>
  <c r="C117" i="13"/>
  <c r="G117" i="13" s="1"/>
  <c r="J119" i="1"/>
  <c r="C117" i="4"/>
  <c r="F117" i="13" l="1"/>
  <c r="E117" i="13"/>
  <c r="H117" i="13"/>
  <c r="B118" i="13"/>
  <c r="B118" i="4"/>
  <c r="K119" i="1"/>
  <c r="M118" i="13" l="1"/>
  <c r="P118" i="13"/>
  <c r="O118" i="13"/>
  <c r="N118" i="13"/>
  <c r="J118" i="13"/>
  <c r="K118" i="13"/>
  <c r="L118" i="13"/>
  <c r="I118" i="13"/>
  <c r="C118" i="13"/>
  <c r="G118" i="13" s="1"/>
  <c r="F118" i="13"/>
  <c r="J120" i="1"/>
  <c r="C118" i="4"/>
  <c r="H118" i="13" l="1"/>
  <c r="E118" i="13"/>
  <c r="B119" i="13"/>
  <c r="B119" i="4"/>
  <c r="K120" i="1"/>
  <c r="M119" i="13" l="1"/>
  <c r="P119" i="13"/>
  <c r="N119" i="13"/>
  <c r="O119" i="13"/>
  <c r="L119" i="13"/>
  <c r="I119" i="13"/>
  <c r="J119" i="13"/>
  <c r="K119" i="13"/>
  <c r="C119" i="13"/>
  <c r="H119" i="13" s="1"/>
  <c r="J121" i="1"/>
  <c r="C119" i="4"/>
  <c r="F119" i="13" l="1"/>
  <c r="E119" i="13"/>
  <c r="G119" i="13"/>
  <c r="B120" i="13"/>
  <c r="B120" i="4"/>
  <c r="K121" i="1"/>
  <c r="M120" i="13" l="1"/>
  <c r="P120" i="13"/>
  <c r="O120" i="13"/>
  <c r="N120" i="13"/>
  <c r="J120" i="13"/>
  <c r="K120" i="13"/>
  <c r="L120" i="13"/>
  <c r="I120" i="13"/>
  <c r="C120" i="13"/>
  <c r="G120" i="13" s="1"/>
  <c r="E120" i="13"/>
  <c r="J122" i="1"/>
  <c r="C120" i="4"/>
  <c r="F120" i="13" l="1"/>
  <c r="H120" i="13"/>
  <c r="B121" i="13"/>
  <c r="B121" i="4"/>
  <c r="K122" i="1"/>
  <c r="M121" i="13" l="1"/>
  <c r="P121" i="13"/>
  <c r="O121" i="13"/>
  <c r="N121" i="13"/>
  <c r="I121" i="13"/>
  <c r="J121" i="13"/>
  <c r="K121" i="13"/>
  <c r="L121" i="13"/>
  <c r="C121" i="13"/>
  <c r="F121" i="13" s="1"/>
  <c r="H121" i="13"/>
  <c r="G121" i="13"/>
  <c r="E121" i="13"/>
  <c r="J123" i="1"/>
  <c r="C121" i="4"/>
  <c r="B122" i="13" l="1"/>
  <c r="B122" i="4"/>
  <c r="K123" i="1"/>
  <c r="M122" i="13" l="1"/>
  <c r="P122" i="13"/>
  <c r="O122" i="13"/>
  <c r="N122" i="13"/>
  <c r="J122" i="13"/>
  <c r="K122" i="13"/>
  <c r="L122" i="13"/>
  <c r="I122" i="13"/>
  <c r="C122" i="13"/>
  <c r="F122" i="13" s="1"/>
  <c r="J124" i="1"/>
  <c r="C122" i="4"/>
  <c r="G122" i="13" l="1"/>
  <c r="E122" i="13"/>
  <c r="H122" i="13"/>
  <c r="B123" i="13"/>
  <c r="B123" i="4"/>
  <c r="K124" i="1"/>
  <c r="I4" i="1" a="1"/>
  <c r="AX6" i="1" l="1"/>
  <c r="BD6" i="1" s="1"/>
  <c r="BP6" i="1"/>
  <c r="BV6" i="1" s="1"/>
  <c r="CH6" i="1"/>
  <c r="CN6" i="1" s="1"/>
  <c r="AX7" i="1"/>
  <c r="BD7" i="1" s="1"/>
  <c r="BG7" i="1" s="1"/>
  <c r="AX8" i="1"/>
  <c r="BD8" i="1" s="1"/>
  <c r="BG8" i="1" s="1"/>
  <c r="M117" i="1"/>
  <c r="M109" i="1"/>
  <c r="M101" i="1"/>
  <c r="M93" i="1"/>
  <c r="T86" i="1"/>
  <c r="W86" i="1" s="1"/>
  <c r="M84" i="1"/>
  <c r="M81" i="1"/>
  <c r="T78" i="1"/>
  <c r="M76" i="1"/>
  <c r="M73" i="1"/>
  <c r="T70" i="1"/>
  <c r="M68" i="1"/>
  <c r="M65" i="1"/>
  <c r="M123" i="1"/>
  <c r="M115" i="1"/>
  <c r="M107" i="1"/>
  <c r="M86" i="1"/>
  <c r="T80" i="1"/>
  <c r="M75" i="1"/>
  <c r="T72" i="1"/>
  <c r="M67" i="1"/>
  <c r="M114" i="1"/>
  <c r="M98" i="1"/>
  <c r="M90" i="1"/>
  <c r="R80" i="1"/>
  <c r="W74" i="1"/>
  <c r="R69" i="1"/>
  <c r="R64" i="1"/>
  <c r="M113" i="1"/>
  <c r="M89" i="1"/>
  <c r="T82" i="1"/>
  <c r="M80" i="1"/>
  <c r="M77" i="1"/>
  <c r="T74" i="1"/>
  <c r="M72" i="1"/>
  <c r="M64" i="1"/>
  <c r="M112" i="1"/>
  <c r="M96" i="1"/>
  <c r="M88" i="1"/>
  <c r="W84" i="1"/>
  <c r="M119" i="1"/>
  <c r="M111" i="1"/>
  <c r="M102" i="1"/>
  <c r="R81" i="1"/>
  <c r="W78" i="1"/>
  <c r="W70" i="1"/>
  <c r="R68" i="1"/>
  <c r="R65" i="1"/>
  <c r="M124" i="1"/>
  <c r="M116" i="1"/>
  <c r="M108" i="1"/>
  <c r="M100" i="1"/>
  <c r="M92" i="1"/>
  <c r="R86" i="1"/>
  <c r="R83" i="1"/>
  <c r="W80" i="1"/>
  <c r="R78" i="1"/>
  <c r="R75" i="1"/>
  <c r="W72" i="1"/>
  <c r="R70" i="1"/>
  <c r="R67" i="1"/>
  <c r="W64" i="1"/>
  <c r="M99" i="1"/>
  <c r="M91" i="1"/>
  <c r="M83" i="1"/>
  <c r="M78" i="1"/>
  <c r="M70" i="1"/>
  <c r="T64" i="1"/>
  <c r="M122" i="1"/>
  <c r="M106" i="1"/>
  <c r="R85" i="1"/>
  <c r="W82" i="1"/>
  <c r="R77" i="1"/>
  <c r="R72" i="1"/>
  <c r="W66" i="1"/>
  <c r="M121" i="1"/>
  <c r="M105" i="1"/>
  <c r="M97" i="1"/>
  <c r="M85" i="1"/>
  <c r="M69" i="1"/>
  <c r="T66" i="1"/>
  <c r="M120" i="1"/>
  <c r="M104" i="1"/>
  <c r="R82" i="1"/>
  <c r="R79" i="1"/>
  <c r="W76" i="1"/>
  <c r="R74" i="1"/>
  <c r="R71" i="1"/>
  <c r="W68" i="1"/>
  <c r="R66" i="1"/>
  <c r="M103" i="1"/>
  <c r="M95" i="1"/>
  <c r="R87" i="1"/>
  <c r="T84" i="1"/>
  <c r="M82" i="1"/>
  <c r="M79" i="1"/>
  <c r="T76" i="1"/>
  <c r="M74" i="1"/>
  <c r="M71" i="1"/>
  <c r="T68" i="1"/>
  <c r="M66" i="1"/>
  <c r="M118" i="1"/>
  <c r="M110" i="1"/>
  <c r="M94" i="1"/>
  <c r="M87" i="1"/>
  <c r="R84" i="1"/>
  <c r="R76" i="1"/>
  <c r="R73" i="1"/>
  <c r="T75" i="1"/>
  <c r="W75" i="1" s="1"/>
  <c r="W77" i="1"/>
  <c r="T77" i="1"/>
  <c r="W69" i="1"/>
  <c r="T79" i="1"/>
  <c r="W79" i="1" s="1"/>
  <c r="T65" i="1"/>
  <c r="W65" i="1" s="1"/>
  <c r="T81" i="1"/>
  <c r="W81" i="1" s="1"/>
  <c r="T67" i="1"/>
  <c r="W67" i="1" s="1"/>
  <c r="T83" i="1"/>
  <c r="W83" i="1" s="1"/>
  <c r="T69" i="1"/>
  <c r="T85" i="1"/>
  <c r="W85" i="1" s="1"/>
  <c r="T71" i="1"/>
  <c r="W71" i="1" s="1"/>
  <c r="T87" i="1"/>
  <c r="W87" i="1" s="1"/>
  <c r="T73" i="1"/>
  <c r="W73" i="1" s="1"/>
  <c r="O88" i="1"/>
  <c r="O96" i="1"/>
  <c r="O104" i="1"/>
  <c r="O112" i="1"/>
  <c r="O120" i="1"/>
  <c r="N91" i="1"/>
  <c r="N99" i="1"/>
  <c r="N107" i="1"/>
  <c r="N115" i="1"/>
  <c r="N123" i="1"/>
  <c r="O89" i="1"/>
  <c r="O97" i="1"/>
  <c r="O105" i="1"/>
  <c r="O113" i="1"/>
  <c r="O121" i="1"/>
  <c r="N92" i="1"/>
  <c r="N100" i="1"/>
  <c r="N108" i="1"/>
  <c r="N116" i="1"/>
  <c r="N124" i="1"/>
  <c r="O90" i="1"/>
  <c r="O114" i="1"/>
  <c r="N93" i="1"/>
  <c r="N101" i="1"/>
  <c r="N117" i="1"/>
  <c r="O99" i="1"/>
  <c r="O115" i="1"/>
  <c r="N94" i="1"/>
  <c r="N110" i="1"/>
  <c r="O92" i="1"/>
  <c r="O116" i="1"/>
  <c r="N103" i="1"/>
  <c r="N119" i="1"/>
  <c r="O101" i="1"/>
  <c r="O117" i="1"/>
  <c r="N96" i="1"/>
  <c r="N112" i="1"/>
  <c r="O94" i="1"/>
  <c r="O102" i="1"/>
  <c r="O110" i="1"/>
  <c r="O118" i="1"/>
  <c r="N89" i="1"/>
  <c r="N97" i="1"/>
  <c r="N105" i="1"/>
  <c r="N113" i="1"/>
  <c r="N121" i="1"/>
  <c r="O95" i="1"/>
  <c r="O103" i="1"/>
  <c r="O111" i="1"/>
  <c r="O119" i="1"/>
  <c r="N90" i="1"/>
  <c r="N98" i="1"/>
  <c r="N106" i="1"/>
  <c r="N114" i="1"/>
  <c r="N122" i="1"/>
  <c r="O98" i="1"/>
  <c r="O106" i="1"/>
  <c r="O122" i="1"/>
  <c r="N109" i="1"/>
  <c r="O91" i="1"/>
  <c r="O107" i="1"/>
  <c r="O123" i="1"/>
  <c r="N102" i="1"/>
  <c r="N118" i="1"/>
  <c r="O100" i="1"/>
  <c r="O108" i="1"/>
  <c r="O124" i="1"/>
  <c r="N95" i="1"/>
  <c r="N111" i="1"/>
  <c r="O93" i="1"/>
  <c r="O109" i="1"/>
  <c r="N88" i="1"/>
  <c r="N104" i="1"/>
  <c r="N120" i="1"/>
  <c r="Q101" i="1" a="1"/>
  <c r="Q101" i="1" s="1"/>
  <c r="Q91" i="1" a="1"/>
  <c r="Q91" i="1" s="1"/>
  <c r="Q120" i="1" a="1"/>
  <c r="Q120" i="1" s="1"/>
  <c r="Q118" i="1" a="1"/>
  <c r="Q118" i="1" s="1"/>
  <c r="Q103" i="1" a="1"/>
  <c r="Q103" i="1" s="1"/>
  <c r="Q93" i="1" a="1"/>
  <c r="Q93" i="1" s="1"/>
  <c r="Q100" i="1" a="1"/>
  <c r="Q100" i="1" s="1"/>
  <c r="Q115" i="1" a="1"/>
  <c r="Q115" i="1" s="1"/>
  <c r="Q122" i="1" a="1"/>
  <c r="Q122" i="1" s="1"/>
  <c r="Q90" i="1" a="1"/>
  <c r="Q90" i="1" s="1"/>
  <c r="Q105" i="1" a="1"/>
  <c r="Q105" i="1" s="1"/>
  <c r="Q112" i="1" a="1"/>
  <c r="Q112" i="1" s="1"/>
  <c r="Q110" i="1" a="1"/>
  <c r="Q110" i="1" s="1"/>
  <c r="Q117" i="1" a="1"/>
  <c r="Q117" i="1" s="1"/>
  <c r="Q124" i="1" a="1"/>
  <c r="Q124" i="1" s="1"/>
  <c r="Q92" i="1" a="1"/>
  <c r="Q92" i="1" s="1"/>
  <c r="Q107" i="1" a="1"/>
  <c r="Q107" i="1" s="1"/>
  <c r="Q114" i="1" a="1"/>
  <c r="Q114" i="1" s="1"/>
  <c r="Q111" i="1" a="1"/>
  <c r="Q111" i="1" s="1"/>
  <c r="Q97" i="1" a="1"/>
  <c r="Q97" i="1" s="1"/>
  <c r="Q104" i="1" a="1"/>
  <c r="Q104" i="1" s="1"/>
  <c r="Q102" i="1" a="1"/>
  <c r="Q102" i="1" s="1"/>
  <c r="Q109" i="1" a="1"/>
  <c r="Q109" i="1" s="1"/>
  <c r="Q116" i="1" a="1"/>
  <c r="Q116" i="1" s="1"/>
  <c r="Q95" i="1" a="1"/>
  <c r="Q95" i="1" s="1"/>
  <c r="Q99" i="1" a="1"/>
  <c r="Q99" i="1" s="1"/>
  <c r="Q106" i="1" a="1"/>
  <c r="Q106" i="1" s="1"/>
  <c r="Q121" i="1" a="1"/>
  <c r="Q121" i="1" s="1"/>
  <c r="Q89" i="1" a="1"/>
  <c r="Q89" i="1" s="1"/>
  <c r="Q96" i="1" a="1"/>
  <c r="Q96" i="1" s="1"/>
  <c r="Q119" i="1" a="1"/>
  <c r="Q119" i="1" s="1"/>
  <c r="Q94" i="1" a="1"/>
  <c r="Q94" i="1" s="1"/>
  <c r="Q108" i="1" a="1"/>
  <c r="Q108" i="1" s="1"/>
  <c r="Q123" i="1" a="1"/>
  <c r="Q123" i="1" s="1"/>
  <c r="Q98" i="1" a="1"/>
  <c r="Q98" i="1" s="1"/>
  <c r="Q113" i="1" a="1"/>
  <c r="Q113" i="1" s="1"/>
  <c r="Q88" i="1" a="1"/>
  <c r="Q88" i="1" s="1"/>
  <c r="P94" i="1" a="1"/>
  <c r="P94" i="1" s="1"/>
  <c r="D93" i="13" s="1"/>
  <c r="P102" i="1" a="1"/>
  <c r="P102" i="1" s="1"/>
  <c r="D101" i="13" s="1"/>
  <c r="P110" i="1" a="1"/>
  <c r="P110" i="1" s="1"/>
  <c r="D109" i="13" s="1"/>
  <c r="P118" i="1" a="1"/>
  <c r="P118" i="1" s="1"/>
  <c r="D117" i="13" s="1"/>
  <c r="P105" i="1" a="1"/>
  <c r="P105" i="1" s="1"/>
  <c r="D104" i="13" s="1"/>
  <c r="P106" i="1" a="1"/>
  <c r="P106" i="1" s="1"/>
  <c r="D105" i="13" s="1"/>
  <c r="P91" i="1" a="1"/>
  <c r="P91" i="1" s="1"/>
  <c r="D90" i="13" s="1"/>
  <c r="P115" i="1" a="1"/>
  <c r="P115" i="1" s="1"/>
  <c r="D114" i="13" s="1"/>
  <c r="P100" i="1" a="1"/>
  <c r="P100" i="1" s="1"/>
  <c r="D99" i="13" s="1"/>
  <c r="P116" i="1" a="1"/>
  <c r="P116" i="1" s="1"/>
  <c r="D115" i="13" s="1"/>
  <c r="P101" i="1" a="1"/>
  <c r="P101" i="1" s="1"/>
  <c r="D100" i="13" s="1"/>
  <c r="P95" i="1" a="1"/>
  <c r="P95" i="1" s="1"/>
  <c r="D94" i="13" s="1"/>
  <c r="P103" i="1" a="1"/>
  <c r="P103" i="1" s="1"/>
  <c r="D102" i="13" s="1"/>
  <c r="P111" i="1" a="1"/>
  <c r="P111" i="1" s="1"/>
  <c r="D110" i="13" s="1"/>
  <c r="P119" i="1" a="1"/>
  <c r="P119" i="1" s="1"/>
  <c r="D118" i="13" s="1"/>
  <c r="P97" i="1" a="1"/>
  <c r="P97" i="1" s="1"/>
  <c r="D96" i="13" s="1"/>
  <c r="P121" i="1" a="1"/>
  <c r="P121" i="1" s="1"/>
  <c r="D120" i="13" s="1"/>
  <c r="P98" i="1" a="1"/>
  <c r="P98" i="1" s="1"/>
  <c r="D97" i="13" s="1"/>
  <c r="P122" i="1" a="1"/>
  <c r="P122" i="1" s="1"/>
  <c r="D121" i="13" s="1"/>
  <c r="P107" i="1" a="1"/>
  <c r="P107" i="1" s="1"/>
  <c r="D106" i="13" s="1"/>
  <c r="P108" i="1" a="1"/>
  <c r="P108" i="1" s="1"/>
  <c r="D107" i="13" s="1"/>
  <c r="P109" i="1" a="1"/>
  <c r="P109" i="1" s="1"/>
  <c r="D108" i="13" s="1"/>
  <c r="P88" i="1" a="1"/>
  <c r="P88" i="1" s="1"/>
  <c r="D87" i="13" s="1"/>
  <c r="P96" i="1" a="1"/>
  <c r="P96" i="1" s="1"/>
  <c r="D95" i="13" s="1"/>
  <c r="P104" i="1" a="1"/>
  <c r="P104" i="1" s="1"/>
  <c r="D103" i="13" s="1"/>
  <c r="P112" i="1" a="1"/>
  <c r="P112" i="1" s="1"/>
  <c r="D111" i="13" s="1"/>
  <c r="P120" i="1" a="1"/>
  <c r="P120" i="1" s="1"/>
  <c r="D119" i="13" s="1"/>
  <c r="P89" i="1" a="1"/>
  <c r="P89" i="1" s="1"/>
  <c r="D88" i="13" s="1"/>
  <c r="P113" i="1" a="1"/>
  <c r="P113" i="1" s="1"/>
  <c r="D112" i="13" s="1"/>
  <c r="P90" i="1" a="1"/>
  <c r="P90" i="1" s="1"/>
  <c r="D89" i="13" s="1"/>
  <c r="P114" i="1" a="1"/>
  <c r="P114" i="1" s="1"/>
  <c r="D113" i="13" s="1"/>
  <c r="P99" i="1" a="1"/>
  <c r="P99" i="1" s="1"/>
  <c r="D98" i="13" s="1"/>
  <c r="P123" i="1" a="1"/>
  <c r="P123" i="1" s="1"/>
  <c r="D122" i="13" s="1"/>
  <c r="P92" i="1" a="1"/>
  <c r="P92" i="1" s="1"/>
  <c r="D91" i="13" s="1"/>
  <c r="P124" i="1" a="1"/>
  <c r="P124" i="1" s="1"/>
  <c r="D123" i="13" s="1"/>
  <c r="P93" i="1" a="1"/>
  <c r="P93" i="1" s="1"/>
  <c r="D92" i="13" s="1"/>
  <c r="P117" i="1" a="1"/>
  <c r="P117" i="1" s="1"/>
  <c r="D116" i="13" s="1"/>
  <c r="R112" i="1"/>
  <c r="R95" i="1"/>
  <c r="R94" i="1"/>
  <c r="R124" i="1"/>
  <c r="R99" i="1"/>
  <c r="R98" i="1"/>
  <c r="L91" i="1"/>
  <c r="L99" i="1"/>
  <c r="L107" i="1"/>
  <c r="L115" i="1"/>
  <c r="L123" i="1"/>
  <c r="L101" i="1"/>
  <c r="L117" i="1"/>
  <c r="R120" i="1"/>
  <c r="R117" i="1"/>
  <c r="T97" i="1"/>
  <c r="L102" i="1"/>
  <c r="R88" i="1"/>
  <c r="R92" i="1"/>
  <c r="L95" i="1"/>
  <c r="W95" i="1" s="1"/>
  <c r="L112" i="1"/>
  <c r="R110" i="1"/>
  <c r="L89" i="1"/>
  <c r="L113" i="1"/>
  <c r="L121" i="1"/>
  <c r="R102" i="1"/>
  <c r="R106" i="1"/>
  <c r="L122" i="1"/>
  <c r="R104" i="1"/>
  <c r="T95" i="1"/>
  <c r="R105" i="1"/>
  <c r="R116" i="1"/>
  <c r="R91" i="1"/>
  <c r="R90" i="1"/>
  <c r="L92" i="1"/>
  <c r="L100" i="1"/>
  <c r="L108" i="1"/>
  <c r="L116" i="1"/>
  <c r="T116" i="1" s="1"/>
  <c r="L124" i="1"/>
  <c r="L93" i="1"/>
  <c r="R96" i="1"/>
  <c r="R100" i="1"/>
  <c r="L94" i="1"/>
  <c r="L118" i="1"/>
  <c r="W118" i="1" s="1"/>
  <c r="T118" i="1"/>
  <c r="R122" i="1"/>
  <c r="L111" i="1"/>
  <c r="R113" i="1"/>
  <c r="R101" i="1"/>
  <c r="R114" i="1"/>
  <c r="L88" i="1"/>
  <c r="L104" i="1"/>
  <c r="L120" i="1"/>
  <c r="R111" i="1"/>
  <c r="R115" i="1"/>
  <c r="T106" i="1"/>
  <c r="L97" i="1"/>
  <c r="W97" i="1" s="1"/>
  <c r="R103" i="1"/>
  <c r="R107" i="1"/>
  <c r="L90" i="1"/>
  <c r="L98" i="1"/>
  <c r="L114" i="1"/>
  <c r="T96" i="1"/>
  <c r="R121" i="1"/>
  <c r="R119" i="1"/>
  <c r="R108" i="1"/>
  <c r="R97" i="1"/>
  <c r="L109" i="1"/>
  <c r="L110" i="1"/>
  <c r="R109" i="1"/>
  <c r="L103" i="1"/>
  <c r="L119" i="1"/>
  <c r="R118" i="1"/>
  <c r="R123" i="1"/>
  <c r="L96" i="1"/>
  <c r="W96" i="1" s="1"/>
  <c r="R93" i="1"/>
  <c r="L105" i="1"/>
  <c r="R89" i="1"/>
  <c r="L106" i="1"/>
  <c r="W106" i="1" s="1"/>
  <c r="W100" i="1"/>
  <c r="T109" i="1"/>
  <c r="T105" i="1"/>
  <c r="W116" i="1"/>
  <c r="T121" i="1"/>
  <c r="W102" i="1"/>
  <c r="T112" i="1"/>
  <c r="T113" i="1"/>
  <c r="W99" i="1"/>
  <c r="T103" i="1"/>
  <c r="W113" i="1"/>
  <c r="T124" i="1"/>
  <c r="T104" i="1"/>
  <c r="T107" i="1"/>
  <c r="T92" i="1"/>
  <c r="T100" i="1"/>
  <c r="T101" i="1"/>
  <c r="T102" i="1"/>
  <c r="T93" i="1"/>
  <c r="T117" i="1"/>
  <c r="T89" i="1"/>
  <c r="T110" i="1"/>
  <c r="T119" i="1"/>
  <c r="T88" i="1"/>
  <c r="T91" i="1"/>
  <c r="T94" i="1"/>
  <c r="T98" i="1"/>
  <c r="T99" i="1"/>
  <c r="W108" i="1"/>
  <c r="T108" i="1"/>
  <c r="T120" i="1"/>
  <c r="W90" i="1"/>
  <c r="T123" i="1"/>
  <c r="T114" i="1"/>
  <c r="T90" i="1"/>
  <c r="T122" i="1"/>
  <c r="W107" i="1"/>
  <c r="T111" i="1"/>
  <c r="T115" i="1"/>
  <c r="X88" i="1"/>
  <c r="W114" i="1"/>
  <c r="W89" i="1"/>
  <c r="X94" i="1" s="1"/>
  <c r="U101" i="1"/>
  <c r="U103" i="1"/>
  <c r="U120" i="1"/>
  <c r="U123" i="1"/>
  <c r="W92" i="1"/>
  <c r="X89" i="1"/>
  <c r="W103" i="1"/>
  <c r="W124" i="1"/>
  <c r="U109" i="1"/>
  <c r="U111" i="1"/>
  <c r="U115" i="1"/>
  <c r="U90" i="1"/>
  <c r="W104" i="1"/>
  <c r="U110" i="1"/>
  <c r="W115" i="1"/>
  <c r="U121" i="1"/>
  <c r="W119" i="1"/>
  <c r="W101" i="1"/>
  <c r="W94" i="1"/>
  <c r="U93" i="1"/>
  <c r="U95" i="1"/>
  <c r="U112" i="1"/>
  <c r="U91" i="1"/>
  <c r="W117" i="1"/>
  <c r="W91" i="1"/>
  <c r="X109" i="1" s="1"/>
  <c r="W111" i="1"/>
  <c r="U92" i="1"/>
  <c r="U117" i="1"/>
  <c r="U119" i="1"/>
  <c r="U89" i="1"/>
  <c r="U98" i="1"/>
  <c r="W122" i="1"/>
  <c r="W112" i="1"/>
  <c r="W93" i="1"/>
  <c r="W120" i="1"/>
  <c r="U100" i="1"/>
  <c r="U94" i="1"/>
  <c r="U107" i="1"/>
  <c r="U97" i="1"/>
  <c r="U106" i="1"/>
  <c r="W121" i="1"/>
  <c r="W98" i="1"/>
  <c r="W109" i="1"/>
  <c r="U108" i="1"/>
  <c r="U102" i="1"/>
  <c r="U88" i="1"/>
  <c r="U105" i="1"/>
  <c r="U114" i="1"/>
  <c r="W110" i="1"/>
  <c r="W105" i="1"/>
  <c r="U116" i="1"/>
  <c r="U96" i="1"/>
  <c r="U113" i="1"/>
  <c r="U122" i="1"/>
  <c r="W123" i="1"/>
  <c r="U124" i="1"/>
  <c r="U118" i="1"/>
  <c r="U104" i="1"/>
  <c r="U99" i="1"/>
  <c r="X100" i="1"/>
  <c r="X95" i="1"/>
  <c r="X101" i="1"/>
  <c r="X107" i="1"/>
  <c r="X113" i="1"/>
  <c r="X91" i="1"/>
  <c r="X124" i="1"/>
  <c r="X104" i="1"/>
  <c r="X110" i="1"/>
  <c r="X112" i="1"/>
  <c r="X111" i="1"/>
  <c r="X99" i="1"/>
  <c r="X114" i="1"/>
  <c r="X121" i="1"/>
  <c r="X119" i="1"/>
  <c r="X93" i="1"/>
  <c r="X90" i="1"/>
  <c r="X102" i="1"/>
  <c r="X92" i="1"/>
  <c r="X123" i="1"/>
  <c r="X122" i="1"/>
  <c r="X103" i="1"/>
  <c r="X106" i="1"/>
  <c r="X105" i="1"/>
  <c r="X120" i="1"/>
  <c r="X115" i="1"/>
  <c r="X96" i="1"/>
  <c r="X117" i="1"/>
  <c r="X98" i="1"/>
  <c r="X97" i="1"/>
  <c r="X108" i="1"/>
  <c r="X118" i="1"/>
  <c r="X116" i="1"/>
  <c r="M62" i="1"/>
  <c r="M58" i="1"/>
  <c r="M54" i="1"/>
  <c r="M61" i="1"/>
  <c r="M57" i="1"/>
  <c r="M53" i="1"/>
  <c r="M60" i="1"/>
  <c r="M56" i="1"/>
  <c r="M52" i="1"/>
  <c r="M63" i="1"/>
  <c r="M59" i="1"/>
  <c r="M55" i="1"/>
  <c r="M49" i="1"/>
  <c r="M45" i="1"/>
  <c r="M44" i="1"/>
  <c r="M51" i="1"/>
  <c r="M47" i="1"/>
  <c r="M43" i="1"/>
  <c r="M50" i="1"/>
  <c r="M46" i="1"/>
  <c r="M42" i="1"/>
  <c r="M41" i="1"/>
  <c r="M48" i="1"/>
  <c r="M33" i="1"/>
  <c r="M26" i="1"/>
  <c r="M17" i="1"/>
  <c r="M10" i="1"/>
  <c r="M24" i="1"/>
  <c r="M40" i="1"/>
  <c r="M31" i="1"/>
  <c r="M38" i="1"/>
  <c r="M29" i="1"/>
  <c r="M22" i="1"/>
  <c r="M13" i="1"/>
  <c r="M6" i="1"/>
  <c r="M36" i="1"/>
  <c r="M27" i="1"/>
  <c r="M20" i="1"/>
  <c r="M11" i="1"/>
  <c r="M34" i="1"/>
  <c r="M25" i="1"/>
  <c r="M18" i="1"/>
  <c r="M9" i="1"/>
  <c r="M39" i="1"/>
  <c r="M32" i="1"/>
  <c r="M23" i="1"/>
  <c r="M16" i="1"/>
  <c r="M7" i="1"/>
  <c r="M8" i="1"/>
  <c r="M30" i="1"/>
  <c r="M5" i="1"/>
  <c r="M21" i="1"/>
  <c r="M14" i="1"/>
  <c r="M28" i="1"/>
  <c r="M19" i="1"/>
  <c r="M35" i="1"/>
  <c r="M15" i="1"/>
  <c r="M12" i="1"/>
  <c r="M37" i="1"/>
  <c r="G3" i="4" a="1"/>
  <c r="O83" i="1"/>
  <c r="N71" i="1"/>
  <c r="N79" i="1"/>
  <c r="N87" i="1"/>
  <c r="O76" i="1"/>
  <c r="O84" i="1"/>
  <c r="N72" i="1"/>
  <c r="N80" i="1"/>
  <c r="O82" i="1"/>
  <c r="N78" i="1"/>
  <c r="O77" i="1"/>
  <c r="O85" i="1"/>
  <c r="N65" i="1"/>
  <c r="N73" i="1"/>
  <c r="N81" i="1"/>
  <c r="O78" i="1"/>
  <c r="O86" i="1"/>
  <c r="N66" i="1"/>
  <c r="N74" i="1"/>
  <c r="N82" i="1"/>
  <c r="O79" i="1"/>
  <c r="O87" i="1"/>
  <c r="N67" i="1"/>
  <c r="N75" i="1"/>
  <c r="N83" i="1"/>
  <c r="N69" i="1"/>
  <c r="N85" i="1"/>
  <c r="N70" i="1"/>
  <c r="N86" i="1"/>
  <c r="O80" i="1"/>
  <c r="N68" i="1"/>
  <c r="N76" i="1"/>
  <c r="N84" i="1"/>
  <c r="N77" i="1"/>
  <c r="O81" i="1"/>
  <c r="P69" i="1" a="1"/>
  <c r="P69" i="1" s="1"/>
  <c r="D68" i="13" s="1"/>
  <c r="P85" i="1" a="1"/>
  <c r="P85" i="1" s="1"/>
  <c r="D84" i="13" s="1"/>
  <c r="P70" i="1" a="1"/>
  <c r="P70" i="1" s="1"/>
  <c r="D69" i="13" s="1"/>
  <c r="P78" i="1" a="1"/>
  <c r="P78" i="1" s="1"/>
  <c r="D77" i="13" s="1"/>
  <c r="P86" i="1" a="1"/>
  <c r="P86" i="1" s="1"/>
  <c r="D85" i="13" s="1"/>
  <c r="P71" i="1" a="1"/>
  <c r="P71" i="1" s="1"/>
  <c r="D70" i="13" s="1"/>
  <c r="P79" i="1" a="1"/>
  <c r="P79" i="1" s="1"/>
  <c r="D78" i="13" s="1"/>
  <c r="P87" i="1" a="1"/>
  <c r="P87" i="1" s="1"/>
  <c r="D86" i="13" s="1"/>
  <c r="P73" i="1" a="1"/>
  <c r="P73" i="1" s="1"/>
  <c r="D72" i="13" s="1"/>
  <c r="P76" i="1" a="1"/>
  <c r="P76" i="1" s="1"/>
  <c r="D75" i="13" s="1"/>
  <c r="P72" i="1" a="1"/>
  <c r="P72" i="1" s="1"/>
  <c r="D71" i="13" s="1"/>
  <c r="P80" i="1" a="1"/>
  <c r="P80" i="1" s="1"/>
  <c r="D79" i="13" s="1"/>
  <c r="P65" i="1" a="1"/>
  <c r="P65" i="1" s="1"/>
  <c r="D64" i="13" s="1"/>
  <c r="P81" i="1" a="1"/>
  <c r="P81" i="1" s="1"/>
  <c r="D80" i="13" s="1"/>
  <c r="P68" i="1" a="1"/>
  <c r="P68" i="1" s="1"/>
  <c r="D67" i="13" s="1"/>
  <c r="P77" i="1" a="1"/>
  <c r="P77" i="1" s="1"/>
  <c r="D76" i="13" s="1"/>
  <c r="P66" i="1" a="1"/>
  <c r="P66" i="1" s="1"/>
  <c r="D65" i="13" s="1"/>
  <c r="P74" i="1" a="1"/>
  <c r="P74" i="1" s="1"/>
  <c r="D73" i="13" s="1"/>
  <c r="P82" i="1" a="1"/>
  <c r="P82" i="1" s="1"/>
  <c r="D81" i="13" s="1"/>
  <c r="P67" i="1" a="1"/>
  <c r="P67" i="1" s="1"/>
  <c r="D66" i="13" s="1"/>
  <c r="P75" i="1" a="1"/>
  <c r="P75" i="1" s="1"/>
  <c r="D74" i="13" s="1"/>
  <c r="P83" i="1" a="1"/>
  <c r="P83" i="1" s="1"/>
  <c r="D82" i="13" s="1"/>
  <c r="P84" i="1" a="1"/>
  <c r="P84" i="1" s="1"/>
  <c r="D83" i="13" s="1"/>
  <c r="L72" i="1"/>
  <c r="L80" i="1"/>
  <c r="L65" i="1"/>
  <c r="L73" i="1"/>
  <c r="L81" i="1"/>
  <c r="L84" i="1"/>
  <c r="L79" i="1"/>
  <c r="L66" i="1"/>
  <c r="L74" i="1"/>
  <c r="L82" i="1"/>
  <c r="L68" i="1"/>
  <c r="L77" i="1"/>
  <c r="L67" i="1"/>
  <c r="L75" i="1"/>
  <c r="L83" i="1"/>
  <c r="L76" i="1"/>
  <c r="L69" i="1"/>
  <c r="L85" i="1"/>
  <c r="L71" i="1"/>
  <c r="L70" i="1"/>
  <c r="L78" i="1"/>
  <c r="L86" i="1"/>
  <c r="L87" i="1"/>
  <c r="O69" i="1"/>
  <c r="O72" i="1"/>
  <c r="O62" i="1"/>
  <c r="O70" i="1"/>
  <c r="O71" i="1"/>
  <c r="O64" i="1"/>
  <c r="Q64" i="1" s="1" a="1"/>
  <c r="Q64" i="1" s="1"/>
  <c r="O75" i="1"/>
  <c r="O68" i="1"/>
  <c r="O65" i="1"/>
  <c r="O73" i="1"/>
  <c r="O67" i="1"/>
  <c r="O66" i="1"/>
  <c r="O74" i="1"/>
  <c r="M123" i="13"/>
  <c r="P123" i="13"/>
  <c r="N123" i="13"/>
  <c r="O123" i="13"/>
  <c r="O55" i="1"/>
  <c r="Q55" i="1" s="1" a="1"/>
  <c r="Q55" i="1" s="1"/>
  <c r="O63" i="1"/>
  <c r="Q63" i="1" s="1" a="1"/>
  <c r="Q63" i="1" s="1"/>
  <c r="N55" i="1"/>
  <c r="N63" i="1"/>
  <c r="O56" i="1"/>
  <c r="Q56" i="1" s="1" a="1"/>
  <c r="Q56" i="1" s="1"/>
  <c r="N56" i="1"/>
  <c r="N64" i="1"/>
  <c r="O57" i="1"/>
  <c r="Q57" i="1" s="1" a="1"/>
  <c r="Q57" i="1" s="1"/>
  <c r="N57" i="1"/>
  <c r="O58" i="1"/>
  <c r="Q58" i="1" s="1" a="1"/>
  <c r="Q58" i="1" s="1"/>
  <c r="N58" i="1"/>
  <c r="O59" i="1"/>
  <c r="Q59" i="1" s="1" a="1"/>
  <c r="Q59" i="1" s="1"/>
  <c r="N59" i="1"/>
  <c r="O60" i="1"/>
  <c r="Q60" i="1" s="1" a="1"/>
  <c r="Q60" i="1" s="1"/>
  <c r="N60" i="1"/>
  <c r="O53" i="1"/>
  <c r="Q53" i="1" s="1" a="1"/>
  <c r="Q53" i="1" s="1"/>
  <c r="O61" i="1"/>
  <c r="Q61" i="1" s="1" a="1"/>
  <c r="Q61" i="1" s="1"/>
  <c r="N53" i="1"/>
  <c r="N61" i="1"/>
  <c r="O54" i="1"/>
  <c r="Q54" i="1" s="1" a="1"/>
  <c r="Q54" i="1" s="1"/>
  <c r="N54" i="1"/>
  <c r="N62" i="1"/>
  <c r="P54" i="1" a="1"/>
  <c r="P54" i="1" s="1"/>
  <c r="R54" i="1" s="1"/>
  <c r="P62" i="1" a="1"/>
  <c r="P62" i="1" s="1"/>
  <c r="R62" i="1" s="1"/>
  <c r="P63" i="1" a="1"/>
  <c r="P63" i="1" s="1"/>
  <c r="R63" i="1" s="1"/>
  <c r="P55" i="1" a="1"/>
  <c r="P55" i="1" s="1"/>
  <c r="R55" i="1" s="1"/>
  <c r="P57" i="1" a="1"/>
  <c r="P57" i="1" s="1"/>
  <c r="R57" i="1" s="1"/>
  <c r="P58" i="1" a="1"/>
  <c r="P58" i="1" s="1"/>
  <c r="R58" i="1" s="1"/>
  <c r="P59" i="1" a="1"/>
  <c r="P59" i="1" s="1"/>
  <c r="R59" i="1" s="1"/>
  <c r="P60" i="1" a="1"/>
  <c r="P60" i="1" s="1"/>
  <c r="R60" i="1" s="1"/>
  <c r="P56" i="1" a="1"/>
  <c r="P56" i="1" s="1"/>
  <c r="R56" i="1" s="1"/>
  <c r="P64" i="1" a="1"/>
  <c r="P64" i="1" s="1"/>
  <c r="P53" i="1" a="1"/>
  <c r="P53" i="1" s="1"/>
  <c r="R53" i="1" s="1"/>
  <c r="P61" i="1" a="1"/>
  <c r="P61" i="1" s="1"/>
  <c r="R61" i="1" s="1"/>
  <c r="L58" i="1"/>
  <c r="L59" i="1"/>
  <c r="L60" i="1"/>
  <c r="L53" i="1"/>
  <c r="L61" i="1"/>
  <c r="L54" i="1"/>
  <c r="L62" i="1"/>
  <c r="L55" i="1"/>
  <c r="L63" i="1"/>
  <c r="L57" i="1"/>
  <c r="L56" i="1"/>
  <c r="L64" i="1"/>
  <c r="I123" i="13"/>
  <c r="L123" i="13"/>
  <c r="J123" i="13"/>
  <c r="K123" i="13"/>
  <c r="C123" i="13"/>
  <c r="G123" i="13"/>
  <c r="H123" i="13"/>
  <c r="E123" i="13"/>
  <c r="F123" i="13"/>
  <c r="C123" i="4"/>
  <c r="O52" i="1"/>
  <c r="U54" i="7" s="1"/>
  <c r="N52" i="1"/>
  <c r="P52" i="1" a="1"/>
  <c r="P52" i="1" s="1"/>
  <c r="R52" i="1" s="1"/>
  <c r="L52" i="1"/>
  <c r="O48" i="1"/>
  <c r="U50" i="7" s="1"/>
  <c r="N45" i="1"/>
  <c r="O49" i="1"/>
  <c r="U51" i="7" s="1"/>
  <c r="N46" i="1"/>
  <c r="O42" i="1"/>
  <c r="U44" i="7" s="1"/>
  <c r="O50" i="1"/>
  <c r="U52" i="7" s="1"/>
  <c r="N47" i="1"/>
  <c r="O43" i="1"/>
  <c r="U45" i="7" s="1"/>
  <c r="O51" i="1"/>
  <c r="U53" i="7" s="1"/>
  <c r="N48" i="1"/>
  <c r="O44" i="1"/>
  <c r="U46" i="7" s="1"/>
  <c r="N49" i="1"/>
  <c r="O45" i="1"/>
  <c r="U47" i="7" s="1"/>
  <c r="N42" i="1"/>
  <c r="N50" i="1"/>
  <c r="O46" i="1"/>
  <c r="U48" i="7" s="1"/>
  <c r="N43" i="1"/>
  <c r="N51" i="1"/>
  <c r="O47" i="1"/>
  <c r="U49" i="7" s="1"/>
  <c r="N44" i="1"/>
  <c r="P45" i="1" a="1"/>
  <c r="P45" i="1" s="1"/>
  <c r="R45" i="1" s="1"/>
  <c r="P51" i="1" a="1"/>
  <c r="P51" i="1" s="1"/>
  <c r="R51" i="1" s="1"/>
  <c r="P46" i="1" a="1"/>
  <c r="P46" i="1" s="1"/>
  <c r="R46" i="1" s="1"/>
  <c r="P47" i="1" a="1"/>
  <c r="P47" i="1" s="1"/>
  <c r="R47" i="1" s="1"/>
  <c r="P50" i="1" a="1"/>
  <c r="P50" i="1" s="1"/>
  <c r="R50" i="1" s="1"/>
  <c r="P43" i="1" a="1"/>
  <c r="P43" i="1" s="1"/>
  <c r="R43" i="1" s="1"/>
  <c r="P44" i="1" a="1"/>
  <c r="P44" i="1" s="1"/>
  <c r="R44" i="1" s="1"/>
  <c r="P48" i="1" a="1"/>
  <c r="P48" i="1" s="1"/>
  <c r="R48" i="1" s="1"/>
  <c r="P49" i="1" a="1"/>
  <c r="P49" i="1" s="1"/>
  <c r="R49" i="1" s="1"/>
  <c r="P42" i="1" a="1"/>
  <c r="P42" i="1" s="1"/>
  <c r="R42" i="1" s="1"/>
  <c r="L43" i="1"/>
  <c r="L51" i="1"/>
  <c r="L50" i="1"/>
  <c r="L44" i="1"/>
  <c r="L48" i="1"/>
  <c r="L42" i="1"/>
  <c r="L45" i="1"/>
  <c r="L46" i="1"/>
  <c r="L47" i="1"/>
  <c r="L49" i="1"/>
  <c r="O41" i="1"/>
  <c r="U43" i="7" s="1"/>
  <c r="N41" i="1"/>
  <c r="P41" i="1" a="1"/>
  <c r="P41" i="1" s="1"/>
  <c r="R41" i="1" s="1"/>
  <c r="L41" i="1"/>
  <c r="O35" i="1"/>
  <c r="U37" i="7" s="1"/>
  <c r="N35" i="1"/>
  <c r="N34" i="1"/>
  <c r="O36" i="1"/>
  <c r="U38" i="7" s="1"/>
  <c r="N36" i="1"/>
  <c r="O34" i="1"/>
  <c r="U36" i="7" s="1"/>
  <c r="O37" i="1"/>
  <c r="U39" i="7" s="1"/>
  <c r="N29" i="1"/>
  <c r="N37" i="1"/>
  <c r="O30" i="1"/>
  <c r="U32" i="7" s="1"/>
  <c r="O38" i="1"/>
  <c r="U40" i="7" s="1"/>
  <c r="N30" i="1"/>
  <c r="N38" i="1"/>
  <c r="O31" i="1"/>
  <c r="U33" i="7" s="1"/>
  <c r="O39" i="1"/>
  <c r="U41" i="7" s="1"/>
  <c r="N31" i="1"/>
  <c r="N39" i="1"/>
  <c r="O32" i="1"/>
  <c r="U34" i="7" s="1"/>
  <c r="O40" i="1"/>
  <c r="U42" i="7" s="1"/>
  <c r="N32" i="1"/>
  <c r="N40" i="1"/>
  <c r="O33" i="1"/>
  <c r="U35" i="7" s="1"/>
  <c r="N33" i="1"/>
  <c r="N21" i="1"/>
  <c r="N22" i="1"/>
  <c r="N23" i="1"/>
  <c r="N24" i="1"/>
  <c r="N20" i="1"/>
  <c r="N25" i="1"/>
  <c r="N28" i="1"/>
  <c r="N18" i="1"/>
  <c r="N26" i="1"/>
  <c r="N19" i="1"/>
  <c r="N27" i="1"/>
  <c r="N17" i="1"/>
  <c r="L28" i="1"/>
  <c r="P32" i="1" a="1"/>
  <c r="P32" i="1" s="1"/>
  <c r="P40" i="1" a="1"/>
  <c r="P40" i="1" s="1"/>
  <c r="R40" i="1" s="1"/>
  <c r="P33" i="1" a="1"/>
  <c r="P33" i="1" s="1"/>
  <c r="R33" i="1" s="1"/>
  <c r="P39" i="1" a="1"/>
  <c r="P39" i="1" s="1"/>
  <c r="P34" i="1" a="1"/>
  <c r="P34" i="1" s="1"/>
  <c r="P35" i="1" a="1"/>
  <c r="P35" i="1" s="1"/>
  <c r="R35" i="1" s="1"/>
  <c r="P36" i="1" a="1"/>
  <c r="P36" i="1" s="1"/>
  <c r="P29" i="1" a="1"/>
  <c r="P29" i="1" s="1"/>
  <c r="P37" i="1" a="1"/>
  <c r="P37" i="1" s="1"/>
  <c r="R37" i="1" s="1"/>
  <c r="P31" i="1" a="1"/>
  <c r="P31" i="1" s="1"/>
  <c r="R31" i="1" s="1"/>
  <c r="P30" i="1" a="1"/>
  <c r="P30" i="1" s="1"/>
  <c r="P38" i="1" a="1"/>
  <c r="P38" i="1" s="1"/>
  <c r="L30" i="1"/>
  <c r="L38" i="1"/>
  <c r="L31" i="1"/>
  <c r="L39" i="1"/>
  <c r="L32" i="1"/>
  <c r="L40" i="1"/>
  <c r="L37" i="1"/>
  <c r="L33" i="1"/>
  <c r="L34" i="1"/>
  <c r="L29" i="1"/>
  <c r="L35" i="1"/>
  <c r="L36" i="1"/>
  <c r="I4" i="1"/>
  <c r="P7" i="1" a="1"/>
  <c r="P7" i="1" s="1"/>
  <c r="P27" i="1" a="1"/>
  <c r="P27" i="1" s="1"/>
  <c r="R27" i="1" s="1"/>
  <c r="P8" i="1" a="1"/>
  <c r="P8" i="1" s="1"/>
  <c r="P15" i="1" a="1"/>
  <c r="P15" i="1" s="1"/>
  <c r="R15" i="1" s="1"/>
  <c r="P21" i="1" a="1"/>
  <c r="P21" i="1" s="1"/>
  <c r="R21" i="1" s="1"/>
  <c r="P28" i="1" a="1"/>
  <c r="P28" i="1" s="1"/>
  <c r="P9" i="1" a="1"/>
  <c r="P9" i="1" s="1"/>
  <c r="P16" i="1" a="1"/>
  <c r="P16" i="1" s="1"/>
  <c r="P22" i="1" a="1"/>
  <c r="P22" i="1" s="1"/>
  <c r="R22" i="1" s="1"/>
  <c r="P10" i="1" a="1"/>
  <c r="P10" i="1" s="1"/>
  <c r="P20" i="1" a="1"/>
  <c r="P20" i="1" s="1"/>
  <c r="R20" i="1" s="1"/>
  <c r="P26" i="1" a="1"/>
  <c r="P26" i="1" s="1"/>
  <c r="P11" i="1" a="1"/>
  <c r="P11" i="1" s="1"/>
  <c r="P17" i="1" a="1"/>
  <c r="P17" i="1" s="1"/>
  <c r="R17" i="1" s="1"/>
  <c r="P23" i="1" a="1"/>
  <c r="P23" i="1" s="1"/>
  <c r="R23" i="1" s="1"/>
  <c r="P13" i="1" a="1"/>
  <c r="P13" i="1" s="1"/>
  <c r="R13" i="1" s="1"/>
  <c r="P25" i="1" a="1"/>
  <c r="P25" i="1" s="1"/>
  <c r="P5" i="1" a="1"/>
  <c r="P5" i="1" s="1"/>
  <c r="P12" i="1" a="1"/>
  <c r="P12" i="1" s="1"/>
  <c r="P18" i="1" a="1"/>
  <c r="P18" i="1" s="1"/>
  <c r="P24" i="1" a="1"/>
  <c r="P24" i="1" s="1"/>
  <c r="R24" i="1" s="1"/>
  <c r="P6" i="1" a="1"/>
  <c r="P6" i="1" s="1"/>
  <c r="P19" i="1" a="1"/>
  <c r="P19" i="1" s="1"/>
  <c r="P14" i="1" a="1"/>
  <c r="P14" i="1" s="1"/>
  <c r="R14" i="1" s="1"/>
  <c r="L9" i="1"/>
  <c r="L17" i="1"/>
  <c r="L25" i="1"/>
  <c r="L24" i="1"/>
  <c r="L10" i="1"/>
  <c r="L18" i="1"/>
  <c r="L26" i="1"/>
  <c r="L8" i="1"/>
  <c r="L11" i="1"/>
  <c r="L19" i="1"/>
  <c r="L27" i="1"/>
  <c r="L12" i="1"/>
  <c r="L20" i="1"/>
  <c r="L5" i="1"/>
  <c r="L13" i="1"/>
  <c r="L21" i="1"/>
  <c r="L6" i="1"/>
  <c r="L14" i="1"/>
  <c r="L22" i="1"/>
  <c r="L16" i="1"/>
  <c r="L7" i="1"/>
  <c r="L15" i="1"/>
  <c r="L23" i="1"/>
  <c r="BP7" i="1" l="1"/>
  <c r="AX9" i="1"/>
  <c r="CH7" i="1"/>
  <c r="CQ6" i="1"/>
  <c r="CO6" i="1"/>
  <c r="BY6" i="1"/>
  <c r="BW6" i="1"/>
  <c r="BG6" i="1"/>
  <c r="BE6" i="1"/>
  <c r="BE7" i="1"/>
  <c r="BE8" i="1"/>
  <c r="G3" i="4"/>
  <c r="H3" i="4" s="1"/>
  <c r="H94" i="4"/>
  <c r="H102" i="4"/>
  <c r="H110" i="4"/>
  <c r="H118" i="4"/>
  <c r="H96" i="4"/>
  <c r="H112" i="4"/>
  <c r="H89" i="4"/>
  <c r="H113" i="4"/>
  <c r="H98" i="4"/>
  <c r="H114" i="4"/>
  <c r="H122" i="4"/>
  <c r="H91" i="4"/>
  <c r="H115" i="4"/>
  <c r="H93" i="4"/>
  <c r="H87" i="4"/>
  <c r="H95" i="4"/>
  <c r="H103" i="4"/>
  <c r="H111" i="4"/>
  <c r="H119" i="4"/>
  <c r="H88" i="4"/>
  <c r="H104" i="4"/>
  <c r="H120" i="4"/>
  <c r="H97" i="4"/>
  <c r="H105" i="4"/>
  <c r="H121" i="4"/>
  <c r="H90" i="4"/>
  <c r="H106" i="4"/>
  <c r="H99" i="4"/>
  <c r="H107" i="4"/>
  <c r="H123" i="4"/>
  <c r="H92" i="4"/>
  <c r="H100" i="4"/>
  <c r="H108" i="4"/>
  <c r="H116" i="4"/>
  <c r="H101" i="4"/>
  <c r="H109" i="4"/>
  <c r="H117" i="4"/>
  <c r="H77" i="4"/>
  <c r="H68" i="4"/>
  <c r="H86" i="4"/>
  <c r="H80" i="4"/>
  <c r="H79" i="4"/>
  <c r="H76" i="4"/>
  <c r="H63" i="4"/>
  <c r="H85" i="4"/>
  <c r="H78" i="4"/>
  <c r="H64" i="4"/>
  <c r="H66" i="4"/>
  <c r="H84" i="4"/>
  <c r="H72" i="4"/>
  <c r="H74" i="4"/>
  <c r="H69" i="4"/>
  <c r="H82" i="4"/>
  <c r="H81" i="4"/>
  <c r="H65" i="4"/>
  <c r="H67" i="4"/>
  <c r="H71" i="4"/>
  <c r="H83" i="4"/>
  <c r="H70" i="4"/>
  <c r="H75" i="4"/>
  <c r="H73" i="4"/>
  <c r="W88" i="1"/>
  <c r="H52" i="4"/>
  <c r="H57" i="4"/>
  <c r="H58" i="4"/>
  <c r="H61" i="4"/>
  <c r="H53" i="4"/>
  <c r="H55" i="4"/>
  <c r="H59" i="4"/>
  <c r="H56" i="4"/>
  <c r="H62" i="4"/>
  <c r="H51" i="4"/>
  <c r="H54" i="4"/>
  <c r="H60" i="4"/>
  <c r="T63" i="1"/>
  <c r="W63" i="1" s="1"/>
  <c r="T61" i="1"/>
  <c r="W61" i="1" s="1"/>
  <c r="T53" i="1"/>
  <c r="W53" i="1" s="1"/>
  <c r="T58" i="1"/>
  <c r="W58" i="1" s="1"/>
  <c r="T55" i="1"/>
  <c r="W55" i="1" s="1"/>
  <c r="T57" i="1"/>
  <c r="W57" i="1" s="1"/>
  <c r="T54" i="1"/>
  <c r="W54" i="1" s="1"/>
  <c r="T60" i="1"/>
  <c r="W60" i="1" s="1"/>
  <c r="T59" i="1"/>
  <c r="W59" i="1" s="1"/>
  <c r="T56" i="1"/>
  <c r="W56" i="1" s="1"/>
  <c r="R19" i="1"/>
  <c r="R39" i="1"/>
  <c r="R34" i="1"/>
  <c r="R38" i="1"/>
  <c r="R28" i="1"/>
  <c r="R12" i="1"/>
  <c r="R16" i="1"/>
  <c r="R6" i="1"/>
  <c r="R5" i="1"/>
  <c r="R30" i="1"/>
  <c r="R9" i="1"/>
  <c r="R26" i="1"/>
  <c r="R18" i="1"/>
  <c r="R29" i="1"/>
  <c r="R10" i="1"/>
  <c r="R11" i="1"/>
  <c r="R36" i="1"/>
  <c r="M4" i="1"/>
  <c r="R25" i="1"/>
  <c r="R8" i="1"/>
  <c r="R7" i="1"/>
  <c r="R32" i="1"/>
  <c r="H42" i="4"/>
  <c r="H49" i="4"/>
  <c r="H44" i="4"/>
  <c r="H45" i="4"/>
  <c r="H48" i="4"/>
  <c r="H46" i="4"/>
  <c r="H50" i="4"/>
  <c r="H40" i="4"/>
  <c r="H39" i="4"/>
  <c r="H47" i="4"/>
  <c r="H41" i="4"/>
  <c r="H43" i="4"/>
  <c r="H38" i="4"/>
  <c r="H34" i="4"/>
  <c r="H30" i="4"/>
  <c r="H35" i="4"/>
  <c r="H32" i="4"/>
  <c r="H37" i="4"/>
  <c r="H36" i="4"/>
  <c r="H33" i="4"/>
  <c r="H29" i="4"/>
  <c r="H31" i="4"/>
  <c r="H7" i="4"/>
  <c r="H21" i="4"/>
  <c r="H12" i="4"/>
  <c r="H4" i="4"/>
  <c r="H27" i="4"/>
  <c r="H18" i="4"/>
  <c r="H14" i="4"/>
  <c r="H6" i="4"/>
  <c r="H25" i="4"/>
  <c r="H16" i="4"/>
  <c r="H5" i="4"/>
  <c r="H28" i="4"/>
  <c r="H22" i="4"/>
  <c r="H20" i="4"/>
  <c r="H19" i="4"/>
  <c r="H17" i="4"/>
  <c r="H11" i="4"/>
  <c r="H26" i="4"/>
  <c r="H9" i="4"/>
  <c r="H24" i="4"/>
  <c r="H23" i="4"/>
  <c r="H13" i="4"/>
  <c r="H10" i="4"/>
  <c r="H8" i="4"/>
  <c r="H15" i="4"/>
  <c r="J85" i="13"/>
  <c r="K85" i="13"/>
  <c r="L85" i="13"/>
  <c r="I85" i="13"/>
  <c r="F85" i="13"/>
  <c r="G85" i="13"/>
  <c r="E85" i="13"/>
  <c r="H85" i="13"/>
  <c r="L79" i="13"/>
  <c r="K79" i="13"/>
  <c r="G79" i="13"/>
  <c r="I79" i="13"/>
  <c r="J79" i="13"/>
  <c r="E79" i="13"/>
  <c r="H79" i="13"/>
  <c r="F79" i="13"/>
  <c r="K77" i="13"/>
  <c r="L77" i="13"/>
  <c r="I77" i="13"/>
  <c r="J77" i="13"/>
  <c r="H77" i="13"/>
  <c r="F77" i="13"/>
  <c r="G77" i="13"/>
  <c r="E77" i="13"/>
  <c r="J81" i="13"/>
  <c r="K81" i="13"/>
  <c r="L81" i="13"/>
  <c r="I81" i="13"/>
  <c r="F81" i="13"/>
  <c r="G81" i="13"/>
  <c r="E81" i="13"/>
  <c r="H81" i="13"/>
  <c r="J75" i="13"/>
  <c r="L75" i="13"/>
  <c r="K75" i="13"/>
  <c r="E75" i="13"/>
  <c r="I75" i="13"/>
  <c r="F75" i="13"/>
  <c r="G75" i="13"/>
  <c r="H75" i="13"/>
  <c r="L84" i="13"/>
  <c r="K84" i="13"/>
  <c r="I84" i="13"/>
  <c r="G84" i="13"/>
  <c r="E84" i="13"/>
  <c r="J84" i="13"/>
  <c r="H84" i="13"/>
  <c r="F84" i="13"/>
  <c r="L76" i="13"/>
  <c r="I76" i="13"/>
  <c r="J76" i="13"/>
  <c r="K76" i="13"/>
  <c r="H76" i="13"/>
  <c r="E76" i="13"/>
  <c r="F76" i="13"/>
  <c r="G76" i="13"/>
  <c r="L86" i="13"/>
  <c r="I86" i="13"/>
  <c r="J86" i="13"/>
  <c r="K86" i="13"/>
  <c r="F86" i="13"/>
  <c r="E86" i="13"/>
  <c r="G86" i="13"/>
  <c r="H86" i="13"/>
  <c r="K83" i="13"/>
  <c r="L83" i="13"/>
  <c r="I83" i="13"/>
  <c r="J83" i="13"/>
  <c r="F83" i="13"/>
  <c r="H83" i="13"/>
  <c r="G83" i="13"/>
  <c r="E83" i="13"/>
  <c r="L78" i="13"/>
  <c r="I78" i="13"/>
  <c r="J78" i="13"/>
  <c r="K78" i="13"/>
  <c r="H78" i="13"/>
  <c r="E78" i="13"/>
  <c r="F78" i="13"/>
  <c r="G78" i="13"/>
  <c r="L82" i="13"/>
  <c r="I82" i="13"/>
  <c r="J82" i="13"/>
  <c r="K82" i="13"/>
  <c r="F82" i="13"/>
  <c r="G82" i="13"/>
  <c r="H82" i="13"/>
  <c r="E82" i="13"/>
  <c r="L80" i="13"/>
  <c r="I80" i="13"/>
  <c r="K80" i="13"/>
  <c r="J80" i="13"/>
  <c r="F80" i="13"/>
  <c r="G80" i="13"/>
  <c r="E80" i="13"/>
  <c r="H80" i="13"/>
  <c r="Q67" i="1" a="1"/>
  <c r="Q67" i="1" s="1"/>
  <c r="U69" i="7"/>
  <c r="Q68" i="1" a="1"/>
  <c r="Q68" i="1" s="1"/>
  <c r="U70" i="7"/>
  <c r="Q74" i="1" a="1"/>
  <c r="Q74" i="1" s="1"/>
  <c r="U76" i="7"/>
  <c r="Q71" i="1" a="1"/>
  <c r="Q71" i="1" s="1"/>
  <c r="U73" i="7"/>
  <c r="Q75" i="1" a="1"/>
  <c r="Q75" i="1" s="1"/>
  <c r="U77" i="7"/>
  <c r="Q72" i="1" a="1"/>
  <c r="Q72" i="1" s="1"/>
  <c r="U74" i="7"/>
  <c r="Q73" i="1" a="1"/>
  <c r="Q73" i="1" s="1"/>
  <c r="U75" i="7"/>
  <c r="Q69" i="1" a="1"/>
  <c r="Q69" i="1" s="1"/>
  <c r="U71" i="7"/>
  <c r="Q65" i="1" a="1"/>
  <c r="Q65" i="1" s="1"/>
  <c r="U67" i="7"/>
  <c r="Q70" i="1" a="1"/>
  <c r="Q70" i="1" s="1"/>
  <c r="U72" i="7"/>
  <c r="Q66" i="1" a="1"/>
  <c r="Q66" i="1" s="1"/>
  <c r="U68" i="7"/>
  <c r="L73" i="13"/>
  <c r="I73" i="13"/>
  <c r="K73" i="13"/>
  <c r="J73" i="13"/>
  <c r="G73" i="13"/>
  <c r="F73" i="13"/>
  <c r="E73" i="13"/>
  <c r="H73" i="13"/>
  <c r="Q77" i="1" a="1"/>
  <c r="Q77" i="1" s="1"/>
  <c r="U79" i="7"/>
  <c r="Q76" i="1" a="1"/>
  <c r="Q76" i="1" s="1"/>
  <c r="U78" i="7"/>
  <c r="L65" i="13"/>
  <c r="K65" i="13"/>
  <c r="I65" i="13"/>
  <c r="J65" i="13"/>
  <c r="F65" i="13"/>
  <c r="G65" i="13"/>
  <c r="H65" i="13"/>
  <c r="E65" i="13"/>
  <c r="L72" i="13"/>
  <c r="I72" i="13"/>
  <c r="J72" i="13"/>
  <c r="K72" i="13"/>
  <c r="F72" i="13"/>
  <c r="E72" i="13"/>
  <c r="H72" i="13"/>
  <c r="G72" i="13"/>
  <c r="L68" i="13"/>
  <c r="I68" i="13"/>
  <c r="J68" i="13"/>
  <c r="K68" i="13"/>
  <c r="G68" i="13"/>
  <c r="F68" i="13"/>
  <c r="E68" i="13"/>
  <c r="H68" i="13"/>
  <c r="Q80" i="1" a="1"/>
  <c r="Q80" i="1" s="1"/>
  <c r="U82" i="7"/>
  <c r="Q86" i="1" a="1"/>
  <c r="Q86" i="1" s="1"/>
  <c r="U88" i="7"/>
  <c r="Q81" i="1" a="1"/>
  <c r="Q81" i="1" s="1"/>
  <c r="U83" i="7"/>
  <c r="Q78" i="1" a="1"/>
  <c r="Q78" i="1" s="1"/>
  <c r="U80" i="7"/>
  <c r="K67" i="13"/>
  <c r="L67" i="13"/>
  <c r="J67" i="13"/>
  <c r="I67" i="13"/>
  <c r="F67" i="13"/>
  <c r="G67" i="13"/>
  <c r="H67" i="13"/>
  <c r="E67" i="13"/>
  <c r="Q87" i="1" a="1"/>
  <c r="Q87" i="1" s="1"/>
  <c r="U89" i="7"/>
  <c r="Q82" i="1" a="1"/>
  <c r="Q82" i="1" s="1"/>
  <c r="U84" i="7"/>
  <c r="L70" i="13"/>
  <c r="I70" i="13"/>
  <c r="J70" i="13"/>
  <c r="K70" i="13"/>
  <c r="H70" i="13"/>
  <c r="F70" i="13"/>
  <c r="G70" i="13"/>
  <c r="E70" i="13"/>
  <c r="Q79" i="1" a="1"/>
  <c r="Q79" i="1" s="1"/>
  <c r="U81" i="7"/>
  <c r="L74" i="13"/>
  <c r="J74" i="13"/>
  <c r="I74" i="13"/>
  <c r="K74" i="13"/>
  <c r="H74" i="13"/>
  <c r="E74" i="13"/>
  <c r="F74" i="13"/>
  <c r="G74" i="13"/>
  <c r="L64" i="13"/>
  <c r="I64" i="13"/>
  <c r="J64" i="13"/>
  <c r="K64" i="13"/>
  <c r="H64" i="13"/>
  <c r="E64" i="13"/>
  <c r="G64" i="13"/>
  <c r="F64" i="13"/>
  <c r="Q83" i="1" a="1"/>
  <c r="Q83" i="1" s="1"/>
  <c r="U85" i="7"/>
  <c r="L66" i="13"/>
  <c r="I66" i="13"/>
  <c r="J66" i="13"/>
  <c r="K66" i="13"/>
  <c r="F66" i="13"/>
  <c r="G66" i="13"/>
  <c r="H66" i="13"/>
  <c r="E66" i="13"/>
  <c r="K71" i="13"/>
  <c r="L71" i="13"/>
  <c r="J71" i="13"/>
  <c r="I71" i="13"/>
  <c r="G71" i="13"/>
  <c r="F71" i="13"/>
  <c r="E71" i="13"/>
  <c r="H71" i="13"/>
  <c r="L69" i="13"/>
  <c r="K69" i="13"/>
  <c r="I69" i="13"/>
  <c r="J69" i="13"/>
  <c r="G69" i="13"/>
  <c r="F69" i="13"/>
  <c r="E69" i="13"/>
  <c r="H69" i="13"/>
  <c r="Q85" i="1" a="1"/>
  <c r="Q85" i="1" s="1"/>
  <c r="U87" i="7"/>
  <c r="Q84" i="1" a="1"/>
  <c r="Q84" i="1" s="1"/>
  <c r="U86" i="7"/>
  <c r="U62" i="7"/>
  <c r="U64" i="7"/>
  <c r="U66" i="7"/>
  <c r="U56" i="7"/>
  <c r="U61" i="7"/>
  <c r="U58" i="7"/>
  <c r="U60" i="7"/>
  <c r="U63" i="7"/>
  <c r="U65" i="7"/>
  <c r="U55" i="7"/>
  <c r="U59" i="7"/>
  <c r="U57" i="7"/>
  <c r="D60" i="13"/>
  <c r="D54" i="13"/>
  <c r="D52" i="13"/>
  <c r="D62" i="13"/>
  <c r="D63" i="13"/>
  <c r="D61" i="13"/>
  <c r="D55" i="13"/>
  <c r="D53" i="13"/>
  <c r="D59" i="13"/>
  <c r="D58" i="13"/>
  <c r="D57" i="13"/>
  <c r="D56" i="13"/>
  <c r="Q62" i="1" a="1"/>
  <c r="Q62" i="1" s="1"/>
  <c r="T62" i="1" s="1"/>
  <c r="W62" i="1" s="1"/>
  <c r="D26" i="13"/>
  <c r="M26" i="13" s="1"/>
  <c r="D42" i="13"/>
  <c r="D17" i="13"/>
  <c r="M17" i="13" s="1"/>
  <c r="D25" i="13"/>
  <c r="M25" i="13" s="1"/>
  <c r="D14" i="13"/>
  <c r="M14" i="13" s="1"/>
  <c r="D33" i="13"/>
  <c r="M33" i="13" s="1"/>
  <c r="D47" i="13"/>
  <c r="D11" i="13"/>
  <c r="M11" i="13" s="1"/>
  <c r="D19" i="13"/>
  <c r="M19" i="13" s="1"/>
  <c r="D7" i="13"/>
  <c r="M7" i="13" s="1"/>
  <c r="D37" i="13"/>
  <c r="M37" i="13" s="1"/>
  <c r="D38" i="13"/>
  <c r="M38" i="13" s="1"/>
  <c r="D40" i="13"/>
  <c r="D43" i="13"/>
  <c r="D4" i="13"/>
  <c r="M4" i="13" s="1"/>
  <c r="D32" i="13"/>
  <c r="M32" i="13" s="1"/>
  <c r="D24" i="13"/>
  <c r="M24" i="13" s="1"/>
  <c r="D21" i="13"/>
  <c r="M21" i="13" s="1"/>
  <c r="D6" i="13"/>
  <c r="M6" i="13" s="1"/>
  <c r="D30" i="13"/>
  <c r="M30" i="13" s="1"/>
  <c r="D39" i="13"/>
  <c r="D49" i="13"/>
  <c r="D12" i="13"/>
  <c r="M12" i="13" s="1"/>
  <c r="D15" i="13"/>
  <c r="M15" i="13" s="1"/>
  <c r="D36" i="13"/>
  <c r="M36" i="13" s="1"/>
  <c r="D31" i="13"/>
  <c r="M31" i="13" s="1"/>
  <c r="D46" i="13"/>
  <c r="D29" i="13"/>
  <c r="M29" i="13" s="1"/>
  <c r="D18" i="13"/>
  <c r="M18" i="13" s="1"/>
  <c r="D22" i="13"/>
  <c r="M22" i="13" s="1"/>
  <c r="D8" i="13"/>
  <c r="M8" i="13" s="1"/>
  <c r="D28" i="13"/>
  <c r="M28" i="13" s="1"/>
  <c r="D45" i="13"/>
  <c r="D51" i="13"/>
  <c r="D13" i="13"/>
  <c r="M13" i="13" s="1"/>
  <c r="D5" i="13"/>
  <c r="M5" i="13" s="1"/>
  <c r="D16" i="13"/>
  <c r="M16" i="13" s="1"/>
  <c r="D27" i="13"/>
  <c r="M27" i="13" s="1"/>
  <c r="D35" i="13"/>
  <c r="M35" i="13" s="1"/>
  <c r="D41" i="13"/>
  <c r="D50" i="13"/>
  <c r="D9" i="13"/>
  <c r="M9" i="13" s="1"/>
  <c r="D23" i="13"/>
  <c r="M23" i="13" s="1"/>
  <c r="D10" i="13"/>
  <c r="M10" i="13" s="1"/>
  <c r="D20" i="13"/>
  <c r="M20" i="13" s="1"/>
  <c r="D34" i="13"/>
  <c r="M34" i="13" s="1"/>
  <c r="D48" i="13"/>
  <c r="D44" i="13"/>
  <c r="Q41" i="1" a="1"/>
  <c r="Q41" i="1" s="1"/>
  <c r="T41" i="1" s="1"/>
  <c r="W41" i="1" s="1"/>
  <c r="Q51" i="1" a="1"/>
  <c r="Q51" i="1" s="1"/>
  <c r="T51" i="1" s="1"/>
  <c r="W51" i="1" s="1"/>
  <c r="Q48" i="1" a="1"/>
  <c r="Q48" i="1" s="1"/>
  <c r="T48" i="1" s="1"/>
  <c r="W48" i="1" s="1"/>
  <c r="Q38" i="1" a="1"/>
  <c r="Q38" i="1" s="1"/>
  <c r="Q43" i="1" a="1"/>
  <c r="Q43" i="1" s="1"/>
  <c r="T43" i="1" s="1"/>
  <c r="W43" i="1" s="1"/>
  <c r="Q32" i="1" a="1"/>
  <c r="Q32" i="1" s="1"/>
  <c r="Q30" i="1" a="1"/>
  <c r="Q30" i="1" s="1"/>
  <c r="Q36" i="1" a="1"/>
  <c r="Q36" i="1" s="1"/>
  <c r="Q50" i="1" a="1"/>
  <c r="Q50" i="1" s="1"/>
  <c r="T50" i="1" s="1"/>
  <c r="W50" i="1" s="1"/>
  <c r="Q35" i="1" a="1"/>
  <c r="Q35" i="1" s="1"/>
  <c r="T35" i="1" s="1"/>
  <c r="Q45" i="1" a="1"/>
  <c r="Q45" i="1" s="1"/>
  <c r="T45" i="1" s="1"/>
  <c r="W45" i="1" s="1"/>
  <c r="Q42" i="1" a="1"/>
  <c r="Q42" i="1" s="1"/>
  <c r="T42" i="1" s="1"/>
  <c r="W42" i="1" s="1"/>
  <c r="Q52" i="1" a="1"/>
  <c r="Q52" i="1" s="1"/>
  <c r="T52" i="1" s="1"/>
  <c r="W52" i="1" s="1"/>
  <c r="Q34" i="1" a="1"/>
  <c r="Q34" i="1" s="1"/>
  <c r="Q39" i="1" a="1"/>
  <c r="Q39" i="1" s="1"/>
  <c r="Q37" i="1" a="1"/>
  <c r="Q37" i="1" s="1"/>
  <c r="T37" i="1" s="1"/>
  <c r="W37" i="1" s="1"/>
  <c r="Q40" i="1" a="1"/>
  <c r="Q40" i="1" s="1"/>
  <c r="T40" i="1" s="1"/>
  <c r="W40" i="1" s="1"/>
  <c r="Q46" i="1" a="1"/>
  <c r="Q46" i="1" s="1"/>
  <c r="T46" i="1" s="1"/>
  <c r="W46" i="1" s="1"/>
  <c r="Q33" i="1" a="1"/>
  <c r="Q33" i="1" s="1"/>
  <c r="T33" i="1" s="1"/>
  <c r="Q31" i="1" a="1"/>
  <c r="Q31" i="1" s="1"/>
  <c r="T31" i="1" s="1"/>
  <c r="W31" i="1" s="1"/>
  <c r="Q47" i="1" a="1"/>
  <c r="Q47" i="1" s="1"/>
  <c r="T47" i="1" s="1"/>
  <c r="W47" i="1" s="1"/>
  <c r="Q44" i="1" a="1"/>
  <c r="Q44" i="1" s="1"/>
  <c r="T44" i="1" s="1"/>
  <c r="W44" i="1" s="1"/>
  <c r="Q49" i="1" a="1"/>
  <c r="Q49" i="1" s="1"/>
  <c r="T49" i="1" s="1"/>
  <c r="W49" i="1" s="1"/>
  <c r="P4" i="1" a="1"/>
  <c r="P4" i="1" s="1"/>
  <c r="O4" i="1"/>
  <c r="N4" i="1"/>
  <c r="L4" i="1"/>
  <c r="BD9" i="1" l="1"/>
  <c r="AX10" i="1"/>
  <c r="BV7" i="1"/>
  <c r="BP8" i="1"/>
  <c r="CR6" i="1"/>
  <c r="BZ6" i="1"/>
  <c r="CN7" i="1"/>
  <c r="CH8" i="1"/>
  <c r="BH6" i="1"/>
  <c r="BH7" i="1"/>
  <c r="BH8" i="1"/>
  <c r="T34" i="1"/>
  <c r="W34" i="1" s="1"/>
  <c r="T36" i="1"/>
  <c r="W36" i="1" s="1"/>
  <c r="T39" i="1"/>
  <c r="W39" i="1" s="1"/>
  <c r="T30" i="1"/>
  <c r="W30" i="1" s="1"/>
  <c r="T38" i="1"/>
  <c r="W38" i="1" s="1"/>
  <c r="T32" i="1"/>
  <c r="W32" i="1" s="1"/>
  <c r="W35" i="1"/>
  <c r="W33" i="1"/>
  <c r="R4" i="1"/>
  <c r="U6" i="7"/>
  <c r="O5" i="1"/>
  <c r="T26" i="7"/>
  <c r="T16" i="7"/>
  <c r="T20" i="7"/>
  <c r="T12" i="7"/>
  <c r="T24" i="7"/>
  <c r="T10" i="7"/>
  <c r="T27" i="7"/>
  <c r="T22" i="7"/>
  <c r="T29" i="7"/>
  <c r="T62" i="7"/>
  <c r="V62" i="7" s="1"/>
  <c r="T87" i="7"/>
  <c r="V87" i="7" s="1"/>
  <c r="T69" i="7"/>
  <c r="V69" i="7" s="1"/>
  <c r="T82" i="7"/>
  <c r="V82" i="7" s="1"/>
  <c r="T80" i="7"/>
  <c r="V80" i="7" s="1"/>
  <c r="T42" i="7"/>
  <c r="V42" i="7" s="1"/>
  <c r="T85" i="7"/>
  <c r="V85" i="7" s="1"/>
  <c r="T52" i="7"/>
  <c r="V52" i="7" s="1"/>
  <c r="T84" i="7"/>
  <c r="V84" i="7" s="1"/>
  <c r="T70" i="7"/>
  <c r="V70" i="7" s="1"/>
  <c r="T43" i="7"/>
  <c r="V43" i="7" s="1"/>
  <c r="T88" i="7"/>
  <c r="V88" i="7" s="1"/>
  <c r="T50" i="7"/>
  <c r="V50" i="7" s="1"/>
  <c r="T53" i="7"/>
  <c r="V53" i="7" s="1"/>
  <c r="T66" i="7"/>
  <c r="V66" i="7" s="1"/>
  <c r="T58" i="7"/>
  <c r="V58" i="7" s="1"/>
  <c r="T47" i="7"/>
  <c r="V47" i="7" s="1"/>
  <c r="T33" i="7"/>
  <c r="V33" i="7" s="1"/>
  <c r="T78" i="7"/>
  <c r="V78" i="7" s="1"/>
  <c r="T59" i="7"/>
  <c r="V59" i="7" s="1"/>
  <c r="T32" i="7"/>
  <c r="V32" i="7" s="1"/>
  <c r="T49" i="7"/>
  <c r="V49" i="7" s="1"/>
  <c r="T74" i="7"/>
  <c r="V74" i="7" s="1"/>
  <c r="T35" i="7"/>
  <c r="V35" i="7" s="1"/>
  <c r="T76" i="7"/>
  <c r="V76" i="7" s="1"/>
  <c r="T73" i="7"/>
  <c r="V73" i="7" s="1"/>
  <c r="T72" i="7"/>
  <c r="V72" i="7" s="1"/>
  <c r="T86" i="7"/>
  <c r="V86" i="7" s="1"/>
  <c r="T51" i="7"/>
  <c r="V51" i="7" s="1"/>
  <c r="T36" i="7"/>
  <c r="V36" i="7" s="1"/>
  <c r="T40" i="7"/>
  <c r="V40" i="7" s="1"/>
  <c r="T57" i="7"/>
  <c r="V57" i="7" s="1"/>
  <c r="T67" i="7"/>
  <c r="V67" i="7" s="1"/>
  <c r="T77" i="7"/>
  <c r="V77" i="7" s="1"/>
  <c r="T55" i="7"/>
  <c r="V55" i="7" s="1"/>
  <c r="T31" i="7"/>
  <c r="T75" i="7"/>
  <c r="V75" i="7" s="1"/>
  <c r="T39" i="7"/>
  <c r="V39" i="7" s="1"/>
  <c r="T68" i="7"/>
  <c r="V68" i="7" s="1"/>
  <c r="T48" i="7"/>
  <c r="V48" i="7" s="1"/>
  <c r="T65" i="7"/>
  <c r="V65" i="7" s="1"/>
  <c r="T83" i="7"/>
  <c r="V83" i="7" s="1"/>
  <c r="T38" i="7"/>
  <c r="V38" i="7" s="1"/>
  <c r="T56" i="7"/>
  <c r="V56" i="7" s="1"/>
  <c r="T34" i="7"/>
  <c r="V34" i="7" s="1"/>
  <c r="T45" i="7"/>
  <c r="V45" i="7" s="1"/>
  <c r="T46" i="7"/>
  <c r="V46" i="7" s="1"/>
  <c r="T63" i="7"/>
  <c r="V63" i="7" s="1"/>
  <c r="T60" i="7"/>
  <c r="V60" i="7" s="1"/>
  <c r="T71" i="7"/>
  <c r="V71" i="7" s="1"/>
  <c r="T61" i="7"/>
  <c r="V61" i="7" s="1"/>
  <c r="T64" i="7"/>
  <c r="V64" i="7" s="1"/>
  <c r="T81" i="7"/>
  <c r="V81" i="7" s="1"/>
  <c r="T44" i="7"/>
  <c r="V44" i="7" s="1"/>
  <c r="T41" i="7"/>
  <c r="V41" i="7" s="1"/>
  <c r="T54" i="7"/>
  <c r="V54" i="7" s="1"/>
  <c r="T79" i="7"/>
  <c r="V79" i="7" s="1"/>
  <c r="T37" i="7"/>
  <c r="V37" i="7" s="1"/>
  <c r="T89" i="7"/>
  <c r="V89" i="7" s="1"/>
  <c r="T14" i="7"/>
  <c r="T11" i="7"/>
  <c r="T30" i="7"/>
  <c r="T25" i="7"/>
  <c r="T23" i="7"/>
  <c r="T21" i="7"/>
  <c r="T17" i="7"/>
  <c r="T13" i="7"/>
  <c r="T28" i="7"/>
  <c r="I53" i="13"/>
  <c r="J53" i="13"/>
  <c r="K53" i="13"/>
  <c r="L53" i="13"/>
  <c r="H53" i="13"/>
  <c r="F53" i="13"/>
  <c r="G53" i="13"/>
  <c r="E53" i="13"/>
  <c r="I57" i="13"/>
  <c r="L57" i="13"/>
  <c r="K57" i="13"/>
  <c r="J57" i="13"/>
  <c r="G57" i="13"/>
  <c r="H57" i="13"/>
  <c r="E57" i="13"/>
  <c r="F57" i="13"/>
  <c r="K62" i="13"/>
  <c r="J62" i="13"/>
  <c r="L62" i="13"/>
  <c r="I62" i="13"/>
  <c r="H62" i="13"/>
  <c r="F62" i="13"/>
  <c r="E62" i="13"/>
  <c r="G62" i="13"/>
  <c r="J60" i="13"/>
  <c r="K60" i="13"/>
  <c r="I60" i="13"/>
  <c r="L60" i="13"/>
  <c r="F60" i="13"/>
  <c r="H60" i="13"/>
  <c r="E60" i="13"/>
  <c r="G60" i="13"/>
  <c r="J55" i="13"/>
  <c r="I55" i="13"/>
  <c r="L55" i="13"/>
  <c r="K55" i="13"/>
  <c r="F55" i="13"/>
  <c r="G55" i="13"/>
  <c r="H55" i="13"/>
  <c r="E55" i="13"/>
  <c r="K58" i="13"/>
  <c r="J58" i="13"/>
  <c r="I58" i="13"/>
  <c r="L58" i="13"/>
  <c r="F58" i="13"/>
  <c r="H58" i="13"/>
  <c r="E58" i="13"/>
  <c r="G58" i="13"/>
  <c r="K52" i="13"/>
  <c r="J52" i="13"/>
  <c r="L52" i="13"/>
  <c r="I52" i="13"/>
  <c r="E52" i="13"/>
  <c r="F52" i="13"/>
  <c r="H52" i="13"/>
  <c r="G52" i="13"/>
  <c r="K56" i="13"/>
  <c r="I56" i="13"/>
  <c r="J56" i="13"/>
  <c r="L56" i="13"/>
  <c r="F56" i="13"/>
  <c r="E56" i="13"/>
  <c r="H56" i="13"/>
  <c r="G56" i="13"/>
  <c r="L59" i="13"/>
  <c r="I59" i="13"/>
  <c r="J59" i="13"/>
  <c r="K59" i="13"/>
  <c r="E59" i="13"/>
  <c r="H59" i="13"/>
  <c r="G59" i="13"/>
  <c r="F59" i="13"/>
  <c r="I61" i="13"/>
  <c r="J61" i="13"/>
  <c r="K61" i="13"/>
  <c r="L61" i="13"/>
  <c r="G61" i="13"/>
  <c r="F61" i="13"/>
  <c r="E61" i="13"/>
  <c r="H61" i="13"/>
  <c r="J63" i="13"/>
  <c r="I63" i="13"/>
  <c r="K63" i="13"/>
  <c r="L63" i="13"/>
  <c r="F63" i="13"/>
  <c r="G63" i="13"/>
  <c r="H63" i="13"/>
  <c r="E63" i="13"/>
  <c r="K54" i="13"/>
  <c r="I54" i="13"/>
  <c r="J54" i="13"/>
  <c r="L54" i="13"/>
  <c r="F54" i="13"/>
  <c r="G54" i="13"/>
  <c r="H54" i="13"/>
  <c r="E54" i="13"/>
  <c r="F44" i="13"/>
  <c r="G44" i="13"/>
  <c r="E44" i="13"/>
  <c r="H44" i="13"/>
  <c r="J44" i="13"/>
  <c r="K44" i="13"/>
  <c r="L44" i="13"/>
  <c r="I44" i="13"/>
  <c r="E41" i="13"/>
  <c r="I41" i="13"/>
  <c r="G41" i="13"/>
  <c r="J41" i="13"/>
  <c r="L41" i="13"/>
  <c r="H41" i="13"/>
  <c r="K41" i="13"/>
  <c r="F41" i="13"/>
  <c r="H28" i="13"/>
  <c r="F28" i="13"/>
  <c r="E28" i="13"/>
  <c r="J28" i="13"/>
  <c r="G28" i="13"/>
  <c r="K28" i="13"/>
  <c r="L28" i="13"/>
  <c r="I28" i="13"/>
  <c r="L29" i="13"/>
  <c r="E29" i="13"/>
  <c r="K29" i="13"/>
  <c r="F29" i="13"/>
  <c r="H29" i="13"/>
  <c r="G29" i="13"/>
  <c r="J29" i="13"/>
  <c r="I29" i="13"/>
  <c r="E30" i="13"/>
  <c r="J30" i="13"/>
  <c r="F30" i="13"/>
  <c r="K30" i="13"/>
  <c r="L30" i="13"/>
  <c r="H30" i="13"/>
  <c r="I30" i="13"/>
  <c r="G30" i="13"/>
  <c r="G32" i="13"/>
  <c r="F32" i="13"/>
  <c r="E32" i="13"/>
  <c r="H32" i="13"/>
  <c r="K32" i="13"/>
  <c r="J32" i="13"/>
  <c r="L32" i="13"/>
  <c r="I32" i="13"/>
  <c r="E38" i="13"/>
  <c r="J38" i="13"/>
  <c r="F38" i="13"/>
  <c r="G38" i="13"/>
  <c r="K38" i="13"/>
  <c r="L38" i="13"/>
  <c r="I38" i="13"/>
  <c r="H38" i="13"/>
  <c r="E25" i="13"/>
  <c r="I25" i="13"/>
  <c r="G25" i="13"/>
  <c r="J25" i="13"/>
  <c r="F25" i="13"/>
  <c r="L25" i="13"/>
  <c r="K25" i="13"/>
  <c r="H25" i="13"/>
  <c r="F48" i="13"/>
  <c r="J48" i="13"/>
  <c r="E48" i="13"/>
  <c r="L48" i="13"/>
  <c r="I48" i="13"/>
  <c r="K48" i="13"/>
  <c r="H48" i="13"/>
  <c r="G48" i="13"/>
  <c r="K23" i="13"/>
  <c r="F23" i="13"/>
  <c r="L23" i="13"/>
  <c r="H23" i="13"/>
  <c r="E23" i="13"/>
  <c r="J23" i="13"/>
  <c r="G23" i="13"/>
  <c r="I23" i="13"/>
  <c r="E35" i="13"/>
  <c r="F35" i="13"/>
  <c r="K35" i="13"/>
  <c r="I35" i="13"/>
  <c r="L35" i="13"/>
  <c r="J35" i="13"/>
  <c r="G35" i="13"/>
  <c r="H35" i="13"/>
  <c r="E46" i="13"/>
  <c r="G46" i="13"/>
  <c r="J46" i="13"/>
  <c r="F46" i="13"/>
  <c r="I46" i="13"/>
  <c r="K46" i="13"/>
  <c r="H46" i="13"/>
  <c r="L46" i="13"/>
  <c r="F37" i="13"/>
  <c r="G37" i="13"/>
  <c r="H37" i="13"/>
  <c r="I37" i="13"/>
  <c r="K37" i="13"/>
  <c r="J37" i="13"/>
  <c r="L37" i="13"/>
  <c r="E37" i="13"/>
  <c r="E47" i="13"/>
  <c r="K47" i="13"/>
  <c r="L47" i="13"/>
  <c r="I47" i="13"/>
  <c r="F47" i="13"/>
  <c r="H47" i="13"/>
  <c r="J47" i="13"/>
  <c r="G47" i="13"/>
  <c r="G17" i="13"/>
  <c r="L17" i="13"/>
  <c r="F17" i="13"/>
  <c r="I17" i="13"/>
  <c r="J17" i="13"/>
  <c r="K17" i="13"/>
  <c r="E17" i="13"/>
  <c r="H17" i="13"/>
  <c r="E34" i="13"/>
  <c r="H34" i="13"/>
  <c r="G34" i="13"/>
  <c r="J34" i="13"/>
  <c r="F34" i="13"/>
  <c r="K34" i="13"/>
  <c r="I34" i="13"/>
  <c r="L34" i="13"/>
  <c r="F27" i="13"/>
  <c r="K27" i="13"/>
  <c r="H27" i="13"/>
  <c r="I27" i="13"/>
  <c r="E27" i="13"/>
  <c r="G27" i="13"/>
  <c r="J27" i="13"/>
  <c r="L27" i="13"/>
  <c r="F51" i="13"/>
  <c r="L51" i="13"/>
  <c r="E51" i="13"/>
  <c r="I51" i="13"/>
  <c r="J51" i="13"/>
  <c r="K51" i="13"/>
  <c r="G51" i="13"/>
  <c r="H51" i="13"/>
  <c r="H22" i="13"/>
  <c r="F22" i="13"/>
  <c r="L22" i="13"/>
  <c r="G22" i="13"/>
  <c r="E22" i="13"/>
  <c r="J22" i="13"/>
  <c r="I22" i="13"/>
  <c r="K22" i="13"/>
  <c r="E31" i="13"/>
  <c r="I31" i="13"/>
  <c r="F31" i="13"/>
  <c r="J31" i="13"/>
  <c r="K31" i="13"/>
  <c r="L31" i="13"/>
  <c r="H31" i="13"/>
  <c r="G31" i="13"/>
  <c r="H49" i="13"/>
  <c r="G49" i="13"/>
  <c r="F49" i="13"/>
  <c r="L49" i="13"/>
  <c r="E49" i="13"/>
  <c r="K49" i="13"/>
  <c r="I49" i="13"/>
  <c r="J49" i="13"/>
  <c r="F21" i="13"/>
  <c r="G21" i="13"/>
  <c r="I21" i="13"/>
  <c r="K21" i="13"/>
  <c r="E21" i="13"/>
  <c r="J21" i="13"/>
  <c r="L21" i="13"/>
  <c r="H21" i="13"/>
  <c r="E43" i="13"/>
  <c r="J43" i="13"/>
  <c r="I43" i="13"/>
  <c r="F43" i="13"/>
  <c r="K43" i="13"/>
  <c r="L43" i="13"/>
  <c r="G43" i="13"/>
  <c r="H43" i="13"/>
  <c r="F33" i="13"/>
  <c r="H33" i="13"/>
  <c r="G33" i="13"/>
  <c r="E33" i="13"/>
  <c r="I33" i="13"/>
  <c r="K33" i="13"/>
  <c r="J33" i="13"/>
  <c r="L33" i="13"/>
  <c r="H42" i="13"/>
  <c r="J42" i="13"/>
  <c r="F42" i="13"/>
  <c r="G42" i="13"/>
  <c r="K42" i="13"/>
  <c r="L42" i="13"/>
  <c r="I42" i="13"/>
  <c r="E42" i="13"/>
  <c r="G20" i="13"/>
  <c r="J20" i="13"/>
  <c r="K20" i="13"/>
  <c r="I20" i="13"/>
  <c r="L20" i="13"/>
  <c r="H20" i="13"/>
  <c r="F20" i="13"/>
  <c r="E20" i="13"/>
  <c r="H50" i="13"/>
  <c r="G50" i="13"/>
  <c r="J50" i="13"/>
  <c r="F50" i="13"/>
  <c r="I50" i="13"/>
  <c r="K50" i="13"/>
  <c r="L50" i="13"/>
  <c r="E50" i="13"/>
  <c r="E16" i="13"/>
  <c r="J16" i="13"/>
  <c r="K16" i="13"/>
  <c r="L16" i="13"/>
  <c r="G16" i="13"/>
  <c r="I16" i="13"/>
  <c r="H16" i="13"/>
  <c r="F16" i="13"/>
  <c r="F45" i="13"/>
  <c r="I45" i="13"/>
  <c r="G45" i="13"/>
  <c r="J45" i="13"/>
  <c r="E45" i="13"/>
  <c r="L45" i="13"/>
  <c r="K45" i="13"/>
  <c r="H45" i="13"/>
  <c r="H18" i="13"/>
  <c r="G18" i="13"/>
  <c r="F18" i="13"/>
  <c r="J18" i="13"/>
  <c r="K18" i="13"/>
  <c r="I18" i="13"/>
  <c r="L18" i="13"/>
  <c r="E18" i="13"/>
  <c r="G36" i="13"/>
  <c r="J36" i="13"/>
  <c r="E36" i="13"/>
  <c r="F36" i="13"/>
  <c r="I36" i="13"/>
  <c r="K36" i="13"/>
  <c r="H36" i="13"/>
  <c r="L36" i="13"/>
  <c r="G39" i="13"/>
  <c r="E39" i="13"/>
  <c r="F39" i="13"/>
  <c r="J39" i="13"/>
  <c r="K39" i="13"/>
  <c r="H39" i="13"/>
  <c r="I39" i="13"/>
  <c r="L39" i="13"/>
  <c r="E24" i="13"/>
  <c r="J24" i="13"/>
  <c r="F24" i="13"/>
  <c r="K24" i="13"/>
  <c r="I24" i="13"/>
  <c r="H24" i="13"/>
  <c r="G24" i="13"/>
  <c r="L24" i="13"/>
  <c r="E40" i="13"/>
  <c r="J40" i="13"/>
  <c r="F40" i="13"/>
  <c r="K40" i="13"/>
  <c r="L40" i="13"/>
  <c r="G40" i="13"/>
  <c r="I40" i="13"/>
  <c r="H40" i="13"/>
  <c r="H19" i="13"/>
  <c r="F19" i="13"/>
  <c r="J19" i="13"/>
  <c r="L19" i="13"/>
  <c r="I19" i="13"/>
  <c r="K19" i="13"/>
  <c r="G19" i="13"/>
  <c r="E19" i="13"/>
  <c r="G26" i="13"/>
  <c r="H26" i="13"/>
  <c r="J26" i="13"/>
  <c r="F26" i="13"/>
  <c r="K26" i="13"/>
  <c r="I26" i="13"/>
  <c r="L26" i="13"/>
  <c r="E26" i="13"/>
  <c r="I15" i="13"/>
  <c r="J15" i="13"/>
  <c r="L15" i="13"/>
  <c r="K15" i="13"/>
  <c r="E15" i="13"/>
  <c r="F15" i="13"/>
  <c r="H15" i="13"/>
  <c r="G15" i="13"/>
  <c r="D3" i="13"/>
  <c r="T6" i="7" s="1"/>
  <c r="I13" i="13"/>
  <c r="J13" i="13"/>
  <c r="K13" i="13"/>
  <c r="L13" i="13"/>
  <c r="E13" i="13"/>
  <c r="G13" i="13"/>
  <c r="H13" i="13"/>
  <c r="F13" i="13"/>
  <c r="J8" i="13"/>
  <c r="I8" i="13"/>
  <c r="L8" i="13"/>
  <c r="K8" i="13"/>
  <c r="E8" i="13"/>
  <c r="F8" i="13"/>
  <c r="H8" i="13"/>
  <c r="G8" i="13"/>
  <c r="J12" i="13"/>
  <c r="K12" i="13"/>
  <c r="L12" i="13"/>
  <c r="I12" i="13"/>
  <c r="E12" i="13"/>
  <c r="G12" i="13"/>
  <c r="H12" i="13"/>
  <c r="F12" i="13"/>
  <c r="J6" i="13"/>
  <c r="K6" i="13"/>
  <c r="L6" i="13"/>
  <c r="I6" i="13"/>
  <c r="E6" i="13"/>
  <c r="F6" i="13"/>
  <c r="G6" i="13"/>
  <c r="H6" i="13"/>
  <c r="J4" i="13"/>
  <c r="K4" i="13"/>
  <c r="L4" i="13"/>
  <c r="I4" i="13"/>
  <c r="G4" i="13"/>
  <c r="H4" i="13"/>
  <c r="F4" i="13"/>
  <c r="E4" i="13"/>
  <c r="I9" i="13"/>
  <c r="J9" i="13"/>
  <c r="L9" i="13"/>
  <c r="K9" i="13"/>
  <c r="E9" i="13"/>
  <c r="H9" i="13"/>
  <c r="F9" i="13"/>
  <c r="G9" i="13"/>
  <c r="I7" i="13"/>
  <c r="J7" i="13"/>
  <c r="L7" i="13"/>
  <c r="K7" i="13"/>
  <c r="E7" i="13"/>
  <c r="G7" i="13"/>
  <c r="F7" i="13"/>
  <c r="H7" i="13"/>
  <c r="J10" i="13"/>
  <c r="L10" i="13"/>
  <c r="I10" i="13"/>
  <c r="K10" i="13"/>
  <c r="E10" i="13"/>
  <c r="G10" i="13"/>
  <c r="F10" i="13"/>
  <c r="H10" i="13"/>
  <c r="I5" i="13"/>
  <c r="J5" i="13"/>
  <c r="K5" i="13"/>
  <c r="L5" i="13"/>
  <c r="E5" i="13"/>
  <c r="G5" i="13"/>
  <c r="F5" i="13"/>
  <c r="H5" i="13"/>
  <c r="I11" i="13"/>
  <c r="J11" i="13"/>
  <c r="K11" i="13"/>
  <c r="L11" i="13"/>
  <c r="E11" i="13"/>
  <c r="H11" i="13"/>
  <c r="F11" i="13"/>
  <c r="G11" i="13"/>
  <c r="J14" i="13"/>
  <c r="K14" i="13"/>
  <c r="I14" i="13"/>
  <c r="L14" i="13"/>
  <c r="E14" i="13"/>
  <c r="G14" i="13"/>
  <c r="H14" i="13"/>
  <c r="F14" i="13"/>
  <c r="N5" i="1"/>
  <c r="Q4" i="1" a="1"/>
  <c r="Q4" i="1" s="1"/>
  <c r="BV8" i="1" l="1"/>
  <c r="BY8" i="1" s="1"/>
  <c r="BP9" i="1"/>
  <c r="BY7" i="1"/>
  <c r="BW7" i="1"/>
  <c r="BD10" i="1"/>
  <c r="BG10" i="1" s="1"/>
  <c r="AX11" i="1"/>
  <c r="BG9" i="1"/>
  <c r="BE9" i="1"/>
  <c r="CN8" i="1"/>
  <c r="CQ8" i="1" s="1"/>
  <c r="CH9" i="1"/>
  <c r="CQ7" i="1"/>
  <c r="CO7" i="1"/>
  <c r="V6" i="7"/>
  <c r="T4" i="1"/>
  <c r="W4" i="1" s="1"/>
  <c r="T18" i="7"/>
  <c r="T15" i="7"/>
  <c r="T9" i="7"/>
  <c r="T8" i="7"/>
  <c r="T19" i="7"/>
  <c r="U7" i="7"/>
  <c r="O6" i="1"/>
  <c r="Q5" i="1" a="1"/>
  <c r="Q5" i="1" s="1"/>
  <c r="T7" i="7"/>
  <c r="M3" i="13"/>
  <c r="J3" i="13"/>
  <c r="K3" i="13"/>
  <c r="L3" i="13"/>
  <c r="I3" i="13"/>
  <c r="H3" i="13"/>
  <c r="F3" i="13"/>
  <c r="G3" i="13"/>
  <c r="E3" i="13"/>
  <c r="N6" i="1"/>
  <c r="BW8" i="1" l="1"/>
  <c r="CO8" i="1"/>
  <c r="BE10" i="1"/>
  <c r="BZ8" i="1"/>
  <c r="BZ7" i="1"/>
  <c r="BD11" i="1"/>
  <c r="BG11" i="1" s="1"/>
  <c r="AX12" i="1"/>
  <c r="BV9" i="1"/>
  <c r="BP10" i="1"/>
  <c r="BH10" i="1"/>
  <c r="BH9" i="1"/>
  <c r="CR7" i="1"/>
  <c r="CR8" i="1"/>
  <c r="CN9" i="1"/>
  <c r="CH10" i="1"/>
  <c r="V7" i="7"/>
  <c r="T5" i="1"/>
  <c r="W5" i="1" s="1"/>
  <c r="U8" i="7"/>
  <c r="V8" i="7" s="1"/>
  <c r="Q6" i="1" a="1"/>
  <c r="Q6" i="1" s="1"/>
  <c r="O7" i="1"/>
  <c r="N7" i="1"/>
  <c r="U4" i="1"/>
  <c r="BH11" i="1" l="1"/>
  <c r="BV10" i="1"/>
  <c r="BY10" i="1" s="1"/>
  <c r="BP11" i="1"/>
  <c r="BY9" i="1"/>
  <c r="BW9" i="1"/>
  <c r="BE11" i="1"/>
  <c r="BD12" i="1"/>
  <c r="BG12" i="1" s="1"/>
  <c r="AX13" i="1"/>
  <c r="CN10" i="1"/>
  <c r="CO10" i="1" s="1"/>
  <c r="CH11" i="1"/>
  <c r="CQ9" i="1"/>
  <c r="CO9" i="1"/>
  <c r="U5" i="1"/>
  <c r="T6" i="1"/>
  <c r="W6" i="1" s="1"/>
  <c r="X6" i="1" s="1"/>
  <c r="U9" i="7"/>
  <c r="V9" i="7" s="1"/>
  <c r="O8" i="1"/>
  <c r="Q7" i="1" a="1"/>
  <c r="Q7" i="1" s="1"/>
  <c r="T7" i="1" s="1"/>
  <c r="W7" i="1" s="1"/>
  <c r="N8" i="1"/>
  <c r="X4" i="1"/>
  <c r="X5" i="1"/>
  <c r="BW10" i="1" l="1"/>
  <c r="BE12" i="1"/>
  <c r="BD13" i="1"/>
  <c r="BG13" i="1" s="1"/>
  <c r="AX14" i="1"/>
  <c r="BV11" i="1"/>
  <c r="BW11" i="1" s="1"/>
  <c r="BP12" i="1"/>
  <c r="BZ9" i="1"/>
  <c r="BZ10" i="1"/>
  <c r="BH12" i="1"/>
  <c r="CN11" i="1"/>
  <c r="CH12" i="1"/>
  <c r="CQ10" i="1"/>
  <c r="CR9" i="1"/>
  <c r="U6" i="1"/>
  <c r="U10" i="7"/>
  <c r="V10" i="7" s="1"/>
  <c r="O9" i="1"/>
  <c r="Q8" i="1" a="1"/>
  <c r="Q8" i="1" s="1"/>
  <c r="T8" i="1" s="1"/>
  <c r="W8" i="1" s="1"/>
  <c r="N9" i="1"/>
  <c r="U7" i="1"/>
  <c r="AG11" i="1"/>
  <c r="AI11" i="1" s="1" a="1"/>
  <c r="AI11" i="1" s="1"/>
  <c r="AG19" i="1"/>
  <c r="AI19" i="1" s="1" a="1"/>
  <c r="AI19" i="1" s="1"/>
  <c r="AG27" i="1"/>
  <c r="AI27" i="1" s="1" a="1"/>
  <c r="AI27" i="1" s="1"/>
  <c r="AG35" i="1"/>
  <c r="AI35" i="1" s="1" a="1"/>
  <c r="AI35" i="1" s="1"/>
  <c r="AG43" i="1"/>
  <c r="AI43" i="1" s="1" a="1"/>
  <c r="AI43" i="1" s="1"/>
  <c r="AG51" i="1"/>
  <c r="AG12" i="1"/>
  <c r="AI12" i="1" s="1" a="1"/>
  <c r="AI12" i="1" s="1"/>
  <c r="AG20" i="1"/>
  <c r="AI20" i="1" s="1" a="1"/>
  <c r="AI20" i="1" s="1"/>
  <c r="AG28" i="1"/>
  <c r="AI28" i="1" s="1" a="1"/>
  <c r="AI28" i="1" s="1"/>
  <c r="AG36" i="1"/>
  <c r="AI36" i="1" s="1" a="1"/>
  <c r="AI36" i="1" s="1"/>
  <c r="AG44" i="1"/>
  <c r="AI44" i="1" s="1" a="1"/>
  <c r="AI44" i="1" s="1"/>
  <c r="AG52" i="1"/>
  <c r="AI52" i="1" s="1" a="1"/>
  <c r="AI52" i="1" s="1"/>
  <c r="AG5" i="1"/>
  <c r="AI5" i="1" s="1" a="1"/>
  <c r="AI5" i="1" s="1"/>
  <c r="AG13" i="1"/>
  <c r="AI13" i="1" s="1" a="1"/>
  <c r="AI13" i="1" s="1"/>
  <c r="AG21" i="1"/>
  <c r="AI21" i="1" s="1" a="1"/>
  <c r="AI21" i="1" s="1"/>
  <c r="AG29" i="1"/>
  <c r="AI29" i="1" s="1" a="1"/>
  <c r="AI29" i="1" s="1"/>
  <c r="AG37" i="1"/>
  <c r="AI37" i="1" s="1" a="1"/>
  <c r="AI37" i="1" s="1"/>
  <c r="AG45" i="1"/>
  <c r="AI45" i="1" s="1" a="1"/>
  <c r="AI45" i="1" s="1"/>
  <c r="AG6" i="1"/>
  <c r="AI6" i="1" s="1" a="1"/>
  <c r="AI6" i="1" s="1"/>
  <c r="AG14" i="1"/>
  <c r="AI14" i="1" s="1" a="1"/>
  <c r="AI14" i="1" s="1"/>
  <c r="AG22" i="1"/>
  <c r="AI22" i="1" s="1" a="1"/>
  <c r="AI22" i="1" s="1"/>
  <c r="AG30" i="1"/>
  <c r="AI30" i="1" s="1" a="1"/>
  <c r="AI30" i="1" s="1"/>
  <c r="AG38" i="1"/>
  <c r="AI38" i="1" s="1" a="1"/>
  <c r="AI38" i="1" s="1"/>
  <c r="AG46" i="1"/>
  <c r="AI46" i="1" s="1" a="1"/>
  <c r="AI46" i="1" s="1"/>
  <c r="AG7" i="1"/>
  <c r="AI7" i="1" s="1" a="1"/>
  <c r="AI7" i="1" s="1"/>
  <c r="AG15" i="1"/>
  <c r="AG23" i="1"/>
  <c r="AI23" i="1" s="1" a="1"/>
  <c r="AI23" i="1" s="1"/>
  <c r="AG31" i="1"/>
  <c r="AI31" i="1" s="1" a="1"/>
  <c r="AI31" i="1" s="1"/>
  <c r="AG39" i="1"/>
  <c r="AI39" i="1" s="1" a="1"/>
  <c r="AI39" i="1" s="1"/>
  <c r="AG47" i="1"/>
  <c r="AI47" i="1" s="1" a="1"/>
  <c r="AI47" i="1" s="1"/>
  <c r="AG8" i="1"/>
  <c r="AI8" i="1" s="1" a="1"/>
  <c r="AI8" i="1" s="1"/>
  <c r="AG16" i="1"/>
  <c r="AI16" i="1" s="1" a="1"/>
  <c r="AI16" i="1" s="1"/>
  <c r="AG24" i="1"/>
  <c r="AI24" i="1" s="1" a="1"/>
  <c r="AI24" i="1" s="1"/>
  <c r="AG32" i="1"/>
  <c r="AI32" i="1" s="1" a="1"/>
  <c r="AI32" i="1" s="1"/>
  <c r="AG40" i="1"/>
  <c r="AI40" i="1" s="1" a="1"/>
  <c r="AI40" i="1" s="1"/>
  <c r="AG48" i="1"/>
  <c r="AI48" i="1" s="1" a="1"/>
  <c r="AI48" i="1" s="1"/>
  <c r="AG9" i="1"/>
  <c r="AI9" i="1" s="1" a="1"/>
  <c r="AI9" i="1" s="1"/>
  <c r="AG17" i="1"/>
  <c r="AI17" i="1" s="1" a="1"/>
  <c r="AI17" i="1" s="1"/>
  <c r="AG25" i="1"/>
  <c r="AI25" i="1" s="1" a="1"/>
  <c r="AI25" i="1" s="1"/>
  <c r="AG33" i="1"/>
  <c r="AI33" i="1" s="1" a="1"/>
  <c r="AI33" i="1" s="1"/>
  <c r="AG41" i="1"/>
  <c r="AI41" i="1" s="1" a="1"/>
  <c r="AI41" i="1" s="1"/>
  <c r="AG49" i="1"/>
  <c r="AI49" i="1" s="1" a="1"/>
  <c r="AI49" i="1" s="1"/>
  <c r="AG10" i="1"/>
  <c r="AI10" i="1" s="1" a="1"/>
  <c r="AI10" i="1" s="1"/>
  <c r="AG18" i="1"/>
  <c r="AI18" i="1" s="1" a="1"/>
  <c r="AI18" i="1" s="1"/>
  <c r="AG26" i="1"/>
  <c r="AI26" i="1" s="1" a="1"/>
  <c r="AI26" i="1" s="1"/>
  <c r="AG34" i="1"/>
  <c r="AI34" i="1" s="1" a="1"/>
  <c r="AI34" i="1" s="1"/>
  <c r="AG42" i="1"/>
  <c r="AI42" i="1" s="1" a="1"/>
  <c r="AI42" i="1" s="1"/>
  <c r="AG50" i="1"/>
  <c r="AI50" i="1" s="1" a="1"/>
  <c r="AI50" i="1" s="1"/>
  <c r="AH9" i="1" a="1"/>
  <c r="AH9" i="1" s="1"/>
  <c r="AH20" i="1" a="1"/>
  <c r="AH20" i="1" s="1"/>
  <c r="AH25" i="1" a="1"/>
  <c r="AH25" i="1" s="1"/>
  <c r="AH36" i="1" a="1"/>
  <c r="AH36" i="1" s="1"/>
  <c r="AH41" i="1" a="1"/>
  <c r="AH41" i="1" s="1"/>
  <c r="AH52" i="1" a="1"/>
  <c r="AH52" i="1" s="1"/>
  <c r="AH10" i="1" a="1"/>
  <c r="AH10" i="1" s="1"/>
  <c r="AH15" i="1" a="1"/>
  <c r="AH15" i="1" s="1"/>
  <c r="AH26" i="1" a="1"/>
  <c r="AH26" i="1" s="1"/>
  <c r="AH31" i="1" a="1"/>
  <c r="AH31" i="1" s="1"/>
  <c r="AH42" i="1" a="1"/>
  <c r="AH42" i="1" s="1"/>
  <c r="AH47" i="1" a="1"/>
  <c r="AH47" i="1" s="1"/>
  <c r="AH5" i="1" a="1"/>
  <c r="AH5" i="1" s="1"/>
  <c r="AH16" i="1" a="1"/>
  <c r="AH16" i="1" s="1"/>
  <c r="AH21" i="1" a="1"/>
  <c r="AH21" i="1" s="1"/>
  <c r="AH32" i="1" a="1"/>
  <c r="AH32" i="1" s="1"/>
  <c r="AH37" i="1" a="1"/>
  <c r="AH37" i="1" s="1"/>
  <c r="AH48" i="1" a="1"/>
  <c r="AH48" i="1" s="1"/>
  <c r="AH14" i="1" a="1"/>
  <c r="AH14" i="1" s="1"/>
  <c r="AH6" i="1" a="1"/>
  <c r="AH6" i="1" s="1"/>
  <c r="AH11" i="1" a="1"/>
  <c r="AH11" i="1" s="1"/>
  <c r="AH22" i="1" a="1"/>
  <c r="AH22" i="1" s="1"/>
  <c r="AH27" i="1" a="1"/>
  <c r="AH27" i="1" s="1"/>
  <c r="AH38" i="1" a="1"/>
  <c r="AH38" i="1" s="1"/>
  <c r="AH43" i="1" a="1"/>
  <c r="AH43" i="1" s="1"/>
  <c r="AH19" i="1" a="1"/>
  <c r="AH19" i="1" s="1"/>
  <c r="AH35" i="1" a="1"/>
  <c r="AH35" i="1" s="1"/>
  <c r="AH12" i="1" a="1"/>
  <c r="AH12" i="1" s="1"/>
  <c r="AH17" i="1" a="1"/>
  <c r="AH17" i="1" s="1"/>
  <c r="AH28" i="1" a="1"/>
  <c r="AH28" i="1" s="1"/>
  <c r="AH33" i="1" a="1"/>
  <c r="AH33" i="1" s="1"/>
  <c r="AH44" i="1" a="1"/>
  <c r="AH44" i="1" s="1"/>
  <c r="AH49" i="1" a="1"/>
  <c r="AH49" i="1" s="1"/>
  <c r="AH51" i="1" a="1"/>
  <c r="AH51" i="1" s="1"/>
  <c r="AH7" i="1" a="1"/>
  <c r="AH7" i="1" s="1"/>
  <c r="AH18" i="1" a="1"/>
  <c r="AH18" i="1" s="1"/>
  <c r="AH23" i="1" a="1"/>
  <c r="AH23" i="1" s="1"/>
  <c r="AH34" i="1" a="1"/>
  <c r="AH34" i="1" s="1"/>
  <c r="AH39" i="1" a="1"/>
  <c r="AH39" i="1" s="1"/>
  <c r="AH50" i="1" a="1"/>
  <c r="AH50" i="1" s="1"/>
  <c r="AH30" i="1" a="1"/>
  <c r="AH30" i="1" s="1"/>
  <c r="AH8" i="1" a="1"/>
  <c r="AH8" i="1" s="1"/>
  <c r="AH13" i="1" a="1"/>
  <c r="AH13" i="1" s="1"/>
  <c r="AH24" i="1" a="1"/>
  <c r="AH24" i="1" s="1"/>
  <c r="AH29" i="1" a="1"/>
  <c r="AH29" i="1" s="1"/>
  <c r="AH40" i="1" a="1"/>
  <c r="AH40" i="1" s="1"/>
  <c r="AH45" i="1" a="1"/>
  <c r="AH45" i="1" s="1"/>
  <c r="AH46" i="1" a="1"/>
  <c r="AH46" i="1" s="1"/>
  <c r="AD123" i="1"/>
  <c r="AD121" i="1"/>
  <c r="AD104" i="1"/>
  <c r="AD102" i="1"/>
  <c r="AD100" i="1"/>
  <c r="AD98" i="1"/>
  <c r="AD96" i="1"/>
  <c r="AD94" i="1"/>
  <c r="AD92" i="1"/>
  <c r="AD90" i="1"/>
  <c r="AD88" i="1"/>
  <c r="AD57" i="1"/>
  <c r="AD55" i="1"/>
  <c r="AD53" i="1"/>
  <c r="AD113" i="1"/>
  <c r="AD109" i="1"/>
  <c r="AD78" i="1"/>
  <c r="AD74" i="1"/>
  <c r="AD70" i="1"/>
  <c r="AD66" i="1"/>
  <c r="AD62" i="1"/>
  <c r="AD61" i="1"/>
  <c r="AD119" i="1"/>
  <c r="AD117" i="1"/>
  <c r="AD86" i="1"/>
  <c r="AD84" i="1"/>
  <c r="AD82" i="1"/>
  <c r="AD115" i="1"/>
  <c r="AD111" i="1"/>
  <c r="AD107" i="1"/>
  <c r="AD80" i="1"/>
  <c r="AD76" i="1"/>
  <c r="AD72" i="1"/>
  <c r="AD68" i="1"/>
  <c r="AD64" i="1"/>
  <c r="AD105" i="1"/>
  <c r="AD60" i="1"/>
  <c r="AD58" i="1"/>
  <c r="AD112" i="1"/>
  <c r="AD106" i="1"/>
  <c r="AD79" i="1"/>
  <c r="AD73" i="1"/>
  <c r="AD69" i="1"/>
  <c r="AD63" i="1"/>
  <c r="AD59" i="1"/>
  <c r="AD124" i="1"/>
  <c r="AD122" i="1"/>
  <c r="AD103" i="1"/>
  <c r="AD101" i="1"/>
  <c r="AD99" i="1"/>
  <c r="AD97" i="1"/>
  <c r="AD95" i="1"/>
  <c r="AD93" i="1"/>
  <c r="AD91" i="1"/>
  <c r="AD89" i="1"/>
  <c r="AD56" i="1"/>
  <c r="AD54" i="1"/>
  <c r="AD114" i="1"/>
  <c r="AD108" i="1"/>
  <c r="AD75" i="1"/>
  <c r="AD67" i="1"/>
  <c r="AD120" i="1"/>
  <c r="AD118" i="1"/>
  <c r="AD87" i="1"/>
  <c r="AD85" i="1"/>
  <c r="AD83" i="1"/>
  <c r="AD116" i="1"/>
  <c r="AD110" i="1"/>
  <c r="AD81" i="1"/>
  <c r="AD77" i="1"/>
  <c r="AD71" i="1"/>
  <c r="AD65" i="1"/>
  <c r="AM93" i="1"/>
  <c r="AM108" i="1"/>
  <c r="AM91" i="1"/>
  <c r="AM68" i="1"/>
  <c r="AM62" i="1"/>
  <c r="AM104" i="1"/>
  <c r="AM99" i="1"/>
  <c r="AM78" i="1"/>
  <c r="AM86" i="1"/>
  <c r="AM101" i="1"/>
  <c r="AM109" i="1"/>
  <c r="AM55" i="1"/>
  <c r="AM57" i="1"/>
  <c r="AM98" i="1"/>
  <c r="AM84" i="1"/>
  <c r="AM73" i="1"/>
  <c r="AM79" i="1"/>
  <c r="AM102" i="1"/>
  <c r="AM71" i="1"/>
  <c r="AM74" i="1"/>
  <c r="AM87" i="1"/>
  <c r="AM95" i="1"/>
  <c r="AM103" i="1"/>
  <c r="AM106" i="1"/>
  <c r="AM76" i="1"/>
  <c r="AM66" i="1"/>
  <c r="AM75" i="1"/>
  <c r="AM85" i="1"/>
  <c r="AM72" i="1"/>
  <c r="AM67" i="1"/>
  <c r="AM81" i="1"/>
  <c r="AM89" i="1"/>
  <c r="AM97" i="1"/>
  <c r="AM70" i="1"/>
  <c r="AM63" i="1"/>
  <c r="AM59" i="1"/>
  <c r="AM110" i="1"/>
  <c r="AM60" i="1"/>
  <c r="AM80" i="1"/>
  <c r="AM88" i="1"/>
  <c r="AM96" i="1"/>
  <c r="AM65" i="1"/>
  <c r="AM58" i="1"/>
  <c r="AM107" i="1"/>
  <c r="AM69" i="1"/>
  <c r="AM105" i="1"/>
  <c r="AM77" i="1"/>
  <c r="AM56" i="1"/>
  <c r="AM64" i="1"/>
  <c r="AM61" i="1"/>
  <c r="AM82" i="1"/>
  <c r="AM90" i="1"/>
  <c r="AM111" i="1"/>
  <c r="AM112" i="1"/>
  <c r="AM92" i="1"/>
  <c r="AM54" i="1"/>
  <c r="AM94" i="1"/>
  <c r="AM83" i="1"/>
  <c r="AP108" i="1"/>
  <c r="AP66" i="1"/>
  <c r="AP75" i="1"/>
  <c r="AP97" i="1"/>
  <c r="AP98" i="1"/>
  <c r="AP77" i="1"/>
  <c r="AP85" i="1"/>
  <c r="AP79" i="1"/>
  <c r="AP101" i="1"/>
  <c r="AP59" i="1"/>
  <c r="AP68" i="1"/>
  <c r="AP96" i="1"/>
  <c r="AP83" i="1"/>
  <c r="AP70" i="1"/>
  <c r="AP78" i="1"/>
  <c r="AP74" i="1"/>
  <c r="AP94" i="1"/>
  <c r="AP109" i="1"/>
  <c r="AP55" i="1"/>
  <c r="AP90" i="1"/>
  <c r="AP76" i="1"/>
  <c r="AP65" i="1"/>
  <c r="AP73" i="1"/>
  <c r="AP67" i="1"/>
  <c r="AP72" i="1"/>
  <c r="AP60" i="1"/>
  <c r="AP61" i="1"/>
  <c r="AP107" i="1"/>
  <c r="AP82" i="1"/>
  <c r="AP91" i="1"/>
  <c r="AP87" i="1"/>
  <c r="AP102" i="1"/>
  <c r="AP57" i="1"/>
  <c r="AP69" i="1"/>
  <c r="AP63" i="1"/>
  <c r="AP64" i="1"/>
  <c r="AP105" i="1"/>
  <c r="AM100" i="1"/>
  <c r="AP86" i="1"/>
  <c r="AP81" i="1"/>
  <c r="AP95" i="1"/>
  <c r="AP56" i="1"/>
  <c r="AP62" i="1"/>
  <c r="AP58" i="1"/>
  <c r="AP99" i="1"/>
  <c r="AP88" i="1"/>
  <c r="AP93" i="1"/>
  <c r="AP103" i="1"/>
  <c r="AP92" i="1"/>
  <c r="AP80" i="1"/>
  <c r="AP89" i="1"/>
  <c r="AP71" i="1"/>
  <c r="AP111" i="1"/>
  <c r="AP112" i="1"/>
  <c r="AP84" i="1"/>
  <c r="AP100" i="1"/>
  <c r="AP110" i="1"/>
  <c r="AP106" i="1"/>
  <c r="AP54" i="1"/>
  <c r="AP104" i="1"/>
  <c r="AD49" i="1"/>
  <c r="AD40" i="1"/>
  <c r="AD38" i="1"/>
  <c r="AD36" i="1"/>
  <c r="AD34" i="1"/>
  <c r="AD32" i="1"/>
  <c r="AD30" i="1"/>
  <c r="AD45" i="1"/>
  <c r="AD51" i="1"/>
  <c r="AD47" i="1"/>
  <c r="AD43" i="1"/>
  <c r="AD41" i="1"/>
  <c r="AD48" i="1"/>
  <c r="AD46" i="1"/>
  <c r="AD44" i="1"/>
  <c r="AD39" i="1"/>
  <c r="AD37" i="1"/>
  <c r="AD35" i="1"/>
  <c r="AD33" i="1"/>
  <c r="AD31" i="1"/>
  <c r="AD29" i="1"/>
  <c r="AD42" i="1"/>
  <c r="AD52" i="1"/>
  <c r="AD50" i="1"/>
  <c r="AD25" i="1"/>
  <c r="AD10" i="1"/>
  <c r="AD20" i="1"/>
  <c r="AD27" i="1"/>
  <c r="AD14" i="1"/>
  <c r="AD13" i="1"/>
  <c r="AD24" i="1"/>
  <c r="AD15" i="1"/>
  <c r="AD19" i="1"/>
  <c r="AD11" i="1"/>
  <c r="AD26" i="1"/>
  <c r="AD8" i="1"/>
  <c r="AD6" i="1"/>
  <c r="AD5" i="1"/>
  <c r="AD21" i="1"/>
  <c r="AD16" i="1"/>
  <c r="AD23" i="1"/>
  <c r="AD9" i="1"/>
  <c r="AD22" i="1"/>
  <c r="AD17" i="1"/>
  <c r="AD28" i="1"/>
  <c r="AD7" i="1"/>
  <c r="AD12" i="1"/>
  <c r="AD18" i="1"/>
  <c r="BE13" i="1" l="1"/>
  <c r="BV12" i="1"/>
  <c r="BY12" i="1" s="1"/>
  <c r="BP13" i="1"/>
  <c r="BY11" i="1"/>
  <c r="BD14" i="1"/>
  <c r="AX15" i="1"/>
  <c r="BH13" i="1"/>
  <c r="CQ11" i="1"/>
  <c r="CO11" i="1"/>
  <c r="CN12" i="1"/>
  <c r="CH13" i="1"/>
  <c r="CR10" i="1"/>
  <c r="AJ24" i="1"/>
  <c r="AJ18" i="1"/>
  <c r="AJ12" i="1"/>
  <c r="AJ6" i="1"/>
  <c r="AJ47" i="1"/>
  <c r="AJ36" i="1"/>
  <c r="AJ13" i="1"/>
  <c r="AJ35" i="1"/>
  <c r="AJ14" i="1"/>
  <c r="AJ42" i="1"/>
  <c r="AJ25" i="1"/>
  <c r="AJ7" i="1"/>
  <c r="AJ8" i="1"/>
  <c r="AJ51" i="1"/>
  <c r="AJ19" i="1"/>
  <c r="AJ48" i="1"/>
  <c r="AJ31" i="1"/>
  <c r="AJ20" i="1"/>
  <c r="AJ30" i="1"/>
  <c r="AJ49" i="1"/>
  <c r="AJ43" i="1"/>
  <c r="AJ37" i="1"/>
  <c r="AJ26" i="1"/>
  <c r="AJ9" i="1"/>
  <c r="AJ46" i="1"/>
  <c r="AJ50" i="1"/>
  <c r="AJ44" i="1"/>
  <c r="AJ38" i="1"/>
  <c r="AJ32" i="1"/>
  <c r="AJ15" i="1"/>
  <c r="AJ45" i="1"/>
  <c r="AJ39" i="1"/>
  <c r="AJ33" i="1"/>
  <c r="AJ27" i="1"/>
  <c r="AJ21" i="1"/>
  <c r="AJ10" i="1"/>
  <c r="AJ40" i="1"/>
  <c r="AJ34" i="1"/>
  <c r="AJ28" i="1"/>
  <c r="AJ22" i="1"/>
  <c r="AJ16" i="1"/>
  <c r="AJ29" i="1"/>
  <c r="AJ23" i="1"/>
  <c r="AJ17" i="1"/>
  <c r="AJ11" i="1"/>
  <c r="AJ5" i="1"/>
  <c r="AJ41" i="1"/>
  <c r="O10" i="1"/>
  <c r="U11" i="7"/>
  <c r="V11" i="7" s="1"/>
  <c r="Q9" i="1" a="1"/>
  <c r="Q9" i="1" s="1"/>
  <c r="X8" i="1"/>
  <c r="U8" i="1"/>
  <c r="X7" i="1"/>
  <c r="N10" i="1"/>
  <c r="AI51" i="1" a="1"/>
  <c r="AI51" i="1" s="1"/>
  <c r="AI15" i="1" a="1"/>
  <c r="AI15" i="1" s="1"/>
  <c r="AF5" i="1"/>
  <c r="AF6" i="1" s="1"/>
  <c r="AF7" i="1" s="1"/>
  <c r="AF8" i="1" s="1"/>
  <c r="AF9" i="1" s="1"/>
  <c r="AF10" i="1" s="1"/>
  <c r="AF11" i="1" s="1"/>
  <c r="AF12" i="1" s="1"/>
  <c r="AF13" i="1" s="1"/>
  <c r="AF14" i="1" s="1"/>
  <c r="AF15" i="1" s="1"/>
  <c r="BG14" i="1" l="1"/>
  <c r="BE14" i="1"/>
  <c r="BW12" i="1"/>
  <c r="BZ11" i="1"/>
  <c r="BZ12" i="1"/>
  <c r="BV13" i="1"/>
  <c r="BP14" i="1"/>
  <c r="BD15" i="1"/>
  <c r="BE15" i="1" s="1"/>
  <c r="C5" i="1" s="1"/>
  <c r="C16" i="6" s="1"/>
  <c r="AX16" i="1"/>
  <c r="CR11" i="1"/>
  <c r="CN13" i="1"/>
  <c r="CO13" i="1" s="1"/>
  <c r="CH14" i="1"/>
  <c r="CQ12" i="1"/>
  <c r="CO12" i="1"/>
  <c r="AL15" i="1"/>
  <c r="AO15" i="1" s="1"/>
  <c r="AL9" i="1"/>
  <c r="AO9" i="1" s="1"/>
  <c r="AL5" i="1"/>
  <c r="AO5" i="1" s="1"/>
  <c r="AL7" i="1"/>
  <c r="AO7" i="1" s="1"/>
  <c r="AL6" i="1"/>
  <c r="AO6" i="1" s="1"/>
  <c r="AL11" i="1"/>
  <c r="AO11" i="1" s="1"/>
  <c r="AL13" i="1"/>
  <c r="AO13" i="1" s="1"/>
  <c r="AL12" i="1"/>
  <c r="AO12" i="1" s="1"/>
  <c r="T9" i="1"/>
  <c r="W9" i="1" s="1"/>
  <c r="AL10" i="1"/>
  <c r="AO10" i="1" s="1"/>
  <c r="AL8" i="1"/>
  <c r="AO8" i="1" s="1"/>
  <c r="AL14" i="1"/>
  <c r="AO14" i="1" s="1"/>
  <c r="U12" i="7"/>
  <c r="V12" i="7" s="1"/>
  <c r="O11" i="1"/>
  <c r="Q10" i="1" a="1"/>
  <c r="Q10" i="1" s="1"/>
  <c r="T10" i="1" s="1"/>
  <c r="W10" i="1" s="1"/>
  <c r="N11" i="1"/>
  <c r="AF16" i="1"/>
  <c r="BD16" i="1" l="1"/>
  <c r="AX17" i="1"/>
  <c r="BY13" i="1"/>
  <c r="BW13" i="1"/>
  <c r="BG15" i="1"/>
  <c r="BH15" i="1" s="1"/>
  <c r="C12" i="1" s="1"/>
  <c r="C23" i="6" s="1"/>
  <c r="BH14" i="1"/>
  <c r="BP15" i="1"/>
  <c r="BV14" i="1"/>
  <c r="BY14" i="1" s="1"/>
  <c r="CQ13" i="1"/>
  <c r="CR13" i="1" s="1"/>
  <c r="CN14" i="1"/>
  <c r="CQ14" i="1" s="1"/>
  <c r="CH15" i="1"/>
  <c r="CR12" i="1"/>
  <c r="U9" i="1"/>
  <c r="AF17" i="1"/>
  <c r="AL16" i="1"/>
  <c r="AO16" i="1" s="1"/>
  <c r="U13" i="7"/>
  <c r="V13" i="7" s="1"/>
  <c r="Q11" i="1" a="1"/>
  <c r="Q11" i="1" s="1"/>
  <c r="T11" i="1" s="1"/>
  <c r="W11" i="1" s="1"/>
  <c r="O12" i="1"/>
  <c r="X10" i="1"/>
  <c r="U10" i="1"/>
  <c r="X9" i="1"/>
  <c r="N12" i="1"/>
  <c r="BW14" i="1" l="1"/>
  <c r="BV15" i="1"/>
  <c r="BP16" i="1"/>
  <c r="BZ14" i="1"/>
  <c r="BZ13" i="1"/>
  <c r="AX18" i="1"/>
  <c r="BD17" i="1"/>
  <c r="BG17" i="1" s="1"/>
  <c r="BG16" i="1"/>
  <c r="BE16" i="1"/>
  <c r="CR14" i="1"/>
  <c r="CN15" i="1"/>
  <c r="CH16" i="1"/>
  <c r="CO14" i="1"/>
  <c r="AF18" i="1"/>
  <c r="AL17" i="1"/>
  <c r="AO17" i="1" s="1"/>
  <c r="Q12" i="1" a="1"/>
  <c r="Q12" i="1" s="1"/>
  <c r="T12" i="1" s="1"/>
  <c r="W12" i="1" s="1"/>
  <c r="O13" i="1"/>
  <c r="U14" i="7"/>
  <c r="V14" i="7" s="1"/>
  <c r="N13" i="1"/>
  <c r="U11" i="1"/>
  <c r="AF52" i="1"/>
  <c r="AP4" i="1"/>
  <c r="AP53" i="1"/>
  <c r="AM53" i="1"/>
  <c r="AM123" i="1"/>
  <c r="AM114" i="1"/>
  <c r="AM116" i="1"/>
  <c r="AM121" i="1"/>
  <c r="AM118" i="1"/>
  <c r="AM117" i="1"/>
  <c r="AM113" i="1"/>
  <c r="AM122" i="1"/>
  <c r="AM124" i="1"/>
  <c r="AM119" i="1"/>
  <c r="AM120" i="1"/>
  <c r="AM115" i="1"/>
  <c r="AM16" i="1"/>
  <c r="AM5" i="1"/>
  <c r="AM7" i="1"/>
  <c r="AM12" i="1"/>
  <c r="AM8" i="1"/>
  <c r="AM13" i="1"/>
  <c r="AM14" i="1"/>
  <c r="AM9" i="1"/>
  <c r="AM15" i="1"/>
  <c r="AM11" i="1"/>
  <c r="AM10" i="1"/>
  <c r="AM6" i="1"/>
  <c r="BH17" i="1" l="1"/>
  <c r="BH16" i="1"/>
  <c r="AX19" i="1"/>
  <c r="BD18" i="1"/>
  <c r="BG18" i="1" s="1"/>
  <c r="BH18" i="1" s="1"/>
  <c r="BV16" i="1"/>
  <c r="BW16" i="1" s="1"/>
  <c r="BP17" i="1"/>
  <c r="BY15" i="1"/>
  <c r="BZ15" i="1" s="1"/>
  <c r="C13" i="1" s="1"/>
  <c r="C24" i="6" s="1"/>
  <c r="BW15" i="1"/>
  <c r="C6" i="1" s="1"/>
  <c r="C17" i="6" s="1"/>
  <c r="BE17" i="1"/>
  <c r="CQ15" i="1"/>
  <c r="CO15" i="1"/>
  <c r="C7" i="1" s="1"/>
  <c r="C18" i="6" s="1"/>
  <c r="CN16" i="1"/>
  <c r="CH17" i="1"/>
  <c r="AM17" i="1"/>
  <c r="AF19" i="1"/>
  <c r="AL18" i="1"/>
  <c r="U15" i="7"/>
  <c r="V15" i="7" s="1"/>
  <c r="O14" i="1"/>
  <c r="Q13" i="1" a="1"/>
  <c r="Q13" i="1" s="1"/>
  <c r="T13" i="1" s="1"/>
  <c r="W13" i="1" s="1"/>
  <c r="U12" i="1"/>
  <c r="N14" i="1"/>
  <c r="X11" i="1"/>
  <c r="AP13" i="1"/>
  <c r="AP17" i="1"/>
  <c r="AP15" i="1"/>
  <c r="AP7" i="1"/>
  <c r="AP8" i="1"/>
  <c r="AP16" i="1"/>
  <c r="AP14" i="1"/>
  <c r="AP10" i="1"/>
  <c r="AP12" i="1"/>
  <c r="AP9" i="1"/>
  <c r="AP6" i="1"/>
  <c r="AP11" i="1"/>
  <c r="AP5" i="1"/>
  <c r="AP115" i="1"/>
  <c r="AP123" i="1"/>
  <c r="AP118" i="1"/>
  <c r="AP122" i="1"/>
  <c r="AP116" i="1"/>
  <c r="AP124" i="1"/>
  <c r="AP121" i="1"/>
  <c r="AP120" i="1"/>
  <c r="AP117" i="1"/>
  <c r="AP119" i="1"/>
  <c r="AP113" i="1"/>
  <c r="AP114" i="1"/>
  <c r="BY16" i="1" l="1"/>
  <c r="BZ16" i="1" s="1"/>
  <c r="AX20" i="1"/>
  <c r="BD19" i="1"/>
  <c r="BV17" i="1"/>
  <c r="BP18" i="1"/>
  <c r="BE18" i="1"/>
  <c r="CN17" i="1"/>
  <c r="CH18" i="1"/>
  <c r="CQ16" i="1"/>
  <c r="CR16" i="1" s="1"/>
  <c r="CO16" i="1"/>
  <c r="CR15" i="1"/>
  <c r="C14" i="1" s="1"/>
  <c r="C25" i="6" s="1"/>
  <c r="AO18" i="1"/>
  <c r="AM18" i="1"/>
  <c r="AF20" i="1"/>
  <c r="AL19" i="1"/>
  <c r="U16" i="7"/>
  <c r="V16" i="7" s="1"/>
  <c r="Q14" i="1" a="1"/>
  <c r="Q14" i="1" s="1"/>
  <c r="T14" i="1" s="1"/>
  <c r="W14" i="1" s="1"/>
  <c r="O15" i="1"/>
  <c r="X12" i="1"/>
  <c r="U13" i="1"/>
  <c r="N15" i="1"/>
  <c r="AP52" i="1"/>
  <c r="AM52" i="1"/>
  <c r="C4" i="1" s="1"/>
  <c r="C15" i="6" s="1"/>
  <c r="BY17" i="1" l="1"/>
  <c r="BZ17" i="1" s="1"/>
  <c r="BG19" i="1"/>
  <c r="AX21" i="1"/>
  <c r="BD20" i="1"/>
  <c r="BG20" i="1" s="1"/>
  <c r="BV18" i="1"/>
  <c r="BY18" i="1" s="1"/>
  <c r="BP19" i="1"/>
  <c r="BW17" i="1"/>
  <c r="BE19" i="1"/>
  <c r="CN18" i="1"/>
  <c r="CH19" i="1"/>
  <c r="CQ17" i="1"/>
  <c r="CO17" i="1"/>
  <c r="AM19" i="1"/>
  <c r="AO19" i="1"/>
  <c r="AP18" i="1"/>
  <c r="AF21" i="1"/>
  <c r="AL20" i="1"/>
  <c r="AO20" i="1" s="1"/>
  <c r="U17" i="7"/>
  <c r="V17" i="7" s="1"/>
  <c r="Q15" i="1" a="1"/>
  <c r="Q15" i="1" s="1"/>
  <c r="T15" i="1" s="1"/>
  <c r="W15" i="1" s="1"/>
  <c r="O16" i="1"/>
  <c r="X14" i="1"/>
  <c r="U14" i="1"/>
  <c r="N16" i="1"/>
  <c r="X13" i="1"/>
  <c r="C11" i="1"/>
  <c r="C22" i="6" s="1"/>
  <c r="BZ18" i="1" l="1"/>
  <c r="BV19" i="1"/>
  <c r="BW19" i="1" s="1"/>
  <c r="BP20" i="1"/>
  <c r="AX22" i="1"/>
  <c r="BD21" i="1"/>
  <c r="BG21" i="1" s="1"/>
  <c r="BH21" i="1" s="1"/>
  <c r="BE20" i="1"/>
  <c r="BH19" i="1"/>
  <c r="BH20" i="1"/>
  <c r="BW18" i="1"/>
  <c r="CR17" i="1"/>
  <c r="CQ18" i="1"/>
  <c r="CO18" i="1"/>
  <c r="CN19" i="1"/>
  <c r="CH20" i="1"/>
  <c r="AP20" i="1"/>
  <c r="AM20" i="1"/>
  <c r="AP19" i="1"/>
  <c r="AF22" i="1"/>
  <c r="AL21" i="1"/>
  <c r="AO21" i="1" s="1"/>
  <c r="O17" i="1"/>
  <c r="Q16" i="1" a="1"/>
  <c r="Q16" i="1" s="1"/>
  <c r="T16" i="1" s="1"/>
  <c r="W16" i="1" s="1"/>
  <c r="U18" i="7"/>
  <c r="V18" i="7" s="1"/>
  <c r="X15" i="1"/>
  <c r="U15" i="1"/>
  <c r="BE21" i="1" l="1"/>
  <c r="BD22" i="1"/>
  <c r="BE22" i="1" s="1"/>
  <c r="AX23" i="1"/>
  <c r="BP21" i="1"/>
  <c r="BV20" i="1"/>
  <c r="BY20" i="1" s="1"/>
  <c r="BY19" i="1"/>
  <c r="CR18" i="1"/>
  <c r="CN20" i="1"/>
  <c r="CH21" i="1"/>
  <c r="CQ19" i="1"/>
  <c r="CO19" i="1"/>
  <c r="AM21" i="1"/>
  <c r="AP21" i="1"/>
  <c r="AF23" i="1"/>
  <c r="AL22" i="1"/>
  <c r="AF46" i="1"/>
  <c r="CH44" i="1"/>
  <c r="CN44" i="1" s="1"/>
  <c r="CQ44" i="1" s="1"/>
  <c r="BP44" i="1"/>
  <c r="BV44" i="1" s="1"/>
  <c r="BY44" i="1" s="1"/>
  <c r="AX44" i="1"/>
  <c r="BD44" i="1" s="1"/>
  <c r="BG44" i="1" s="1"/>
  <c r="U19" i="7"/>
  <c r="V19" i="7" s="1"/>
  <c r="O18" i="1"/>
  <c r="Q17" i="1" a="1"/>
  <c r="Q17" i="1" s="1"/>
  <c r="T17" i="1" s="1"/>
  <c r="U16" i="1"/>
  <c r="BW20" i="1" l="1"/>
  <c r="BV21" i="1"/>
  <c r="BW21" i="1" s="1"/>
  <c r="BP22" i="1"/>
  <c r="BD23" i="1"/>
  <c r="BE23" i="1" s="1"/>
  <c r="AX24" i="1"/>
  <c r="BG22" i="1"/>
  <c r="BZ19" i="1"/>
  <c r="BZ20" i="1"/>
  <c r="CR19" i="1"/>
  <c r="CN21" i="1"/>
  <c r="CH22" i="1"/>
  <c r="CQ20" i="1"/>
  <c r="CR20" i="1" s="1"/>
  <c r="CO20" i="1"/>
  <c r="AO22" i="1"/>
  <c r="AM22" i="1"/>
  <c r="W17" i="1"/>
  <c r="AF47" i="1"/>
  <c r="AL46" i="1"/>
  <c r="AO46" i="1" s="1"/>
  <c r="AF24" i="1"/>
  <c r="AL23" i="1"/>
  <c r="AO23" i="1" s="1"/>
  <c r="AX45" i="1"/>
  <c r="BD45" i="1" s="1"/>
  <c r="BG45" i="1" s="1"/>
  <c r="BP45" i="1"/>
  <c r="BV45" i="1" s="1"/>
  <c r="BY45" i="1" s="1"/>
  <c r="CH45" i="1"/>
  <c r="CN45" i="1" s="1"/>
  <c r="CQ45" i="1" s="1"/>
  <c r="U17" i="1"/>
  <c r="U20" i="7"/>
  <c r="V20" i="7" s="1"/>
  <c r="O19" i="1"/>
  <c r="Q18" i="1" a="1"/>
  <c r="Q18" i="1" s="1"/>
  <c r="X16" i="1"/>
  <c r="AX25" i="1" l="1"/>
  <c r="BD24" i="1"/>
  <c r="BG24" i="1" s="1"/>
  <c r="BG23" i="1"/>
  <c r="BH23" i="1" s="1"/>
  <c r="BV22" i="1"/>
  <c r="BW22" i="1" s="1"/>
  <c r="BP23" i="1"/>
  <c r="BH22" i="1"/>
  <c r="BY21" i="1"/>
  <c r="CN22" i="1"/>
  <c r="CH23" i="1"/>
  <c r="CQ21" i="1"/>
  <c r="CR21" i="1" s="1"/>
  <c r="CO21" i="1"/>
  <c r="AP22" i="1"/>
  <c r="AP23" i="1"/>
  <c r="AM23" i="1"/>
  <c r="AF25" i="1"/>
  <c r="AL24" i="1"/>
  <c r="T18" i="1"/>
  <c r="W18" i="1" s="1"/>
  <c r="AF48" i="1"/>
  <c r="AL47" i="1"/>
  <c r="AO47" i="1" s="1"/>
  <c r="CH46" i="1"/>
  <c r="CN46" i="1" s="1"/>
  <c r="CQ46" i="1" s="1"/>
  <c r="AX46" i="1"/>
  <c r="BD46" i="1" s="1"/>
  <c r="BG46" i="1" s="1"/>
  <c r="BP46" i="1"/>
  <c r="BV46" i="1" s="1"/>
  <c r="BY46" i="1" s="1"/>
  <c r="X17" i="1"/>
  <c r="U21" i="7"/>
  <c r="V21" i="7" s="1"/>
  <c r="O20" i="1"/>
  <c r="Q19" i="1" a="1"/>
  <c r="Q19" i="1" s="1"/>
  <c r="BH24" i="1" l="1"/>
  <c r="BY22" i="1"/>
  <c r="BZ22" i="1" s="1"/>
  <c r="BV23" i="1"/>
  <c r="BP24" i="1"/>
  <c r="BE24" i="1"/>
  <c r="BZ21" i="1"/>
  <c r="BD25" i="1"/>
  <c r="AX26" i="1"/>
  <c r="CN23" i="1"/>
  <c r="CH24" i="1"/>
  <c r="CQ22" i="1"/>
  <c r="CO22" i="1"/>
  <c r="U18" i="1"/>
  <c r="AO24" i="1"/>
  <c r="AM24" i="1"/>
  <c r="AF49" i="1"/>
  <c r="AL48" i="1"/>
  <c r="T19" i="1"/>
  <c r="W19" i="1" s="1"/>
  <c r="AF26" i="1"/>
  <c r="AL25" i="1"/>
  <c r="AX47" i="1"/>
  <c r="BD47" i="1" s="1"/>
  <c r="BG47" i="1" s="1"/>
  <c r="CH47" i="1"/>
  <c r="CN47" i="1" s="1"/>
  <c r="CQ47" i="1" s="1"/>
  <c r="BP47" i="1"/>
  <c r="BV47" i="1" s="1"/>
  <c r="BY47" i="1" s="1"/>
  <c r="X18" i="1"/>
  <c r="U22" i="7"/>
  <c r="V22" i="7" s="1"/>
  <c r="O21" i="1"/>
  <c r="Q20" i="1" a="1"/>
  <c r="Q20" i="1" s="1"/>
  <c r="T20" i="1" s="1"/>
  <c r="W20" i="1" s="1"/>
  <c r="BV24" i="1" l="1"/>
  <c r="BW24" i="1" s="1"/>
  <c r="BP25" i="1"/>
  <c r="BY23" i="1"/>
  <c r="BW23" i="1"/>
  <c r="BG25" i="1"/>
  <c r="BE25" i="1"/>
  <c r="BD26" i="1"/>
  <c r="AX27" i="1"/>
  <c r="CN24" i="1"/>
  <c r="CH25" i="1"/>
  <c r="CQ23" i="1"/>
  <c r="CO23" i="1"/>
  <c r="CR22" i="1"/>
  <c r="AO48" i="1"/>
  <c r="U19" i="1"/>
  <c r="AP24" i="1"/>
  <c r="AO25" i="1"/>
  <c r="AP25" i="1" s="1"/>
  <c r="AM25" i="1"/>
  <c r="AF27" i="1"/>
  <c r="AL26" i="1"/>
  <c r="AF50" i="1"/>
  <c r="AL49" i="1"/>
  <c r="CH48" i="1"/>
  <c r="CN48" i="1" s="1"/>
  <c r="CQ48" i="1" s="1"/>
  <c r="BP48" i="1"/>
  <c r="BV48" i="1" s="1"/>
  <c r="BY48" i="1" s="1"/>
  <c r="AX48" i="1"/>
  <c r="BD48" i="1" s="1"/>
  <c r="BG48" i="1" s="1"/>
  <c r="X19" i="1"/>
  <c r="U20" i="1"/>
  <c r="U23" i="7"/>
  <c r="V23" i="7" s="1"/>
  <c r="O22" i="1"/>
  <c r="Q21" i="1" a="1"/>
  <c r="Q21" i="1" s="1"/>
  <c r="T21" i="1" s="1"/>
  <c r="BG26" i="1" l="1"/>
  <c r="BH26" i="1" s="1"/>
  <c r="BZ23" i="1"/>
  <c r="BE26" i="1"/>
  <c r="AX28" i="1"/>
  <c r="BD27" i="1"/>
  <c r="BG27" i="1" s="1"/>
  <c r="BP26" i="1"/>
  <c r="BV25" i="1"/>
  <c r="BY24" i="1"/>
  <c r="BH25" i="1"/>
  <c r="CN25" i="1"/>
  <c r="CH26" i="1"/>
  <c r="CQ24" i="1"/>
  <c r="CO24" i="1"/>
  <c r="CR23" i="1"/>
  <c r="AO49" i="1"/>
  <c r="AO26" i="1"/>
  <c r="AP26" i="1" s="1"/>
  <c r="AM26" i="1"/>
  <c r="AF51" i="1"/>
  <c r="AL50" i="1"/>
  <c r="W21" i="1"/>
  <c r="AF28" i="1"/>
  <c r="AL27" i="1"/>
  <c r="BP49" i="1"/>
  <c r="BV49" i="1" s="1"/>
  <c r="BY49" i="1" s="1"/>
  <c r="AX49" i="1"/>
  <c r="BD49" i="1" s="1"/>
  <c r="BG49" i="1" s="1"/>
  <c r="CH49" i="1"/>
  <c r="CN49" i="1" s="1"/>
  <c r="CQ49" i="1" s="1"/>
  <c r="X20" i="1"/>
  <c r="U24" i="7"/>
  <c r="V24" i="7" s="1"/>
  <c r="O23" i="1"/>
  <c r="Q22" i="1" a="1"/>
  <c r="Q22" i="1" s="1"/>
  <c r="T22" i="1" s="1"/>
  <c r="W22" i="1" s="1"/>
  <c r="BW25" i="1" l="1"/>
  <c r="BH27" i="1"/>
  <c r="BZ24" i="1"/>
  <c r="BE27" i="1"/>
  <c r="BV26" i="1"/>
  <c r="BP27" i="1"/>
  <c r="AX29" i="1"/>
  <c r="BD28" i="1"/>
  <c r="BY25" i="1"/>
  <c r="CR24" i="1"/>
  <c r="CN26" i="1"/>
  <c r="CH27" i="1"/>
  <c r="CQ25" i="1"/>
  <c r="CO25" i="1"/>
  <c r="AO27" i="1"/>
  <c r="AP27" i="1" s="1"/>
  <c r="D11" i="1" s="1"/>
  <c r="D22" i="6" s="1"/>
  <c r="AM27" i="1"/>
  <c r="D4" i="1" s="1"/>
  <c r="D15" i="6" s="1"/>
  <c r="AO50" i="1"/>
  <c r="AF29" i="1"/>
  <c r="AL28" i="1"/>
  <c r="AL51" i="1"/>
  <c r="CH50" i="1"/>
  <c r="CN50" i="1" s="1"/>
  <c r="CQ50" i="1" s="1"/>
  <c r="BP50" i="1"/>
  <c r="BV50" i="1" s="1"/>
  <c r="BY50" i="1" s="1"/>
  <c r="AX50" i="1"/>
  <c r="BD50" i="1" s="1"/>
  <c r="BG50" i="1" s="1"/>
  <c r="U22" i="1"/>
  <c r="U21" i="1"/>
  <c r="U25" i="7"/>
  <c r="V25" i="7" s="1"/>
  <c r="O24" i="1"/>
  <c r="Q23" i="1" a="1"/>
  <c r="Q23" i="1" s="1"/>
  <c r="T23" i="1" s="1"/>
  <c r="W23" i="1" s="1"/>
  <c r="AO51" i="1" l="1"/>
  <c r="BY26" i="1"/>
  <c r="BW26" i="1"/>
  <c r="AX30" i="1"/>
  <c r="BD29" i="1"/>
  <c r="BE29" i="1" s="1"/>
  <c r="BZ25" i="1"/>
  <c r="BG28" i="1"/>
  <c r="BE28" i="1"/>
  <c r="BP28" i="1"/>
  <c r="BV27" i="1"/>
  <c r="CN27" i="1"/>
  <c r="CH28" i="1"/>
  <c r="CQ26" i="1"/>
  <c r="CO26" i="1"/>
  <c r="CR25" i="1"/>
  <c r="AO28" i="1"/>
  <c r="AM28" i="1"/>
  <c r="AF30" i="1"/>
  <c r="AL29" i="1"/>
  <c r="BP51" i="1"/>
  <c r="BV51" i="1" s="1"/>
  <c r="BY51" i="1" s="1"/>
  <c r="CH51" i="1"/>
  <c r="CN51" i="1" s="1"/>
  <c r="CQ51" i="1" s="1"/>
  <c r="AX51" i="1"/>
  <c r="BD51" i="1" s="1"/>
  <c r="BG51" i="1" s="1"/>
  <c r="X21" i="1"/>
  <c r="X22" i="1"/>
  <c r="U26" i="7"/>
  <c r="V26" i="7" s="1"/>
  <c r="O25" i="1"/>
  <c r="Q24" i="1" a="1"/>
  <c r="Q24" i="1" s="1"/>
  <c r="T24" i="1" s="1"/>
  <c r="W24" i="1" s="1"/>
  <c r="U23" i="1"/>
  <c r="CR26" i="1" l="1"/>
  <c r="BH28" i="1"/>
  <c r="BZ26" i="1"/>
  <c r="BP29" i="1"/>
  <c r="BV28" i="1"/>
  <c r="BG29" i="1"/>
  <c r="BH29" i="1" s="1"/>
  <c r="BY27" i="1"/>
  <c r="BW27" i="1"/>
  <c r="AX31" i="1"/>
  <c r="BD30" i="1"/>
  <c r="BE30" i="1" s="1"/>
  <c r="CN28" i="1"/>
  <c r="CH29" i="1"/>
  <c r="CQ27" i="1"/>
  <c r="CO27" i="1"/>
  <c r="AP28" i="1"/>
  <c r="AO29" i="1"/>
  <c r="AP29" i="1" s="1"/>
  <c r="AM29" i="1"/>
  <c r="AF31" i="1"/>
  <c r="AL30" i="1"/>
  <c r="CH52" i="1"/>
  <c r="AX52" i="1"/>
  <c r="BP52" i="1"/>
  <c r="U24" i="1"/>
  <c r="U27" i="7"/>
  <c r="V27" i="7" s="1"/>
  <c r="O26" i="1"/>
  <c r="Q25" i="1" a="1"/>
  <c r="Q25" i="1" s="1"/>
  <c r="BY28" i="1" l="1"/>
  <c r="CR27" i="1"/>
  <c r="BW28" i="1"/>
  <c r="BZ27" i="1"/>
  <c r="BG30" i="1"/>
  <c r="BV29" i="1"/>
  <c r="BP30" i="1"/>
  <c r="BD31" i="1"/>
  <c r="AX32" i="1"/>
  <c r="CN29" i="1"/>
  <c r="CH30" i="1"/>
  <c r="CQ28" i="1"/>
  <c r="CO28" i="1"/>
  <c r="AO30" i="1"/>
  <c r="AP30" i="1" s="1"/>
  <c r="AM30" i="1"/>
  <c r="T25" i="1"/>
  <c r="W25" i="1" s="1"/>
  <c r="X25" i="1" s="1"/>
  <c r="AF32" i="1"/>
  <c r="AL31" i="1"/>
  <c r="BE52" i="1"/>
  <c r="CO52" i="1"/>
  <c r="BW52" i="1"/>
  <c r="X23" i="1"/>
  <c r="X24" i="1"/>
  <c r="U28" i="7"/>
  <c r="V28" i="7" s="1"/>
  <c r="O27" i="1"/>
  <c r="Q26" i="1" a="1"/>
  <c r="Q26" i="1" s="1"/>
  <c r="CR28" i="1" l="1"/>
  <c r="BZ28" i="1"/>
  <c r="BH30" i="1"/>
  <c r="BV30" i="1"/>
  <c r="BP31" i="1"/>
  <c r="BY29" i="1"/>
  <c r="BG31" i="1"/>
  <c r="BW29" i="1"/>
  <c r="BE31" i="1"/>
  <c r="BD32" i="1"/>
  <c r="AX33" i="1"/>
  <c r="CN30" i="1"/>
  <c r="CH31" i="1"/>
  <c r="CQ29" i="1"/>
  <c r="CO29" i="1"/>
  <c r="AO31" i="1"/>
  <c r="AP31" i="1" s="1"/>
  <c r="AM31" i="1"/>
  <c r="U25" i="1"/>
  <c r="AF33" i="1"/>
  <c r="AL32" i="1"/>
  <c r="T26" i="1"/>
  <c r="W26" i="1" s="1"/>
  <c r="X26" i="1" s="1"/>
  <c r="BZ52" i="1"/>
  <c r="CR52" i="1"/>
  <c r="BH52" i="1"/>
  <c r="U29" i="7"/>
  <c r="V29" i="7" s="1"/>
  <c r="O28" i="1"/>
  <c r="Q27" i="1" a="1"/>
  <c r="Q27" i="1" s="1"/>
  <c r="BH31" i="1" l="1"/>
  <c r="BW30" i="1"/>
  <c r="BG32" i="1"/>
  <c r="CR29" i="1"/>
  <c r="BE32" i="1"/>
  <c r="AX34" i="1"/>
  <c r="BD33" i="1"/>
  <c r="BZ29" i="1"/>
  <c r="BV31" i="1"/>
  <c r="BP32" i="1"/>
  <c r="BY30" i="1"/>
  <c r="BZ30" i="1" s="1"/>
  <c r="CN31" i="1"/>
  <c r="CH32" i="1"/>
  <c r="CQ30" i="1"/>
  <c r="CO30" i="1"/>
  <c r="U26" i="1"/>
  <c r="AO32" i="1"/>
  <c r="AM32" i="1"/>
  <c r="T27" i="1"/>
  <c r="W27" i="1" s="1"/>
  <c r="O29" i="1"/>
  <c r="Q29" i="1" s="1" a="1"/>
  <c r="Q29" i="1" s="1"/>
  <c r="AF34" i="1"/>
  <c r="AL33" i="1"/>
  <c r="U30" i="7"/>
  <c r="V30" i="7" s="1"/>
  <c r="Q28" i="1" a="1"/>
  <c r="Q28" i="1" s="1"/>
  <c r="T28" i="1" s="1"/>
  <c r="W28" i="1" s="1"/>
  <c r="I26" i="6"/>
  <c r="CR30" i="1" l="1"/>
  <c r="BH32" i="1"/>
  <c r="AP32" i="1"/>
  <c r="BV32" i="1"/>
  <c r="BP33" i="1"/>
  <c r="BY31" i="1"/>
  <c r="BZ31" i="1" s="1"/>
  <c r="BG33" i="1"/>
  <c r="BH33" i="1" s="1"/>
  <c r="BE33" i="1"/>
  <c r="BW31" i="1"/>
  <c r="BD34" i="1"/>
  <c r="AX35" i="1"/>
  <c r="CN32" i="1"/>
  <c r="CH33" i="1"/>
  <c r="CQ31" i="1"/>
  <c r="CR31" i="1" s="1"/>
  <c r="CO31" i="1"/>
  <c r="U31" i="7"/>
  <c r="U27" i="1"/>
  <c r="AO33" i="1"/>
  <c r="AP33" i="1" s="1"/>
  <c r="AM33" i="1"/>
  <c r="AF35" i="1"/>
  <c r="AL34" i="1"/>
  <c r="T29" i="1"/>
  <c r="W29" i="1" s="1"/>
  <c r="U28" i="1"/>
  <c r="X27" i="1"/>
  <c r="BY32" i="1" l="1"/>
  <c r="BZ32" i="1" s="1"/>
  <c r="BW32" i="1"/>
  <c r="BD35" i="1"/>
  <c r="BG35" i="1" s="1"/>
  <c r="AX36" i="1"/>
  <c r="BV33" i="1"/>
  <c r="BP34" i="1"/>
  <c r="BG34" i="1"/>
  <c r="BE34" i="1"/>
  <c r="CN33" i="1"/>
  <c r="CH34" i="1"/>
  <c r="CQ32" i="1"/>
  <c r="CO32" i="1"/>
  <c r="U68" i="1"/>
  <c r="U73" i="1"/>
  <c r="U80" i="1"/>
  <c r="U85" i="1"/>
  <c r="U67" i="1"/>
  <c r="U86" i="1"/>
  <c r="U82" i="1"/>
  <c r="U81" i="1"/>
  <c r="U70" i="1"/>
  <c r="U74" i="1"/>
  <c r="U77" i="1"/>
  <c r="U79" i="1"/>
  <c r="U84" i="1"/>
  <c r="U66" i="1"/>
  <c r="U78" i="1"/>
  <c r="U83" i="1"/>
  <c r="U65" i="1"/>
  <c r="U75" i="1"/>
  <c r="U72" i="1"/>
  <c r="U87" i="1"/>
  <c r="U69" i="1"/>
  <c r="U64" i="1"/>
  <c r="U71" i="1"/>
  <c r="U76" i="1"/>
  <c r="U56" i="1"/>
  <c r="U58" i="1"/>
  <c r="U59" i="1"/>
  <c r="U55" i="1"/>
  <c r="U63" i="1"/>
  <c r="U57" i="1"/>
  <c r="U54" i="1"/>
  <c r="U60" i="1"/>
  <c r="U52" i="1"/>
  <c r="U61" i="1"/>
  <c r="U53" i="1"/>
  <c r="U62" i="1"/>
  <c r="U46" i="1"/>
  <c r="U40" i="1"/>
  <c r="U47" i="1"/>
  <c r="U49" i="1"/>
  <c r="U44" i="1"/>
  <c r="U50" i="1"/>
  <c r="U48" i="1"/>
  <c r="U45" i="1"/>
  <c r="U43" i="1"/>
  <c r="U41" i="1"/>
  <c r="U42" i="1"/>
  <c r="U51" i="1"/>
  <c r="V31" i="7"/>
  <c r="I32" i="7" s="1"/>
  <c r="J32" i="7" s="1"/>
  <c r="U33" i="1"/>
  <c r="U37" i="1"/>
  <c r="U32" i="1"/>
  <c r="U38" i="1"/>
  <c r="U34" i="1"/>
  <c r="U31" i="1"/>
  <c r="U36" i="1"/>
  <c r="U35" i="1"/>
  <c r="U30" i="1"/>
  <c r="U29" i="1"/>
  <c r="U39" i="1"/>
  <c r="AO34" i="1"/>
  <c r="AP34" i="1" s="1"/>
  <c r="AM34" i="1"/>
  <c r="AF36" i="1"/>
  <c r="AL35" i="1"/>
  <c r="X70" i="1"/>
  <c r="X78" i="1"/>
  <c r="X86" i="1"/>
  <c r="X71" i="1"/>
  <c r="X79" i="1"/>
  <c r="X87" i="1"/>
  <c r="X72" i="1"/>
  <c r="X80" i="1"/>
  <c r="X65" i="1"/>
  <c r="X73" i="1"/>
  <c r="X81" i="1"/>
  <c r="X66" i="1"/>
  <c r="X74" i="1"/>
  <c r="X82" i="1"/>
  <c r="X67" i="1"/>
  <c r="X75" i="1"/>
  <c r="X83" i="1"/>
  <c r="X68" i="1"/>
  <c r="X76" i="1"/>
  <c r="X84" i="1"/>
  <c r="X69" i="1"/>
  <c r="X77" i="1"/>
  <c r="X85" i="1"/>
  <c r="X57" i="1"/>
  <c r="X55" i="1"/>
  <c r="X52" i="1"/>
  <c r="X54" i="1"/>
  <c r="X56" i="1"/>
  <c r="X53" i="1"/>
  <c r="X31" i="1"/>
  <c r="X37" i="1"/>
  <c r="X40" i="1"/>
  <c r="X29" i="1"/>
  <c r="X30" i="1"/>
  <c r="X49" i="1"/>
  <c r="X43" i="1"/>
  <c r="X46" i="1"/>
  <c r="X58" i="1"/>
  <c r="X28" i="1"/>
  <c r="X59" i="1"/>
  <c r="X47" i="1"/>
  <c r="X62" i="1"/>
  <c r="X45" i="1"/>
  <c r="X48" i="1"/>
  <c r="X42" i="1"/>
  <c r="X36" i="1"/>
  <c r="X33" i="1"/>
  <c r="X51" i="1"/>
  <c r="X50" i="1"/>
  <c r="X34" i="1"/>
  <c r="X32" i="1"/>
  <c r="X64" i="1"/>
  <c r="X44" i="1"/>
  <c r="X41" i="1"/>
  <c r="X39" i="1"/>
  <c r="X61" i="1"/>
  <c r="X63" i="1"/>
  <c r="X38" i="1"/>
  <c r="X35" i="1"/>
  <c r="X60" i="1"/>
  <c r="CR32" i="1" l="1"/>
  <c r="BH34" i="1"/>
  <c r="BE35" i="1"/>
  <c r="BP35" i="1"/>
  <c r="BV34" i="1"/>
  <c r="BW34" i="1" s="1"/>
  <c r="BY33" i="1"/>
  <c r="BZ33" i="1" s="1"/>
  <c r="BW33" i="1"/>
  <c r="BD36" i="1"/>
  <c r="AX37" i="1"/>
  <c r="BH35" i="1"/>
  <c r="CN34" i="1"/>
  <c r="CH35" i="1"/>
  <c r="CQ33" i="1"/>
  <c r="CR33" i="1" s="1"/>
  <c r="CO33" i="1"/>
  <c r="F3" i="6"/>
  <c r="AO35" i="1"/>
  <c r="AP35" i="1" s="1"/>
  <c r="AM35" i="1"/>
  <c r="AF37" i="1"/>
  <c r="AL36" i="1"/>
  <c r="F4" i="6"/>
  <c r="BG36" i="1" l="1"/>
  <c r="BD37" i="1"/>
  <c r="AX38" i="1"/>
  <c r="BY34" i="1"/>
  <c r="BZ34" i="1" s="1"/>
  <c r="BE36" i="1"/>
  <c r="BV35" i="1"/>
  <c r="BP36" i="1"/>
  <c r="CN35" i="1"/>
  <c r="CH36" i="1"/>
  <c r="CQ34" i="1"/>
  <c r="CO34" i="1"/>
  <c r="AO36" i="1"/>
  <c r="AP36" i="1" s="1"/>
  <c r="AM36" i="1"/>
  <c r="AF38" i="1"/>
  <c r="AL37" i="1"/>
  <c r="CR34" i="1" l="1"/>
  <c r="BH36" i="1"/>
  <c r="BY35" i="1"/>
  <c r="BZ35" i="1" s="1"/>
  <c r="BD38" i="1"/>
  <c r="BE38" i="1" s="1"/>
  <c r="AX39" i="1"/>
  <c r="BG37" i="1"/>
  <c r="BH37" i="1" s="1"/>
  <c r="BE37" i="1"/>
  <c r="BW35" i="1"/>
  <c r="BV36" i="1"/>
  <c r="BY36" i="1" s="1"/>
  <c r="BP37" i="1"/>
  <c r="CN36" i="1"/>
  <c r="CH37" i="1"/>
  <c r="CQ35" i="1"/>
  <c r="CR35" i="1" s="1"/>
  <c r="CO35" i="1"/>
  <c r="Q69" i="7"/>
  <c r="R69" i="7" s="1"/>
  <c r="Q77" i="7"/>
  <c r="R77" i="7" s="1"/>
  <c r="Q85" i="7"/>
  <c r="R85" i="7" s="1"/>
  <c r="Q86" i="7"/>
  <c r="R86" i="7" s="1"/>
  <c r="Q88" i="7"/>
  <c r="R88" i="7" s="1"/>
  <c r="Q74" i="7"/>
  <c r="R74" i="7" s="1"/>
  <c r="Q83" i="7"/>
  <c r="R83" i="7" s="1"/>
  <c r="Q70" i="7"/>
  <c r="R70" i="7" s="1"/>
  <c r="Q78" i="7"/>
  <c r="R78" i="7" s="1"/>
  <c r="Q79" i="7"/>
  <c r="R79" i="7" s="1"/>
  <c r="Q73" i="7"/>
  <c r="R73" i="7" s="1"/>
  <c r="Q82" i="7"/>
  <c r="R82" i="7" s="1"/>
  <c r="Q68" i="7"/>
  <c r="R68" i="7" s="1"/>
  <c r="Q71" i="7"/>
  <c r="R71" i="7" s="1"/>
  <c r="Q87" i="7"/>
  <c r="R87" i="7" s="1"/>
  <c r="Q89" i="7"/>
  <c r="R89" i="7" s="1"/>
  <c r="Q67" i="7"/>
  <c r="R67" i="7" s="1"/>
  <c r="Q76" i="7"/>
  <c r="R76" i="7" s="1"/>
  <c r="Q72" i="7"/>
  <c r="R72" i="7" s="1"/>
  <c r="Q80" i="7"/>
  <c r="R80" i="7" s="1"/>
  <c r="Q81" i="7"/>
  <c r="R81" i="7" s="1"/>
  <c r="Q75" i="7"/>
  <c r="R75" i="7" s="1"/>
  <c r="Q84" i="7"/>
  <c r="R84" i="7" s="1"/>
  <c r="Q66" i="7"/>
  <c r="R66" i="7" s="1"/>
  <c r="Q62" i="7"/>
  <c r="R62" i="7" s="1"/>
  <c r="Q65" i="7"/>
  <c r="R65" i="7" s="1"/>
  <c r="Q61" i="7"/>
  <c r="R61" i="7" s="1"/>
  <c r="Q63" i="7"/>
  <c r="R63" i="7" s="1"/>
  <c r="Q64" i="7"/>
  <c r="R64" i="7" s="1"/>
  <c r="AO37" i="1"/>
  <c r="AP37" i="1" s="1"/>
  <c r="AM37" i="1"/>
  <c r="AF39" i="1"/>
  <c r="AF40" i="1" s="1"/>
  <c r="AL38" i="1"/>
  <c r="BZ36" i="1" l="1"/>
  <c r="BD39" i="1"/>
  <c r="BE39" i="1" s="1"/>
  <c r="E5" i="1" s="1"/>
  <c r="E16" i="6" s="1"/>
  <c r="AX40" i="1"/>
  <c r="BV37" i="1"/>
  <c r="BW37" i="1" s="1"/>
  <c r="BP38" i="1"/>
  <c r="BG38" i="1"/>
  <c r="BH38" i="1" s="1"/>
  <c r="BW36" i="1"/>
  <c r="CQ36" i="1"/>
  <c r="CR36" i="1" s="1"/>
  <c r="CO36" i="1"/>
  <c r="CN37" i="1"/>
  <c r="CH38" i="1"/>
  <c r="AL40" i="1"/>
  <c r="AO40" i="1" s="1"/>
  <c r="AF41" i="1"/>
  <c r="AO38" i="1"/>
  <c r="AP38" i="1" s="1"/>
  <c r="AM38" i="1"/>
  <c r="AL39" i="1"/>
  <c r="BV38" i="1" l="1"/>
  <c r="BW38" i="1" s="1"/>
  <c r="BP39" i="1"/>
  <c r="BY37" i="1"/>
  <c r="BZ37" i="1" s="1"/>
  <c r="BD40" i="1"/>
  <c r="BE40" i="1" s="1"/>
  <c r="D5" i="1" s="1"/>
  <c r="D16" i="6" s="1"/>
  <c r="AX41" i="1"/>
  <c r="BG39" i="1"/>
  <c r="BH39" i="1" s="1"/>
  <c r="E12" i="1" s="1"/>
  <c r="E23" i="6" s="1"/>
  <c r="CN38" i="1"/>
  <c r="CH39" i="1"/>
  <c r="CQ37" i="1"/>
  <c r="CR37" i="1" s="1"/>
  <c r="CO37" i="1"/>
  <c r="AF42" i="1"/>
  <c r="AL41" i="1"/>
  <c r="AO41" i="1" s="1"/>
  <c r="AO39" i="1"/>
  <c r="AM40" i="1"/>
  <c r="AM39" i="1"/>
  <c r="E4" i="1" s="1"/>
  <c r="E15" i="6" s="1"/>
  <c r="BG40" i="1" l="1"/>
  <c r="BH40" i="1" s="1"/>
  <c r="D12" i="1" s="1"/>
  <c r="D23" i="6" s="1"/>
  <c r="AX42" i="1"/>
  <c r="BD41" i="1"/>
  <c r="BV39" i="1"/>
  <c r="BP40" i="1"/>
  <c r="BY38" i="1"/>
  <c r="BZ38" i="1" s="1"/>
  <c r="CN39" i="1"/>
  <c r="CH40" i="1"/>
  <c r="CQ38" i="1"/>
  <c r="CR38" i="1" s="1"/>
  <c r="CO38" i="1"/>
  <c r="AM41" i="1"/>
  <c r="AL42" i="1"/>
  <c r="AF43" i="1"/>
  <c r="AP41" i="1"/>
  <c r="AP39" i="1"/>
  <c r="E11" i="1" s="1"/>
  <c r="E22" i="6" s="1"/>
  <c r="AP40" i="1"/>
  <c r="BV40" i="1" l="1"/>
  <c r="BY40" i="1" s="1"/>
  <c r="BP41" i="1"/>
  <c r="BG41" i="1"/>
  <c r="BH41" i="1" s="1"/>
  <c r="BD42" i="1"/>
  <c r="BG42" i="1" s="1"/>
  <c r="AX43" i="1"/>
  <c r="BD43" i="1" s="1"/>
  <c r="BY39" i="1"/>
  <c r="BZ39" i="1" s="1"/>
  <c r="E13" i="1" s="1"/>
  <c r="E24" i="6" s="1"/>
  <c r="BW39" i="1"/>
  <c r="E6" i="1" s="1"/>
  <c r="E17" i="6" s="1"/>
  <c r="BE41" i="1"/>
  <c r="CQ39" i="1"/>
  <c r="CR39" i="1" s="1"/>
  <c r="E14" i="1" s="1"/>
  <c r="E25" i="6" s="1"/>
  <c r="CO39" i="1"/>
  <c r="E7" i="1" s="1"/>
  <c r="E18" i="6" s="1"/>
  <c r="CN40" i="1"/>
  <c r="CH41" i="1"/>
  <c r="AL43" i="1"/>
  <c r="AO43" i="1" s="1"/>
  <c r="AF44" i="1"/>
  <c r="AO42" i="1"/>
  <c r="AM42" i="1"/>
  <c r="BE46" i="1" l="1"/>
  <c r="BE47" i="1"/>
  <c r="BE48" i="1"/>
  <c r="BE50" i="1"/>
  <c r="BE49" i="1"/>
  <c r="BE51" i="1"/>
  <c r="AM49" i="1"/>
  <c r="AM50" i="1"/>
  <c r="AM46" i="1"/>
  <c r="AM47" i="1"/>
  <c r="AM48" i="1"/>
  <c r="BH42" i="1"/>
  <c r="BG43" i="1"/>
  <c r="BE44" i="1"/>
  <c r="BE45" i="1"/>
  <c r="BW40" i="1"/>
  <c r="D6" i="1" s="1"/>
  <c r="D17" i="6" s="1"/>
  <c r="BZ40" i="1"/>
  <c r="D13" i="1" s="1"/>
  <c r="D24" i="6" s="1"/>
  <c r="BE42" i="1"/>
  <c r="BE43" i="1"/>
  <c r="BP42" i="1"/>
  <c r="BV41" i="1"/>
  <c r="CQ40" i="1"/>
  <c r="CR40" i="1" s="1"/>
  <c r="D14" i="1" s="1"/>
  <c r="D25" i="6" s="1"/>
  <c r="CO40" i="1"/>
  <c r="D7" i="1" s="1"/>
  <c r="D18" i="6" s="1"/>
  <c r="CN41" i="1"/>
  <c r="CH42" i="1"/>
  <c r="AF45" i="1"/>
  <c r="AL45" i="1" s="1"/>
  <c r="AL44" i="1"/>
  <c r="AO44" i="1" s="1"/>
  <c r="AM43" i="1"/>
  <c r="AP43" i="1"/>
  <c r="AP42" i="1"/>
  <c r="BH43" i="1" l="1"/>
  <c r="BH46" i="1"/>
  <c r="BH49" i="1"/>
  <c r="BH47" i="1"/>
  <c r="BH48" i="1"/>
  <c r="BH50" i="1"/>
  <c r="BH51" i="1"/>
  <c r="AO45" i="1"/>
  <c r="AP51" i="1" s="1"/>
  <c r="AM51" i="1"/>
  <c r="F5" i="1"/>
  <c r="F16" i="6" s="1"/>
  <c r="BH44" i="1"/>
  <c r="BH45" i="1"/>
  <c r="BY41" i="1"/>
  <c r="BP43" i="1"/>
  <c r="BV43" i="1" s="1"/>
  <c r="BV42" i="1"/>
  <c r="BY42" i="1" s="1"/>
  <c r="BW41" i="1"/>
  <c r="CQ41" i="1"/>
  <c r="CR41" i="1" s="1"/>
  <c r="CO41" i="1"/>
  <c r="CN42" i="1"/>
  <c r="CH43" i="1"/>
  <c r="CN43" i="1" s="1"/>
  <c r="AP44" i="1"/>
  <c r="AM45" i="1"/>
  <c r="AM44" i="1"/>
  <c r="BW46" i="1" l="1"/>
  <c r="BW48" i="1"/>
  <c r="BW47" i="1"/>
  <c r="BW50" i="1"/>
  <c r="BW49" i="1"/>
  <c r="BW51" i="1"/>
  <c r="AP50" i="1"/>
  <c r="AP46" i="1"/>
  <c r="CO47" i="1"/>
  <c r="CO46" i="1"/>
  <c r="CO50" i="1"/>
  <c r="CO49" i="1"/>
  <c r="CO48" i="1"/>
  <c r="CO51" i="1"/>
  <c r="AP49" i="1"/>
  <c r="AP45" i="1"/>
  <c r="AP47" i="1"/>
  <c r="AP48" i="1"/>
  <c r="F12" i="1"/>
  <c r="F23" i="6" s="1"/>
  <c r="F4" i="1"/>
  <c r="F15" i="6" s="1"/>
  <c r="F11" i="1"/>
  <c r="F22" i="6" s="1"/>
  <c r="BY43" i="1"/>
  <c r="BW44" i="1"/>
  <c r="BW45" i="1"/>
  <c r="CO44" i="1"/>
  <c r="CO45" i="1"/>
  <c r="BZ42" i="1"/>
  <c r="BW42" i="1"/>
  <c r="BW43" i="1"/>
  <c r="BZ41" i="1"/>
  <c r="CQ42" i="1"/>
  <c r="CR42" i="1" s="1"/>
  <c r="CO42" i="1"/>
  <c r="CQ43" i="1"/>
  <c r="CO43" i="1"/>
  <c r="BZ43" i="1" l="1"/>
  <c r="BZ46" i="1"/>
  <c r="BZ47" i="1"/>
  <c r="BZ48" i="1"/>
  <c r="BZ49" i="1"/>
  <c r="BZ50" i="1"/>
  <c r="BZ51" i="1"/>
  <c r="CR46" i="1"/>
  <c r="CR47" i="1"/>
  <c r="CR48" i="1"/>
  <c r="CR49" i="1"/>
  <c r="CR50" i="1"/>
  <c r="CR51" i="1"/>
  <c r="F6" i="1"/>
  <c r="F17" i="6" s="1"/>
  <c r="F7" i="1"/>
  <c r="F18" i="6" s="1"/>
  <c r="CR44" i="1"/>
  <c r="CR45" i="1"/>
  <c r="BZ45" i="1"/>
  <c r="BZ44" i="1"/>
  <c r="CR43" i="1"/>
  <c r="F13" i="1" l="1"/>
  <c r="F24" i="6" s="1"/>
  <c r="F14" i="1"/>
  <c r="F25" i="6" s="1"/>
  <c r="AH41" i="6" l="1" a="1"/>
  <c r="AH41" i="6" s="1"/>
  <c r="AI43" i="6" a="1"/>
  <c r="AI43" i="6" s="1"/>
  <c r="AG41" i="6" a="1"/>
  <c r="AG41" i="6" s="1"/>
  <c r="AH46" i="6" a="1"/>
  <c r="AH46" i="6" s="1"/>
  <c r="AI40" i="6" a="1"/>
  <c r="AI40" i="6" s="1"/>
  <c r="AI42" i="6" a="1"/>
  <c r="AI42" i="6" s="1"/>
  <c r="AG43" i="6" a="1"/>
  <c r="AG43" i="6" s="1"/>
  <c r="AG40" i="6" a="1"/>
  <c r="AG40" i="6" s="1"/>
  <c r="AH43" i="6" a="1"/>
  <c r="AH43" i="6" s="1"/>
  <c r="AI44" i="6" a="1"/>
  <c r="AI44" i="6" s="1"/>
  <c r="AI46" i="6" a="1"/>
  <c r="AI46" i="6" s="1"/>
  <c r="AG45" i="6" a="1"/>
  <c r="AG45" i="6" s="1"/>
  <c r="AH40" i="6" a="1"/>
  <c r="AH40" i="6" s="1"/>
  <c r="AG44" i="6" a="1"/>
  <c r="AG44" i="6" s="1"/>
  <c r="AH42" i="6" a="1"/>
  <c r="AH42" i="6" s="1"/>
  <c r="AG42" i="6" a="1"/>
  <c r="AG42" i="6" s="1"/>
  <c r="AH44" i="6" a="1"/>
  <c r="AH44" i="6" s="1"/>
  <c r="AG46" i="6" a="1"/>
  <c r="AG46" i="6" s="1"/>
  <c r="AI41" i="6" a="1"/>
  <c r="AI41" i="6" s="1"/>
  <c r="AI45" i="6" a="1"/>
  <c r="AI45" i="6" s="1"/>
  <c r="AH45" i="6" a="1"/>
  <c r="AH45" i="6" s="1"/>
  <c r="P3" i="6" a="1"/>
  <c r="O27" i="6" a="1"/>
  <c r="P26" i="6" a="1"/>
  <c r="AF43" i="6" s="1" a="1"/>
  <c r="AF43" i="6" s="1"/>
  <c r="O4" i="6" a="1"/>
  <c r="AF42" i="6" l="1" a="1"/>
  <c r="AF42" i="6" s="1"/>
  <c r="AF23" i="6" a="1"/>
  <c r="AF23" i="6" s="1"/>
  <c r="AF19" i="6" a="1"/>
  <c r="AF19" i="6" s="1"/>
  <c r="AF21" i="6" a="1"/>
  <c r="AF21" i="6" s="1"/>
  <c r="AF18" i="6" a="1"/>
  <c r="AF18" i="6" s="1"/>
  <c r="AF22" i="6" a="1"/>
  <c r="AF22" i="6" s="1"/>
  <c r="AF20" i="6" a="1"/>
  <c r="AF20" i="6" s="1"/>
  <c r="AF17" i="6" a="1"/>
  <c r="AF17" i="6" s="1"/>
  <c r="AF45" i="6" a="1"/>
  <c r="AF45" i="6" s="1"/>
  <c r="AF44" i="6" a="1"/>
  <c r="AF44" i="6" s="1"/>
  <c r="AF40" i="6" a="1"/>
  <c r="AF40" i="6" s="1"/>
  <c r="AF41" i="6" a="1"/>
  <c r="AF41" i="6" s="1"/>
  <c r="AF46" i="6" a="1"/>
  <c r="AF46" i="6" s="1"/>
  <c r="AD33" i="6" a="1"/>
  <c r="AD33" i="6" s="1"/>
  <c r="P26" i="6"/>
  <c r="P34" i="6" s="1" a="1"/>
  <c r="P34" i="6" s="1"/>
  <c r="AE40" i="6" a="1"/>
  <c r="AE40" i="6" s="1"/>
  <c r="X43" i="6" a="1"/>
  <c r="X43" i="6" s="1"/>
  <c r="Q40" i="6" a="1"/>
  <c r="Q40" i="6" s="1"/>
  <c r="AA44" i="6" a="1"/>
  <c r="AA44" i="6" s="1"/>
  <c r="X41" i="6" a="1"/>
  <c r="X41" i="6" s="1"/>
  <c r="Q42" i="6" a="1"/>
  <c r="Q42" i="6" s="1"/>
  <c r="Z45" i="6" a="1"/>
  <c r="Z45" i="6" s="1"/>
  <c r="V45" i="6" a="1"/>
  <c r="V45" i="6" s="1"/>
  <c r="AD40" i="6" a="1"/>
  <c r="AD40" i="6" s="1"/>
  <c r="S42" i="6" a="1"/>
  <c r="S42" i="6" s="1"/>
  <c r="W46" i="6" a="1"/>
  <c r="W46" i="6" s="1"/>
  <c r="T40" i="6" a="1"/>
  <c r="T40" i="6" s="1"/>
  <c r="W44" i="6" a="1"/>
  <c r="W44" i="6" s="1"/>
  <c r="Y46" i="6" a="1"/>
  <c r="Y46" i="6" s="1"/>
  <c r="AB41" i="6" a="1"/>
  <c r="AB41" i="6" s="1"/>
  <c r="AE42" i="6" a="1"/>
  <c r="AE42" i="6" s="1"/>
  <c r="S44" i="6" a="1"/>
  <c r="S44" i="6" s="1"/>
  <c r="U41" i="6" a="1"/>
  <c r="U41" i="6" s="1"/>
  <c r="V42" i="6" a="1"/>
  <c r="V42" i="6" s="1"/>
  <c r="AC42" i="6" a="1"/>
  <c r="AC42" i="6" s="1"/>
  <c r="S45" i="6" a="1"/>
  <c r="S45" i="6" s="1"/>
  <c r="AA45" i="6" a="1"/>
  <c r="AA45" i="6" s="1"/>
  <c r="U43" i="6" a="1"/>
  <c r="U43" i="6" s="1"/>
  <c r="AC40" i="6" a="1"/>
  <c r="AC40" i="6" s="1"/>
  <c r="X42" i="6" a="1"/>
  <c r="X42" i="6" s="1"/>
  <c r="V44" i="6" a="1"/>
  <c r="V44" i="6" s="1"/>
  <c r="V43" i="6" a="1"/>
  <c r="V43" i="6" s="1"/>
  <c r="W41" i="6" a="1"/>
  <c r="W41" i="6" s="1"/>
  <c r="AA46" i="6" a="1"/>
  <c r="AA46" i="6" s="1"/>
  <c r="AD44" i="6" a="1"/>
  <c r="AD44" i="6" s="1"/>
  <c r="Z44" i="6" a="1"/>
  <c r="Z44" i="6" s="1"/>
  <c r="R40" i="6" a="1"/>
  <c r="R40" i="6" s="1"/>
  <c r="AE45" i="6" a="1"/>
  <c r="AE45" i="6" s="1"/>
  <c r="Z40" i="6" a="1"/>
  <c r="Z40" i="6" s="1"/>
  <c r="S40" i="6" a="1"/>
  <c r="S40" i="6" s="1"/>
  <c r="Y42" i="6" a="1"/>
  <c r="Y42" i="6" s="1"/>
  <c r="Q44" i="6" a="1"/>
  <c r="Q44" i="6" s="1"/>
  <c r="Z43" i="6" a="1"/>
  <c r="Z43" i="6" s="1"/>
  <c r="AE41" i="6" a="1"/>
  <c r="AE41" i="6" s="1"/>
  <c r="W42" i="6" a="1"/>
  <c r="W42" i="6" s="1"/>
  <c r="Z42" i="6" a="1"/>
  <c r="Z42" i="6" s="1"/>
  <c r="AC44" i="6" a="1"/>
  <c r="AC44" i="6" s="1"/>
  <c r="R44" i="6" a="1"/>
  <c r="R44" i="6" s="1"/>
  <c r="AA43" i="6" a="1"/>
  <c r="AA43" i="6" s="1"/>
  <c r="T42" i="6" a="1"/>
  <c r="T42" i="6" s="1"/>
  <c r="AB45" i="6" a="1"/>
  <c r="AB45" i="6" s="1"/>
  <c r="Y45" i="6" a="1"/>
  <c r="Y45" i="6" s="1"/>
  <c r="U40" i="6" a="1"/>
  <c r="U40" i="6" s="1"/>
  <c r="R45" i="6" a="1"/>
  <c r="R45" i="6" s="1"/>
  <c r="U45" i="6" a="1"/>
  <c r="U45" i="6" s="1"/>
  <c r="AB44" i="6" a="1"/>
  <c r="AB44" i="6" s="1"/>
  <c r="Q45" i="6" a="1"/>
  <c r="Q45" i="6" s="1"/>
  <c r="T44" i="6" a="1"/>
  <c r="T44" i="6" s="1"/>
  <c r="P3" i="6"/>
  <c r="P17" i="6" s="1" a="1"/>
  <c r="P17" i="6" s="1"/>
  <c r="AE21" i="6" a="1"/>
  <c r="AE21" i="6" s="1"/>
  <c r="AE18" i="6" a="1"/>
  <c r="AE18" i="6" s="1"/>
  <c r="AC17" i="6" a="1"/>
  <c r="AC17" i="6" s="1"/>
  <c r="AA21" i="6" a="1"/>
  <c r="AA21" i="6" s="1"/>
  <c r="AB17" i="6" a="1"/>
  <c r="AB17" i="6" s="1"/>
  <c r="Y21" i="6" a="1"/>
  <c r="Y21" i="6" s="1"/>
  <c r="S23" i="6" a="1"/>
  <c r="S23" i="6" s="1"/>
  <c r="R18" i="6" a="1"/>
  <c r="R18" i="6" s="1"/>
  <c r="X18" i="6" a="1"/>
  <c r="X18" i="6" s="1"/>
  <c r="W18" i="6" a="1"/>
  <c r="W18" i="6" s="1"/>
  <c r="R17" i="6" a="1"/>
  <c r="R17" i="6" s="1"/>
  <c r="U23" i="6" a="1"/>
  <c r="U23" i="6" s="1"/>
  <c r="T23" i="6" a="1"/>
  <c r="T23" i="6" s="1"/>
  <c r="Q23" i="6" a="1"/>
  <c r="Q23" i="6" s="1"/>
  <c r="S20" i="6" a="1"/>
  <c r="S20" i="6" s="1"/>
  <c r="AA23" i="6" a="1"/>
  <c r="AA23" i="6" s="1"/>
  <c r="AA19" i="6" a="1"/>
  <c r="AA19" i="6" s="1"/>
  <c r="Z18" i="6" a="1"/>
  <c r="Z18" i="6" s="1"/>
  <c r="W22" i="6" a="1"/>
  <c r="W22" i="6" s="1"/>
  <c r="X19" i="6" a="1"/>
  <c r="X19" i="6" s="1"/>
  <c r="AC23" i="6" a="1"/>
  <c r="AC23" i="6" s="1"/>
  <c r="Y20" i="6" a="1"/>
  <c r="Y20" i="6" s="1"/>
  <c r="Q19" i="6" a="1"/>
  <c r="Q19" i="6" s="1"/>
  <c r="AD22" i="6" a="1"/>
  <c r="AD22" i="6" s="1"/>
  <c r="Z22" i="6" a="1"/>
  <c r="Z22" i="6" s="1"/>
  <c r="R19" i="6" a="1"/>
  <c r="R19" i="6" s="1"/>
  <c r="AC21" i="6" a="1"/>
  <c r="AC21" i="6" s="1"/>
  <c r="AB23" i="6" a="1"/>
  <c r="AB23" i="6" s="1"/>
  <c r="R22" i="6" a="1"/>
  <c r="R22" i="6" s="1"/>
  <c r="V18" i="6" a="1"/>
  <c r="V18" i="6" s="1"/>
  <c r="R20" i="6" a="1"/>
  <c r="R20" i="6" s="1"/>
  <c r="AE22" i="6" a="1"/>
  <c r="AE22" i="6" s="1"/>
  <c r="AD23" i="6" a="1"/>
  <c r="AD23" i="6" s="1"/>
  <c r="AB20" i="6" a="1"/>
  <c r="AB20" i="6" s="1"/>
  <c r="AA17" i="6" a="1"/>
  <c r="AA17" i="6" s="1"/>
  <c r="Y23" i="6" a="1"/>
  <c r="Y23" i="6" s="1"/>
  <c r="Q22" i="6" a="1"/>
  <c r="Q22" i="6" s="1"/>
  <c r="V17" i="6" a="1"/>
  <c r="V17" i="6" s="1"/>
  <c r="T17" i="6" a="1"/>
  <c r="T17" i="6" s="1"/>
  <c r="S17" i="6" a="1"/>
  <c r="S17" i="6" s="1"/>
  <c r="V23" i="6" a="1"/>
  <c r="V23" i="6" s="1"/>
  <c r="T22" i="6" a="1"/>
  <c r="T22" i="6" s="1"/>
  <c r="S22" i="6" a="1"/>
  <c r="S22" i="6" s="1"/>
  <c r="Q20" i="6" a="1"/>
  <c r="Q20" i="6" s="1"/>
  <c r="Q21" i="6" a="1"/>
  <c r="Q21" i="6" s="1"/>
  <c r="X22" i="6" a="1"/>
  <c r="X22" i="6" s="1"/>
  <c r="AB22" i="6" a="1"/>
  <c r="AB22" i="6" s="1"/>
  <c r="Y18" i="6" a="1"/>
  <c r="Y18" i="6" s="1"/>
  <c r="S21" i="6" a="1"/>
  <c r="S21" i="6" s="1"/>
  <c r="T18" i="6" a="1"/>
  <c r="T18" i="6" s="1"/>
  <c r="AA22" i="6" a="1"/>
  <c r="AA22" i="6" s="1"/>
  <c r="Y17" i="6" a="1"/>
  <c r="Y17" i="6" s="1"/>
  <c r="W20" i="6" a="1"/>
  <c r="W20" i="6" s="1"/>
  <c r="X17" i="6" a="1"/>
  <c r="X17" i="6" s="1"/>
  <c r="AC18" i="6" a="1"/>
  <c r="AC18" i="6" s="1"/>
  <c r="Z17" i="6" a="1"/>
  <c r="Z17" i="6" s="1"/>
  <c r="S19" i="6" a="1"/>
  <c r="S19" i="6" s="1"/>
  <c r="V21" i="6" a="1"/>
  <c r="V21" i="6" s="1"/>
  <c r="AD21" i="6" a="1"/>
  <c r="AD21" i="6" s="1"/>
  <c r="AC22" i="6" a="1"/>
  <c r="AC22" i="6" s="1"/>
  <c r="AE19" i="6" a="1"/>
  <c r="AE19" i="6" s="1"/>
  <c r="AE17" i="6" a="1"/>
  <c r="AE17" i="6" s="1"/>
  <c r="AA20" i="6" a="1"/>
  <c r="AA20" i="6" s="1"/>
  <c r="Y19" i="6" a="1"/>
  <c r="Y19" i="6" s="1"/>
  <c r="Z20" i="6" a="1"/>
  <c r="Z20" i="6" s="1"/>
  <c r="U21" i="6" a="1"/>
  <c r="U21" i="6" s="1"/>
  <c r="X23" i="6" a="1"/>
  <c r="X23" i="6" s="1"/>
  <c r="V19" i="6" a="1"/>
  <c r="V19" i="6" s="1"/>
  <c r="W23" i="6" a="1"/>
  <c r="W23" i="6" s="1"/>
  <c r="U22" i="6" a="1"/>
  <c r="U22" i="6" s="1"/>
  <c r="X21" i="6" a="1"/>
  <c r="X21" i="6" s="1"/>
  <c r="W21" i="6" a="1"/>
  <c r="W21" i="6" s="1"/>
  <c r="R23" i="6" a="1"/>
  <c r="R23" i="6" s="1"/>
  <c r="AD20" i="6" a="1"/>
  <c r="AD20" i="6" s="1"/>
  <c r="Z23" i="6" a="1"/>
  <c r="Z23" i="6" s="1"/>
  <c r="U19" i="6" a="1"/>
  <c r="U19" i="6" s="1"/>
  <c r="U20" i="6" a="1"/>
  <c r="U20" i="6" s="1"/>
  <c r="W19" i="6" a="1"/>
  <c r="W19" i="6" s="1"/>
  <c r="AE23" i="6" a="1"/>
  <c r="AE23" i="6" s="1"/>
  <c r="Q18" i="6" a="1"/>
  <c r="Q18" i="6" s="1"/>
  <c r="V20" i="6" a="1"/>
  <c r="V20" i="6" s="1"/>
  <c r="AC19" i="6" a="1"/>
  <c r="AC19" i="6" s="1"/>
  <c r="U17" i="6" a="1"/>
  <c r="U17" i="6" s="1"/>
  <c r="U18" i="6" a="1"/>
  <c r="U18" i="6" s="1"/>
  <c r="AC20" i="6" a="1"/>
  <c r="AC20" i="6" s="1"/>
  <c r="AD18" i="6" a="1"/>
  <c r="AD18" i="6" s="1"/>
  <c r="AD17" i="6" a="1"/>
  <c r="AD17" i="6" s="1"/>
  <c r="AB19" i="6" a="1"/>
  <c r="AB19" i="6" s="1"/>
  <c r="Z21" i="6" a="1"/>
  <c r="Z21" i="6" s="1"/>
  <c r="Z19" i="6" a="1"/>
  <c r="Z19" i="6" s="1"/>
  <c r="V22" i="6" a="1"/>
  <c r="V22" i="6" s="1"/>
  <c r="T20" i="6" a="1"/>
  <c r="T20" i="6" s="1"/>
  <c r="R21" i="6" a="1"/>
  <c r="R21" i="6" s="1"/>
  <c r="AE20" i="6" a="1"/>
  <c r="AE20" i="6" s="1"/>
  <c r="AB18" i="6" a="1"/>
  <c r="AB18" i="6" s="1"/>
  <c r="T21" i="6" a="1"/>
  <c r="T21" i="6" s="1"/>
  <c r="S18" i="6" a="1"/>
  <c r="S18" i="6" s="1"/>
  <c r="AD19" i="6" a="1"/>
  <c r="AD19" i="6" s="1"/>
  <c r="AA18" i="6" a="1"/>
  <c r="AA18" i="6" s="1"/>
  <c r="X20" i="6" a="1"/>
  <c r="X20" i="6" s="1"/>
  <c r="W17" i="6" a="1"/>
  <c r="W17" i="6" s="1"/>
  <c r="AB21" i="6" a="1"/>
  <c r="AB21" i="6" s="1"/>
  <c r="Y22" i="6" a="1"/>
  <c r="Y22" i="6" s="1"/>
  <c r="T19" i="6" a="1"/>
  <c r="T19" i="6" s="1"/>
  <c r="Q17" i="6" a="1"/>
  <c r="Q17" i="6" s="1"/>
  <c r="Q46" i="6" a="1"/>
  <c r="Q46" i="6" s="1"/>
  <c r="AC41" i="6" a="1"/>
  <c r="AC41" i="6" s="1"/>
  <c r="Z41" i="6" a="1"/>
  <c r="Z41" i="6" s="1"/>
  <c r="V41" i="6" a="1"/>
  <c r="V41" i="6" s="1"/>
  <c r="AE44" i="6" a="1"/>
  <c r="AE44" i="6" s="1"/>
  <c r="AE46" i="6" a="1"/>
  <c r="AE46" i="6" s="1"/>
  <c r="AB42" i="6" a="1"/>
  <c r="AB42" i="6" s="1"/>
  <c r="U46" i="6" a="1"/>
  <c r="U46" i="6" s="1"/>
  <c r="U44" i="6" a="1"/>
  <c r="U44" i="6" s="1"/>
  <c r="R41" i="6" a="1"/>
  <c r="R41" i="6" s="1"/>
  <c r="X45" i="6" a="1"/>
  <c r="X45" i="6" s="1"/>
  <c r="AD42" i="6" a="1"/>
  <c r="AD42" i="6" s="1"/>
  <c r="AD46" i="6" a="1"/>
  <c r="AD46" i="6" s="1"/>
  <c r="S41" i="6" a="1"/>
  <c r="S41" i="6" s="1"/>
  <c r="U42" i="6" a="1"/>
  <c r="U42" i="6" s="1"/>
  <c r="W40" i="6" a="1"/>
  <c r="W40" i="6" s="1"/>
  <c r="AB40" i="6" a="1"/>
  <c r="AB40" i="6" s="1"/>
  <c r="AE43" i="6" a="1"/>
  <c r="AE43" i="6" s="1"/>
  <c r="X46" i="6" a="1"/>
  <c r="X46" i="6" s="1"/>
  <c r="AD43" i="6" a="1"/>
  <c r="AD43" i="6" s="1"/>
  <c r="Q43" i="6" a="1"/>
  <c r="Q43" i="6" s="1"/>
  <c r="X40" i="6" a="1"/>
  <c r="X40" i="6" s="1"/>
  <c r="AB46" i="6" a="1"/>
  <c r="AB46" i="6" s="1"/>
  <c r="AA41" i="6" a="1"/>
  <c r="AA41" i="6" s="1"/>
  <c r="Y44" i="6" a="1"/>
  <c r="Y44" i="6" s="1"/>
  <c r="AC43" i="6" a="1"/>
  <c r="AC43" i="6" s="1"/>
  <c r="AA40" i="6" a="1"/>
  <c r="AA40" i="6" s="1"/>
  <c r="Y41" i="6" a="1"/>
  <c r="Y41" i="6" s="1"/>
  <c r="Q41" i="6" a="1"/>
  <c r="Q41" i="6" s="1"/>
  <c r="AC46" i="6" a="1"/>
  <c r="AC46" i="6" s="1"/>
  <c r="R46" i="6" a="1"/>
  <c r="R46" i="6" s="1"/>
  <c r="S46" i="6" a="1"/>
  <c r="S46" i="6" s="1"/>
  <c r="AD45" i="6" a="1"/>
  <c r="AD45" i="6" s="1"/>
  <c r="AC45" i="6" a="1"/>
  <c r="AC45" i="6" s="1"/>
  <c r="S43" i="6" a="1"/>
  <c r="S43" i="6" s="1"/>
  <c r="AB43" i="6" a="1"/>
  <c r="AB43" i="6" s="1"/>
  <c r="V46" i="6" a="1"/>
  <c r="V46" i="6" s="1"/>
  <c r="W43" i="6" a="1"/>
  <c r="W43" i="6" s="1"/>
  <c r="R42" i="6" a="1"/>
  <c r="R42" i="6" s="1"/>
  <c r="Y40" i="6" a="1"/>
  <c r="Y40" i="6" s="1"/>
  <c r="T43" i="6" a="1"/>
  <c r="T43" i="6" s="1"/>
  <c r="AA42" i="6" a="1"/>
  <c r="AA42" i="6" s="1"/>
  <c r="T45" i="6" a="1"/>
  <c r="T45" i="6" s="1"/>
  <c r="Z46" i="6" a="1"/>
  <c r="Z46" i="6" s="1"/>
  <c r="R43" i="6" a="1"/>
  <c r="R43" i="6" s="1"/>
  <c r="Y43" i="6" a="1"/>
  <c r="Y43" i="6" s="1"/>
  <c r="T46" i="6" a="1"/>
  <c r="T46" i="6" s="1"/>
  <c r="T41" i="6" a="1"/>
  <c r="T41" i="6" s="1"/>
  <c r="X44" i="6" a="1"/>
  <c r="X44" i="6" s="1"/>
  <c r="AD41" i="6" a="1"/>
  <c r="AD41" i="6" s="1"/>
  <c r="W45" i="6" a="1"/>
  <c r="W45" i="6" s="1"/>
  <c r="V40" i="6" a="1"/>
  <c r="V40" i="6" s="1"/>
  <c r="Y31" i="6" a="1"/>
  <c r="Y31" i="6" s="1"/>
  <c r="Z12" i="6" a="1"/>
  <c r="Z12" i="6" s="1"/>
  <c r="T14" i="6" a="1"/>
  <c r="T14" i="6" s="1"/>
  <c r="AC8" i="6" a="1"/>
  <c r="AC8" i="6" s="1"/>
  <c r="AG16" i="6" a="1"/>
  <c r="AG16" i="6" s="1"/>
  <c r="AF11" i="6" a="1"/>
  <c r="AF11" i="6" s="1"/>
  <c r="Q8" i="6" a="1"/>
  <c r="Q8" i="6" s="1"/>
  <c r="X7" i="6" a="1"/>
  <c r="X7" i="6" s="1"/>
  <c r="AA5" i="6" a="1"/>
  <c r="AA5" i="6" s="1"/>
  <c r="AH12" i="6" a="1"/>
  <c r="AH12" i="6" s="1"/>
  <c r="AB6" i="6" a="1"/>
  <c r="AB6" i="6" s="1"/>
  <c r="AG10" i="6" a="1"/>
  <c r="AG10" i="6" s="1"/>
  <c r="U7" i="6" a="1"/>
  <c r="U7" i="6" s="1"/>
  <c r="AF15" i="6" a="1"/>
  <c r="AF15" i="6" s="1"/>
  <c r="Y11" i="6" a="1"/>
  <c r="Y11" i="6" s="1"/>
  <c r="Q12" i="6" a="1"/>
  <c r="Q12" i="6" s="1"/>
  <c r="AC14" i="6" a="1"/>
  <c r="AC14" i="6" s="1"/>
  <c r="AF14" i="6" a="1"/>
  <c r="AF14" i="6" s="1"/>
  <c r="S16" i="6" a="1"/>
  <c r="S16" i="6" s="1"/>
  <c r="AI14" i="6" a="1"/>
  <c r="AI14" i="6" s="1"/>
  <c r="AE10" i="6" a="1"/>
  <c r="AE10" i="6" s="1"/>
  <c r="X11" i="6" a="1"/>
  <c r="X11" i="6" s="1"/>
  <c r="AH9" i="6" a="1"/>
  <c r="AH9" i="6" s="1"/>
  <c r="U8" i="6" a="1"/>
  <c r="U8" i="6" s="1"/>
  <c r="R16" i="6" a="1"/>
  <c r="R16" i="6" s="1"/>
  <c r="AE16" i="6" a="1"/>
  <c r="AE16" i="6" s="1"/>
  <c r="Z14" i="6" a="1"/>
  <c r="Z14" i="6" s="1"/>
  <c r="X9" i="6" a="1"/>
  <c r="X9" i="6" s="1"/>
  <c r="Y8" i="6" a="1"/>
  <c r="Y8" i="6" s="1"/>
  <c r="S15" i="6" a="1"/>
  <c r="S15" i="6" s="1"/>
  <c r="AC5" i="6" a="1"/>
  <c r="AC5" i="6" s="1"/>
  <c r="T9" i="6" a="1"/>
  <c r="T9" i="6" s="1"/>
  <c r="AG7" i="6" a="1"/>
  <c r="AG7" i="6" s="1"/>
  <c r="W10" i="6" a="1"/>
  <c r="W10" i="6" s="1"/>
  <c r="Y14" i="6" a="1"/>
  <c r="Y14" i="6" s="1"/>
  <c r="V16" i="6" a="1"/>
  <c r="V16" i="6" s="1"/>
  <c r="Q15" i="6" a="1"/>
  <c r="Q15" i="6" s="1"/>
  <c r="AC10" i="6" a="1"/>
  <c r="AC10" i="6" s="1"/>
  <c r="S10" i="6" a="1"/>
  <c r="S10" i="6" s="1"/>
  <c r="R13" i="6" a="1"/>
  <c r="R13" i="6" s="1"/>
  <c r="S8" i="6" a="1"/>
  <c r="S8" i="6" s="1"/>
  <c r="AI11" i="6" a="1"/>
  <c r="AI11" i="6" s="1"/>
  <c r="AD11" i="6" a="1"/>
  <c r="AD11" i="6" s="1"/>
  <c r="AB7" i="6" a="1"/>
  <c r="AB7" i="6" s="1"/>
  <c r="AE5" i="6" a="1"/>
  <c r="AE5" i="6" s="1"/>
  <c r="V7" i="6" a="1"/>
  <c r="V7" i="6" s="1"/>
  <c r="AH10" i="6" a="1"/>
  <c r="AH10" i="6" s="1"/>
  <c r="W7" i="6" a="1"/>
  <c r="W7" i="6" s="1"/>
  <c r="W14" i="6" a="1"/>
  <c r="W14" i="6" s="1"/>
  <c r="AH7" i="6" a="1"/>
  <c r="AH7" i="6" s="1"/>
  <c r="AB13" i="6" a="1"/>
  <c r="AB13" i="6" s="1"/>
  <c r="U9" i="6" a="1"/>
  <c r="U9" i="6" s="1"/>
  <c r="T6" i="6" a="1"/>
  <c r="T6" i="6" s="1"/>
  <c r="Z8" i="6" a="1"/>
  <c r="Z8" i="6" s="1"/>
  <c r="AC15" i="6" a="1"/>
  <c r="AC15" i="6" s="1"/>
  <c r="AI7" i="6" a="1"/>
  <c r="AI7" i="6" s="1"/>
  <c r="AD7" i="6" a="1"/>
  <c r="AD7" i="6" s="1"/>
  <c r="W15" i="6" a="1"/>
  <c r="W15" i="6" s="1"/>
  <c r="V11" i="6" a="1"/>
  <c r="V11" i="6" s="1"/>
  <c r="AE14" i="6" a="1"/>
  <c r="AE14" i="6" s="1"/>
  <c r="AC13" i="6" a="1"/>
  <c r="AC13" i="6" s="1"/>
  <c r="Q31" i="6" a="1"/>
  <c r="Q31" i="6" s="1"/>
  <c r="AF36" i="6" a="1"/>
  <c r="AF36" i="6" s="1"/>
  <c r="AH34" i="6" a="1"/>
  <c r="AH34" i="6" s="1"/>
  <c r="AF31" i="6" a="1"/>
  <c r="AF31" i="6" s="1"/>
  <c r="AC34" i="6" a="1"/>
  <c r="AC34" i="6" s="1"/>
  <c r="V36" i="6" a="1"/>
  <c r="V36" i="6" s="1"/>
  <c r="U39" i="6" a="1"/>
  <c r="U39" i="6" s="1"/>
  <c r="S29" i="6" a="1"/>
  <c r="S29" i="6" s="1"/>
  <c r="AB15" i="6" a="1"/>
  <c r="AB15" i="6" s="1"/>
  <c r="AB14" i="6" a="1"/>
  <c r="AB14" i="6" s="1"/>
  <c r="Y16" i="6" a="1"/>
  <c r="Y16" i="6" s="1"/>
  <c r="AD8" i="6" a="1"/>
  <c r="AD8" i="6" s="1"/>
  <c r="V5" i="6" a="1"/>
  <c r="V5" i="6" s="1"/>
  <c r="AB12" i="6" a="1"/>
  <c r="AB12" i="6" s="1"/>
  <c r="AA12" i="6" a="1"/>
  <c r="AA12" i="6" s="1"/>
  <c r="T15" i="6" a="1"/>
  <c r="T15" i="6" s="1"/>
  <c r="Z9" i="6" a="1"/>
  <c r="Z9" i="6" s="1"/>
  <c r="T37" i="6" a="1"/>
  <c r="T37" i="6" s="1"/>
  <c r="Y13" i="6" a="1"/>
  <c r="Y13" i="6" s="1"/>
  <c r="AE6" i="6" a="1"/>
  <c r="AE6" i="6" s="1"/>
  <c r="AF16" i="6" a="1"/>
  <c r="AF16" i="6" s="1"/>
  <c r="AH5" i="6" a="1"/>
  <c r="AH5" i="6" s="1"/>
  <c r="AI16" i="6" a="1"/>
  <c r="AI16" i="6" s="1"/>
  <c r="Q11" i="6" a="1"/>
  <c r="Q11" i="6" s="1"/>
  <c r="V8" i="6" a="1"/>
  <c r="V8" i="6" s="1"/>
  <c r="X14" i="6" a="1"/>
  <c r="X14" i="6" s="1"/>
  <c r="AF13" i="6" a="1"/>
  <c r="AF13" i="6" s="1"/>
  <c r="Q9" i="6" a="1"/>
  <c r="Q9" i="6" s="1"/>
  <c r="AB5" i="6" a="1"/>
  <c r="AB5" i="6" s="1"/>
  <c r="AA6" i="6" a="1"/>
  <c r="AA6" i="6" s="1"/>
  <c r="AF5" i="6" a="1"/>
  <c r="AF5" i="6" s="1"/>
  <c r="AB9" i="6" a="1"/>
  <c r="AB9" i="6" s="1"/>
  <c r="W5" i="6" a="1"/>
  <c r="W5" i="6" s="1"/>
  <c r="R5" i="6" a="1"/>
  <c r="R5" i="6" s="1"/>
  <c r="AH11" i="6" a="1"/>
  <c r="AH11" i="6" s="1"/>
  <c r="AI28" i="6" a="1"/>
  <c r="AI28" i="6" s="1"/>
  <c r="W35" i="6" a="1"/>
  <c r="W35" i="6" s="1"/>
  <c r="AB16" i="6" a="1"/>
  <c r="AB16" i="6" s="1"/>
  <c r="AA10" i="6" a="1"/>
  <c r="AA10" i="6" s="1"/>
  <c r="AA14" i="6" a="1"/>
  <c r="AA14" i="6" s="1"/>
  <c r="AI9" i="6" a="1"/>
  <c r="AI9" i="6" s="1"/>
  <c r="X15" i="6" a="1"/>
  <c r="X15" i="6" s="1"/>
  <c r="T7" i="6" a="1"/>
  <c r="T7" i="6" s="1"/>
  <c r="AC9" i="6" a="1"/>
  <c r="AC9" i="6" s="1"/>
  <c r="AA9" i="6" a="1"/>
  <c r="AA9" i="6" s="1"/>
  <c r="R7" i="6" a="1"/>
  <c r="R7" i="6" s="1"/>
  <c r="AI10" i="6" a="1"/>
  <c r="AI10" i="6" s="1"/>
  <c r="Z33" i="6" a="1"/>
  <c r="Z33" i="6" s="1"/>
  <c r="AF32" i="6" a="1"/>
  <c r="AF32" i="6" s="1"/>
  <c r="AD36" i="6" a="1"/>
  <c r="AD36" i="6" s="1"/>
  <c r="Z30" i="6" a="1"/>
  <c r="Z30" i="6" s="1"/>
  <c r="Q38" i="6" a="1"/>
  <c r="Q38" i="6" s="1"/>
  <c r="AG9" i="6" a="1"/>
  <c r="AG9" i="6" s="1"/>
  <c r="AG15" i="6" a="1"/>
  <c r="AG15" i="6" s="1"/>
  <c r="AE7" i="6" a="1"/>
  <c r="AE7" i="6" s="1"/>
  <c r="AF7" i="6" a="1"/>
  <c r="AF7" i="6" s="1"/>
  <c r="Q16" i="6" a="1"/>
  <c r="Q16" i="6" s="1"/>
  <c r="Q5" i="6" a="1"/>
  <c r="Q5" i="6" s="1"/>
  <c r="Z5" i="6" a="1"/>
  <c r="Z5" i="6" s="1"/>
  <c r="W11" i="6" a="1"/>
  <c r="W11" i="6" s="1"/>
  <c r="AD9" i="6" a="1"/>
  <c r="AD9" i="6" s="1"/>
  <c r="T12" i="6" a="1"/>
  <c r="T12" i="6" s="1"/>
  <c r="Q6" i="6" a="1"/>
  <c r="Q6" i="6" s="1"/>
  <c r="Y15" i="6" a="1"/>
  <c r="Y15" i="6" s="1"/>
  <c r="AF12" i="6" a="1"/>
  <c r="AF12" i="6" s="1"/>
  <c r="AI15" i="6" a="1"/>
  <c r="AI15" i="6" s="1"/>
  <c r="W8" i="6" a="1"/>
  <c r="W8" i="6" s="1"/>
  <c r="S14" i="6" a="1"/>
  <c r="S14" i="6" s="1"/>
  <c r="U5" i="6" a="1"/>
  <c r="U5" i="6" s="1"/>
  <c r="Z6" i="6" a="1"/>
  <c r="Z6" i="6" s="1"/>
  <c r="X10" i="6" a="1"/>
  <c r="X10" i="6" s="1"/>
  <c r="R15" i="6" a="1"/>
  <c r="R15" i="6" s="1"/>
  <c r="R11" i="6" a="1"/>
  <c r="R11" i="6" s="1"/>
  <c r="Z7" i="6" a="1"/>
  <c r="Z7" i="6" s="1"/>
  <c r="X6" i="6" a="1"/>
  <c r="X6" i="6" s="1"/>
  <c r="Y9" i="6" a="1"/>
  <c r="Y9" i="6" s="1"/>
  <c r="U15" i="6" a="1"/>
  <c r="U15" i="6" s="1"/>
  <c r="AD16" i="6" a="1"/>
  <c r="AD16" i="6" s="1"/>
  <c r="AG13" i="6" a="1"/>
  <c r="AG13" i="6" s="1"/>
  <c r="X13" i="6" a="1"/>
  <c r="X13" i="6" s="1"/>
  <c r="AC16" i="6" a="1"/>
  <c r="AC16" i="6" s="1"/>
  <c r="U13" i="6" a="1"/>
  <c r="U13" i="6" s="1"/>
  <c r="AI13" i="6" a="1"/>
  <c r="AI13" i="6" s="1"/>
  <c r="AD15" i="6" a="1"/>
  <c r="AD15" i="6" s="1"/>
  <c r="O4" i="6"/>
  <c r="Z16" i="6" a="1"/>
  <c r="Z16" i="6" s="1"/>
  <c r="AC36" i="6" a="1"/>
  <c r="AC36" i="6" s="1"/>
  <c r="Q35" i="6" a="1"/>
  <c r="Q35" i="6" s="1"/>
  <c r="AC35" i="6" a="1"/>
  <c r="AC35" i="6" s="1"/>
  <c r="Y38" i="6" a="1"/>
  <c r="Y38" i="6" s="1"/>
  <c r="AH32" i="6" a="1"/>
  <c r="AH32" i="6" s="1"/>
  <c r="AG31" i="6" a="1"/>
  <c r="AG31" i="6" s="1"/>
  <c r="X33" i="6" a="1"/>
  <c r="X33" i="6" s="1"/>
  <c r="AA33" i="6" a="1"/>
  <c r="AA33" i="6" s="1"/>
  <c r="T13" i="6" a="1"/>
  <c r="T13" i="6" s="1"/>
  <c r="AI5" i="6" a="1"/>
  <c r="AI5" i="6" s="1"/>
  <c r="T5" i="6" a="1"/>
  <c r="T5" i="6" s="1"/>
  <c r="V15" i="6" a="1"/>
  <c r="V15" i="6" s="1"/>
  <c r="U16" i="6" a="1"/>
  <c r="U16" i="6" s="1"/>
  <c r="AE11" i="6" a="1"/>
  <c r="AE11" i="6" s="1"/>
  <c r="AH13" i="6" a="1"/>
  <c r="AH13" i="6" s="1"/>
  <c r="AH16" i="6" a="1"/>
  <c r="AH16" i="6" s="1"/>
  <c r="AG29" i="6" a="1"/>
  <c r="AG29" i="6" s="1"/>
  <c r="U28" i="6" a="1"/>
  <c r="U28" i="6" s="1"/>
  <c r="AB37" i="6" a="1"/>
  <c r="AB37" i="6" s="1"/>
  <c r="X32" i="6" a="1"/>
  <c r="X32" i="6" s="1"/>
  <c r="R28" i="6" a="1"/>
  <c r="R28" i="6" s="1"/>
  <c r="T33" i="6" a="1"/>
  <c r="T33" i="6" s="1"/>
  <c r="AH36" i="6" a="1"/>
  <c r="AH36" i="6" s="1"/>
  <c r="AI30" i="6" a="1"/>
  <c r="AI30" i="6" s="1"/>
  <c r="Z38" i="6" a="1"/>
  <c r="Z38" i="6" s="1"/>
  <c r="AI29" i="6" a="1"/>
  <c r="AI29" i="6" s="1"/>
  <c r="S36" i="6" a="1"/>
  <c r="S36" i="6" s="1"/>
  <c r="W38" i="6" a="1"/>
  <c r="W38" i="6" s="1"/>
  <c r="U33" i="6" a="1"/>
  <c r="U33" i="6" s="1"/>
  <c r="AC31" i="6" a="1"/>
  <c r="AC31" i="6" s="1"/>
  <c r="W31" i="6" a="1"/>
  <c r="W31" i="6" s="1"/>
  <c r="AA29" i="6" a="1"/>
  <c r="AA29" i="6" s="1"/>
  <c r="AA38" i="6" a="1"/>
  <c r="AA38" i="6" s="1"/>
  <c r="Z28" i="6" a="1"/>
  <c r="Z28" i="6" s="1"/>
  <c r="AH28" i="6" a="1"/>
  <c r="AH28" i="6" s="1"/>
  <c r="AF33" i="6" a="1"/>
  <c r="AF33" i="6" s="1"/>
  <c r="AB38" i="6" a="1"/>
  <c r="AB38" i="6" s="1"/>
  <c r="X29" i="6" a="1"/>
  <c r="X29" i="6" s="1"/>
  <c r="AE32" i="6" a="1"/>
  <c r="AE32" i="6" s="1"/>
  <c r="AG39" i="6" a="1"/>
  <c r="AG39" i="6" s="1"/>
  <c r="AB30" i="6" a="1"/>
  <c r="AB30" i="6" s="1"/>
  <c r="W30" i="6" a="1"/>
  <c r="W30" i="6" s="1"/>
  <c r="R34" i="6" a="1"/>
  <c r="R34" i="6" s="1"/>
  <c r="AB39" i="6" a="1"/>
  <c r="AB39" i="6" s="1"/>
  <c r="S30" i="6" a="1"/>
  <c r="S30" i="6" s="1"/>
  <c r="R35" i="6" a="1"/>
  <c r="R35" i="6" s="1"/>
  <c r="T36" i="6" a="1"/>
  <c r="T36" i="6" s="1"/>
  <c r="AA37" i="6" a="1"/>
  <c r="AA37" i="6" s="1"/>
  <c r="W32" i="6" a="1"/>
  <c r="W32" i="6" s="1"/>
  <c r="Y36" i="6" a="1"/>
  <c r="Y36" i="6" s="1"/>
  <c r="AI38" i="6" a="1"/>
  <c r="AI38" i="6" s="1"/>
  <c r="AG30" i="6" a="1"/>
  <c r="AG30" i="6" s="1"/>
  <c r="Z32" i="6" a="1"/>
  <c r="Z32" i="6" s="1"/>
  <c r="AC29" i="6" a="1"/>
  <c r="AC29" i="6" s="1"/>
  <c r="R38" i="6" a="1"/>
  <c r="R38" i="6" s="1"/>
  <c r="AF38" i="6" a="1"/>
  <c r="AF38" i="6" s="1"/>
  <c r="AI32" i="6" a="1"/>
  <c r="AI32" i="6" s="1"/>
  <c r="AE33" i="6" a="1"/>
  <c r="AE33" i="6" s="1"/>
  <c r="U36" i="6" a="1"/>
  <c r="U36" i="6" s="1"/>
  <c r="AD37" i="6" a="1"/>
  <c r="AD37" i="6" s="1"/>
  <c r="V33" i="6" a="1"/>
  <c r="V33" i="6" s="1"/>
  <c r="AE36" i="6" a="1"/>
  <c r="AE36" i="6" s="1"/>
  <c r="V38" i="6" a="1"/>
  <c r="V38" i="6" s="1"/>
  <c r="U38" i="6" a="1"/>
  <c r="U38" i="6" s="1"/>
  <c r="AI33" i="6" a="1"/>
  <c r="AI33" i="6" s="1"/>
  <c r="AD38" i="6" a="1"/>
  <c r="AD38" i="6" s="1"/>
  <c r="AG36" i="6" a="1"/>
  <c r="AG36" i="6" s="1"/>
  <c r="AI37" i="6" a="1"/>
  <c r="AI37" i="6" s="1"/>
  <c r="AI31" i="6" a="1"/>
  <c r="AI31" i="6" s="1"/>
  <c r="AC30" i="6" a="1"/>
  <c r="AC30" i="6" s="1"/>
  <c r="Q39" i="6" a="1"/>
  <c r="Q39" i="6" s="1"/>
  <c r="AB35" i="6" a="1"/>
  <c r="AB35" i="6" s="1"/>
  <c r="AE39" i="6" a="1"/>
  <c r="AE39" i="6" s="1"/>
  <c r="V31" i="6" a="1"/>
  <c r="V31" i="6" s="1"/>
  <c r="AG38" i="6" a="1"/>
  <c r="AG38" i="6" s="1"/>
  <c r="R32" i="6" a="1"/>
  <c r="R32" i="6" s="1"/>
  <c r="AB28" i="6" a="1"/>
  <c r="AB28" i="6" s="1"/>
  <c r="AE30" i="6" a="1"/>
  <c r="AE30" i="6" s="1"/>
  <c r="AA34" i="6" a="1"/>
  <c r="AA34" i="6" s="1"/>
  <c r="X39" i="6" a="1"/>
  <c r="X39" i="6" s="1"/>
  <c r="X38" i="6" a="1"/>
  <c r="X38" i="6" s="1"/>
  <c r="S31" i="6" a="1"/>
  <c r="S31" i="6" s="1"/>
  <c r="AE34" i="6" a="1"/>
  <c r="AE34" i="6" s="1"/>
  <c r="AA36" i="6" a="1"/>
  <c r="AA36" i="6" s="1"/>
  <c r="W29" i="6" a="1"/>
  <c r="W29" i="6" s="1"/>
  <c r="V32" i="6" a="1"/>
  <c r="V32" i="6" s="1"/>
  <c r="AI39" i="6" a="1"/>
  <c r="AI39" i="6" s="1"/>
  <c r="S28" i="6" a="1"/>
  <c r="S28" i="6" s="1"/>
  <c r="T31" i="6" a="1"/>
  <c r="T31" i="6" s="1"/>
  <c r="S32" i="6" a="1"/>
  <c r="S32" i="6" s="1"/>
  <c r="V28" i="6" a="1"/>
  <c r="V28" i="6" s="1"/>
  <c r="R31" i="6" a="1"/>
  <c r="R31" i="6" s="1"/>
  <c r="V30" i="6" a="1"/>
  <c r="V30" i="6" s="1"/>
  <c r="AH39" i="6" a="1"/>
  <c r="AH39" i="6" s="1"/>
  <c r="S34" i="6" a="1"/>
  <c r="S34" i="6" s="1"/>
  <c r="T38" i="6" a="1"/>
  <c r="T38" i="6" s="1"/>
  <c r="Q37" i="6" a="1"/>
  <c r="Q37" i="6" s="1"/>
  <c r="S39" i="6" a="1"/>
  <c r="S39" i="6" s="1"/>
  <c r="AI34" i="6" a="1"/>
  <c r="AI34" i="6" s="1"/>
  <c r="Y28" i="6" a="1"/>
  <c r="Y28" i="6" s="1"/>
  <c r="AC28" i="6" a="1"/>
  <c r="AC28" i="6" s="1"/>
  <c r="X37" i="6" a="1"/>
  <c r="X37" i="6" s="1"/>
  <c r="AF35" i="6" a="1"/>
  <c r="AF35" i="6" s="1"/>
  <c r="Q29" i="6" a="1"/>
  <c r="Q29" i="6" s="1"/>
  <c r="X35" i="6" a="1"/>
  <c r="X35" i="6" s="1"/>
  <c r="AC33" i="6" a="1"/>
  <c r="AC33" i="6" s="1"/>
  <c r="AG33" i="6" a="1"/>
  <c r="AG33" i="6" s="1"/>
  <c r="W37" i="6" a="1"/>
  <c r="W37" i="6" s="1"/>
  <c r="AD32" i="6" a="1"/>
  <c r="AD32" i="6" s="1"/>
  <c r="AH33" i="6" a="1"/>
  <c r="AH33" i="6" s="1"/>
  <c r="Q32" i="6" a="1"/>
  <c r="Q32" i="6" s="1"/>
  <c r="Z35" i="6" a="1"/>
  <c r="Z35" i="6" s="1"/>
  <c r="Z37" i="6" a="1"/>
  <c r="Z37" i="6" s="1"/>
  <c r="AG28" i="6" a="1"/>
  <c r="AG28" i="6" s="1"/>
  <c r="AE37" i="6" a="1"/>
  <c r="AE37" i="6" s="1"/>
  <c r="AH29" i="6" a="1"/>
  <c r="AH29" i="6" s="1"/>
  <c r="R29" i="6" a="1"/>
  <c r="R29" i="6" s="1"/>
  <c r="AF29" i="6" a="1"/>
  <c r="AF29" i="6" s="1"/>
  <c r="AD30" i="6" a="1"/>
  <c r="AD30" i="6" s="1"/>
  <c r="AD28" i="6" a="1"/>
  <c r="AD28" i="6" s="1"/>
  <c r="Y39" i="6" a="1"/>
  <c r="Y39" i="6" s="1"/>
  <c r="AH35" i="6" a="1"/>
  <c r="AH35" i="6" s="1"/>
  <c r="AB33" i="6" a="1"/>
  <c r="AB33" i="6" s="1"/>
  <c r="AH30" i="6" a="1"/>
  <c r="AH30" i="6" s="1"/>
  <c r="U31" i="6" a="1"/>
  <c r="U31" i="6" s="1"/>
  <c r="Q33" i="6" a="1"/>
  <c r="Q33" i="6" s="1"/>
  <c r="AG34" i="6" a="1"/>
  <c r="AG34" i="6" s="1"/>
  <c r="AE31" i="6" a="1"/>
  <c r="AE31" i="6" s="1"/>
  <c r="AD31" i="6" a="1"/>
  <c r="AD31" i="6" s="1"/>
  <c r="Q34" i="6" a="1"/>
  <c r="Q34" i="6" s="1"/>
  <c r="T34" i="6" a="1"/>
  <c r="T34" i="6" s="1"/>
  <c r="AA39" i="6" a="1"/>
  <c r="AA39" i="6" s="1"/>
  <c r="AE28" i="6" a="1"/>
  <c r="AE28" i="6" s="1"/>
  <c r="W28" i="6" a="1"/>
  <c r="W28" i="6" s="1"/>
  <c r="Y30" i="6" a="1"/>
  <c r="Y30" i="6" s="1"/>
  <c r="AC38" i="6" a="1"/>
  <c r="AC38" i="6" s="1"/>
  <c r="X30" i="6" a="1"/>
  <c r="X30" i="6" s="1"/>
  <c r="AA32" i="6" a="1"/>
  <c r="AA32" i="6" s="1"/>
  <c r="AG32" i="6" a="1"/>
  <c r="AG32" i="6" s="1"/>
  <c r="Y34" i="6" a="1"/>
  <c r="Y34" i="6" s="1"/>
  <c r="Y35" i="6" a="1"/>
  <c r="Y35" i="6" s="1"/>
  <c r="T32" i="6" a="1"/>
  <c r="T32" i="6" s="1"/>
  <c r="AE35" i="6" a="1"/>
  <c r="AE35" i="6" s="1"/>
  <c r="AC39" i="6" a="1"/>
  <c r="AC39" i="6" s="1"/>
  <c r="Y37" i="6" a="1"/>
  <c r="Y37" i="6" s="1"/>
  <c r="T30" i="6" a="1"/>
  <c r="T30" i="6" s="1"/>
  <c r="X36" i="6" a="1"/>
  <c r="X36" i="6" s="1"/>
  <c r="Q30" i="6" a="1"/>
  <c r="Q30" i="6" s="1"/>
  <c r="AD34" i="6" a="1"/>
  <c r="AD34" i="6" s="1"/>
  <c r="AI36" i="6" a="1"/>
  <c r="AI36" i="6" s="1"/>
  <c r="Y32" i="6" a="1"/>
  <c r="Y32" i="6" s="1"/>
  <c r="AH38" i="6" a="1"/>
  <c r="AH38" i="6" s="1"/>
  <c r="Z39" i="6" a="1"/>
  <c r="Z39" i="6" s="1"/>
  <c r="AA28" i="6" a="1"/>
  <c r="AA28" i="6" s="1"/>
  <c r="R33" i="6" a="1"/>
  <c r="R33" i="6" s="1"/>
  <c r="AF37" i="6" a="1"/>
  <c r="AF37" i="6" s="1"/>
  <c r="AF30" i="6" a="1"/>
  <c r="AF30" i="6" s="1"/>
  <c r="Q28" i="6" a="1"/>
  <c r="Q28" i="6" s="1"/>
  <c r="X34" i="6" a="1"/>
  <c r="X34" i="6" s="1"/>
  <c r="T29" i="6" a="1"/>
  <c r="T29" i="6" s="1"/>
  <c r="U35" i="6" a="1"/>
  <c r="U35" i="6" s="1"/>
  <c r="AB36" i="6" a="1"/>
  <c r="AB36" i="6" s="1"/>
  <c r="V39" i="6" a="1"/>
  <c r="V39" i="6" s="1"/>
  <c r="AD35" i="6" a="1"/>
  <c r="AD35" i="6" s="1"/>
  <c r="R37" i="6" a="1"/>
  <c r="R37" i="6" s="1"/>
  <c r="AC32" i="6" a="1"/>
  <c r="AC32" i="6" s="1"/>
  <c r="S33" i="6" a="1"/>
  <c r="S33" i="6" s="1"/>
  <c r="Q36" i="6" a="1"/>
  <c r="Q36" i="6" s="1"/>
  <c r="AG37" i="6" a="1"/>
  <c r="AG37" i="6" s="1"/>
  <c r="AA35" i="6" a="1"/>
  <c r="AA35" i="6" s="1"/>
  <c r="Z36" i="6" a="1"/>
  <c r="Z36" i="6" s="1"/>
  <c r="AE29" i="6" a="1"/>
  <c r="AE29" i="6" s="1"/>
  <c r="Z34" i="6" a="1"/>
  <c r="Z34" i="6" s="1"/>
  <c r="O27" i="6"/>
  <c r="U29" i="6" a="1"/>
  <c r="U29" i="6" s="1"/>
  <c r="V34" i="6" a="1"/>
  <c r="V34" i="6" s="1"/>
  <c r="AB32" i="6" a="1"/>
  <c r="AB32" i="6" s="1"/>
  <c r="W36" i="6" a="1"/>
  <c r="W36" i="6" s="1"/>
  <c r="AA31" i="6" a="1"/>
  <c r="AA31" i="6" s="1"/>
  <c r="AI35" i="6" a="1"/>
  <c r="AI35" i="6" s="1"/>
  <c r="T28" i="6" a="1"/>
  <c r="T28" i="6" s="1"/>
  <c r="V35" i="6" a="1"/>
  <c r="V35" i="6" s="1"/>
  <c r="Y33" i="6" a="1"/>
  <c r="Y33" i="6" s="1"/>
  <c r="Y29" i="6" a="1"/>
  <c r="Y29" i="6" s="1"/>
  <c r="U32" i="6" a="1"/>
  <c r="U32" i="6" s="1"/>
  <c r="W39" i="6" a="1"/>
  <c r="W39" i="6" s="1"/>
  <c r="S38" i="6" a="1"/>
  <c r="S38" i="6" s="1"/>
  <c r="W34" i="6" a="1"/>
  <c r="W34" i="6" s="1"/>
  <c r="X28" i="6" a="1"/>
  <c r="X28" i="6" s="1"/>
  <c r="V37" i="6" a="1"/>
  <c r="V37" i="6" s="1"/>
  <c r="S37" i="6" a="1"/>
  <c r="S37" i="6" s="1"/>
  <c r="AB29" i="6" a="1"/>
  <c r="AB29" i="6" s="1"/>
  <c r="AA30" i="6" a="1"/>
  <c r="AA30" i="6" s="1"/>
  <c r="AB31" i="6" a="1"/>
  <c r="AB31" i="6" s="1"/>
  <c r="AE38" i="6" a="1"/>
  <c r="AE38" i="6" s="1"/>
  <c r="T35" i="6" a="1"/>
  <c r="T35" i="6" s="1"/>
  <c r="AE12" i="6" a="1"/>
  <c r="AE12" i="6" s="1"/>
  <c r="Z13" i="6" a="1"/>
  <c r="Z13" i="6" s="1"/>
  <c r="AH8" i="6" a="1"/>
  <c r="AH8" i="6" s="1"/>
  <c r="T16" i="6" a="1"/>
  <c r="T16" i="6" s="1"/>
  <c r="V13" i="6" a="1"/>
  <c r="V13" i="6" s="1"/>
  <c r="R8" i="6" a="1"/>
  <c r="R8" i="6" s="1"/>
  <c r="S9" i="6" a="1"/>
  <c r="S9" i="6" s="1"/>
  <c r="X31" i="6" a="1"/>
  <c r="X31" i="6" s="1"/>
  <c r="U30" i="6" a="1"/>
  <c r="U30" i="6" s="1"/>
  <c r="AH37" i="6" a="1"/>
  <c r="AH37" i="6" s="1"/>
  <c r="AD39" i="6" a="1"/>
  <c r="AD39" i="6" s="1"/>
  <c r="AF39" i="6" a="1"/>
  <c r="AF39" i="6" s="1"/>
  <c r="AC12" i="6" a="1"/>
  <c r="AC12" i="6" s="1"/>
  <c r="AA16" i="6" a="1"/>
  <c r="AA16" i="6" s="1"/>
  <c r="Q13" i="6" a="1"/>
  <c r="Q13" i="6" s="1"/>
  <c r="R12" i="6" a="1"/>
  <c r="R12" i="6" s="1"/>
  <c r="AG6" i="6" a="1"/>
  <c r="AG6" i="6" s="1"/>
  <c r="AC7" i="6" a="1"/>
  <c r="AC7" i="6" s="1"/>
  <c r="X12" i="6" a="1"/>
  <c r="X12" i="6" s="1"/>
  <c r="AC6" i="6" a="1"/>
  <c r="AC6" i="6" s="1"/>
  <c r="AH14" i="6" a="1"/>
  <c r="AH14" i="6" s="1"/>
  <c r="S12" i="6" a="1"/>
  <c r="S12" i="6" s="1"/>
  <c r="Y5" i="6" a="1"/>
  <c r="Y5" i="6" s="1"/>
  <c r="W16" i="6" a="1"/>
  <c r="W16" i="6" s="1"/>
  <c r="AA8" i="6" a="1"/>
  <c r="AA8" i="6" s="1"/>
  <c r="AF6" i="6" a="1"/>
  <c r="AF6" i="6" s="1"/>
  <c r="AD6" i="6" a="1"/>
  <c r="AD6" i="6" s="1"/>
  <c r="AG14" i="6" a="1"/>
  <c r="AG14" i="6" s="1"/>
  <c r="Z11" i="6" a="1"/>
  <c r="Z11" i="6" s="1"/>
  <c r="U10" i="6" a="1"/>
  <c r="U10" i="6" s="1"/>
  <c r="V6" i="6" a="1"/>
  <c r="V6" i="6" s="1"/>
  <c r="AD10" i="6" a="1"/>
  <c r="AD10" i="6" s="1"/>
  <c r="R10" i="6" a="1"/>
  <c r="R10" i="6" s="1"/>
  <c r="U12" i="6" a="1"/>
  <c r="U12" i="6" s="1"/>
  <c r="AH15" i="6" a="1"/>
  <c r="AH15" i="6" s="1"/>
  <c r="S11" i="6" a="1"/>
  <c r="S11" i="6" s="1"/>
  <c r="S5" i="6" a="1"/>
  <c r="S5" i="6" s="1"/>
  <c r="AI6" i="6" a="1"/>
  <c r="AI6" i="6" s="1"/>
  <c r="X5" i="6" a="1"/>
  <c r="X5" i="6" s="1"/>
  <c r="Q14" i="6" a="1"/>
  <c r="Q14" i="6" s="1"/>
  <c r="AG5" i="6" a="1"/>
  <c r="AG5" i="6" s="1"/>
  <c r="AI8" i="6" a="1"/>
  <c r="AI8" i="6" s="1"/>
  <c r="S7" i="6" a="1"/>
  <c r="S7" i="6" s="1"/>
  <c r="V12" i="6" a="1"/>
  <c r="V12" i="6" s="1"/>
  <c r="AC37" i="6" a="1"/>
  <c r="AC37" i="6" s="1"/>
  <c r="R30" i="6" a="1"/>
  <c r="R30" i="6" s="1"/>
  <c r="T39" i="6" a="1"/>
  <c r="T39" i="6" s="1"/>
  <c r="AG35" i="6" a="1"/>
  <c r="AG35" i="6" s="1"/>
  <c r="Z31" i="6" a="1"/>
  <c r="Z31" i="6" s="1"/>
  <c r="S35" i="6" a="1"/>
  <c r="S35" i="6" s="1"/>
  <c r="Y10" i="6" a="1"/>
  <c r="Y10" i="6" s="1"/>
  <c r="AG8" i="6" a="1"/>
  <c r="AG8" i="6" s="1"/>
  <c r="AD13" i="6" a="1"/>
  <c r="AD13" i="6" s="1"/>
  <c r="AI12" i="6" a="1"/>
  <c r="AI12" i="6" s="1"/>
  <c r="S13" i="6" a="1"/>
  <c r="S13" i="6" s="1"/>
  <c r="Y7" i="6" a="1"/>
  <c r="Y7" i="6" s="1"/>
  <c r="U6" i="6" a="1"/>
  <c r="U6" i="6" s="1"/>
  <c r="Z15" i="6" a="1"/>
  <c r="Z15" i="6" s="1"/>
  <c r="AD14" i="6" a="1"/>
  <c r="AD14" i="6" s="1"/>
  <c r="R14" i="6" a="1"/>
  <c r="R14" i="6" s="1"/>
  <c r="U37" i="6" a="1"/>
  <c r="U37" i="6" s="1"/>
  <c r="AF10" i="6" a="1"/>
  <c r="AF10" i="6" s="1"/>
  <c r="AG11" i="6" a="1"/>
  <c r="AG11" i="6" s="1"/>
  <c r="Y12" i="6" a="1"/>
  <c r="Y12" i="6" s="1"/>
  <c r="AE9" i="6" a="1"/>
  <c r="AE9" i="6" s="1"/>
  <c r="T8" i="6" a="1"/>
  <c r="T8" i="6" s="1"/>
  <c r="T11" i="6" a="1"/>
  <c r="T11" i="6" s="1"/>
  <c r="Q7" i="6" a="1"/>
  <c r="Q7" i="6" s="1"/>
  <c r="AG12" i="6" a="1"/>
  <c r="AG12" i="6" s="1"/>
  <c r="AA13" i="6" a="1"/>
  <c r="AA13" i="6" s="1"/>
  <c r="AC11" i="6" a="1"/>
  <c r="AC11" i="6" s="1"/>
  <c r="W9" i="6" a="1"/>
  <c r="W9" i="6" s="1"/>
  <c r="AE8" i="6" a="1"/>
  <c r="AE8" i="6" s="1"/>
  <c r="W13" i="6" a="1"/>
  <c r="W13" i="6" s="1"/>
  <c r="AH6" i="6" a="1"/>
  <c r="AH6" i="6" s="1"/>
  <c r="AE15" i="6" a="1"/>
  <c r="AE15" i="6" s="1"/>
  <c r="AD5" i="6" a="1"/>
  <c r="AD5" i="6" s="1"/>
  <c r="W33" i="6" a="1"/>
  <c r="W33" i="6" s="1"/>
  <c r="AD29" i="6" a="1"/>
  <c r="AD29" i="6" s="1"/>
  <c r="AB34" i="6" a="1"/>
  <c r="AB34" i="6" s="1"/>
  <c r="U14" i="6" a="1"/>
  <c r="U14" i="6" s="1"/>
  <c r="AB10" i="6" a="1"/>
  <c r="AB10" i="6" s="1"/>
  <c r="AD12" i="6" a="1"/>
  <c r="AD12" i="6" s="1"/>
  <c r="S6" i="6" a="1"/>
  <c r="S6" i="6" s="1"/>
  <c r="Q10" i="6" a="1"/>
  <c r="Q10" i="6" s="1"/>
  <c r="X8" i="6" a="1"/>
  <c r="X8" i="6" s="1"/>
  <c r="AA11" i="6" a="1"/>
  <c r="AA11" i="6" s="1"/>
  <c r="AB8" i="6" a="1"/>
  <c r="AB8" i="6" s="1"/>
  <c r="V14" i="6" a="1"/>
  <c r="V14" i="6" s="1"/>
  <c r="AF8" i="6" a="1"/>
  <c r="AF8" i="6" s="1"/>
  <c r="X16" i="6" a="1"/>
  <c r="X16" i="6" s="1"/>
  <c r="T10" i="6" a="1"/>
  <c r="T10" i="6" s="1"/>
  <c r="AB11" i="6" a="1"/>
  <c r="AB11" i="6" s="1"/>
  <c r="R9" i="6" a="1"/>
  <c r="R9" i="6" s="1"/>
  <c r="V10" i="6" a="1"/>
  <c r="V10" i="6" s="1"/>
  <c r="AA7" i="6" a="1"/>
  <c r="AA7" i="6" s="1"/>
  <c r="W12" i="6" a="1"/>
  <c r="W12" i="6" s="1"/>
  <c r="Z10" i="6" a="1"/>
  <c r="Z10" i="6" s="1"/>
  <c r="V9" i="6" a="1"/>
  <c r="V9" i="6" s="1"/>
  <c r="AF9" i="6" a="1"/>
  <c r="AF9" i="6" s="1"/>
  <c r="R6" i="6" a="1"/>
  <c r="R6" i="6" s="1"/>
  <c r="W6" i="6" a="1"/>
  <c r="W6" i="6" s="1"/>
  <c r="Y6" i="6" a="1"/>
  <c r="Y6" i="6" s="1"/>
  <c r="U11" i="6" a="1"/>
  <c r="U11" i="6" s="1"/>
  <c r="AA15" i="6" a="1"/>
  <c r="AA15" i="6" s="1"/>
  <c r="AE13" i="6" a="1"/>
  <c r="AE13" i="6" s="1"/>
  <c r="AH31" i="6" a="1"/>
  <c r="AH31" i="6" s="1"/>
  <c r="U34" i="6" a="1"/>
  <c r="U34" i="6" s="1"/>
  <c r="AF34" i="6" a="1"/>
  <c r="AF34" i="6" s="1"/>
  <c r="AF28" i="6" a="1"/>
  <c r="AF28" i="6" s="1"/>
  <c r="R39" i="6" a="1"/>
  <c r="R39" i="6" s="1"/>
  <c r="V29" i="6" a="1"/>
  <c r="V29" i="6" s="1"/>
  <c r="R36" i="6" a="1"/>
  <c r="R36" i="6" s="1"/>
  <c r="Z29" i="6" a="1"/>
  <c r="Z29" i="6" s="1"/>
  <c r="P37" i="6" l="1" a="1"/>
  <c r="P37" i="6" s="1"/>
  <c r="P32" i="6" a="1"/>
  <c r="P32" i="6" s="1"/>
  <c r="P42" i="6" a="1"/>
  <c r="P42" i="6" s="1"/>
  <c r="P29" i="6" a="1"/>
  <c r="P29" i="6" s="1"/>
  <c r="P33" i="6" a="1"/>
  <c r="P33" i="6" s="1"/>
  <c r="P40" i="6" a="1"/>
  <c r="P40" i="6" s="1"/>
  <c r="P41" i="6" a="1"/>
  <c r="P41" i="6" s="1"/>
  <c r="P45" i="6" a="1"/>
  <c r="P45" i="6" s="1"/>
  <c r="P36" i="6" a="1"/>
  <c r="P36" i="6" s="1"/>
  <c r="P35" i="6" a="1"/>
  <c r="P35" i="6" s="1"/>
  <c r="P43" i="6" a="1"/>
  <c r="P43" i="6" s="1"/>
  <c r="P38" i="6" a="1"/>
  <c r="P38" i="6" s="1"/>
  <c r="P28" i="6" a="1"/>
  <c r="P28" i="6" s="1"/>
  <c r="P39" i="6" a="1"/>
  <c r="P39" i="6" s="1"/>
  <c r="P31" i="6" a="1"/>
  <c r="P31" i="6" s="1"/>
  <c r="P27" i="6" a="1"/>
  <c r="P27" i="6" s="1"/>
  <c r="P44" i="6" a="1"/>
  <c r="P44" i="6" s="1"/>
  <c r="P30" i="6" a="1"/>
  <c r="P30" i="6" s="1"/>
  <c r="P46" i="6" a="1"/>
  <c r="P46" i="6" s="1"/>
  <c r="P5" i="6" a="1"/>
  <c r="P5" i="6" s="1"/>
  <c r="P8" i="6" a="1"/>
  <c r="P8" i="6" s="1"/>
  <c r="P19" i="6" a="1"/>
  <c r="P19" i="6" s="1"/>
  <c r="P15" i="6" a="1"/>
  <c r="P15" i="6" s="1"/>
  <c r="P16" i="6" a="1"/>
  <c r="P16" i="6" s="1"/>
  <c r="P7" i="6" a="1"/>
  <c r="P7" i="6" s="1"/>
  <c r="P12" i="6" a="1"/>
  <c r="P12" i="6" s="1"/>
  <c r="P11" i="6" a="1"/>
  <c r="P11" i="6" s="1"/>
  <c r="P10" i="6" a="1"/>
  <c r="P10" i="6" s="1"/>
  <c r="P13" i="6" a="1"/>
  <c r="P13" i="6" s="1"/>
  <c r="P18" i="6" a="1"/>
  <c r="P18" i="6" s="1"/>
  <c r="P14" i="6" a="1"/>
  <c r="P14" i="6" s="1"/>
  <c r="P23" i="6" a="1"/>
  <c r="P23" i="6" s="1"/>
  <c r="P20" i="6" a="1"/>
  <c r="P20" i="6" s="1"/>
  <c r="P6" i="6" a="1"/>
  <c r="P6" i="6" s="1"/>
  <c r="P22" i="6" a="1"/>
  <c r="P22" i="6" s="1"/>
  <c r="P21" i="6" a="1"/>
  <c r="P21" i="6" s="1"/>
  <c r="H4" i="6" a="1"/>
  <c r="P9" i="6" a="1"/>
  <c r="P9" i="6" s="1"/>
  <c r="AI4" i="6" a="1"/>
  <c r="AI4" i="6" s="1"/>
  <c r="T4" i="6" a="1"/>
  <c r="T4" i="6" s="1"/>
  <c r="V4" i="6" a="1"/>
  <c r="V4" i="6" s="1"/>
  <c r="Q4" i="6" a="1"/>
  <c r="Q4" i="6" s="1"/>
  <c r="AG4" i="6" a="1"/>
  <c r="AG4" i="6" s="1"/>
  <c r="AA4" i="6" a="1"/>
  <c r="AA4" i="6" s="1"/>
  <c r="Y4" i="6" a="1"/>
  <c r="Y4" i="6" s="1"/>
  <c r="Z4" i="6" a="1"/>
  <c r="Z4" i="6" s="1"/>
  <c r="X4" i="6" a="1"/>
  <c r="X4" i="6" s="1"/>
  <c r="AE4" i="6" a="1"/>
  <c r="AE4" i="6" s="1"/>
  <c r="U4" i="6" a="1"/>
  <c r="U4" i="6" s="1"/>
  <c r="R4" i="6" a="1"/>
  <c r="R4" i="6" s="1"/>
  <c r="AC4" i="6" a="1"/>
  <c r="AC4" i="6" s="1"/>
  <c r="AH4" i="6" a="1"/>
  <c r="AH4" i="6" s="1"/>
  <c r="AF4" i="6" a="1"/>
  <c r="AF4" i="6" s="1"/>
  <c r="S4" i="6" a="1"/>
  <c r="S4" i="6" s="1"/>
  <c r="W4" i="6" a="1"/>
  <c r="W4" i="6" s="1"/>
  <c r="AD4" i="6" a="1"/>
  <c r="AD4" i="6" s="1"/>
  <c r="AB4" i="6" a="1"/>
  <c r="AB4" i="6" s="1"/>
  <c r="AD27" i="6" a="1"/>
  <c r="AD27" i="6" s="1"/>
  <c r="T27" i="6" a="1"/>
  <c r="T27" i="6" s="1"/>
  <c r="AH27" i="6" a="1"/>
  <c r="AH27" i="6" s="1"/>
  <c r="R27" i="6" a="1"/>
  <c r="R27" i="6" s="1"/>
  <c r="Q27" i="6" a="1"/>
  <c r="Q27" i="6" s="1"/>
  <c r="X27" i="6" a="1"/>
  <c r="X27" i="6" s="1"/>
  <c r="Y27" i="6" a="1"/>
  <c r="Y27" i="6" s="1"/>
  <c r="V27" i="6" a="1"/>
  <c r="V27" i="6" s="1"/>
  <c r="AB27" i="6" a="1"/>
  <c r="AB27" i="6" s="1"/>
  <c r="S27" i="6" a="1"/>
  <c r="S27" i="6" s="1"/>
  <c r="AC27" i="6" a="1"/>
  <c r="AC27" i="6" s="1"/>
  <c r="Z27" i="6" a="1"/>
  <c r="Z27" i="6" s="1"/>
  <c r="U27" i="6" a="1"/>
  <c r="U27" i="6" s="1"/>
  <c r="H27" i="6" a="1"/>
  <c r="AF27" i="6" a="1"/>
  <c r="AF27" i="6" s="1"/>
  <c r="AG27" i="6" a="1"/>
  <c r="AG27" i="6" s="1"/>
  <c r="AI27" i="6" a="1"/>
  <c r="AI27" i="6" s="1"/>
  <c r="W27" i="6" a="1"/>
  <c r="W27" i="6" s="1"/>
  <c r="AA27" i="6" a="1"/>
  <c r="AA27" i="6" s="1"/>
  <c r="AE27" i="6" a="1"/>
  <c r="AE27" i="6" s="1"/>
  <c r="P4" i="6" a="1"/>
  <c r="P4" i="6" s="1"/>
  <c r="M20" i="6" l="1"/>
  <c r="L20" i="6"/>
  <c r="J20" i="6"/>
  <c r="K20" i="6"/>
  <c r="I20" i="6"/>
  <c r="H4" i="6"/>
  <c r="M18" i="6"/>
  <c r="L16" i="6"/>
  <c r="M13" i="6"/>
  <c r="L10" i="6"/>
  <c r="M9" i="6"/>
  <c r="K10" i="6"/>
  <c r="K14" i="6"/>
  <c r="K17" i="6"/>
  <c r="J14" i="6"/>
  <c r="L17" i="6"/>
  <c r="J17" i="6"/>
  <c r="L13" i="6"/>
  <c r="M15" i="6"/>
  <c r="L12" i="6"/>
  <c r="M11" i="6"/>
  <c r="K12" i="6"/>
  <c r="L8" i="6"/>
  <c r="J15" i="6"/>
  <c r="K19" i="6"/>
  <c r="J8" i="6"/>
  <c r="K15" i="6"/>
  <c r="M12" i="6"/>
  <c r="M17" i="6"/>
  <c r="J19" i="6"/>
  <c r="L15" i="6"/>
  <c r="M14" i="6"/>
  <c r="L9" i="6"/>
  <c r="J12" i="6"/>
  <c r="K9" i="6"/>
  <c r="J13" i="6"/>
  <c r="K16" i="6"/>
  <c r="M8" i="6"/>
  <c r="K13" i="6"/>
  <c r="K18" i="6"/>
  <c r="K8" i="6"/>
  <c r="M19" i="6"/>
  <c r="J18" i="6"/>
  <c r="L14" i="6"/>
  <c r="M16" i="6"/>
  <c r="L11" i="6"/>
  <c r="J11" i="6"/>
  <c r="K11" i="6"/>
  <c r="L18" i="6"/>
  <c r="J9" i="6"/>
  <c r="J10" i="6"/>
  <c r="L19" i="6"/>
  <c r="M10" i="6"/>
  <c r="J16" i="6"/>
  <c r="I19" i="6"/>
  <c r="I11" i="6"/>
  <c r="J6" i="6"/>
  <c r="J5" i="6"/>
  <c r="L7" i="6"/>
  <c r="M7" i="6"/>
  <c r="I9" i="6"/>
  <c r="I5" i="6"/>
  <c r="J7" i="6"/>
  <c r="I6" i="6"/>
  <c r="I13" i="6"/>
  <c r="I14" i="6"/>
  <c r="M6" i="6"/>
  <c r="I17" i="6"/>
  <c r="I8" i="6"/>
  <c r="L5" i="6"/>
  <c r="K5" i="6"/>
  <c r="I12" i="6"/>
  <c r="L6" i="6"/>
  <c r="I7" i="6"/>
  <c r="I15" i="6"/>
  <c r="I18" i="6"/>
  <c r="I10" i="6"/>
  <c r="K6" i="6"/>
  <c r="K7" i="6"/>
  <c r="I16" i="6"/>
  <c r="M5" i="6"/>
  <c r="L33" i="6"/>
  <c r="K38" i="6"/>
  <c r="I35" i="6"/>
  <c r="I38" i="6"/>
  <c r="K34" i="6"/>
  <c r="J38" i="6"/>
  <c r="L35" i="6"/>
  <c r="M30" i="6"/>
  <c r="I30" i="6"/>
  <c r="M29" i="6"/>
  <c r="J29" i="6"/>
  <c r="L38" i="6"/>
  <c r="I29" i="6"/>
  <c r="L29" i="6"/>
  <c r="J39" i="6"/>
  <c r="M34" i="6"/>
  <c r="L34" i="6"/>
  <c r="M39" i="6"/>
  <c r="M35" i="6"/>
  <c r="M38" i="6"/>
  <c r="J35" i="6"/>
  <c r="J36" i="6"/>
  <c r="M32" i="6"/>
  <c r="J32" i="6"/>
  <c r="M36" i="6"/>
  <c r="J34" i="6"/>
  <c r="I28" i="6"/>
  <c r="I34" i="6"/>
  <c r="K37" i="6"/>
  <c r="L37" i="6"/>
  <c r="I39" i="6"/>
  <c r="K32" i="6"/>
  <c r="K35" i="6"/>
  <c r="J30" i="6"/>
  <c r="K29" i="6"/>
  <c r="L31" i="6"/>
  <c r="M28" i="6"/>
  <c r="I37" i="6"/>
  <c r="I32" i="6"/>
  <c r="K36" i="6"/>
  <c r="K28" i="6"/>
  <c r="I31" i="6"/>
  <c r="K39" i="6"/>
  <c r="J31" i="6"/>
  <c r="L39" i="6"/>
  <c r="L30" i="6"/>
  <c r="I33" i="6"/>
  <c r="J33" i="6"/>
  <c r="J37" i="6"/>
  <c r="M31" i="6"/>
  <c r="K33" i="6"/>
  <c r="I36" i="6"/>
  <c r="H27" i="6"/>
  <c r="J28" i="6"/>
  <c r="L32" i="6"/>
  <c r="M37" i="6"/>
  <c r="M33" i="6"/>
  <c r="K31" i="6"/>
  <c r="L36" i="6"/>
  <c r="K30" i="6"/>
  <c r="L28" i="6"/>
  <c r="J4" i="6" l="1"/>
  <c r="I4" i="6"/>
  <c r="M4" i="6"/>
  <c r="L4" i="6"/>
  <c r="K4" i="6"/>
  <c r="M27" i="6"/>
  <c r="L27" i="6"/>
  <c r="J27" i="6"/>
  <c r="I27" i="6"/>
  <c r="K27" i="6"/>
  <c r="F6" i="6" l="1" a="1"/>
  <c r="F6" i="6" s="1"/>
  <c r="F5" i="6" a="1"/>
  <c r="F5" i="6" s="1"/>
  <c r="F31" i="6" a="1"/>
  <c r="F31" i="6" s="1"/>
  <c r="F38" i="6" a="1"/>
  <c r="F38" i="6" s="1"/>
  <c r="E38" i="6" a="1"/>
  <c r="E38" i="6" s="1"/>
  <c r="C38" i="6" a="1"/>
  <c r="C38" i="6" s="1"/>
  <c r="D38" i="6" a="1"/>
  <c r="D38" i="6" s="1"/>
  <c r="E31" i="6" a="1"/>
  <c r="E31" i="6" s="1"/>
  <c r="D31" i="6" a="1"/>
  <c r="D31" i="6" s="1"/>
  <c r="C31" i="6" a="1"/>
  <c r="C31" i="6" s="1"/>
  <c r="F37" i="6" a="1"/>
  <c r="F37" i="6" s="1"/>
  <c r="D30" i="6" a="1"/>
  <c r="D30" i="6" s="1"/>
  <c r="C37" i="6" a="1"/>
  <c r="C37" i="6" s="1"/>
  <c r="F30" i="6" a="1"/>
  <c r="F30" i="6" s="1"/>
  <c r="D37" i="6" a="1"/>
  <c r="D37" i="6" s="1"/>
  <c r="E30" i="6" a="1"/>
  <c r="E30" i="6" s="1"/>
  <c r="E37" i="6" a="1"/>
  <c r="E37" i="6" s="1"/>
  <c r="C30" i="6" a="1"/>
  <c r="C30" i="6" s="1"/>
  <c r="C39" i="6" a="1"/>
  <c r="C39" i="6" s="1"/>
  <c r="F39" i="6" a="1"/>
  <c r="F39" i="6" s="1"/>
  <c r="E32" i="6" a="1"/>
  <c r="E32" i="6" s="1"/>
  <c r="E39" i="6" a="1"/>
  <c r="E39" i="6" s="1"/>
  <c r="D32" i="6" a="1"/>
  <c r="D32" i="6" s="1"/>
  <c r="F32" i="6" a="1"/>
  <c r="F32" i="6" s="1"/>
  <c r="D39" i="6" a="1"/>
  <c r="D39" i="6" s="1"/>
  <c r="C32" i="6" a="1"/>
  <c r="C32" i="6" s="1"/>
  <c r="F29" i="6" a="1"/>
  <c r="F29" i="6" s="1"/>
  <c r="C29" i="6" a="1"/>
  <c r="C29" i="6" s="1"/>
  <c r="D36" i="6" a="1"/>
  <c r="D36" i="6" s="1"/>
  <c r="E36" i="6" a="1"/>
  <c r="E36" i="6" s="1"/>
  <c r="D29" i="6" a="1"/>
  <c r="D29" i="6" s="1"/>
  <c r="C36" i="6" a="1"/>
  <c r="C36" i="6" s="1"/>
  <c r="E29" i="6" a="1"/>
  <c r="E29" i="6" s="1"/>
  <c r="F36" i="6" a="1"/>
  <c r="F36" i="6" s="1"/>
  <c r="E45" i="6" l="1"/>
  <c r="F46" i="6"/>
  <c r="K21" i="7" s="1"/>
  <c r="C46" i="6"/>
  <c r="H21" i="7" s="1"/>
  <c r="E44" i="6"/>
  <c r="E43" i="6"/>
  <c r="F44" i="6"/>
  <c r="K19" i="7" s="1"/>
  <c r="D45" i="6"/>
  <c r="I20" i="7" s="1"/>
  <c r="D43" i="6"/>
  <c r="I18" i="7" s="1"/>
  <c r="C44" i="6"/>
  <c r="D46" i="6"/>
  <c r="I21" i="7" s="1"/>
  <c r="E46" i="6"/>
  <c r="J21" i="7" s="1"/>
  <c r="C43" i="6"/>
  <c r="H18" i="7" s="1"/>
  <c r="D44" i="6"/>
  <c r="F43" i="6"/>
  <c r="F45" i="6"/>
  <c r="C45" i="6"/>
  <c r="H20" i="7" s="1"/>
  <c r="F7" i="6"/>
  <c r="Q54" i="7" l="1"/>
  <c r="R54" i="7" s="1"/>
  <c r="Q59" i="7"/>
  <c r="R59" i="7" s="1"/>
  <c r="Q57" i="7"/>
  <c r="R57" i="7" s="1"/>
  <c r="Q56" i="7"/>
  <c r="R56" i="7" s="1"/>
  <c r="Q58" i="7"/>
  <c r="R58" i="7" s="1"/>
  <c r="Q55" i="7"/>
  <c r="R55" i="7" s="1"/>
  <c r="Q60" i="7"/>
  <c r="R60" i="7" s="1"/>
  <c r="Q47" i="7"/>
  <c r="R47" i="7" s="1"/>
  <c r="Q42" i="7"/>
  <c r="R42" i="7" s="1"/>
  <c r="Q46" i="7"/>
  <c r="R46" i="7" s="1"/>
  <c r="Q43" i="7"/>
  <c r="R43" i="7" s="1"/>
  <c r="Q50" i="7"/>
  <c r="R50" i="7" s="1"/>
  <c r="Q51" i="7"/>
  <c r="R51" i="7" s="1"/>
  <c r="Q49" i="7"/>
  <c r="R49" i="7" s="1"/>
  <c r="Q44" i="7"/>
  <c r="R44" i="7" s="1"/>
  <c r="Q45" i="7"/>
  <c r="R45" i="7" s="1"/>
  <c r="Q53" i="7"/>
  <c r="R53" i="7" s="1"/>
  <c r="Q52" i="7"/>
  <c r="R52" i="7" s="1"/>
  <c r="Q48" i="7"/>
  <c r="R48" i="7" s="1"/>
  <c r="Q35" i="7"/>
  <c r="R35" i="7" s="1"/>
  <c r="J20" i="7"/>
  <c r="J19" i="7"/>
  <c r="J18" i="7"/>
  <c r="I19" i="7"/>
  <c r="K18" i="7"/>
  <c r="H19" i="7"/>
  <c r="K20" i="7"/>
  <c r="Q16" i="7"/>
  <c r="R16" i="7" s="1"/>
  <c r="Q40" i="7"/>
  <c r="R40" i="7" s="1"/>
  <c r="Q19" i="7"/>
  <c r="R19" i="7" s="1"/>
  <c r="Q18" i="7"/>
  <c r="R18" i="7" s="1"/>
  <c r="Q10" i="7"/>
  <c r="R10" i="7" s="1"/>
  <c r="Q23" i="7"/>
  <c r="R23" i="7" s="1"/>
  <c r="Q12" i="7"/>
  <c r="R12" i="7" s="1"/>
  <c r="Q37" i="7"/>
  <c r="R37" i="7" s="1"/>
  <c r="Q30" i="7"/>
  <c r="R30" i="7" s="1"/>
  <c r="Q29" i="7"/>
  <c r="R29" i="7" s="1"/>
  <c r="Q6" i="7"/>
  <c r="R6" i="7" s="1"/>
  <c r="Q26" i="7"/>
  <c r="R26" i="7" s="1"/>
  <c r="Q41" i="7"/>
  <c r="R41" i="7" s="1"/>
  <c r="Q9" i="7"/>
  <c r="R9" i="7" s="1"/>
  <c r="Q11" i="7"/>
  <c r="R11" i="7" s="1"/>
  <c r="Q36" i="7"/>
  <c r="R36" i="7" s="1"/>
  <c r="Q28" i="7"/>
  <c r="R28" i="7" s="1"/>
  <c r="Q21" i="7"/>
  <c r="R21" i="7" s="1"/>
  <c r="Q33" i="7"/>
  <c r="R33" i="7" s="1"/>
  <c r="Q8" i="7"/>
  <c r="R8" i="7" s="1"/>
  <c r="D10" i="7"/>
  <c r="Q15" i="7"/>
  <c r="R15" i="7" s="1"/>
  <c r="Q22" i="7"/>
  <c r="R22" i="7" s="1"/>
  <c r="Q7" i="7"/>
  <c r="R7" i="7" s="1"/>
  <c r="C12" i="7" a="1"/>
  <c r="C12" i="7" s="1"/>
  <c r="Q39" i="7"/>
  <c r="R39" i="7" s="1"/>
  <c r="Q17" i="7"/>
  <c r="R17" i="7" s="1"/>
  <c r="Q27" i="7"/>
  <c r="R27" i="7" s="1"/>
  <c r="Q24" i="7"/>
  <c r="R24" i="7" s="1"/>
  <c r="Q13" i="7"/>
  <c r="R13" i="7" s="1"/>
  <c r="Q25" i="7"/>
  <c r="R25" i="7" s="1"/>
  <c r="Q31" i="7"/>
  <c r="R31" i="7" s="1"/>
  <c r="Q14" i="7"/>
  <c r="R14" i="7" s="1"/>
  <c r="Q38" i="7"/>
  <c r="R38" i="7" s="1"/>
  <c r="Q34" i="7"/>
  <c r="R34" i="7" s="1"/>
  <c r="Q20" i="7"/>
  <c r="R20" i="7" s="1"/>
  <c r="Q32" i="7"/>
  <c r="R32" i="7" s="1"/>
  <c r="I31" i="7" l="1"/>
  <c r="J31" i="7" s="1"/>
  <c r="J33" i="7" s="1"/>
  <c r="I33" i="7"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<sst xmlns="http://schemas.openxmlformats.org/spreadsheetml/2006/main" count="230" uniqueCount="120">
  <si>
    <t>Period</t>
  </si>
  <si>
    <t>Begin</t>
  </si>
  <si>
    <t>End</t>
  </si>
  <si>
    <t>Days</t>
  </si>
  <si>
    <t>Years</t>
  </si>
  <si>
    <t>Notional</t>
  </si>
  <si>
    <t>Strike</t>
  </si>
  <si>
    <t>Forward Curve</t>
  </si>
  <si>
    <t>Vol</t>
  </si>
  <si>
    <t>Caplet</t>
  </si>
  <si>
    <t>Vega</t>
  </si>
  <si>
    <t>Cumulative Caplets</t>
  </si>
  <si>
    <t>Cumulative Vegas</t>
  </si>
  <si>
    <t>PV Factor</t>
  </si>
  <si>
    <t>Effective</t>
  </si>
  <si>
    <t>First Period End</t>
  </si>
  <si>
    <t>Option Type</t>
  </si>
  <si>
    <t>Cap</t>
  </si>
  <si>
    <t>Floor</t>
  </si>
  <si>
    <t>Caplet/Floorlet</t>
  </si>
  <si>
    <t>Floorlet</t>
  </si>
  <si>
    <t>Last Period Begin</t>
  </si>
  <si>
    <t>Maturity</t>
  </si>
  <si>
    <t>Notional Type</t>
  </si>
  <si>
    <t>Strike Type</t>
  </si>
  <si>
    <t>Bullet</t>
  </si>
  <si>
    <t>Schedule</t>
  </si>
  <si>
    <t>Constant</t>
  </si>
  <si>
    <t>Stepped</t>
  </si>
  <si>
    <t>Notional (If Bullet)</t>
  </si>
  <si>
    <t>Strike (If Constant)</t>
  </si>
  <si>
    <t>Index</t>
  </si>
  <si>
    <t>Term SOFR</t>
  </si>
  <si>
    <t>NYFED SOFR</t>
  </si>
  <si>
    <t>Last Update</t>
  </si>
  <si>
    <t>Date</t>
  </si>
  <si>
    <t>ATM</t>
  </si>
  <si>
    <t>RESETS</t>
  </si>
  <si>
    <t>VOLS</t>
  </si>
  <si>
    <t>Period Begin</t>
  </si>
  <si>
    <t>Period End</t>
  </si>
  <si>
    <t>SINGLE STRUCTURE</t>
  </si>
  <si>
    <t>MID</t>
  </si>
  <si>
    <t>VEGA</t>
  </si>
  <si>
    <t>ADJUSTMENTS</t>
  </si>
  <si>
    <t>Vegas</t>
  </si>
  <si>
    <t>Mid</t>
  </si>
  <si>
    <t>Flat Adjustment</t>
  </si>
  <si>
    <t>Vega Adjustment</t>
  </si>
  <si>
    <t>Flat</t>
  </si>
  <si>
    <t>Known Maturities</t>
  </si>
  <si>
    <t>Known Strikes</t>
  </si>
  <si>
    <t>DELTAS</t>
  </si>
  <si>
    <t>Premium</t>
  </si>
  <si>
    <t>Adjustment Type</t>
  </si>
  <si>
    <t>ADJUSTMENT SURFACE</t>
  </si>
  <si>
    <t>Min Adjustment</t>
  </si>
  <si>
    <t>Max Adjustment</t>
  </si>
  <si>
    <t>Flat (% of Mid)</t>
  </si>
  <si>
    <t>Strikes</t>
  </si>
  <si>
    <t>Maturities</t>
  </si>
  <si>
    <t>VEGAS</t>
  </si>
  <si>
    <t>PREMIUMS</t>
  </si>
  <si>
    <t>MIDS</t>
  </si>
  <si>
    <t>VEGA ADJUSTMENTS</t>
  </si>
  <si>
    <t>FLAT ADJUSTMENTS</t>
  </si>
  <si>
    <t>Resets</t>
  </si>
  <si>
    <t>PV Projected Payout</t>
  </si>
  <si>
    <t>ANALYSIS</t>
  </si>
  <si>
    <t>Rate Environment</t>
  </si>
  <si>
    <t>+2 Standard Deviations</t>
  </si>
  <si>
    <t>+1 Standard Deviation</t>
  </si>
  <si>
    <t>-1 Standard Deviation</t>
  </si>
  <si>
    <t>-2 Standard Deviations</t>
  </si>
  <si>
    <t>Market Expectations</t>
  </si>
  <si>
    <t>Fed Projections</t>
  </si>
  <si>
    <t>+50bps</t>
  </si>
  <si>
    <t>+25bps</t>
  </si>
  <si>
    <t>-25bps</t>
  </si>
  <si>
    <t>-50bps</t>
  </si>
  <si>
    <t>Custom Curve</t>
  </si>
  <si>
    <t>Dollars</t>
  </si>
  <si>
    <t>% of Premium</t>
  </si>
  <si>
    <t>% of Notional</t>
  </si>
  <si>
    <t>Cost Display</t>
  </si>
  <si>
    <t>Reset Date</t>
  </si>
  <si>
    <t>Median FF</t>
  </si>
  <si>
    <t>DOT PLOT</t>
  </si>
  <si>
    <t>EOY</t>
  </si>
  <si>
    <t>Rates at 6.00%</t>
  </si>
  <si>
    <t>Rates at 0.00%</t>
  </si>
  <si>
    <t>GRID PRICING</t>
  </si>
  <si>
    <t>Generally, this material is for informational purposes only and is not intended as an offer or solicitation for the purchase or sale of any financial instrument or as an official confirmation of any transaction. Your receipt of this material does not create a client relationship with us and we are not acting as fiduciary or advisory capacity to you by providing the information herein. All market prices, data and other information are not warranted as to completeness or accuracy and are subject to change without notice. This material may contain information that is privileged, confidential, legally privileged, and/or exempt from disclosure under applicable law. Though the information herein may discuss certain legal and tax aspects of financial instruments, Pensford, LLC does not provide legal or tax advice. The contents herein are the copyright material of Pensford, LLC and shall not be copied, reproduced, or redistributed without the express written permission of Pensford, LLC.</t>
  </si>
  <si>
    <t>PERIOD</t>
  </si>
  <si>
    <t>PREMIUM</t>
  </si>
  <si>
    <t>PROTECTION</t>
  </si>
  <si>
    <t>Reset</t>
  </si>
  <si>
    <t>Premium Display</t>
  </si>
  <si>
    <t xml:space="preserve">                    PV Projected Payout</t>
  </si>
  <si>
    <t xml:space="preserve">                    Net Benefit/(Cost)</t>
  </si>
  <si>
    <t>All results are for modeling purposes only and do not represent executable prices.  Longer dated (&gt;3 years), lower strike (&lt;3.00%), and larger notional (&gt;$300mm) structures are more sensitive to pricing swings.  Pricing is exclusive of advisory and legal fees, and assumes market standard counterparty rating requirements.</t>
  </si>
  <si>
    <t>Error Messages</t>
  </si>
  <si>
    <t>For a more precise or executable quote, please email capteam@pensford.com or call (704) 887-9880.</t>
  </si>
  <si>
    <t>Model Mode</t>
  </si>
  <si>
    <t>Internal</t>
  </si>
  <si>
    <t>Public</t>
  </si>
  <si>
    <t>SETTINGS</t>
  </si>
  <si>
    <t>CAP GRID CONSOLIDATOR</t>
  </si>
  <si>
    <t>FLOOR GRID CONSOLIDATOR</t>
  </si>
  <si>
    <t>BANK ADJUSTMENTS</t>
  </si>
  <si>
    <t>MODEL UPDATE</t>
  </si>
  <si>
    <t>Min Premium</t>
  </si>
  <si>
    <t>Hedge Type</t>
  </si>
  <si>
    <t>INTERPOLATED ADJUSTMENT SURFACE</t>
  </si>
  <si>
    <t>Adjustment Surface</t>
  </si>
  <si>
    <t>Indics Only</t>
  </si>
  <si>
    <t>Enhanced</t>
  </si>
  <si>
    <t>ENHANCED RANGE</t>
  </si>
  <si>
    <t>ADJUSTMENT SURFACE ENHANCEMENTS</t>
  </si>
  <si>
    <t>Maturities (Months)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</si>
</sst>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_(&quot;$&quot;* #,##0_);_(&quot;$&quot;* \(#,##0\);_(&quot;$&quot;* &quot;-&quot;??_);_(@_)"/>
    <numFmt numFmtId="165" formatCode="&quot;$&quot;#,##0"/>
    <numFmt numFmtId="166" formatCode="0.0000"/>
    <numFmt numFmtId="167" formatCode="_(* #,##0.0000_);_(* \(#,##0.0000\);_(* &quot;-&quot;??_);_(@_)"/>
    <numFmt numFmtId="168" formatCode="_(* #,##0_);_(* \(#,##0\);_(* &quot;-&quot;??_);_(@_)"/>
  </numFmts>
  <fonts count="24" x14ac:knownFonts="1">
    <font>
      <sz val="11"/>
      <color theme="1"/>
      <name val="Calibri"/>
      <family val="2"/>
      <scheme val="minor"/>
    </font>
    <font>
      <sz val="11"/>
      <color theme="1"/>
      <name val="Calibri"/>
      <family val="2"/>
      <scheme val="minor"/>
    </font>
    <font>
      <sz val="11"/>
      <color rgb="FF3F3F76"/>
      <name val="Calibri"/>
      <family val="2"/>
      <scheme val="minor"/>
    </font>
    <font>
      <b/>
      <sz val="11"/>
      <color theme="1"/>
      <name val="Calibri"/>
      <family val="2"/>
      <scheme val="minor"/>
    </font>
    <font>
      <b/>
      <sz val="11"/>
      <name val="Calibri"/>
      <family val="2"/>
      <scheme val="minor"/>
    </font>
    <font>
      <sz val="11"/>
      <name val="Calibri"/>
      <family val="2"/>
      <scheme val="minor"/>
    </font>
    <font>
      <i/>
      <sz val="11"/>
      <color theme="2" tint="-0.249977111117893"/>
      <name val="Calibri"/>
      <family val="2"/>
      <scheme val="minor"/>
    </font>
    <font>
      <sz val="11"/>
      <color theme="2" tint="-9.9978637043366805E-2"/>
      <name val="Calibri"/>
      <family val="2"/>
      <scheme val="minor"/>
    </font>
    <font>
      <b/>
      <sz val="14"/>
      <color theme="0"/>
      <name val="Calibri"/>
      <family val="2"/>
      <scheme val="minor"/>
    </font>
    <font>
      <b/>
      <sz val="12"/>
      <color theme="0"/>
      <name val="Calibri"/>
      <family val="2"/>
      <scheme val="minor"/>
    </font>
    <font>
      <b/>
      <sz val="18"/>
      <color theme="9" tint="-0.499984740745262"/>
      <name val="Calibri"/>
      <family val="2"/>
      <scheme val="minor"/>
    </font>
    <font>
      <b/>
      <sz val="12"/>
      <color theme="1" tint="0.249977111117893"/>
      <name val="Calibri"/>
      <family val="2"/>
      <scheme val="minor"/>
    </font>
    <font>
      <sz val="12"/>
      <color theme="1" tint="0.249977111117893"/>
      <name val="Calibri"/>
      <family val="2"/>
      <scheme val="minor"/>
    </font>
    <font>
      <b/>
      <sz val="12"/>
      <color theme="9" tint="-0.499984740745262"/>
      <name val="Calibri"/>
      <family val="2"/>
      <scheme val="minor"/>
    </font>
    <font>
      <b/>
      <sz val="20"/>
      <color theme="1" tint="0.249977111117893"/>
      <name val="Calibri"/>
      <family val="2"/>
      <scheme val="minor"/>
    </font>
    <font>
      <sz val="10"/>
      <color theme="1" tint="0.249977111117893"/>
      <name val="Calibri"/>
      <family val="2"/>
      <scheme val="minor"/>
    </font>
    <font>
      <sz val="8"/>
      <color theme="1" tint="0.249977111117893"/>
      <name val="Calibri"/>
      <family val="2"/>
      <scheme val="minor"/>
    </font>
    <font>
      <i/>
      <sz val="10"/>
      <color theme="1" tint="0.249977111117893"/>
      <name val="Calibri"/>
      <family val="2"/>
      <scheme val="minor"/>
    </font>
    <font>
      <sz val="6"/>
      <color theme="1" tint="0.249977111117893"/>
      <name val="Calibri"/>
      <family val="2"/>
      <scheme val="minor"/>
    </font>
    <font>
      <b/>
      <sz val="12"/>
      <color rgb="FFC00000"/>
      <name val="Calibri"/>
      <family val="2"/>
      <scheme val="minor"/>
    </font>
    <font>
      <sz val="11"/>
      <color theme="2"/>
      <name val="Calibri"/>
      <family val="2"/>
      <scheme val="minor"/>
    </font>
    <font>
      <b/>
      <sz val="11"/>
      <color theme="2"/>
      <name val="Calibri"/>
      <family val="2"/>
      <scheme val="minor"/>
    </font>
    <font>
      <sz val="11"/>
      <color theme="6" tint="0.39997558519241921"/>
      <name val="Calibri"/>
      <family val="2"/>
      <scheme val="minor"/>
    </font>
    <font>
      <b/>
      <sz val="11"/>
      <color rgb="FFC00000"/>
      <name val="Calibri"/>
      <family val="2"/>
      <scheme val="minor"/>
    </font>
  </fonts>
  <fills count="9">
    <fill>
      <patternFill patternType="none"/>
    </fill>
    <fill>
      <patternFill patternType="gray125"/>
    </fill>
    <fill>
      <patternFill patternType="solid">
        <fgColor rgb="FFFFCC99"/>
      </patternFill>
    </fill>
    <fill>
      <patternFill patternType="solid">
        <fgColor theme="8" tint="0.79998168889431442"/>
        <bgColor indexed="64"/>
      </patternFill>
    </fill>
    <fill>
      <patternFill patternType="solid">
        <fgColor theme="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rgb="FF074063"/>
        <bgColor indexed="64"/>
      </patternFill>
    </fill>
    <fill>
      <patternFill patternType="solid">
        <fgColor theme="6" tint="0.79998168889431442"/>
        <bgColor indexed="64"/>
      </patternFill>
    </fill>
  </fills>
  <borders count="26">
    <border>
      <left/>
      <right/>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theme="1" tint="0.24994659260841701"/>
      </right>
      <top style="medium">
        <color theme="1" tint="0.24994659260841701"/>
      </top>
      <bottom/>
      <diagonal/>
    </border>
    <border>
      <left style="medium">
        <color theme="1" tint="0.24994659260841701"/>
      </left>
      <right/>
      <top/>
      <bottom style="medium">
        <color theme="1" tint="0.24994659260841701"/>
      </bottom>
      <diagonal/>
    </border>
    <border>
      <left/>
      <right style="medium">
        <color theme="1" tint="0.24994659260841701"/>
      </right>
      <top/>
      <bottom style="medium">
        <color theme="1" tint="0.24994659260841701"/>
      </bottom>
      <diagonal/>
    </border>
    <border>
      <left style="medium">
        <color rgb="FF074063"/>
      </left>
      <right/>
      <top style="medium">
        <color rgb="FF074063"/>
      </top>
      <bottom style="medium">
        <color rgb="FF074063"/>
      </bottom>
      <diagonal/>
    </border>
    <border>
      <left style="medium">
        <color rgb="FF074063"/>
      </left>
      <right/>
      <top style="medium">
        <color rgb="FF074063"/>
      </top>
      <bottom/>
      <diagonal/>
    </border>
    <border>
      <left style="medium">
        <color rgb="FF074063"/>
      </left>
      <right/>
      <top/>
      <bottom style="medium">
        <color rgb="FF074063"/>
      </bottom>
      <diagonal/>
    </border>
    <border>
      <left/>
      <right/>
      <top/>
      <bottom style="thick">
        <color theme="8"/>
      </bottom>
      <diagonal/>
    </border>
    <border>
      <left/>
      <right/>
      <top/>
      <bottom style="thick">
        <color theme="1" tint="0.24994659260841701"/>
      </bottom>
      <diagonal/>
    </border>
    <border>
      <left/>
      <right/>
      <top style="thick">
        <color theme="1" tint="0.24994659260841701"/>
      </top>
      <bottom/>
      <diagonal/>
    </border>
    <border>
      <left style="medium">
        <color theme="1" tint="0.24994659260841701"/>
      </left>
      <right/>
      <top/>
      <bottom/>
      <diagonal/>
    </border>
    <border>
      <left/>
      <right style="medium">
        <color theme="1" tint="0.24994659260841701"/>
      </right>
      <top/>
      <bottom/>
      <diagonal/>
    </border>
    <border>
      <left/>
      <right/>
      <top/>
      <bottom style="medium">
        <color theme="1" tint="0.24994659260841701"/>
      </bottom>
      <diagonal/>
    </border>
    <border>
      <left/>
      <right/>
      <top style="medium">
        <color rgb="FF074063"/>
      </top>
      <bottom style="medium">
        <color rgb="FF074063"/>
      </bottom>
      <diagonal/>
    </border>
    <border>
      <left/>
      <right style="medium">
        <color rgb="FF074063"/>
      </right>
      <top style="medium">
        <color rgb="FF074063"/>
      </top>
      <bottom style="medium">
        <color rgb="FF074063"/>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2" fillId="2" borderId="1" applyNumberFormat="0" applyAlignment="0" applyProtection="0"/>
    <xf numFmtId="43" fontId="1" fillId="0" borderId="0" applyFont="0" applyFill="0" applyBorder="0" applyAlignment="0" applyProtection="0"/>
  </cellStyleXfs>
  <cellXfs count="234">
    <xf numFmtId="0" fontId="0" fillId="0" borderId="0" xfId="0"/>
    <xf numFmtId="0" fontId="3" fillId="0" borderId="2" xfId="0" applyFont="1" applyBorder="1"/>
    <xf numFmtId="10" fontId="0" fillId="0" borderId="0" xfId="0" applyNumberFormat="1"/>
    <xf numFmtId="0" fontId="0" fillId="0" borderId="0" xfId="0" applyAlignment="1">
      <alignment horizontal="center"/>
    </xf>
    <xf numFmtId="14" fontId="0" fillId="0" borderId="0" xfId="0" applyNumberFormat="1" applyAlignment="1">
      <alignment horizontal="center"/>
    </xf>
    <xf numFmtId="166" fontId="0" fillId="0" borderId="0" xfId="0" applyNumberFormat="1" applyAlignment="1">
      <alignment horizontal="center"/>
    </xf>
    <xf numFmtId="0" fontId="0" fillId="0" borderId="0" xfId="0" applyAlignment="1">
      <alignment horizontal="left"/>
    </xf>
    <xf numFmtId="0" fontId="4" fillId="4" borderId="0" xfId="0" applyFont="1" applyFill="1" applyAlignment="1">
      <alignment horizontal="center"/>
    </xf>
    <xf numFmtId="0" fontId="4" fillId="0" borderId="0" xfId="0" applyFont="1" applyAlignment="1">
      <alignment horizontal="center"/>
    </xf>
    <xf numFmtId="0" fontId="3" fillId="4" borderId="0" xfId="0" applyFont="1" applyFill="1" applyAlignment="1">
      <alignment horizontal="center"/>
    </xf>
    <xf numFmtId="0" fontId="5" fillId="5" borderId="0" xfId="0" applyFont="1" applyFill="1" applyAlignment="1">
      <alignment horizontal="center"/>
    </xf>
    <xf numFmtId="0" fontId="3" fillId="5" borderId="0" xfId="0" applyFont="1" applyFill="1" applyAlignment="1">
      <alignment horizontal="center"/>
    </xf>
    <xf numFmtId="0" fontId="0" fillId="4" borderId="0" xfId="0" applyFill="1" applyAlignment="1">
      <alignment horizontal="center"/>
    </xf>
    <xf numFmtId="164" fontId="3" fillId="4" borderId="0" xfId="2" applyNumberFormat="1" applyFont="1" applyFill="1" applyAlignment="1">
      <alignment horizontal="center"/>
    </xf>
    <xf numFmtId="164" fontId="0" fillId="0" borderId="0" xfId="2" applyNumberFormat="1" applyFont="1"/>
    <xf numFmtId="164" fontId="0" fillId="0" borderId="0" xfId="2" applyNumberFormat="1" applyFont="1" applyAlignment="1">
      <alignment horizontal="center"/>
    </xf>
    <xf numFmtId="10" fontId="0" fillId="0" borderId="0" xfId="3" applyNumberFormat="1" applyFont="1" applyAlignment="1">
      <alignment horizontal="center"/>
    </xf>
    <xf numFmtId="14" fontId="0" fillId="0" borderId="0" xfId="1" applyNumberFormat="1" applyFont="1" applyAlignment="1">
      <alignment horizontal="center"/>
    </xf>
    <xf numFmtId="164" fontId="4" fillId="4" borderId="0" xfId="2" applyNumberFormat="1" applyFont="1" applyFill="1" applyAlignment="1">
      <alignment horizontal="center"/>
    </xf>
    <xf numFmtId="164" fontId="4" fillId="0" borderId="0" xfId="2" applyNumberFormat="1" applyFont="1" applyFill="1" applyAlignment="1">
      <alignment horizontal="center"/>
    </xf>
    <xf numFmtId="0" fontId="0" fillId="0" borderId="3" xfId="0" applyBorder="1"/>
    <xf numFmtId="164" fontId="0" fillId="0" borderId="0" xfId="2" applyNumberFormat="1" applyFont="1" applyBorder="1" applyAlignment="1">
      <alignment horizontal="center"/>
    </xf>
    <xf numFmtId="164" fontId="0" fillId="0" borderId="0" xfId="2" applyNumberFormat="1" applyFont="1" applyFill="1" applyBorder="1" applyAlignment="1">
      <alignment horizontal="center"/>
    </xf>
    <xf numFmtId="0" fontId="0" fillId="5" borderId="0" xfId="0" applyFill="1"/>
    <xf numFmtId="0" fontId="3" fillId="5" borderId="0" xfId="0" applyFont="1" applyFill="1"/>
    <xf numFmtId="14" fontId="0" fillId="0" borderId="0" xfId="0" applyNumberFormat="1"/>
    <xf numFmtId="10" fontId="0" fillId="0" borderId="0" xfId="3" applyNumberFormat="1" applyFont="1"/>
    <xf numFmtId="0" fontId="3" fillId="5" borderId="0" xfId="0" applyFont="1" applyFill="1" applyAlignment="1">
      <alignment horizontal="left"/>
    </xf>
    <xf numFmtId="0" fontId="0" fillId="0" borderId="7" xfId="0" applyBorder="1"/>
    <xf numFmtId="164" fontId="0" fillId="4" borderId="0" xfId="2" applyNumberFormat="1" applyFont="1" applyFill="1"/>
    <xf numFmtId="10" fontId="0" fillId="4" borderId="0" xfId="3" applyNumberFormat="1" applyFont="1" applyFill="1"/>
    <xf numFmtId="14" fontId="0" fillId="4" borderId="0" xfId="0" applyNumberFormat="1" applyFill="1"/>
    <xf numFmtId="164" fontId="3" fillId="5" borderId="0" xfId="2" applyNumberFormat="1" applyFont="1" applyFill="1"/>
    <xf numFmtId="10" fontId="3" fillId="5" borderId="0" xfId="3" applyNumberFormat="1" applyFont="1" applyFill="1"/>
    <xf numFmtId="14" fontId="3" fillId="5" borderId="0" xfId="0" applyNumberFormat="1" applyFont="1" applyFill="1"/>
    <xf numFmtId="164" fontId="3" fillId="5" borderId="0" xfId="2" applyNumberFormat="1" applyFont="1" applyFill="1" applyAlignment="1">
      <alignment horizontal="left"/>
    </xf>
    <xf numFmtId="0" fontId="4" fillId="5" borderId="0" xfId="0" applyFont="1" applyFill="1" applyAlignment="1">
      <alignment horizontal="left"/>
    </xf>
    <xf numFmtId="0" fontId="0" fillId="5" borderId="0" xfId="0" applyFill="1" applyAlignment="1">
      <alignment horizontal="center"/>
    </xf>
    <xf numFmtId="164" fontId="0" fillId="5" borderId="0" xfId="2" applyNumberFormat="1" applyFont="1" applyFill="1" applyAlignment="1">
      <alignment horizontal="center"/>
    </xf>
    <xf numFmtId="14" fontId="0" fillId="5" borderId="0" xfId="0" applyNumberFormat="1" applyFill="1" applyAlignment="1">
      <alignment horizontal="center"/>
    </xf>
    <xf numFmtId="1" fontId="0" fillId="5" borderId="0" xfId="1" applyNumberFormat="1" applyFont="1" applyFill="1" applyAlignment="1">
      <alignment horizontal="center"/>
    </xf>
    <xf numFmtId="167" fontId="0" fillId="5" borderId="0" xfId="1" applyNumberFormat="1" applyFont="1" applyFill="1" applyAlignment="1">
      <alignment horizontal="center"/>
    </xf>
    <xf numFmtId="10" fontId="0" fillId="5" borderId="0" xfId="0" applyNumberFormat="1" applyFill="1" applyAlignment="1">
      <alignment horizontal="center"/>
    </xf>
    <xf numFmtId="10" fontId="0" fillId="5" borderId="0" xfId="3" applyNumberFormat="1" applyFont="1" applyFill="1" applyAlignment="1">
      <alignment horizontal="center"/>
    </xf>
    <xf numFmtId="164" fontId="3" fillId="5" borderId="4" xfId="2" applyNumberFormat="1" applyFont="1" applyFill="1" applyBorder="1" applyAlignment="1">
      <alignment horizontal="left"/>
    </xf>
    <xf numFmtId="10" fontId="3" fillId="5" borderId="6" xfId="3" applyNumberFormat="1" applyFont="1" applyFill="1" applyBorder="1"/>
    <xf numFmtId="164" fontId="0" fillId="4" borderId="3" xfId="2" applyNumberFormat="1" applyFont="1" applyFill="1" applyBorder="1"/>
    <xf numFmtId="10" fontId="0" fillId="4" borderId="7" xfId="3" applyNumberFormat="1" applyFont="1" applyFill="1" applyBorder="1"/>
    <xf numFmtId="10" fontId="0" fillId="0" borderId="7" xfId="3" applyNumberFormat="1" applyFont="1" applyBorder="1"/>
    <xf numFmtId="10" fontId="0" fillId="0" borderId="9" xfId="3" applyNumberFormat="1" applyFont="1" applyBorder="1"/>
    <xf numFmtId="43" fontId="0" fillId="0" borderId="0" xfId="1" applyFont="1"/>
    <xf numFmtId="10" fontId="0" fillId="0" borderId="4" xfId="3" applyNumberFormat="1" applyFont="1" applyBorder="1"/>
    <xf numFmtId="10" fontId="0" fillId="0" borderId="5" xfId="3" applyNumberFormat="1" applyFont="1" applyBorder="1"/>
    <xf numFmtId="10" fontId="0" fillId="0" borderId="6" xfId="3" applyNumberFormat="1" applyFont="1" applyBorder="1"/>
    <xf numFmtId="10" fontId="0" fillId="0" borderId="3" xfId="3" applyNumberFormat="1" applyFont="1" applyBorder="1"/>
    <xf numFmtId="10" fontId="0" fillId="0" borderId="0" xfId="3" applyNumberFormat="1" applyFont="1" applyBorder="1"/>
    <xf numFmtId="10" fontId="0" fillId="0" borderId="8" xfId="3" applyNumberFormat="1" applyFont="1" applyBorder="1"/>
    <xf numFmtId="10" fontId="0" fillId="0" borderId="2" xfId="3" applyNumberFormat="1" applyFont="1" applyBorder="1"/>
    <xf numFmtId="168" fontId="0" fillId="0" borderId="4" xfId="1" applyNumberFormat="1" applyFont="1" applyBorder="1"/>
    <xf numFmtId="168" fontId="0" fillId="0" borderId="5" xfId="1" applyNumberFormat="1" applyFont="1" applyBorder="1"/>
    <xf numFmtId="168" fontId="0" fillId="0" borderId="6" xfId="1" applyNumberFormat="1" applyFont="1" applyBorder="1"/>
    <xf numFmtId="168" fontId="0" fillId="0" borderId="3" xfId="1" applyNumberFormat="1" applyFont="1" applyBorder="1"/>
    <xf numFmtId="168" fontId="0" fillId="0" borderId="0" xfId="1" applyNumberFormat="1" applyFont="1" applyBorder="1"/>
    <xf numFmtId="168" fontId="0" fillId="0" borderId="7" xfId="1" applyNumberFormat="1" applyFont="1" applyBorder="1"/>
    <xf numFmtId="10" fontId="0" fillId="0" borderId="0" xfId="3" applyNumberFormat="1" applyFont="1" applyFill="1" applyBorder="1"/>
    <xf numFmtId="10" fontId="0" fillId="4" borderId="0" xfId="0" applyNumberFormat="1" applyFill="1"/>
    <xf numFmtId="168" fontId="0" fillId="0" borderId="0" xfId="0" applyNumberFormat="1"/>
    <xf numFmtId="0" fontId="3" fillId="0" borderId="10" xfId="0" applyFont="1" applyBorder="1" applyAlignment="1">
      <alignment horizontal="left"/>
    </xf>
    <xf numFmtId="164" fontId="3" fillId="0" borderId="11" xfId="2" applyNumberFormat="1" applyFont="1" applyBorder="1"/>
    <xf numFmtId="10" fontId="6" fillId="5" borderId="0" xfId="4" applyNumberFormat="1" applyFont="1" applyFill="1" applyBorder="1" applyAlignment="1">
      <alignment horizontal="center"/>
    </xf>
    <xf numFmtId="43" fontId="0" fillId="0" borderId="0" xfId="1" applyFont="1" applyAlignment="1">
      <alignment horizontal="center"/>
    </xf>
    <xf numFmtId="14" fontId="0" fillId="0" borderId="0" xfId="0" applyNumberFormat="1" applyAlignment="1">
      <alignment horizontal="left"/>
    </xf>
    <xf numFmtId="168" fontId="0" fillId="0" borderId="0" xfId="1" applyNumberFormat="1" applyFont="1" applyAlignment="1">
      <alignment horizontal="center"/>
    </xf>
    <xf numFmtId="167" fontId="0" fillId="0" borderId="0" xfId="1" applyNumberFormat="1" applyFont="1" applyAlignment="1">
      <alignment horizontal="center"/>
    </xf>
    <xf numFmtId="14" fontId="0" fillId="4" borderId="0" xfId="0" applyNumberFormat="1" applyFill="1" applyAlignment="1">
      <alignment horizontal="center"/>
    </xf>
    <xf numFmtId="10" fontId="0" fillId="4" borderId="0" xfId="3" applyNumberFormat="1" applyFont="1" applyFill="1" applyAlignment="1">
      <alignment horizontal="center"/>
    </xf>
    <xf numFmtId="164" fontId="0" fillId="0" borderId="7" xfId="2" applyNumberFormat="1" applyFont="1" applyFill="1" applyBorder="1" applyAlignment="1">
      <alignment horizontal="center"/>
    </xf>
    <xf numFmtId="0" fontId="3" fillId="0" borderId="7" xfId="0" applyFont="1" applyBorder="1" applyAlignment="1">
      <alignment horizontal="center"/>
    </xf>
    <xf numFmtId="14" fontId="0" fillId="0" borderId="7" xfId="0" applyNumberFormat="1" applyBorder="1" applyAlignment="1">
      <alignment horizontal="center"/>
    </xf>
    <xf numFmtId="165" fontId="0" fillId="0" borderId="0" xfId="2" applyNumberFormat="1" applyFont="1" applyFill="1" applyAlignment="1">
      <alignment horizontal="left"/>
    </xf>
    <xf numFmtId="164" fontId="0" fillId="0" borderId="0" xfId="2" applyNumberFormat="1" applyFont="1" applyFill="1"/>
    <xf numFmtId="10" fontId="0" fillId="4" borderId="0" xfId="0" applyNumberFormat="1" applyFill="1" applyAlignment="1">
      <alignment horizontal="center"/>
    </xf>
    <xf numFmtId="14" fontId="0" fillId="0" borderId="4" xfId="0" applyNumberFormat="1" applyBorder="1" applyAlignment="1">
      <alignment horizontal="center"/>
    </xf>
    <xf numFmtId="14" fontId="0" fillId="0" borderId="5" xfId="0" applyNumberFormat="1" applyBorder="1" applyAlignment="1">
      <alignment horizontal="center"/>
    </xf>
    <xf numFmtId="14" fontId="0" fillId="0" borderId="3" xfId="0" applyNumberFormat="1" applyBorder="1" applyAlignment="1">
      <alignment horizontal="center"/>
    </xf>
    <xf numFmtId="10" fontId="0" fillId="0" borderId="0" xfId="0" applyNumberFormat="1" applyAlignment="1">
      <alignment horizontal="center"/>
    </xf>
    <xf numFmtId="0" fontId="0" fillId="0" borderId="5" xfId="0" applyBorder="1" applyAlignment="1">
      <alignment horizontal="center"/>
    </xf>
    <xf numFmtId="0" fontId="3" fillId="0" borderId="0" xfId="0" applyFont="1" applyAlignment="1">
      <alignment horizontal="center"/>
    </xf>
    <xf numFmtId="0" fontId="0" fillId="0" borderId="0" xfId="0" quotePrefix="1"/>
    <xf numFmtId="164" fontId="0" fillId="0" borderId="5" xfId="2" applyNumberFormat="1" applyFont="1" applyBorder="1" applyAlignment="1">
      <alignment horizontal="center"/>
    </xf>
    <xf numFmtId="14" fontId="6" fillId="5" borderId="0" xfId="4" applyNumberFormat="1" applyFont="1" applyFill="1" applyBorder="1" applyAlignment="1">
      <alignment horizontal="center"/>
    </xf>
    <xf numFmtId="10" fontId="7" fillId="4" borderId="0" xfId="0" applyNumberFormat="1" applyFont="1" applyFill="1" applyAlignment="1">
      <alignment horizontal="center"/>
    </xf>
    <xf numFmtId="10" fontId="4" fillId="4" borderId="0" xfId="3" applyNumberFormat="1" applyFont="1" applyFill="1" applyAlignment="1">
      <alignment horizontal="center"/>
    </xf>
    <xf numFmtId="0" fontId="4" fillId="4" borderId="0" xfId="0" quotePrefix="1" applyFont="1" applyFill="1" applyAlignment="1">
      <alignment horizontal="center"/>
    </xf>
    <xf numFmtId="10" fontId="20" fillId="0" borderId="6" xfId="0" applyNumberFormat="1" applyFont="1" applyBorder="1" applyAlignment="1">
      <alignment horizontal="center"/>
    </xf>
    <xf numFmtId="10" fontId="20" fillId="0" borderId="7" xfId="0" applyNumberFormat="1" applyFont="1" applyBorder="1" applyAlignment="1">
      <alignment horizontal="center"/>
    </xf>
    <xf numFmtId="10" fontId="20" fillId="0" borderId="9" xfId="0" applyNumberFormat="1" applyFont="1" applyBorder="1" applyAlignment="1">
      <alignment horizontal="center"/>
    </xf>
    <xf numFmtId="10" fontId="3" fillId="4" borderId="0" xfId="3" applyNumberFormat="1" applyFont="1" applyFill="1" applyAlignment="1">
      <alignment horizontal="center"/>
    </xf>
    <xf numFmtId="10" fontId="0" fillId="0" borderId="5" xfId="3" applyNumberFormat="1" applyFont="1" applyBorder="1" applyAlignment="1">
      <alignment horizontal="center"/>
    </xf>
    <xf numFmtId="10" fontId="0" fillId="0" borderId="0" xfId="0" applyNumberFormat="1" applyAlignment="1">
      <alignment horizontal="left"/>
    </xf>
    <xf numFmtId="1" fontId="20" fillId="0" borderId="0" xfId="1" applyNumberFormat="1" applyFont="1" applyFill="1" applyAlignment="1">
      <alignment horizontal="center"/>
    </xf>
    <xf numFmtId="1" fontId="21" fillId="0" borderId="0" xfId="1" applyNumberFormat="1" applyFont="1" applyFill="1" applyAlignment="1">
      <alignment horizontal="center"/>
    </xf>
    <xf numFmtId="1" fontId="20" fillId="0" borderId="5" xfId="1" applyNumberFormat="1" applyFont="1" applyFill="1" applyBorder="1" applyAlignment="1">
      <alignment horizontal="center"/>
    </xf>
    <xf numFmtId="1" fontId="20" fillId="0" borderId="0" xfId="1" applyNumberFormat="1" applyFont="1" applyFill="1" applyBorder="1" applyAlignment="1">
      <alignment horizontal="center"/>
    </xf>
    <xf numFmtId="0" fontId="20" fillId="0" borderId="0" xfId="0" applyFont="1" applyAlignment="1">
      <alignment horizontal="center"/>
    </xf>
    <xf numFmtId="0" fontId="21" fillId="0" borderId="0" xfId="0" applyFont="1" applyAlignment="1">
      <alignment horizontal="center"/>
    </xf>
    <xf numFmtId="0" fontId="0" fillId="8" borderId="0" xfId="0" applyFill="1"/>
    <xf numFmtId="0" fontId="0" fillId="8" borderId="0" xfId="0" applyFill="1" applyAlignment="1">
      <alignment horizontal="center"/>
    </xf>
    <xf numFmtId="0" fontId="0" fillId="8" borderId="0" xfId="0" applyFill="1" applyAlignment="1">
      <alignment horizontal="left"/>
    </xf>
    <xf numFmtId="0" fontId="12" fillId="0" borderId="0" xfId="0" applyFont="1" applyProtection="1">
      <protection hidden="1"/>
    </xf>
    <xf numFmtId="0" fontId="15" fillId="0" borderId="0" xfId="0" applyFont="1" applyAlignment="1" applyProtection="1">
      <alignment horizontal="left" vertical="top" wrapText="1"/>
      <protection hidden="1"/>
    </xf>
    <xf numFmtId="0" fontId="11" fillId="0" borderId="18" xfId="0" applyFont="1" applyBorder="1" applyProtection="1">
      <protection hidden="1"/>
    </xf>
    <xf numFmtId="0" fontId="12" fillId="0" borderId="18" xfId="0" applyFont="1" applyBorder="1" applyProtection="1">
      <protection hidden="1"/>
    </xf>
    <xf numFmtId="0" fontId="11" fillId="0" borderId="19" xfId="0" applyFont="1" applyBorder="1" applyAlignment="1" applyProtection="1">
      <alignment horizontal="center"/>
      <protection hidden="1"/>
    </xf>
    <xf numFmtId="14" fontId="12" fillId="0" borderId="0" xfId="0" applyNumberFormat="1" applyFont="1" applyAlignment="1" applyProtection="1">
      <alignment horizontal="center"/>
      <protection hidden="1"/>
    </xf>
    <xf numFmtId="0" fontId="12" fillId="0" borderId="0" xfId="0" applyFont="1" applyAlignment="1" applyProtection="1">
      <alignment horizontal="center"/>
      <protection hidden="1"/>
    </xf>
    <xf numFmtId="164" fontId="12" fillId="0" borderId="0" xfId="2" applyNumberFormat="1" applyFont="1" applyAlignment="1" applyProtection="1">
      <alignment horizontal="center"/>
      <protection hidden="1"/>
    </xf>
    <xf numFmtId="10" fontId="12" fillId="0" borderId="0" xfId="3" applyNumberFormat="1" applyFont="1" applyAlignment="1" applyProtection="1">
      <alignment horizontal="center"/>
      <protection hidden="1"/>
    </xf>
    <xf numFmtId="10" fontId="12" fillId="0" borderId="0" xfId="0" applyNumberFormat="1" applyFont="1" applyAlignment="1" applyProtection="1">
      <alignment horizontal="center"/>
      <protection hidden="1"/>
    </xf>
    <xf numFmtId="0" fontId="17" fillId="0" borderId="0" xfId="0" applyFont="1" applyAlignment="1" applyProtection="1">
      <alignment horizontal="left" vertical="top"/>
      <protection hidden="1"/>
    </xf>
    <xf numFmtId="0" fontId="17" fillId="0" borderId="0" xfId="0" applyFont="1" applyAlignment="1" applyProtection="1">
      <alignment horizontal="left" vertical="top" wrapText="1"/>
      <protection hidden="1"/>
    </xf>
    <xf numFmtId="0" fontId="9" fillId="7" borderId="15" xfId="0" applyFont="1" applyFill="1" applyBorder="1" applyAlignment="1" applyProtection="1">
      <alignment vertical="center"/>
      <protection hidden="1"/>
    </xf>
    <xf numFmtId="0" fontId="9" fillId="7" borderId="24" xfId="0" applyFont="1" applyFill="1" applyBorder="1" applyProtection="1">
      <protection hidden="1"/>
    </xf>
    <xf numFmtId="0" fontId="9" fillId="7" borderId="25" xfId="0" applyFont="1" applyFill="1" applyBorder="1" applyProtection="1">
      <protection hidden="1"/>
    </xf>
    <xf numFmtId="0" fontId="11" fillId="0" borderId="21" xfId="0" applyFont="1" applyBorder="1" applyAlignment="1" applyProtection="1">
      <alignment horizontal="center"/>
      <protection hidden="1"/>
    </xf>
    <xf numFmtId="164" fontId="13" fillId="0" borderId="0" xfId="2" applyNumberFormat="1" applyFont="1" applyBorder="1" applyAlignment="1" applyProtection="1">
      <alignment horizontal="center"/>
      <protection hidden="1"/>
    </xf>
    <xf numFmtId="164" fontId="13" fillId="0" borderId="22" xfId="2" applyNumberFormat="1" applyFont="1" applyBorder="1" applyAlignment="1" applyProtection="1">
      <alignment horizontal="center"/>
      <protection hidden="1"/>
    </xf>
    <xf numFmtId="0" fontId="12" fillId="0" borderId="0" xfId="0" applyFont="1" applyAlignment="1" applyProtection="1">
      <alignment horizontal="right"/>
      <protection hidden="1"/>
    </xf>
    <xf numFmtId="164" fontId="13" fillId="0" borderId="23" xfId="2" applyNumberFormat="1" applyFont="1" applyBorder="1" applyAlignment="1" applyProtection="1">
      <alignment horizontal="center"/>
      <protection hidden="1"/>
    </xf>
    <xf numFmtId="164" fontId="13" fillId="0" borderId="14" xfId="2" applyNumberFormat="1" applyFont="1" applyBorder="1" applyAlignment="1" applyProtection="1">
      <alignment horizontal="center"/>
      <protection hidden="1"/>
    </xf>
    <xf numFmtId="0" fontId="12" fillId="0" borderId="18" xfId="0" applyFont="1" applyBorder="1" applyAlignment="1" applyProtection="1">
      <alignment horizontal="right"/>
      <protection hidden="1"/>
    </xf>
    <xf numFmtId="0" fontId="12" fillId="0" borderId="0" xfId="0" applyFont="1" applyAlignment="1" applyProtection="1">
      <alignment horizontal="left"/>
      <protection hidden="1"/>
    </xf>
    <xf numFmtId="164" fontId="12" fillId="0" borderId="0" xfId="2" applyNumberFormat="1" applyFont="1" applyBorder="1" applyAlignment="1" applyProtection="1">
      <alignment horizontal="center"/>
      <protection hidden="1"/>
    </xf>
    <xf numFmtId="164" fontId="11" fillId="0" borderId="0" xfId="2" applyNumberFormat="1" applyFont="1" applyAlignment="1" applyProtection="1">
      <alignment horizontal="center"/>
      <protection hidden="1"/>
    </xf>
    <xf numFmtId="0" fontId="12" fillId="0" borderId="19" xfId="0" applyFont="1" applyBorder="1" applyProtection="1">
      <protection hidden="1"/>
    </xf>
    <xf numFmtId="0" fontId="16" fillId="0" borderId="20" xfId="0" applyFont="1" applyBorder="1" applyAlignment="1" applyProtection="1">
      <alignment vertical="top" wrapText="1"/>
      <protection hidden="1"/>
    </xf>
    <xf numFmtId="0" fontId="12" fillId="0" borderId="20" xfId="0" applyFont="1" applyBorder="1" applyProtection="1">
      <protection hidden="1"/>
    </xf>
    <xf numFmtId="0" fontId="12" fillId="3" borderId="0" xfId="0" applyFont="1" applyFill="1" applyAlignment="1" applyProtection="1">
      <alignment horizontal="right"/>
      <protection locked="0" hidden="1"/>
    </xf>
    <xf numFmtId="165" fontId="12" fillId="3" borderId="0" xfId="0" applyNumberFormat="1" applyFont="1" applyFill="1" applyAlignment="1" applyProtection="1">
      <alignment horizontal="right"/>
      <protection locked="0" hidden="1"/>
    </xf>
    <xf numFmtId="14" fontId="12" fillId="3" borderId="0" xfId="0" applyNumberFormat="1" applyFont="1" applyFill="1" applyAlignment="1" applyProtection="1">
      <alignment horizontal="right"/>
      <protection locked="0" hidden="1"/>
    </xf>
    <xf numFmtId="10" fontId="12" fillId="3" borderId="0" xfId="0" applyNumberFormat="1" applyFont="1" applyFill="1" applyAlignment="1" applyProtection="1">
      <alignment horizontal="right"/>
      <protection locked="0" hidden="1"/>
    </xf>
    <xf numFmtId="10" fontId="12" fillId="3" borderId="21" xfId="0" applyNumberFormat="1" applyFont="1" applyFill="1" applyBorder="1" applyAlignment="1" applyProtection="1">
      <alignment horizontal="center"/>
      <protection locked="0" hidden="1"/>
    </xf>
    <xf numFmtId="10" fontId="12" fillId="3" borderId="13" xfId="0" applyNumberFormat="1" applyFont="1" applyFill="1" applyBorder="1" applyAlignment="1" applyProtection="1">
      <alignment horizontal="center"/>
      <protection locked="0" hidden="1"/>
    </xf>
    <xf numFmtId="14" fontId="12" fillId="3" borderId="0" xfId="0" applyNumberFormat="1" applyFont="1" applyFill="1" applyAlignment="1" applyProtection="1">
      <alignment horizontal="center"/>
      <protection locked="0" hidden="1"/>
    </xf>
    <xf numFmtId="14" fontId="12" fillId="3" borderId="22" xfId="0" applyNumberFormat="1" applyFont="1" applyFill="1" applyBorder="1" applyAlignment="1" applyProtection="1">
      <alignment horizontal="center"/>
      <protection locked="0" hidden="1"/>
    </xf>
    <xf numFmtId="10" fontId="0" fillId="3" borderId="5" xfId="3" applyNumberFormat="1" applyFont="1" applyFill="1" applyBorder="1" applyAlignment="1" applyProtection="1">
      <alignment horizontal="center"/>
      <protection locked="0"/>
    </xf>
    <xf numFmtId="164" fontId="0" fillId="3" borderId="5" xfId="2" applyNumberFormat="1" applyFont="1" applyFill="1" applyBorder="1" applyAlignment="1" applyProtection="1">
      <alignment horizontal="center"/>
      <protection locked="0"/>
    </xf>
    <xf numFmtId="10" fontId="0" fillId="3" borderId="0" xfId="3" applyNumberFormat="1" applyFont="1" applyFill="1" applyAlignment="1" applyProtection="1">
      <alignment horizontal="center"/>
      <protection locked="0"/>
    </xf>
    <xf numFmtId="164" fontId="0" fillId="3" borderId="0" xfId="2" applyNumberFormat="1" applyFont="1" applyFill="1" applyBorder="1" applyAlignment="1" applyProtection="1">
      <alignment horizontal="center"/>
      <protection locked="0"/>
    </xf>
    <xf numFmtId="1" fontId="20" fillId="0" borderId="2" xfId="1" applyNumberFormat="1" applyFont="1" applyFill="1" applyBorder="1" applyAlignment="1">
      <alignment horizontal="center"/>
    </xf>
    <xf numFmtId="0" fontId="0" fillId="3" borderId="0" xfId="0" applyFill="1" applyAlignment="1" applyProtection="1">
      <alignment horizontal="center"/>
      <protection locked="0"/>
    </xf>
    <xf numFmtId="164" fontId="0" fillId="3" borderId="0" xfId="2" applyNumberFormat="1" applyFont="1" applyFill="1" applyAlignment="1" applyProtection="1">
      <alignment horizontal="center"/>
      <protection locked="0"/>
    </xf>
    <xf numFmtId="0" fontId="0" fillId="8" borderId="0" xfId="0" applyFill="1" applyProtection="1">
      <protection locked="0"/>
    </xf>
    <xf numFmtId="14" fontId="0" fillId="3" borderId="0" xfId="0" applyNumberFormat="1" applyFill="1" applyAlignment="1" applyProtection="1">
      <alignment horizontal="center"/>
      <protection locked="0"/>
    </xf>
    <xf numFmtId="167" fontId="0" fillId="3" borderId="0" xfId="1" applyNumberFormat="1" applyFont="1" applyFill="1" applyAlignment="1" applyProtection="1">
      <alignment horizontal="center"/>
      <protection locked="0"/>
    </xf>
    <xf numFmtId="0" fontId="3" fillId="4" borderId="0" xfId="0" applyFont="1" applyFill="1" applyAlignment="1" applyProtection="1">
      <alignment horizontal="center"/>
      <protection locked="0"/>
    </xf>
    <xf numFmtId="10" fontId="3" fillId="3" borderId="0" xfId="3" applyNumberFormat="1" applyFont="1" applyFill="1" applyAlignment="1" applyProtection="1">
      <alignment horizontal="center"/>
      <protection locked="0"/>
    </xf>
    <xf numFmtId="43" fontId="0" fillId="3" borderId="0" xfId="1" applyFont="1" applyFill="1" applyAlignment="1" applyProtection="1">
      <alignment horizontal="center"/>
      <protection locked="0"/>
    </xf>
    <xf numFmtId="0" fontId="3" fillId="3" borderId="0" xfId="0" applyFont="1" applyFill="1" applyAlignment="1" applyProtection="1">
      <alignment horizontal="center"/>
      <protection locked="0"/>
    </xf>
    <xf numFmtId="10" fontId="0" fillId="3" borderId="0" xfId="0" applyNumberFormat="1" applyFill="1" applyAlignment="1" applyProtection="1">
      <alignment horizontal="center"/>
      <protection locked="0"/>
    </xf>
    <xf numFmtId="164" fontId="0" fillId="3" borderId="0" xfId="2" applyNumberFormat="1" applyFont="1" applyFill="1" applyProtection="1">
      <protection locked="0"/>
    </xf>
    <xf numFmtId="10" fontId="0" fillId="3" borderId="0" xfId="3" applyNumberFormat="1" applyFont="1" applyFill="1" applyProtection="1">
      <protection locked="0"/>
    </xf>
    <xf numFmtId="14" fontId="0" fillId="3" borderId="0" xfId="0" applyNumberFormat="1" applyFill="1" applyProtection="1">
      <protection locked="0"/>
    </xf>
    <xf numFmtId="0" fontId="0" fillId="0" borderId="0" xfId="0" applyProtection="1">
      <protection locked="0"/>
    </xf>
    <xf numFmtId="43" fontId="0" fillId="6" borderId="3" xfId="1" applyFont="1" applyFill="1" applyBorder="1" applyProtection="1">
      <protection locked="0"/>
    </xf>
    <xf numFmtId="10" fontId="0" fillId="6" borderId="7" xfId="3" applyNumberFormat="1" applyFont="1" applyFill="1" applyBorder="1" applyProtection="1">
      <protection locked="0"/>
    </xf>
    <xf numFmtId="0" fontId="0" fillId="0" borderId="3" xfId="0" applyBorder="1" applyProtection="1">
      <protection locked="0"/>
    </xf>
    <xf numFmtId="43" fontId="0" fillId="6" borderId="8" xfId="1" applyFont="1" applyFill="1" applyBorder="1" applyProtection="1">
      <protection locked="0"/>
    </xf>
    <xf numFmtId="10" fontId="0" fillId="6" borderId="9" xfId="3" applyNumberFormat="1" applyFont="1" applyFill="1" applyBorder="1" applyProtection="1">
      <protection locked="0"/>
    </xf>
    <xf numFmtId="0" fontId="3" fillId="5" borderId="0" xfId="0" applyFont="1" applyFill="1" applyProtection="1">
      <protection locked="0"/>
    </xf>
    <xf numFmtId="0" fontId="0" fillId="5" borderId="0" xfId="0" applyFill="1" applyProtection="1">
      <protection locked="0"/>
    </xf>
    <xf numFmtId="14" fontId="0" fillId="4" borderId="0" xfId="0" applyNumberFormat="1" applyFill="1" applyProtection="1">
      <protection locked="0"/>
    </xf>
    <xf numFmtId="14" fontId="0" fillId="4" borderId="0" xfId="1" applyNumberFormat="1" applyFont="1" applyFill="1" applyProtection="1">
      <protection locked="0"/>
    </xf>
    <xf numFmtId="14" fontId="0" fillId="4" borderId="0" xfId="3" applyNumberFormat="1" applyFont="1" applyFill="1" applyProtection="1">
      <protection locked="0"/>
    </xf>
    <xf numFmtId="14" fontId="0" fillId="0" borderId="0" xfId="3" applyNumberFormat="1" applyFont="1" applyFill="1" applyProtection="1">
      <protection locked="0"/>
    </xf>
    <xf numFmtId="14" fontId="0" fillId="5" borderId="0" xfId="0" applyNumberFormat="1" applyFill="1" applyProtection="1">
      <protection locked="0"/>
    </xf>
    <xf numFmtId="10" fontId="0" fillId="4" borderId="0" xfId="3" applyNumberFormat="1" applyFont="1" applyFill="1" applyProtection="1">
      <protection locked="0"/>
    </xf>
    <xf numFmtId="43" fontId="0" fillId="0" borderId="4" xfId="1" applyFont="1" applyBorder="1" applyProtection="1">
      <protection locked="0"/>
    </xf>
    <xf numFmtId="43" fontId="0" fillId="0" borderId="5" xfId="1" applyFont="1" applyBorder="1" applyProtection="1">
      <protection locked="0"/>
    </xf>
    <xf numFmtId="43" fontId="0" fillId="0" borderId="6" xfId="1" applyFont="1" applyBorder="1" applyProtection="1">
      <protection locked="0"/>
    </xf>
    <xf numFmtId="43" fontId="0" fillId="0" borderId="3" xfId="1" applyFont="1" applyBorder="1" applyProtection="1">
      <protection locked="0"/>
    </xf>
    <xf numFmtId="43" fontId="0" fillId="0" borderId="0" xfId="1" applyFont="1" applyBorder="1" applyProtection="1">
      <protection locked="0"/>
    </xf>
    <xf numFmtId="43" fontId="0" fillId="0" borderId="7" xfId="1" applyFont="1" applyBorder="1" applyProtection="1">
      <protection locked="0"/>
    </xf>
    <xf numFmtId="43" fontId="0" fillId="0" borderId="8" xfId="1" applyFont="1" applyBorder="1" applyProtection="1">
      <protection locked="0"/>
    </xf>
    <xf numFmtId="43" fontId="0" fillId="0" borderId="2" xfId="1" applyFont="1" applyBorder="1" applyProtection="1">
      <protection locked="0"/>
    </xf>
    <xf numFmtId="43" fontId="0" fillId="0" borderId="9" xfId="1" applyFont="1" applyBorder="1" applyProtection="1">
      <protection locked="0"/>
    </xf>
    <xf numFmtId="10" fontId="0" fillId="0" borderId="0" xfId="3" applyNumberFormat="1" applyFont="1" applyFill="1" applyProtection="1">
      <protection locked="0"/>
    </xf>
    <xf numFmtId="43" fontId="0" fillId="0" borderId="0" xfId="1" applyFont="1" applyFill="1" applyBorder="1" applyProtection="1">
      <protection locked="0"/>
    </xf>
    <xf numFmtId="10" fontId="3" fillId="5" borderId="0" xfId="3" applyNumberFormat="1" applyFont="1" applyFill="1" applyProtection="1">
      <protection locked="0"/>
    </xf>
    <xf numFmtId="10" fontId="0" fillId="0" borderId="4" xfId="3" applyNumberFormat="1" applyFont="1" applyBorder="1" applyProtection="1">
      <protection locked="0"/>
    </xf>
    <xf numFmtId="10" fontId="0" fillId="0" borderId="5" xfId="3" applyNumberFormat="1" applyFont="1" applyBorder="1" applyProtection="1">
      <protection locked="0"/>
    </xf>
    <xf numFmtId="10" fontId="0" fillId="0" borderId="6" xfId="3" applyNumberFormat="1" applyFont="1" applyBorder="1" applyProtection="1">
      <protection locked="0"/>
    </xf>
    <xf numFmtId="10" fontId="0" fillId="0" borderId="3" xfId="3" applyNumberFormat="1" applyFont="1" applyBorder="1" applyProtection="1">
      <protection locked="0"/>
    </xf>
    <xf numFmtId="10" fontId="0" fillId="0" borderId="0" xfId="3" applyNumberFormat="1" applyFont="1" applyBorder="1" applyProtection="1">
      <protection locked="0"/>
    </xf>
    <xf numFmtId="10" fontId="0" fillId="0" borderId="7" xfId="3" applyNumberFormat="1" applyFont="1" applyBorder="1" applyProtection="1">
      <protection locked="0"/>
    </xf>
    <xf numFmtId="10" fontId="0" fillId="0" borderId="8" xfId="3" applyNumberFormat="1" applyFont="1" applyBorder="1" applyProtection="1">
      <protection locked="0"/>
    </xf>
    <xf numFmtId="10" fontId="0" fillId="0" borderId="2" xfId="3" applyNumberFormat="1" applyFont="1" applyBorder="1" applyProtection="1">
      <protection locked="0"/>
    </xf>
    <xf numFmtId="10" fontId="0" fillId="0" borderId="9" xfId="3" applyNumberFormat="1" applyFont="1" applyBorder="1" applyProtection="1">
      <protection locked="0"/>
    </xf>
    <xf numFmtId="14" fontId="0" fillId="3" borderId="0" xfId="3" applyNumberFormat="1" applyFont="1" applyFill="1" applyProtection="1">
      <protection locked="0"/>
    </xf>
    <xf numFmtId="10" fontId="11" fillId="0" borderId="0" xfId="3" applyNumberFormat="1" applyFont="1" applyBorder="1" applyAlignment="1" applyProtection="1">
      <alignment horizontal="center"/>
      <protection hidden="1"/>
    </xf>
    <xf numFmtId="0" fontId="11" fillId="0" borderId="0" xfId="0" applyFont="1" applyAlignment="1" applyProtection="1">
      <alignment horizontal="left"/>
      <protection hidden="1"/>
    </xf>
    <xf numFmtId="10" fontId="0" fillId="0" borderId="4" xfId="3" applyNumberFormat="1" applyFont="1" applyBorder="1" applyAlignment="1">
      <alignment horizontal="center"/>
    </xf>
    <xf numFmtId="14" fontId="0" fillId="0" borderId="6" xfId="0" applyNumberFormat="1" applyBorder="1" applyAlignment="1">
      <alignment horizontal="center"/>
    </xf>
    <xf numFmtId="10" fontId="0" fillId="0" borderId="3" xfId="3" applyNumberFormat="1" applyFont="1" applyBorder="1" applyAlignment="1">
      <alignment horizontal="center"/>
    </xf>
    <xf numFmtId="14" fontId="0" fillId="0" borderId="7" xfId="3" applyNumberFormat="1" applyFont="1" applyBorder="1" applyAlignment="1">
      <alignment horizontal="center"/>
    </xf>
    <xf numFmtId="10" fontId="0" fillId="0" borderId="8" xfId="3" applyNumberFormat="1" applyFont="1" applyBorder="1" applyAlignment="1">
      <alignment horizontal="center"/>
    </xf>
    <xf numFmtId="10" fontId="0" fillId="0" borderId="0" xfId="3" applyNumberFormat="1" applyFont="1" applyFill="1" applyBorder="1" applyProtection="1">
      <protection locked="0"/>
    </xf>
    <xf numFmtId="14" fontId="0" fillId="0" borderId="7" xfId="0" applyNumberFormat="1" applyBorder="1"/>
    <xf numFmtId="14" fontId="0" fillId="0" borderId="9" xfId="0" applyNumberFormat="1" applyBorder="1"/>
    <xf numFmtId="0" fontId="0" fillId="3" borderId="0" xfId="1" applyNumberFormat="1" applyFont="1" applyFill="1" applyAlignment="1" applyProtection="1">
      <alignment horizontal="center"/>
      <protection locked="0"/>
    </xf>
    <xf numFmtId="14" fontId="22" fillId="8" borderId="0" xfId="1" applyNumberFormat="1" applyFont="1" applyFill="1"/>
    <xf numFmtId="10" fontId="22" fillId="8" borderId="0" xfId="3" applyNumberFormat="1" applyFont="1" applyFill="1"/>
    <xf numFmtId="168" fontId="0" fillId="0" borderId="0" xfId="1" applyNumberFormat="1" applyFont="1"/>
    <xf numFmtId="168" fontId="0" fillId="0" borderId="8" xfId="1" applyNumberFormat="1" applyFont="1" applyBorder="1"/>
    <xf numFmtId="168" fontId="0" fillId="0" borderId="2" xfId="1" applyNumberFormat="1" applyFont="1" applyBorder="1"/>
    <xf numFmtId="168" fontId="0" fillId="0" borderId="9" xfId="1" applyNumberFormat="1" applyFont="1" applyBorder="1"/>
    <xf numFmtId="43" fontId="1" fillId="3" borderId="0" xfId="1" applyFont="1" applyFill="1" applyAlignment="1" applyProtection="1">
      <alignment horizontal="center"/>
      <protection locked="0"/>
    </xf>
    <xf numFmtId="10" fontId="0" fillId="4" borderId="0" xfId="3" applyNumberFormat="1" applyFont="1" applyFill="1" applyProtection="1"/>
    <xf numFmtId="0" fontId="23" fillId="8" borderId="0" xfId="0" applyFont="1" applyFill="1" applyAlignment="1">
      <alignment horizontal="center" vertical="center"/>
    </xf>
    <xf numFmtId="0" fontId="3" fillId="5" borderId="0" xfId="0" applyFont="1" applyFill="1" applyAlignment="1">
      <alignment horizontal="center"/>
    </xf>
    <xf numFmtId="0" fontId="18" fillId="0" borderId="0" xfId="0" applyFont="1" applyAlignment="1" applyProtection="1">
      <alignment horizontal="left" vertical="top" wrapText="1"/>
      <protection hidden="1"/>
    </xf>
    <xf numFmtId="10" fontId="11" fillId="0" borderId="0" xfId="3" applyNumberFormat="1" applyFont="1" applyBorder="1" applyAlignment="1" applyProtection="1">
      <alignment horizontal="center"/>
      <protection hidden="1"/>
    </xf>
    <xf numFmtId="10" fontId="12" fillId="0" borderId="0" xfId="3" applyNumberFormat="1" applyFont="1" applyBorder="1" applyAlignment="1" applyProtection="1">
      <alignment horizontal="center"/>
      <protection hidden="1"/>
    </xf>
    <xf numFmtId="0" fontId="12" fillId="0" borderId="0" xfId="0" applyFont="1" applyAlignment="1" applyProtection="1">
      <alignment horizontal="center"/>
      <protection hidden="1"/>
    </xf>
    <xf numFmtId="0" fontId="11" fillId="0" borderId="0" xfId="0" applyFont="1" applyAlignment="1" applyProtection="1">
      <alignment horizontal="left"/>
      <protection hidden="1"/>
    </xf>
    <xf numFmtId="0" fontId="12" fillId="0" borderId="0" xfId="0" applyFont="1" applyAlignment="1" applyProtection="1">
      <alignment horizontal="left"/>
      <protection hidden="1"/>
    </xf>
    <xf numFmtId="0" fontId="15" fillId="0" borderId="0" xfId="0" applyFont="1" applyAlignment="1" applyProtection="1">
      <alignment horizontal="left" vertical="top" wrapText="1"/>
      <protection hidden="1"/>
    </xf>
    <xf numFmtId="0" fontId="19" fillId="0" borderId="0" xfId="0" applyFont="1" applyAlignment="1" applyProtection="1">
      <alignment horizontal="left" vertical="center" wrapText="1"/>
      <protection hidden="1"/>
    </xf>
    <xf numFmtId="0" fontId="12" fillId="3" borderId="0" xfId="0" applyFont="1" applyFill="1" applyAlignment="1" applyProtection="1">
      <alignment horizontal="left"/>
      <protection locked="0" hidden="1"/>
    </xf>
    <xf numFmtId="0" fontId="14" fillId="0" borderId="0" xfId="0" applyFont="1" applyAlignment="1" applyProtection="1">
      <alignment horizontal="center" vertical="top"/>
      <protection hidden="1"/>
    </xf>
    <xf numFmtId="0" fontId="8" fillId="7" borderId="16" xfId="0" applyFont="1" applyFill="1" applyBorder="1" applyAlignment="1" applyProtection="1">
      <alignment horizontal="center" vertical="center"/>
      <protection hidden="1"/>
    </xf>
    <xf numFmtId="0" fontId="8" fillId="7" borderId="17" xfId="0" applyFont="1" applyFill="1" applyBorder="1" applyAlignment="1" applyProtection="1">
      <alignment horizontal="center" vertical="center"/>
      <protection hidden="1"/>
    </xf>
    <xf numFmtId="165" fontId="10" fillId="0" borderId="12" xfId="0" applyNumberFormat="1" applyFont="1" applyBorder="1" applyAlignment="1" applyProtection="1">
      <alignment horizontal="center" vertical="center"/>
      <protection hidden="1"/>
    </xf>
    <xf numFmtId="165" fontId="10" fillId="0" borderId="14" xfId="0" applyNumberFormat="1" applyFont="1" applyBorder="1" applyAlignment="1" applyProtection="1">
      <alignment horizontal="center" vertical="center"/>
      <protection hidden="1"/>
    </xf>
  </cellXfs>
  <cellStyles count="6">
    <cellStyle name="Comma" xfId="1" builtinId="3"/>
    <cellStyle name="Comma 2" xfId="5" xr:uid="{A416BD86-92F1-49F5-B1AC-A02FC9E7C093}"/>
    <cellStyle name="Currency" xfId="2" builtinId="4"/>
    <cellStyle name="Input" xfId="4" builtinId="20"/>
    <cellStyle name="Normal" xfId="0" builtinId="0"/>
    <cellStyle name="Percent" xfId="3" builtinId="5"/>
  </cellStyles>
  <dxfs count="4">
    <dxf>
      <numFmt numFmtId="14" formatCode="0.00%"/>
    </dxf>
    <dxf>
      <font>
        <color theme="0"/>
      </font>
      <fill>
        <patternFill patternType="none">
          <bgColor auto="1"/>
        </patternFill>
      </fill>
    </dxf>
    <dxf>
      <border>
        <left/>
        <right/>
        <top/>
        <bottom/>
        <vertical/>
        <horizontal/>
      </border>
    </dxf>
    <dxf>
      <font>
        <color theme="0"/>
      </font>
      <fill>
        <patternFill patternType="none">
          <bgColor auto="1"/>
        </patternFill>
      </fill>
    </dxf>
  </dxfs>
  <tableStyles count="0" defaultTableStyle="TableStyleMedium2" defaultPivotStyle="PivotStyleLight16"/>
  <colors>
    <mruColors>
      <color rgb="FF9E2222"/>
      <color rgb="FF540000"/>
      <color rgb="FF074063"/>
      <color rgb="FFFFC000"/>
      <color rgb="FF4454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10464</xdr:colOff>
      <xdr:row>2</xdr:row>
      <xdr:rowOff>5057</xdr:rowOff>
    </xdr:from>
    <xdr:to>
      <xdr:col>4</xdr:col>
      <xdr:colOff>0</xdr:colOff>
      <xdr:row>4</xdr:row>
      <xdr:rowOff>104775</xdr:rowOff>
    </xdr:to>
    <xdr:pic>
      <xdr:nvPicPr>
        <xdr:cNvPr id="3" name="Picture 2">
          <a:extLst>
            <a:ext uri="{FF2B5EF4-FFF2-40B4-BE49-F238E27FC236}">
              <a16:creationId xmlns:a16="http://schemas.microsoft.com/office/drawing/2014/main" id="{095DC97F-52E1-853B-5657-726081ACF177}"/>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207" t="9658" r="992" b="30218"/>
        <a:stretch/>
      </xdr:blipFill>
      <xdr:spPr>
        <a:xfrm>
          <a:off x="391464" y="386057"/>
          <a:ext cx="3228036" cy="480718"/>
        </a:xfrm>
        <a:prstGeom prst="rect">
          <a:avLst/>
        </a:prstGeom>
      </xdr:spPr>
    </xdr:pic>
    <xdr:clientData/>
  </xdr:twoCellAnchor>
  <xdr:twoCellAnchor>
    <xdr:from>
      <xdr:col>6</xdr:col>
      <xdr:colOff>753894</xdr:colOff>
      <xdr:row>30</xdr:row>
      <xdr:rowOff>0</xdr:rowOff>
    </xdr:from>
    <xdr:to>
      <xdr:col>10</xdr:col>
      <xdr:colOff>429638</xdr:colOff>
      <xdr:row>30</xdr:row>
      <xdr:rowOff>0</xdr:rowOff>
    </xdr:to>
    <xdr:cxnSp macro="">
      <xdr:nvCxnSpPr>
        <xdr:cNvPr id="9" name="Straight Connector 8">
          <a:extLst>
            <a:ext uri="{FF2B5EF4-FFF2-40B4-BE49-F238E27FC236}">
              <a16:creationId xmlns:a16="http://schemas.microsoft.com/office/drawing/2014/main" id="{0694C74D-9261-42E3-FF8D-649C91BFC8B4}"/>
            </a:ext>
          </a:extLst>
        </xdr:cNvPr>
        <xdr:cNvCxnSpPr/>
      </xdr:nvCxnSpPr>
      <xdr:spPr>
        <a:xfrm>
          <a:off x="4758447" y="5524500"/>
          <a:ext cx="4328808" cy="0"/>
        </a:xfrm>
        <a:prstGeom prst="line">
          <a:avLst/>
        </a:prstGeom>
        <a:ln>
          <a:solidFill>
            <a:schemeClr val="tx1">
              <a:lumMod val="75000"/>
              <a:lumOff val="2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752277</xdr:colOff>
      <xdr:row>32</xdr:row>
      <xdr:rowOff>7905</xdr:rowOff>
    </xdr:from>
    <xdr:to>
      <xdr:col>10</xdr:col>
      <xdr:colOff>428021</xdr:colOff>
      <xdr:row>32</xdr:row>
      <xdr:rowOff>7905</xdr:rowOff>
    </xdr:to>
    <xdr:cxnSp macro="">
      <xdr:nvCxnSpPr>
        <xdr:cNvPr id="10" name="Straight Connector 9">
          <a:extLst>
            <a:ext uri="{FF2B5EF4-FFF2-40B4-BE49-F238E27FC236}">
              <a16:creationId xmlns:a16="http://schemas.microsoft.com/office/drawing/2014/main" id="{E5963B26-EFB8-40AE-B706-6139C009C777}"/>
            </a:ext>
          </a:extLst>
        </xdr:cNvPr>
        <xdr:cNvCxnSpPr/>
      </xdr:nvCxnSpPr>
      <xdr:spPr>
        <a:xfrm>
          <a:off x="4752777" y="5913405"/>
          <a:ext cx="4323944" cy="0"/>
        </a:xfrm>
        <a:prstGeom prst="line">
          <a:avLst/>
        </a:prstGeom>
        <a:ln w="15875">
          <a:solidFill>
            <a:schemeClr val="tx1">
              <a:lumMod val="75000"/>
              <a:lumOff val="2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190499</xdr:colOff>
      <xdr:row>3</xdr:row>
      <xdr:rowOff>0</xdr:rowOff>
    </xdr:from>
    <xdr:to>
      <xdr:col>8</xdr:col>
      <xdr:colOff>1895474</xdr:colOff>
      <xdr:row>8</xdr:row>
      <xdr:rowOff>0</xdr:rowOff>
    </xdr:to>
    <xdr:sp macro="[0]!RunAll" textlink="">
      <xdr:nvSpPr>
        <xdr:cNvPr id="2" name="Rectangle: Rounded Corners 1">
          <a:extLst>
            <a:ext uri="{FF2B5EF4-FFF2-40B4-BE49-F238E27FC236}">
              <a16:creationId xmlns:a16="http://schemas.microsoft.com/office/drawing/2014/main" id="{534A530C-079A-414F-C955-3E6068B9199B}"/>
            </a:ext>
          </a:extLst>
        </xdr:cNvPr>
        <xdr:cNvSpPr/>
      </xdr:nvSpPr>
      <xdr:spPr>
        <a:xfrm>
          <a:off x="2466974" y="571500"/>
          <a:ext cx="1895475" cy="952500"/>
        </a:xfrm>
        <a:prstGeom prst="roundRect">
          <a:avLst/>
        </a:prstGeom>
        <a:solidFill>
          <a:schemeClr val="accent5"/>
        </a:solidFill>
        <a:ln>
          <a:noFill/>
        </a:ln>
        <a:effectLst>
          <a:glow rad="63500">
            <a:schemeClr val="accent3">
              <a:satMod val="175000"/>
              <a:alpha val="40000"/>
            </a:schemeClr>
          </a:glow>
        </a:effectLst>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t>RUN ALL CONSOLIDATORS AND ADJUSTMENTS</a:t>
          </a:r>
        </a:p>
      </xdr:txBody>
    </xdr:sp>
    <xdr:clientData/>
  </xdr:twoCellAnchor>
  <xdr:twoCellAnchor>
    <xdr:from>
      <xdr:col>16</xdr:col>
      <xdr:colOff>0</xdr:colOff>
      <xdr:row>9</xdr:row>
      <xdr:rowOff>0</xdr:rowOff>
    </xdr:from>
    <xdr:to>
      <xdr:col>17</xdr:col>
      <xdr:colOff>0</xdr:colOff>
      <xdr:row>14</xdr:row>
      <xdr:rowOff>0</xdr:rowOff>
    </xdr:to>
    <xdr:sp macro="[0]!ClearCapGridConsolidator" textlink="">
      <xdr:nvSpPr>
        <xdr:cNvPr id="3" name="Rectangle: Rounded Corners 2">
          <a:extLst>
            <a:ext uri="{FF2B5EF4-FFF2-40B4-BE49-F238E27FC236}">
              <a16:creationId xmlns:a16="http://schemas.microsoft.com/office/drawing/2014/main" id="{1D6ADB8D-C387-4994-8599-4EB5979B01E6}"/>
            </a:ext>
          </a:extLst>
        </xdr:cNvPr>
        <xdr:cNvSpPr/>
      </xdr:nvSpPr>
      <xdr:spPr>
        <a:xfrm>
          <a:off x="4743450" y="1714500"/>
          <a:ext cx="1895475" cy="952500"/>
        </a:xfrm>
        <a:prstGeom prst="roundRect">
          <a:avLst/>
        </a:prstGeom>
        <a:solidFill>
          <a:srgbClr val="9E2222"/>
        </a:solidFill>
        <a:ln>
          <a:noFill/>
        </a:ln>
        <a:effectLst>
          <a:glow rad="63500">
            <a:schemeClr val="accent3">
              <a:satMod val="175000"/>
              <a:alpha val="40000"/>
            </a:schemeClr>
          </a:glow>
        </a:effectLst>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t>CLEAR CONSOLIDATED</a:t>
          </a:r>
          <a:r>
            <a:rPr lang="en-US" sz="1400" b="1" baseline="0"/>
            <a:t> QUOTES</a:t>
          </a:r>
        </a:p>
      </xdr:txBody>
    </xdr:sp>
    <xdr:clientData/>
  </xdr:twoCellAnchor>
  <xdr:twoCellAnchor>
    <xdr:from>
      <xdr:col>20</xdr:col>
      <xdr:colOff>0</xdr:colOff>
      <xdr:row>9</xdr:row>
      <xdr:rowOff>0</xdr:rowOff>
    </xdr:from>
    <xdr:to>
      <xdr:col>21</xdr:col>
      <xdr:colOff>0</xdr:colOff>
      <xdr:row>14</xdr:row>
      <xdr:rowOff>0</xdr:rowOff>
    </xdr:to>
    <xdr:sp macro="[0]!ClearFloorGridConsolidator" textlink="">
      <xdr:nvSpPr>
        <xdr:cNvPr id="4" name="Rectangle: Rounded Corners 3">
          <a:extLst>
            <a:ext uri="{FF2B5EF4-FFF2-40B4-BE49-F238E27FC236}">
              <a16:creationId xmlns:a16="http://schemas.microsoft.com/office/drawing/2014/main" id="{803724CD-CE4A-4903-84ED-FF60E155DFDE}"/>
            </a:ext>
          </a:extLst>
        </xdr:cNvPr>
        <xdr:cNvSpPr/>
      </xdr:nvSpPr>
      <xdr:spPr>
        <a:xfrm>
          <a:off x="7019925" y="1714500"/>
          <a:ext cx="1895475" cy="952500"/>
        </a:xfrm>
        <a:prstGeom prst="roundRect">
          <a:avLst/>
        </a:prstGeom>
        <a:solidFill>
          <a:srgbClr val="9E2222"/>
        </a:solidFill>
        <a:ln>
          <a:noFill/>
        </a:ln>
        <a:effectLst>
          <a:glow rad="63500">
            <a:schemeClr val="accent3">
              <a:satMod val="175000"/>
              <a:alpha val="40000"/>
            </a:schemeClr>
          </a:glow>
        </a:effectLst>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t>CLEAR CONSOLIDATED</a:t>
          </a:r>
          <a:r>
            <a:rPr lang="en-US" sz="1400" b="1" baseline="0"/>
            <a:t> QUOTES</a:t>
          </a:r>
        </a:p>
      </xdr:txBody>
    </xdr:sp>
    <xdr:clientData/>
  </xdr:twoCellAnchor>
  <xdr:twoCellAnchor>
    <xdr:from>
      <xdr:col>16</xdr:col>
      <xdr:colOff>0</xdr:colOff>
      <xdr:row>3</xdr:row>
      <xdr:rowOff>0</xdr:rowOff>
    </xdr:from>
    <xdr:to>
      <xdr:col>17</xdr:col>
      <xdr:colOff>0</xdr:colOff>
      <xdr:row>8</xdr:row>
      <xdr:rowOff>0</xdr:rowOff>
    </xdr:to>
    <xdr:sp macro="[0]!MoveCapQuotesToBankAdjustments" textlink="">
      <xdr:nvSpPr>
        <xdr:cNvPr id="5" name="Rectangle: Rounded Corners 4">
          <a:extLst>
            <a:ext uri="{FF2B5EF4-FFF2-40B4-BE49-F238E27FC236}">
              <a16:creationId xmlns:a16="http://schemas.microsoft.com/office/drawing/2014/main" id="{CD53BEB0-BA68-4004-8426-FCCC9283633B}"/>
            </a:ext>
          </a:extLst>
        </xdr:cNvPr>
        <xdr:cNvSpPr/>
      </xdr:nvSpPr>
      <xdr:spPr>
        <a:xfrm>
          <a:off x="2466975" y="571500"/>
          <a:ext cx="1895475" cy="952500"/>
        </a:xfrm>
        <a:prstGeom prst="roundRect">
          <a:avLst/>
        </a:prstGeom>
        <a:solidFill>
          <a:schemeClr val="accent3"/>
        </a:solidFill>
        <a:ln>
          <a:noFill/>
        </a:ln>
        <a:effectLst>
          <a:glow rad="63500">
            <a:schemeClr val="accent3">
              <a:satMod val="175000"/>
              <a:alpha val="40000"/>
            </a:schemeClr>
          </a:glow>
        </a:effectLst>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t>MOVE</a:t>
          </a:r>
          <a:r>
            <a:rPr lang="en-US" sz="1400" b="1" baseline="0"/>
            <a:t> QUOTES TO BANK ADJUSTMENTS</a:t>
          </a:r>
        </a:p>
      </xdr:txBody>
    </xdr:sp>
    <xdr:clientData/>
  </xdr:twoCellAnchor>
  <xdr:twoCellAnchor>
    <xdr:from>
      <xdr:col>20</xdr:col>
      <xdr:colOff>0</xdr:colOff>
      <xdr:row>3</xdr:row>
      <xdr:rowOff>0</xdr:rowOff>
    </xdr:from>
    <xdr:to>
      <xdr:col>21</xdr:col>
      <xdr:colOff>0</xdr:colOff>
      <xdr:row>8</xdr:row>
      <xdr:rowOff>0</xdr:rowOff>
    </xdr:to>
    <xdr:sp macro="[0]!MoveFloorQuotesToBankAdjustments" textlink="">
      <xdr:nvSpPr>
        <xdr:cNvPr id="6" name="Rectangle: Rounded Corners 5">
          <a:extLst>
            <a:ext uri="{FF2B5EF4-FFF2-40B4-BE49-F238E27FC236}">
              <a16:creationId xmlns:a16="http://schemas.microsoft.com/office/drawing/2014/main" id="{C75EAD14-348C-4D27-9EA8-820C2C0A44EA}"/>
            </a:ext>
          </a:extLst>
        </xdr:cNvPr>
        <xdr:cNvSpPr/>
      </xdr:nvSpPr>
      <xdr:spPr>
        <a:xfrm>
          <a:off x="4743450" y="571500"/>
          <a:ext cx="1895475" cy="952500"/>
        </a:xfrm>
        <a:prstGeom prst="roundRect">
          <a:avLst/>
        </a:prstGeom>
        <a:solidFill>
          <a:schemeClr val="accent3"/>
        </a:solidFill>
        <a:ln>
          <a:noFill/>
        </a:ln>
        <a:effectLst>
          <a:glow rad="63500">
            <a:schemeClr val="accent3">
              <a:satMod val="175000"/>
              <a:alpha val="40000"/>
            </a:schemeClr>
          </a:glow>
        </a:effectLst>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t>MOVE</a:t>
          </a:r>
          <a:r>
            <a:rPr lang="en-US" sz="1400" b="1" baseline="0"/>
            <a:t> QUOTES TO BANK ADJUSTMENTS</a:t>
          </a:r>
        </a:p>
      </xdr:txBody>
    </xdr:sp>
    <xdr:clientData/>
  </xdr:twoCellAnchor>
  <xdr:twoCellAnchor>
    <xdr:from>
      <xdr:col>12</xdr:col>
      <xdr:colOff>0</xdr:colOff>
      <xdr:row>9</xdr:row>
      <xdr:rowOff>0</xdr:rowOff>
    </xdr:from>
    <xdr:to>
      <xdr:col>13</xdr:col>
      <xdr:colOff>0</xdr:colOff>
      <xdr:row>14</xdr:row>
      <xdr:rowOff>0</xdr:rowOff>
    </xdr:to>
    <xdr:sp macro="[0]!ClearBankAdjustments" textlink="">
      <xdr:nvSpPr>
        <xdr:cNvPr id="7" name="Rectangle: Rounded Corners 6">
          <a:extLst>
            <a:ext uri="{FF2B5EF4-FFF2-40B4-BE49-F238E27FC236}">
              <a16:creationId xmlns:a16="http://schemas.microsoft.com/office/drawing/2014/main" id="{0C5966EB-A7DC-4794-B6AE-A610DFF4A681}"/>
            </a:ext>
          </a:extLst>
        </xdr:cNvPr>
        <xdr:cNvSpPr/>
      </xdr:nvSpPr>
      <xdr:spPr>
        <a:xfrm>
          <a:off x="9296400" y="1714500"/>
          <a:ext cx="1895475" cy="952500"/>
        </a:xfrm>
        <a:prstGeom prst="roundRect">
          <a:avLst/>
        </a:prstGeom>
        <a:solidFill>
          <a:srgbClr val="9E2222"/>
        </a:solidFill>
        <a:ln>
          <a:noFill/>
        </a:ln>
        <a:effectLst>
          <a:glow rad="63500">
            <a:schemeClr val="accent3">
              <a:satMod val="175000"/>
              <a:alpha val="40000"/>
            </a:schemeClr>
          </a:glow>
        </a:effectLst>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t>CLEAR BANK ADJUSTMENTS</a:t>
          </a:r>
        </a:p>
      </xdr:txBody>
    </xdr:sp>
    <xdr:clientData/>
  </xdr:twoCellAnchor>
  <xdr:twoCellAnchor>
    <xdr:from>
      <xdr:col>12</xdr:col>
      <xdr:colOff>0</xdr:colOff>
      <xdr:row>3</xdr:row>
      <xdr:rowOff>0</xdr:rowOff>
    </xdr:from>
    <xdr:to>
      <xdr:col>13</xdr:col>
      <xdr:colOff>0</xdr:colOff>
      <xdr:row>8</xdr:row>
      <xdr:rowOff>0</xdr:rowOff>
    </xdr:to>
    <xdr:sp macro="[0]!RunAdjustmentCalculations" textlink="">
      <xdr:nvSpPr>
        <xdr:cNvPr id="9" name="Rectangle: Rounded Corners 8">
          <a:extLst>
            <a:ext uri="{FF2B5EF4-FFF2-40B4-BE49-F238E27FC236}">
              <a16:creationId xmlns:a16="http://schemas.microsoft.com/office/drawing/2014/main" id="{F89FCE6D-2E73-4ED1-AEC2-5054D96C9BE4}"/>
            </a:ext>
          </a:extLst>
        </xdr:cNvPr>
        <xdr:cNvSpPr/>
      </xdr:nvSpPr>
      <xdr:spPr>
        <a:xfrm>
          <a:off x="7019925" y="571500"/>
          <a:ext cx="1895475" cy="952500"/>
        </a:xfrm>
        <a:prstGeom prst="roundRect">
          <a:avLst/>
        </a:prstGeom>
        <a:solidFill>
          <a:schemeClr val="accent3"/>
        </a:solidFill>
        <a:ln>
          <a:noFill/>
        </a:ln>
        <a:effectLst>
          <a:glow rad="63500">
            <a:schemeClr val="accent3">
              <a:satMod val="175000"/>
              <a:alpha val="40000"/>
            </a:schemeClr>
          </a:glow>
        </a:effectLst>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baseline="0"/>
            <a:t>RUN ADJUSTMENT CALCULATIONS</a:t>
          </a:r>
        </a:p>
      </xdr:txBody>
    </xdr:sp>
    <xdr:clientData/>
  </xdr:twoCellAnchor>
  <xdr:twoCellAnchor>
    <xdr:from>
      <xdr:col>8</xdr:col>
      <xdr:colOff>0</xdr:colOff>
      <xdr:row>9</xdr:row>
      <xdr:rowOff>0</xdr:rowOff>
    </xdr:from>
    <xdr:to>
      <xdr:col>9</xdr:col>
      <xdr:colOff>0</xdr:colOff>
      <xdr:row>14</xdr:row>
      <xdr:rowOff>0</xdr:rowOff>
    </xdr:to>
    <xdr:sp macro="[0]!PublishPublicVersion" textlink="">
      <xdr:nvSpPr>
        <xdr:cNvPr id="10" name="Rectangle: Rounded Corners 9">
          <a:extLst>
            <a:ext uri="{FF2B5EF4-FFF2-40B4-BE49-F238E27FC236}">
              <a16:creationId xmlns:a16="http://schemas.microsoft.com/office/drawing/2014/main" id="{3E1392E1-91A7-4646-B477-353DBB44774C}"/>
            </a:ext>
          </a:extLst>
        </xdr:cNvPr>
        <xdr:cNvSpPr/>
      </xdr:nvSpPr>
      <xdr:spPr>
        <a:xfrm>
          <a:off x="2466975" y="1714500"/>
          <a:ext cx="1895475" cy="952500"/>
        </a:xfrm>
        <a:prstGeom prst="roundRect">
          <a:avLst/>
        </a:prstGeom>
        <a:solidFill>
          <a:schemeClr val="accent5"/>
        </a:solidFill>
        <a:ln>
          <a:noFill/>
        </a:ln>
        <a:effectLst>
          <a:glow rad="63500">
            <a:schemeClr val="accent3">
              <a:satMod val="175000"/>
              <a:alpha val="40000"/>
            </a:schemeClr>
          </a:glow>
        </a:effectLst>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t>PUBLISH PUBLIC CAP PRICER</a:t>
          </a:r>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C2AE7-FA7E-40CD-A9FA-7DDBEBD9D4AB}">
  <sheetPr codeName="Sheet5"/>
  <dimension ref="A1:X92"/>
  <sheetViews>
    <sheetView showGridLines="0" tabSelected="1" zoomScaleNormal="100" workbookViewId="0">
      <selection activeCell="D22" sqref="D22"/>
    </sheetView>
  </sheetViews>
  <sheetFormatPr defaultColWidth="0" defaultRowHeight="0" customHeight="1" zeroHeight="1" x14ac:dyDescent="0.25"/>
  <cols>
    <col min="1" max="2" width="2.85546875" style="109" customWidth="1"/>
    <col min="3" max="4" width="24.28515625" style="109" customWidth="1"/>
    <col min="5" max="6" width="2.85546875" style="109" customWidth="1"/>
    <col min="7" max="11" width="17.42578125" style="109" customWidth="1"/>
    <col min="12" max="13" width="2.85546875" style="109" customWidth="1"/>
    <col min="14" max="15" width="12" style="109" customWidth="1"/>
    <col min="16" max="16" width="2.85546875" style="109" customWidth="1"/>
    <col min="17" max="17" width="21.7109375" style="109" customWidth="1"/>
    <col min="18" max="18" width="14.85546875" style="109" customWidth="1"/>
    <col min="19" max="19" width="2.85546875" style="109" customWidth="1"/>
    <col min="20" max="21" width="10.42578125" style="109" customWidth="1"/>
    <col min="22" max="22" width="21.7109375" style="109" customWidth="1"/>
    <col min="23" max="24" width="2.85546875" style="109" customWidth="1"/>
    <col min="25" max="16384" width="9.140625" style="109" hidden="1"/>
  </cols>
  <sheetData>
    <row r="1" spans="3:22" ht="15" customHeight="1" x14ac:dyDescent="0.25"/>
    <row r="2" spans="3:22" ht="15" customHeight="1" x14ac:dyDescent="0.25"/>
    <row r="3" spans="3:22" ht="15" customHeight="1" thickBot="1" x14ac:dyDescent="0.3">
      <c r="G3" s="226" t="str">
        <f>"This tool is great for quickly ballparking various interest rate "&amp;IF(D16='Data Validation'!A2,"cap","floor")&amp;" premiums, as well as analyzing anticipated cost and protection on a monthly basis.  Our model has the capability to price SOFR hedges out to 7 years and up to a "&amp;TEXT(MAX('Rate &amp; Vol Update'!F7:Z7),"0.00%")&amp;" strike."</f>
        <v>This tool is great for quickly ballparking various interest rate cap premiums, as well as analyzing anticipated cost and protection on a monthly basis.  Our model has the capability to price SOFR hedges out to 7 years and up to a 7.00% strike.</v>
      </c>
      <c r="H3" s="226"/>
      <c r="I3" s="226"/>
      <c r="J3" s="226"/>
      <c r="K3" s="226"/>
      <c r="N3" s="111" t="s">
        <v>93</v>
      </c>
      <c r="O3" s="112"/>
      <c r="Q3" s="111" t="s">
        <v>94</v>
      </c>
      <c r="R3" s="112"/>
      <c r="T3" s="111" t="s">
        <v>95</v>
      </c>
      <c r="U3" s="112"/>
      <c r="V3" s="112"/>
    </row>
    <row r="4" spans="3:22" ht="15" customHeight="1" thickTop="1" x14ac:dyDescent="0.25">
      <c r="G4" s="226"/>
      <c r="H4" s="226"/>
      <c r="I4" s="226"/>
      <c r="J4" s="226"/>
      <c r="K4" s="226"/>
    </row>
    <row r="5" spans="3:22" ht="15" customHeight="1" thickBot="1" x14ac:dyDescent="0.3">
      <c r="G5" s="226"/>
      <c r="H5" s="226"/>
      <c r="I5" s="226"/>
      <c r="J5" s="226"/>
      <c r="K5" s="226"/>
      <c r="N5" s="113" t="s">
        <v>1</v>
      </c>
      <c r="O5" s="113" t="s">
        <v>2</v>
      </c>
      <c r="P5" s="113"/>
      <c r="Q5" s="113" t="str">
        <f>IF(D16='Data Validation'!A2,"Caplet","Floorlet")</f>
        <v>Caplet</v>
      </c>
      <c r="R5" s="113" t="s">
        <v>82</v>
      </c>
      <c r="S5" s="113"/>
      <c r="T5" s="113" t="s">
        <v>96</v>
      </c>
      <c r="U5" s="113" t="s">
        <v>6</v>
      </c>
      <c r="V5" s="113" t="s">
        <v>67</v>
      </c>
    </row>
    <row r="6" spans="3:22" ht="15" customHeight="1" thickTop="1" x14ac:dyDescent="0.25">
      <c r="C6" s="229" t="str">
        <f>"INTEREST RATE "&amp;IF(D16='Data Validation'!A2,"CAP","FLOOR")&amp;" PRICER"</f>
        <v>INTEREST RATE CAP PRICER</v>
      </c>
      <c r="D6" s="229"/>
      <c r="G6" s="226" t="s">
        <v>100</v>
      </c>
      <c r="H6" s="226"/>
      <c r="I6" s="226"/>
      <c r="J6" s="226"/>
      <c r="K6" s="226"/>
      <c r="N6" s="114">
        <f>'Bachelier Model'!J4</f>
        <v>46064</v>
      </c>
      <c r="O6" s="114">
        <f>'Bachelier Model'!K4</f>
        <v>46092</v>
      </c>
      <c r="P6" s="115"/>
      <c r="Q6" s="116">
        <f>IF(N6="","",'Bachelier Model'!T4*('Adjustment Surface'!$F$7/'Adjustment Surface'!$F$3))</f>
        <v>33013.406969884796</v>
      </c>
      <c r="R6" s="117">
        <f>IF(N6="","",Q6/'Adjustment Surface'!$F$7)</f>
        <v>3.1682732216780037E-2</v>
      </c>
      <c r="S6" s="115"/>
      <c r="T6" s="118">
        <f>INDEX('Market Scenarios'!$D$3:$O$123,MATCH('Cap and Floor Pricer'!N6,'Market Scenarios'!$B$3:$B$123,0),MATCH('Cap and Floor Pricer'!$G$28,'Market Scenarios'!$D$2:$O$2,0))</f>
        <v>3.659640073776245E-2</v>
      </c>
      <c r="U6" s="118">
        <f>'Bachelier Model'!O4</f>
        <v>0.02</v>
      </c>
      <c r="V6" s="116">
        <f>IF(N6="","",(MAX(0,IF($D$16='Data Validation'!$A$2,T6-U6,U6-T6))*'Bachelier Model'!N4*('Bachelier Model'!L4/360)*'Bachelier Model'!R4))</f>
        <v>32180.690945949151</v>
      </c>
    </row>
    <row r="7" spans="3:22" ht="15" customHeight="1" x14ac:dyDescent="0.25">
      <c r="C7" s="229"/>
      <c r="D7" s="229"/>
      <c r="G7" s="226"/>
      <c r="H7" s="226"/>
      <c r="I7" s="226"/>
      <c r="J7" s="226"/>
      <c r="K7" s="226"/>
      <c r="N7" s="114">
        <f>'Bachelier Model'!J5</f>
        <v>46092</v>
      </c>
      <c r="O7" s="114">
        <f>'Bachelier Model'!K5</f>
        <v>46123</v>
      </c>
      <c r="P7" s="115"/>
      <c r="Q7" s="116">
        <f>IF(N7="","",'Bachelier Model'!T5*('Adjustment Surface'!$F$7/'Adjustment Surface'!$F$3))</f>
        <v>36200.400923543377</v>
      </c>
      <c r="R7" s="117">
        <f>IF(N7="","",Q7/'Adjustment Surface'!$F$7)</f>
        <v>3.4741267680943738E-2</v>
      </c>
      <c r="S7" s="115"/>
      <c r="T7" s="118">
        <f>INDEX('Market Scenarios'!$D$3:$O$123,MATCH('Cap and Floor Pricer'!N7,'Market Scenarios'!$B$3:$B$123,0),MATCH('Cap and Floor Pricer'!$G$28,'Market Scenarios'!$D$2:$O$2,0))</f>
        <v>3.6488071335794528E-2</v>
      </c>
      <c r="U7" s="118">
        <f>'Bachelier Model'!O5</f>
        <v>0.02</v>
      </c>
      <c r="V7" s="116">
        <f>IF(N7="","",(MAX(0,IF($D$16='Data Validation'!$A$2,T7-U7,U7-T7))*'Bachelier Model'!N5*('Bachelier Model'!L5/360)*'Bachelier Model'!R5))</f>
        <v>35287.284774896485</v>
      </c>
    </row>
    <row r="8" spans="3:22" ht="15" customHeight="1" x14ac:dyDescent="0.25">
      <c r="G8" s="226"/>
      <c r="H8" s="226"/>
      <c r="I8" s="226"/>
      <c r="J8" s="226"/>
      <c r="K8" s="226"/>
      <c r="N8" s="114">
        <f>'Bachelier Model'!J6</f>
        <v>46123</v>
      </c>
      <c r="O8" s="114">
        <f>'Bachelier Model'!K6</f>
        <v>46153</v>
      </c>
      <c r="P8" s="115"/>
      <c r="Q8" s="116">
        <f>IF(N8="","",'Bachelier Model'!T6*('Adjustment Surface'!$F$7/'Adjustment Surface'!$F$3))</f>
        <v>34520.810307769665</v>
      </c>
      <c r="R8" s="117">
        <f>IF(N8="","",Q8/'Adjustment Surface'!$F$7)</f>
        <v>3.3129376494980482E-2</v>
      </c>
      <c r="S8" s="115"/>
      <c r="T8" s="118">
        <f>INDEX('Market Scenarios'!$D$3:$O$123,MATCH('Cap and Floor Pricer'!N8,'Market Scenarios'!$B$3:$B$123,0),MATCH('Cap and Floor Pricer'!$G$28,'Market Scenarios'!$D$2:$O$2,0))</f>
        <v>3.6294673420255351E-2</v>
      </c>
      <c r="U8" s="118">
        <f>'Bachelier Model'!O6</f>
        <v>0.02</v>
      </c>
      <c r="V8" s="116">
        <f>IF(N8="","",(MAX(0,IF($D$16='Data Validation'!$A$2,T8-U8,U8-T8))*'Bachelier Model'!N6*('Bachelier Model'!L6/360)*'Bachelier Model'!R6))</f>
        <v>33649.345080183659</v>
      </c>
    </row>
    <row r="9" spans="3:22" ht="15" customHeight="1" thickBot="1" x14ac:dyDescent="0.3">
      <c r="G9" s="226" t="s">
        <v>102</v>
      </c>
      <c r="H9" s="226"/>
      <c r="I9" s="226"/>
      <c r="J9" s="226"/>
      <c r="K9" s="226"/>
      <c r="N9" s="114">
        <f>'Bachelier Model'!J7</f>
        <v>46153</v>
      </c>
      <c r="O9" s="114">
        <f>'Bachelier Model'!K7</f>
        <v>46184</v>
      </c>
      <c r="P9" s="115"/>
      <c r="Q9" s="116">
        <f>IF(N9="","",'Bachelier Model'!T7*('Adjustment Surface'!$F$7/'Adjustment Surface'!$F$3))</f>
        <v>35189.694707911774</v>
      </c>
      <c r="R9" s="117">
        <f>IF(N9="","",Q9/'Adjustment Surface'!$F$7)</f>
        <v>3.3771300103562163E-2</v>
      </c>
      <c r="S9" s="115"/>
      <c r="T9" s="118">
        <f>INDEX('Market Scenarios'!$D$3:$O$123,MATCH('Cap and Floor Pricer'!N9,'Market Scenarios'!$B$3:$B$123,0),MATCH('Cap and Floor Pricer'!$G$28,'Market Scenarios'!$D$2:$O$2,0))</f>
        <v>3.6121732232224986E-2</v>
      </c>
      <c r="U9" s="118">
        <f>'Bachelier Model'!O7</f>
        <v>0.02</v>
      </c>
      <c r="V9" s="116">
        <f>IF(N9="","",(MAX(0,IF($D$16='Data Validation'!$A$2,T9-U9,U9-T9))*'Bachelier Model'!N7*('Bachelier Model'!L7/360)*'Bachelier Model'!R7))</f>
        <v>34298.409222837712</v>
      </c>
    </row>
    <row r="10" spans="3:22" ht="15" customHeight="1" x14ac:dyDescent="0.25">
      <c r="C10" s="230" t="str">
        <f>IF(D16='Data Validation'!A2,"CAP","FLOOR")&amp;" PREMIUM"</f>
        <v>CAP PREMIUM</v>
      </c>
      <c r="D10" s="232">
        <f>IFERROR(IF(OR(MAX(D24,D28:D34)&gt;MAX('Rate &amp; Vol Update'!F7:Z7),'Cap and Floor Pricer'!D23&gt;EDATE('Rate &amp; Vol Update'!C2,7*12)),"ERROR",IF(D18='Data Validation'!H2,'Adjustment Surface'!F7,'Adjustment Surface'!F7/D22)),"ERROR")</f>
        <v>1042000</v>
      </c>
      <c r="G10" s="226"/>
      <c r="H10" s="226"/>
      <c r="I10" s="226"/>
      <c r="J10" s="226"/>
      <c r="K10" s="226"/>
      <c r="N10" s="114">
        <f>'Bachelier Model'!J8</f>
        <v>46184</v>
      </c>
      <c r="O10" s="114">
        <f>'Bachelier Model'!K8</f>
        <v>46214</v>
      </c>
      <c r="P10" s="115"/>
      <c r="Q10" s="116">
        <f>IF(N10="","",'Bachelier Model'!T8*('Adjustment Surface'!$F$7/'Adjustment Surface'!$F$3))</f>
        <v>31699.790373840915</v>
      </c>
      <c r="R10" s="117">
        <f>IF(N10="","",Q10/'Adjustment Surface'!$F$7)</f>
        <v>3.0422063698503757E-2</v>
      </c>
      <c r="S10" s="115"/>
      <c r="T10" s="118">
        <f>INDEX('Market Scenarios'!$D$3:$O$123,MATCH('Cap and Floor Pricer'!N10,'Market Scenarios'!$B$3:$B$123,0),MATCH('Cap and Floor Pricer'!$G$28,'Market Scenarios'!$D$2:$O$2,0))</f>
        <v>3.5034939949360508E-2</v>
      </c>
      <c r="U10" s="118">
        <f>'Bachelier Model'!O8</f>
        <v>0.02</v>
      </c>
      <c r="V10" s="116">
        <f>IF(N10="","",(MAX(0,IF($D$16='Data Validation'!$A$2,T10-U10,U10-T10))*'Bachelier Model'!N8*('Bachelier Model'!L8/360)*'Bachelier Model'!R8))</f>
        <v>30876.581116643061</v>
      </c>
    </row>
    <row r="11" spans="3:22" ht="15" customHeight="1" thickBot="1" x14ac:dyDescent="0.3">
      <c r="C11" s="231"/>
      <c r="D11" s="233"/>
      <c r="G11" s="119" t="str">
        <f>"Results Based on Market Data from "&amp;TEXT('Rate &amp; Vol Update'!C2,"m/d/yyyy")</f>
        <v>Results Based on Market Data from 2/11/2026</v>
      </c>
      <c r="H11" s="120"/>
      <c r="I11" s="110"/>
      <c r="J11" s="110"/>
      <c r="K11" s="110"/>
      <c r="N11" s="114">
        <f>'Bachelier Model'!J9</f>
        <v>46214</v>
      </c>
      <c r="O11" s="114">
        <f>'Bachelier Model'!K9</f>
        <v>46245</v>
      </c>
      <c r="P11" s="115"/>
      <c r="Q11" s="116">
        <f>IF(N11="","",'Bachelier Model'!T9*('Adjustment Surface'!$F$7/'Adjustment Surface'!$F$3))</f>
        <v>31445.190532860248</v>
      </c>
      <c r="R11" s="117">
        <f>IF(N11="","",Q11/'Adjustment Surface'!$F$7)</f>
        <v>3.0177726039213291E-2</v>
      </c>
      <c r="S11" s="115"/>
      <c r="T11" s="118">
        <f>INDEX('Market Scenarios'!$D$3:$O$123,MATCH('Cap and Floor Pricer'!N11,'Market Scenarios'!$B$3:$B$123,0),MATCH('Cap and Floor Pricer'!$G$28,'Market Scenarios'!$D$2:$O$2,0))</f>
        <v>3.4448644433826558E-2</v>
      </c>
      <c r="U11" s="118">
        <f>'Bachelier Model'!O9</f>
        <v>0.02</v>
      </c>
      <c r="V11" s="116">
        <f>IF(N11="","",(MAX(0,IF($D$16='Data Validation'!$A$2,T11-U11,U11-T11))*'Bachelier Model'!N9*('Bachelier Model'!L9/360)*'Bachelier Model'!R9))</f>
        <v>30579.542231149724</v>
      </c>
    </row>
    <row r="12" spans="3:22" ht="15" customHeight="1" x14ac:dyDescent="0.25">
      <c r="C12" s="227" t="str" cm="1">
        <f t="array" ref="C12">IF(MAX(D24,D28:D34)&gt;MAX('Rate &amp; Vol Update'!F7:Z7,G18:G21),'Data Validation'!I2,"")&amp;IF(MAX('Cap and Floor Pricer'!D23,H17:K17)&gt;EDATE('Rate &amp; Vol Update'!C2,7*12),'Data Validation'!I3,"")&amp;IF(OR(ISERROR('Adjustment Surface'!F7),ISERROR('Adjustment Surface'!C15:F18)),'Data Validation'!I4,"")</f>
        <v/>
      </c>
      <c r="D12" s="227"/>
      <c r="E12" s="227"/>
      <c r="F12" s="227"/>
      <c r="G12" s="227"/>
      <c r="H12" s="227"/>
      <c r="I12" s="227"/>
      <c r="J12" s="227"/>
      <c r="K12" s="227"/>
      <c r="N12" s="114">
        <f>'Bachelier Model'!J10</f>
        <v>46245</v>
      </c>
      <c r="O12" s="114">
        <f>'Bachelier Model'!K10</f>
        <v>46276</v>
      </c>
      <c r="P12" s="115"/>
      <c r="Q12" s="116">
        <f>IF(N12="","",'Bachelier Model'!T10*('Adjustment Surface'!$F$7/'Adjustment Surface'!$F$3))</f>
        <v>30427.382927108909</v>
      </c>
      <c r="R12" s="117">
        <f>IF(N12="","",Q12/'Adjustment Surface'!$F$7)</f>
        <v>2.9200943308165941E-2</v>
      </c>
      <c r="S12" s="115"/>
      <c r="T12" s="118">
        <f>INDEX('Market Scenarios'!$D$3:$O$123,MATCH('Cap and Floor Pricer'!N12,'Market Scenarios'!$B$3:$B$123,0),MATCH('Cap and Floor Pricer'!$G$28,'Market Scenarios'!$D$2:$O$2,0))</f>
        <v>3.3994429169520973E-2</v>
      </c>
      <c r="U12" s="118">
        <f>'Bachelier Model'!O10</f>
        <v>0.02</v>
      </c>
      <c r="V12" s="116">
        <f>IF(N12="","",(MAX(0,IF($D$16='Data Validation'!$A$2,T12-U12,U12-T12))*'Bachelier Model'!N10*('Bachelier Model'!L10/360)*'Bachelier Model'!R10))</f>
        <v>29539.611828014593</v>
      </c>
    </row>
    <row r="13" spans="3:22" ht="15" customHeight="1" x14ac:dyDescent="0.25">
      <c r="C13" s="227"/>
      <c r="D13" s="227"/>
      <c r="E13" s="227"/>
      <c r="F13" s="227"/>
      <c r="G13" s="227"/>
      <c r="H13" s="227"/>
      <c r="I13" s="227"/>
      <c r="J13" s="227"/>
      <c r="K13" s="227"/>
      <c r="N13" s="114">
        <f>'Bachelier Model'!J11</f>
        <v>46276</v>
      </c>
      <c r="O13" s="114">
        <f>'Bachelier Model'!K11</f>
        <v>46306</v>
      </c>
      <c r="P13" s="115"/>
      <c r="Q13" s="116">
        <f>IF(N13="","",'Bachelier Model'!T11*('Adjustment Surface'!$F$7/'Adjustment Surface'!$F$3))</f>
        <v>27480.594663285341</v>
      </c>
      <c r="R13" s="117">
        <f>IF(N13="","",Q13/'Adjustment Surface'!$F$7)</f>
        <v>2.6372931538661555E-2</v>
      </c>
      <c r="S13" s="115"/>
      <c r="T13" s="118">
        <f>INDEX('Market Scenarios'!$D$3:$O$123,MATCH('Cap and Floor Pricer'!N13,'Market Scenarios'!$B$3:$B$123,0),MATCH('Cap and Floor Pricer'!$G$28,'Market Scenarios'!$D$2:$O$2,0))</f>
        <v>3.3016426049774027E-2</v>
      </c>
      <c r="U13" s="118">
        <f>'Bachelier Model'!O11</f>
        <v>0.02</v>
      </c>
      <c r="V13" s="116">
        <f>IF(N13="","",(MAX(0,IF($D$16='Data Validation'!$A$2,T13-U13,U13-T13))*'Bachelier Model'!N11*('Bachelier Model'!L11/360)*'Bachelier Model'!R11))</f>
        <v>26531.837352459312</v>
      </c>
    </row>
    <row r="14" spans="3:22" ht="15" customHeight="1" thickBot="1" x14ac:dyDescent="0.3">
      <c r="C14" s="111" t="str">
        <f>IF(D16='Data Validation'!A2,"CAP","FLOOR")&amp;" TERMS"</f>
        <v>CAP TERMS</v>
      </c>
      <c r="D14" s="112"/>
      <c r="G14" s="111" t="s">
        <v>91</v>
      </c>
      <c r="H14" s="111"/>
      <c r="I14" s="111"/>
      <c r="J14" s="111"/>
      <c r="K14" s="111"/>
      <c r="N14" s="114">
        <f>'Bachelier Model'!J12</f>
        <v>46306</v>
      </c>
      <c r="O14" s="114">
        <f>'Bachelier Model'!K12</f>
        <v>46337</v>
      </c>
      <c r="P14" s="115"/>
      <c r="Q14" s="116">
        <f>IF(N14="","",'Bachelier Model'!T12*('Adjustment Surface'!$F$7/'Adjustment Surface'!$F$3))</f>
        <v>27491.586956556384</v>
      </c>
      <c r="R14" s="117">
        <f>IF(N14="","",Q14/'Adjustment Surface'!$F$7)</f>
        <v>2.6383480764449505E-2</v>
      </c>
      <c r="S14" s="115"/>
      <c r="T14" s="118">
        <f>INDEX('Market Scenarios'!$D$3:$O$123,MATCH('Cap and Floor Pricer'!N14,'Market Scenarios'!$B$3:$B$123,0),MATCH('Cap and Floor Pricer'!$G$28,'Market Scenarios'!$D$2:$O$2,0))</f>
        <v>3.2551878288218393E-2</v>
      </c>
      <c r="U14" s="118">
        <f>'Bachelier Model'!O12</f>
        <v>0.02</v>
      </c>
      <c r="V14" s="116">
        <f>IF(N14="","",(MAX(0,IF($D$16='Data Validation'!$A$2,T14-U14,U14-T14))*'Bachelier Model'!N12*('Bachelier Model'!L12/360)*'Bachelier Model'!R12))</f>
        <v>26372.911535423693</v>
      </c>
    </row>
    <row r="15" spans="3:22" ht="15" customHeight="1" thickTop="1" thickBot="1" x14ac:dyDescent="0.3">
      <c r="N15" s="114">
        <f>'Bachelier Model'!J13</f>
        <v>46337</v>
      </c>
      <c r="O15" s="114">
        <f>'Bachelier Model'!K13</f>
        <v>46367</v>
      </c>
      <c r="P15" s="115"/>
      <c r="Q15" s="116">
        <f>IF(N15="","",'Bachelier Model'!T13*('Adjustment Surface'!$F$7/'Adjustment Surface'!$F$3))</f>
        <v>25782.724439485974</v>
      </c>
      <c r="R15" s="117">
        <f>IF(N15="","",Q15/'Adjustment Surface'!$F$7)</f>
        <v>2.4743497542692873E-2</v>
      </c>
      <c r="S15" s="115"/>
      <c r="T15" s="118">
        <f>INDEX('Market Scenarios'!$D$3:$O$123,MATCH('Cap and Floor Pricer'!N15,'Market Scenarios'!$B$3:$B$123,0),MATCH('Cap and Floor Pricer'!$G$28,'Market Scenarios'!$D$2:$O$2,0))</f>
        <v>3.2135881179584658E-2</v>
      </c>
      <c r="U15" s="118">
        <f>'Bachelier Model'!O13</f>
        <v>0.02</v>
      </c>
      <c r="V15" s="116">
        <f>IF(N15="","",(MAX(0,IF($D$16='Data Validation'!$A$2,T15-U15,U15-T15))*'Bachelier Model'!N13*('Bachelier Model'!L13/360)*'Bachelier Model'!R13))</f>
        <v>24618.875245308605</v>
      </c>
    </row>
    <row r="16" spans="3:22" ht="15" customHeight="1" thickBot="1" x14ac:dyDescent="0.3">
      <c r="C16" s="109" t="s">
        <v>112</v>
      </c>
      <c r="D16" s="137" t="s">
        <v>17</v>
      </c>
      <c r="G16" s="121" t="str">
        <f>IF(D16='Data Validation'!A2,"CAP","FLOOR")&amp;" PREMIUMS"</f>
        <v>CAP PREMIUMS</v>
      </c>
      <c r="H16" s="122"/>
      <c r="I16" s="122"/>
      <c r="J16" s="122"/>
      <c r="K16" s="123"/>
      <c r="N16" s="114">
        <f>'Bachelier Model'!J14</f>
        <v>46367</v>
      </c>
      <c r="O16" s="114">
        <f>'Bachelier Model'!K14</f>
        <v>46398</v>
      </c>
      <c r="P16" s="115"/>
      <c r="Q16" s="116">
        <f>IF(N16="","",'Bachelier Model'!T14*('Adjustment Surface'!$F$7/'Adjustment Surface'!$F$3))</f>
        <v>26319.057259203862</v>
      </c>
      <c r="R16" s="117">
        <f>IF(N16="","",Q16/'Adjustment Surface'!$F$7)</f>
        <v>2.5258212340886623E-2</v>
      </c>
      <c r="S16" s="115"/>
      <c r="T16" s="118">
        <f>INDEX('Market Scenarios'!$D$3:$O$123,MATCH('Cap and Floor Pricer'!N16,'Market Scenarios'!$B$3:$B$123,0),MATCH('Cap and Floor Pricer'!$G$28,'Market Scenarios'!$D$2:$O$2,0))</f>
        <v>3.1915661082672034E-2</v>
      </c>
      <c r="U16" s="118">
        <f>'Bachelier Model'!O14</f>
        <v>0.02</v>
      </c>
      <c r="V16" s="116">
        <f>IF(N16="","",(MAX(0,IF($D$16='Data Validation'!$A$2,T16-U16,U16-T16))*'Bachelier Model'!N14*('Bachelier Model'!L14/360)*'Bachelier Model'!R14))</f>
        <v>24914.865949366213</v>
      </c>
    </row>
    <row r="17" spans="3:22" ht="15" customHeight="1" x14ac:dyDescent="0.25">
      <c r="G17" s="124" t="s">
        <v>6</v>
      </c>
      <c r="H17" s="143">
        <v>46429</v>
      </c>
      <c r="I17" s="143">
        <v>46794</v>
      </c>
      <c r="J17" s="143">
        <v>47160</v>
      </c>
      <c r="K17" s="144">
        <v>47525</v>
      </c>
      <c r="N17" s="114">
        <f>'Bachelier Model'!J15</f>
        <v>46398</v>
      </c>
      <c r="O17" s="114">
        <f>'Bachelier Model'!K15</f>
        <v>46429</v>
      </c>
      <c r="P17" s="115"/>
      <c r="Q17" s="116">
        <f>IF(N17="","",'Bachelier Model'!T15*('Adjustment Surface'!$F$7/'Adjustment Surface'!$F$3))</f>
        <v>25954.178022729342</v>
      </c>
      <c r="R17" s="117">
        <f>IF(N17="","",Q17/'Adjustment Surface'!$F$7)</f>
        <v>2.4908040328914915E-2</v>
      </c>
      <c r="S17" s="115"/>
      <c r="T17" s="118">
        <f>INDEX('Market Scenarios'!$D$3:$O$123,MATCH('Cap and Floor Pricer'!N17,'Market Scenarios'!$B$3:$B$123,0),MATCH('Cap and Floor Pricer'!$G$28,'Market Scenarios'!$D$2:$O$2,0))</f>
        <v>3.1649566751940673E-2</v>
      </c>
      <c r="U17" s="118">
        <f>'Bachelier Model'!O15</f>
        <v>0.02</v>
      </c>
      <c r="V17" s="116">
        <f>IF(N17="","",(MAX(0,IF($D$16='Data Validation'!$A$2,T17-U17,U17-T17))*'Bachelier Model'!N15*('Bachelier Model'!L15/360)*'Bachelier Model'!R15))</f>
        <v>24299.023923435558</v>
      </c>
    </row>
    <row r="18" spans="3:22" ht="15" customHeight="1" x14ac:dyDescent="0.25">
      <c r="C18" s="109" t="s">
        <v>97</v>
      </c>
      <c r="D18" s="137" t="s">
        <v>81</v>
      </c>
      <c r="G18" s="141">
        <v>0.03</v>
      </c>
      <c r="H18" s="125">
        <f>IFERROR(IF(OR(MAX($G$18:$G$21)&gt;MAX('Rate &amp; Vol Update'!$F$7:$Z$7),MAX($H$17:$K$17)&gt;EDATE('Rate &amp; Vol Update'!$C$2,7*12)),"ERROR",IF($D$18='Data Validation'!$H$2,'Adjustment Surface'!C43,'Adjustment Surface'!C43/$D$22)),"ERROR")</f>
        <v>139000</v>
      </c>
      <c r="I18" s="125">
        <f>IFERROR(IF(OR(MAX($G$18:$G$21)&gt;MAX('Rate &amp; Vol Update'!$F$7:$Z$7),MAX($H$17:$K$17)&gt;EDATE('Rate &amp; Vol Update'!$C$2,7*12)),"ERROR",IF($D$18='Data Validation'!$H$2,'Adjustment Surface'!D43,'Adjustment Surface'!D43/$D$22)),"ERROR")</f>
        <v>280000</v>
      </c>
      <c r="J18" s="125">
        <f>IFERROR(IF(OR(MAX($G$18:$G$21)&gt;MAX('Rate &amp; Vol Update'!$F$7:$Z$7),MAX($H$17:$K$17)&gt;EDATE('Rate &amp; Vol Update'!$C$2,7*12)),"ERROR",IF($D$18='Data Validation'!$H$2,'Adjustment Surface'!E43,'Adjustment Surface'!E43/$D$22)),"ERROR")</f>
        <v>436000</v>
      </c>
      <c r="K18" s="126">
        <f>IFERROR(IF(OR(MAX($G$18:$G$21)&gt;MAX('Rate &amp; Vol Update'!$F$7:$Z$7),MAX($H$17:$K$17)&gt;EDATE('Rate &amp; Vol Update'!$C$2,7*12)),"ERROR",IF($D$18='Data Validation'!$H$2,'Adjustment Surface'!F43,'Adjustment Surface'!F43/$D$22)),"ERROR")</f>
        <v>590000</v>
      </c>
      <c r="N18" s="114">
        <f>'Bachelier Model'!J16</f>
        <v>46429</v>
      </c>
      <c r="O18" s="114">
        <f>'Bachelier Model'!K16</f>
        <v>46457</v>
      </c>
      <c r="P18" s="115"/>
      <c r="Q18" s="116">
        <f>IF(N18="","",'Bachelier Model'!T16*('Adjustment Surface'!$F$7/'Adjustment Surface'!$F$3))</f>
        <v>23612.162179757524</v>
      </c>
      <c r="R18" s="117">
        <f>IF(N18="","",Q18/'Adjustment Surface'!$F$7)</f>
        <v>2.2660424356773057E-2</v>
      </c>
      <c r="S18" s="115"/>
      <c r="T18" s="118">
        <f>INDEX('Market Scenarios'!$D$3:$O$123,MATCH('Cap and Floor Pricer'!N18,'Market Scenarios'!$B$3:$B$123,0),MATCH('Cap and Floor Pricer'!$G$28,'Market Scenarios'!$D$2:$O$2,0))</f>
        <v>3.1655680544151146E-2</v>
      </c>
      <c r="U18" s="118">
        <f>'Bachelier Model'!O16</f>
        <v>0.02</v>
      </c>
      <c r="V18" s="116">
        <f>IF(N18="","",(MAX(0,IF($D$16='Data Validation'!$A$2,T18-U18,U18-T18))*'Bachelier Model'!N16*('Bachelier Model'!L16/360)*'Bachelier Model'!R16))</f>
        <v>21905.729154512122</v>
      </c>
    </row>
    <row r="19" spans="3:22" ht="15" customHeight="1" x14ac:dyDescent="0.25">
      <c r="C19" s="109" t="s">
        <v>31</v>
      </c>
      <c r="D19" s="137" t="s">
        <v>32</v>
      </c>
      <c r="G19" s="141">
        <v>0.04</v>
      </c>
      <c r="H19" s="125">
        <f>IFERROR(IF(OR(MAX($G$18:$G$21)&gt;MAX('Rate &amp; Vol Update'!$F$7:$Z$7),MAX($H$17:$K$17)&gt;EDATE('Rate &amp; Vol Update'!$C$2,7*12)),"ERROR",IF($D$18='Data Validation'!$H$2,'Adjustment Surface'!C44,'Adjustment Surface'!C44/$D$22)),"ERROR")</f>
        <v>15000</v>
      </c>
      <c r="I19" s="125">
        <f>IFERROR(IF(OR(MAX($G$18:$G$21)&gt;MAX('Rate &amp; Vol Update'!$F$7:$Z$7),MAX($H$17:$K$17)&gt;EDATE('Rate &amp; Vol Update'!$C$2,7*12)),"ERROR",IF($D$18='Data Validation'!$H$2,'Adjustment Surface'!D44,'Adjustment Surface'!D44/$D$22)),"ERROR")</f>
        <v>40000</v>
      </c>
      <c r="J19" s="125">
        <f>IFERROR(IF(OR(MAX($G$18:$G$21)&gt;MAX('Rate &amp; Vol Update'!$F$7:$Z$7),MAX($H$17:$K$17)&gt;EDATE('Rate &amp; Vol Update'!$C$2,7*12)),"ERROR",IF($D$18='Data Validation'!$H$2,'Adjustment Surface'!E44,'Adjustment Surface'!E44/$D$22)),"ERROR")</f>
        <v>115000</v>
      </c>
      <c r="K19" s="126">
        <f>IFERROR(IF(OR(MAX($G$18:$G$21)&gt;MAX('Rate &amp; Vol Update'!$F$7:$Z$7),MAX($H$17:$K$17)&gt;EDATE('Rate &amp; Vol Update'!$C$2,7*12)),"ERROR",IF($D$18='Data Validation'!$H$2,'Adjustment Surface'!F44,'Adjustment Surface'!F44/$D$22)),"ERROR")</f>
        <v>229000</v>
      </c>
      <c r="N19" s="114">
        <f>'Bachelier Model'!J17</f>
        <v>46457</v>
      </c>
      <c r="O19" s="114">
        <f>'Bachelier Model'!K17</f>
        <v>46488</v>
      </c>
      <c r="P19" s="115"/>
      <c r="Q19" s="116">
        <f>IF(N19="","",'Bachelier Model'!T17*('Adjustment Surface'!$F$7/'Adjustment Surface'!$F$3))</f>
        <v>26259.394531039863</v>
      </c>
      <c r="R19" s="117">
        <f>IF(N19="","",Q19/'Adjustment Surface'!$F$7)</f>
        <v>2.5200954444376068E-2</v>
      </c>
      <c r="S19" s="115"/>
      <c r="T19" s="118">
        <f>INDEX('Market Scenarios'!$D$3:$O$123,MATCH('Cap and Floor Pricer'!N19,'Market Scenarios'!$B$3:$B$123,0),MATCH('Cap and Floor Pricer'!$G$28,'Market Scenarios'!$D$2:$O$2,0))</f>
        <v>3.1659714684477917E-2</v>
      </c>
      <c r="U19" s="118">
        <f>'Bachelier Model'!O17</f>
        <v>0.02</v>
      </c>
      <c r="V19" s="116">
        <f>IF(N19="","",(MAX(0,IF($D$16='Data Validation'!$A$2,T19-U19,U19-T19))*'Bachelier Model'!N17*('Bachelier Model'!L17/360)*'Bachelier Model'!R17))</f>
        <v>24196.03304721299</v>
      </c>
    </row>
    <row r="20" spans="3:22" ht="15" customHeight="1" x14ac:dyDescent="0.25">
      <c r="C20" s="109" t="s">
        <v>24</v>
      </c>
      <c r="D20" s="137" t="s">
        <v>27</v>
      </c>
      <c r="G20" s="141">
        <v>0.05</v>
      </c>
      <c r="H20" s="125">
        <f>IFERROR(IF(OR(MAX($G$18:$G$21)&gt;MAX('Rate &amp; Vol Update'!$F$7:$Z$7),MAX($H$17:$K$17)&gt;EDATE('Rate &amp; Vol Update'!$C$2,7*12)),"ERROR",IF($D$18='Data Validation'!$H$2,'Adjustment Surface'!C45,'Adjustment Surface'!C45/$D$22)),"ERROR")</f>
        <v>15000</v>
      </c>
      <c r="I20" s="125">
        <f>IFERROR(IF(OR(MAX($G$18:$G$21)&gt;MAX('Rate &amp; Vol Update'!$F$7:$Z$7),MAX($H$17:$K$17)&gt;EDATE('Rate &amp; Vol Update'!$C$2,7*12)),"ERROR",IF($D$18='Data Validation'!$H$2,'Adjustment Surface'!D45,'Adjustment Surface'!D45/$D$22)),"ERROR")</f>
        <v>15000</v>
      </c>
      <c r="J20" s="125">
        <f>IFERROR(IF(OR(MAX($G$18:$G$21)&gt;MAX('Rate &amp; Vol Update'!$F$7:$Z$7),MAX($H$17:$K$17)&gt;EDATE('Rate &amp; Vol Update'!$C$2,7*12)),"ERROR",IF($D$18='Data Validation'!$H$2,'Adjustment Surface'!E45,'Adjustment Surface'!E45/$D$22)),"ERROR")</f>
        <v>49000</v>
      </c>
      <c r="K20" s="126">
        <f>IFERROR(IF(OR(MAX($G$18:$G$21)&gt;MAX('Rate &amp; Vol Update'!$F$7:$Z$7),MAX($H$17:$K$17)&gt;EDATE('Rate &amp; Vol Update'!$C$2,7*12)),"ERROR",IF($D$18='Data Validation'!$H$2,'Adjustment Surface'!F45,'Adjustment Surface'!F45/$D$22)),"ERROR")</f>
        <v>104000</v>
      </c>
      <c r="N20" s="114">
        <f>'Bachelier Model'!J18</f>
        <v>46488</v>
      </c>
      <c r="O20" s="114">
        <f>'Bachelier Model'!K18</f>
        <v>46518</v>
      </c>
      <c r="P20" s="115"/>
      <c r="Q20" s="116">
        <f>IF(N20="","",'Bachelier Model'!T18*('Adjustment Surface'!$F$7/'Adjustment Surface'!$F$3))</f>
        <v>25505.124966435273</v>
      </c>
      <c r="R20" s="117">
        <f>IF(N20="","",Q20/'Adjustment Surface'!$F$7)</f>
        <v>2.4477087299841913E-2</v>
      </c>
      <c r="S20" s="115"/>
      <c r="T20" s="118">
        <f>INDEX('Market Scenarios'!$D$3:$O$123,MATCH('Cap and Floor Pricer'!N20,'Market Scenarios'!$B$3:$B$123,0),MATCH('Cap and Floor Pricer'!$G$28,'Market Scenarios'!$D$2:$O$2,0))</f>
        <v>3.1658323853122283E-2</v>
      </c>
      <c r="U20" s="118">
        <f>'Bachelier Model'!O18</f>
        <v>0.02</v>
      </c>
      <c r="V20" s="116">
        <f>IF(N20="","",(MAX(0,IF($D$16='Data Validation'!$A$2,T20-U20,U20-T20))*'Bachelier Model'!N18*('Bachelier Model'!L18/360)*'Bachelier Model'!R18))</f>
        <v>23352.02897907501</v>
      </c>
    </row>
    <row r="21" spans="3:22" ht="15" customHeight="1" thickBot="1" x14ac:dyDescent="0.3">
      <c r="D21" s="127"/>
      <c r="G21" s="142">
        <v>0.06</v>
      </c>
      <c r="H21" s="128">
        <f>IFERROR(IF(OR(MAX($G$18:$G$21)&gt;MAX('Rate &amp; Vol Update'!$F$7:$Z$7),MAX($H$17:$K$17)&gt;EDATE('Rate &amp; Vol Update'!$C$2,7*12)),"ERROR",IF($D$18='Data Validation'!$H$2,'Adjustment Surface'!C46,'Adjustment Surface'!C46/$D$22)),"ERROR")</f>
        <v>15000</v>
      </c>
      <c r="I21" s="128">
        <f>IFERROR(IF(OR(MAX($G$18:$G$21)&gt;MAX('Rate &amp; Vol Update'!$F$7:$Z$7),MAX($H$17:$K$17)&gt;EDATE('Rate &amp; Vol Update'!$C$2,7*12)),"ERROR",IF($D$18='Data Validation'!$H$2,'Adjustment Surface'!D46,'Adjustment Surface'!D46/$D$22)),"ERROR")</f>
        <v>15000</v>
      </c>
      <c r="J21" s="128">
        <f>IFERROR(IF(OR(MAX($G$18:$G$21)&gt;MAX('Rate &amp; Vol Update'!$F$7:$Z$7),MAX($H$17:$K$17)&gt;EDATE('Rate &amp; Vol Update'!$C$2,7*12)),"ERROR",IF($D$18='Data Validation'!$H$2,'Adjustment Surface'!E46,'Adjustment Surface'!E46/$D$22)),"ERROR")</f>
        <v>25000</v>
      </c>
      <c r="K21" s="129">
        <f>IFERROR(IF(OR(MAX($G$18:$G$21)&gt;MAX('Rate &amp; Vol Update'!$F$7:$Z$7),MAX($H$17:$K$17)&gt;EDATE('Rate &amp; Vol Update'!$C$2,7*12)),"ERROR",IF($D$18='Data Validation'!$H$2,'Adjustment Surface'!F46,'Adjustment Surface'!F46/$D$22)),"ERROR")</f>
        <v>15000</v>
      </c>
      <c r="N21" s="114">
        <f>'Bachelier Model'!J19</f>
        <v>46518</v>
      </c>
      <c r="O21" s="114">
        <f>'Bachelier Model'!K19</f>
        <v>46549</v>
      </c>
      <c r="P21" s="115"/>
      <c r="Q21" s="116">
        <f>IF(N21="","",'Bachelier Model'!T19*('Adjustment Surface'!$F$7/'Adjustment Surface'!$F$3))</f>
        <v>26462.433129799334</v>
      </c>
      <c r="R21" s="117">
        <f>IF(N21="","",Q21/'Adjustment Surface'!$F$7)</f>
        <v>2.5395809145680744E-2</v>
      </c>
      <c r="S21" s="115"/>
      <c r="T21" s="118">
        <f>INDEX('Market Scenarios'!$D$3:$O$123,MATCH('Cap and Floor Pricer'!N21,'Market Scenarios'!$B$3:$B$123,0),MATCH('Cap and Floor Pricer'!$G$28,'Market Scenarios'!$D$2:$O$2,0))</f>
        <v>3.1661105597286798E-2</v>
      </c>
      <c r="U21" s="118">
        <f>'Bachelier Model'!O19</f>
        <v>0.02</v>
      </c>
      <c r="V21" s="116">
        <f>IF(N21="","",(MAX(0,IF($D$16='Data Validation'!$A$2,T21-U21,U21-T21))*'Bachelier Model'!N19*('Bachelier Model'!L19/360)*'Bachelier Model'!R19))</f>
        <v>24071.408608139547</v>
      </c>
    </row>
    <row r="22" spans="3:22" ht="15" customHeight="1" x14ac:dyDescent="0.25">
      <c r="C22" s="109" t="s">
        <v>5</v>
      </c>
      <c r="D22" s="138">
        <v>25000000</v>
      </c>
      <c r="N22" s="114">
        <f>'Bachelier Model'!J20</f>
        <v>46549</v>
      </c>
      <c r="O22" s="114">
        <f>'Bachelier Model'!K20</f>
        <v>46579</v>
      </c>
      <c r="P22" s="115"/>
      <c r="Q22" s="116">
        <f>IF(N22="","",'Bachelier Model'!T20*('Adjustment Surface'!$F$7/'Adjustment Surface'!$F$3))</f>
        <v>25678.673649598561</v>
      </c>
      <c r="R22" s="117">
        <f>IF(N22="","",Q22/'Adjustment Surface'!$F$7)</f>
        <v>2.4643640738578273E-2</v>
      </c>
      <c r="S22" s="115"/>
      <c r="T22" s="118">
        <f>INDEX('Market Scenarios'!$D$3:$O$123,MATCH('Cap and Floor Pricer'!N22,'Market Scenarios'!$B$3:$B$123,0),MATCH('Cap and Floor Pricer'!$G$28,'Market Scenarios'!$D$2:$O$2,0))</f>
        <v>3.1658323853122283E-2</v>
      </c>
      <c r="U22" s="118">
        <f>'Bachelier Model'!O20</f>
        <v>0.02</v>
      </c>
      <c r="V22" s="116">
        <f>IF(N22="","",(MAX(0,IF($D$16='Data Validation'!$A$2,T22-U22,U22-T22))*'Bachelier Model'!N20*('Bachelier Model'!L20/360)*'Bachelier Model'!R20))</f>
        <v>23229.028142447823</v>
      </c>
    </row>
    <row r="23" spans="3:22" ht="15" customHeight="1" x14ac:dyDescent="0.25">
      <c r="C23" s="109" t="s">
        <v>22</v>
      </c>
      <c r="D23" s="139">
        <v>47160</v>
      </c>
      <c r="N23" s="114">
        <f>'Bachelier Model'!J21</f>
        <v>46579</v>
      </c>
      <c r="O23" s="114">
        <f>'Bachelier Model'!K21</f>
        <v>46610</v>
      </c>
      <c r="P23" s="115"/>
      <c r="Q23" s="116">
        <f>IF(N23="","",'Bachelier Model'!T21*('Adjustment Surface'!$F$7/'Adjustment Surface'!$F$3))</f>
        <v>26622.569330968501</v>
      </c>
      <c r="R23" s="117">
        <f>IF(N23="","",Q23/'Adjustment Surface'!$F$7)</f>
        <v>2.5549490720699137E-2</v>
      </c>
      <c r="S23" s="115"/>
      <c r="T23" s="118">
        <f>INDEX('Market Scenarios'!$D$3:$O$123,MATCH('Cap and Floor Pricer'!N23,'Market Scenarios'!$B$3:$B$123,0),MATCH('Cap and Floor Pricer'!$G$28,'Market Scenarios'!$D$2:$O$2,0))</f>
        <v>3.1662496591553978E-2</v>
      </c>
      <c r="U23" s="118">
        <f>'Bachelier Model'!O21</f>
        <v>0.02</v>
      </c>
      <c r="V23" s="116">
        <f>IF(N23="","",(MAX(0,IF($D$16='Data Validation'!$A$2,T23-U23,U23-T23))*'Bachelier Model'!N21*('Bachelier Model'!L21/360)*'Bachelier Model'!R21))</f>
        <v>23947.414943708874</v>
      </c>
    </row>
    <row r="24" spans="3:22" ht="15" customHeight="1" x14ac:dyDescent="0.25">
      <c r="C24" s="109" t="str">
        <f>IF(D20='Data Validation'!D3,"","Strike")</f>
        <v>Strike</v>
      </c>
      <c r="D24" s="140">
        <v>0.02</v>
      </c>
      <c r="N24" s="114">
        <f>'Bachelier Model'!J22</f>
        <v>46610</v>
      </c>
      <c r="O24" s="114">
        <f>'Bachelier Model'!K22</f>
        <v>46641</v>
      </c>
      <c r="P24" s="115"/>
      <c r="Q24" s="116">
        <f>IF(N24="","",'Bachelier Model'!T22*('Adjustment Surface'!$F$7/'Adjustment Surface'!$F$3))</f>
        <v>27593.193481840066</v>
      </c>
      <c r="R24" s="117">
        <f>IF(N24="","",Q24/'Adjustment Surface'!$F$7)</f>
        <v>2.6480991825182404E-2</v>
      </c>
      <c r="S24" s="115"/>
      <c r="T24" s="118">
        <f>INDEX('Market Scenarios'!$D$3:$O$123,MATCH('Cap and Floor Pricer'!N24,'Market Scenarios'!$B$3:$B$123,0),MATCH('Cap and Floor Pricer'!$G$28,'Market Scenarios'!$D$2:$O$2,0))</f>
        <v>3.2142921917914222E-2</v>
      </c>
      <c r="U24" s="118">
        <f>'Bachelier Model'!O22</f>
        <v>0.02</v>
      </c>
      <c r="V24" s="116">
        <f>IF(N24="","",(MAX(0,IF($D$16='Data Validation'!$A$2,T24-U24,U24-T24))*'Bachelier Model'!N22*('Bachelier Model'!L22/360)*'Bachelier Model'!R22))</f>
        <v>24848.518236450833</v>
      </c>
    </row>
    <row r="25" spans="3:22" ht="15" customHeight="1" thickBot="1" x14ac:dyDescent="0.3">
      <c r="G25" s="111" t="s">
        <v>68</v>
      </c>
      <c r="H25" s="111"/>
      <c r="I25" s="111"/>
      <c r="J25" s="111"/>
      <c r="K25" s="111"/>
      <c r="N25" s="114">
        <f>'Bachelier Model'!J23</f>
        <v>46641</v>
      </c>
      <c r="O25" s="114">
        <f>'Bachelier Model'!K23</f>
        <v>46671</v>
      </c>
      <c r="P25" s="115"/>
      <c r="Q25" s="116">
        <f>IF(N25="","",'Bachelier Model'!T23*('Adjustment Surface'!$F$7/'Adjustment Surface'!$F$3))</f>
        <v>26904.043937580413</v>
      </c>
      <c r="R25" s="117">
        <f>IF(N25="","",Q25/'Adjustment Surface'!$F$7)</f>
        <v>2.5819619901708651E-2</v>
      </c>
      <c r="S25" s="115"/>
      <c r="T25" s="118">
        <f>INDEX('Market Scenarios'!$D$3:$O$123,MATCH('Cap and Floor Pricer'!N25,'Market Scenarios'!$B$3:$B$123,0),MATCH('Cap and Floor Pricer'!$G$28,'Market Scenarios'!$D$2:$O$2,0))</f>
        <v>3.2213069900191904E-2</v>
      </c>
      <c r="U25" s="118">
        <f>'Bachelier Model'!O23</f>
        <v>0.02</v>
      </c>
      <c r="V25" s="116">
        <f>IF(N25="","",(MAX(0,IF($D$16='Data Validation'!$A$2,T25-U25,U25-T25))*'Bachelier Model'!N23*('Bachelier Model'!L23/360)*'Bachelier Model'!R23))</f>
        <v>24119.424709671795</v>
      </c>
    </row>
    <row r="26" spans="3:22" ht="15" customHeight="1" thickTop="1" thickBot="1" x14ac:dyDescent="0.3">
      <c r="C26" s="111" t="str">
        <f>IF('Cap and Floor Pricer'!D20='Data Validation'!D3,"STRIKE SCHEDULE","")</f>
        <v/>
      </c>
      <c r="D26" s="130"/>
      <c r="N26" s="114">
        <f>'Bachelier Model'!J24</f>
        <v>46671</v>
      </c>
      <c r="O26" s="114">
        <f>'Bachelier Model'!K24</f>
        <v>46702</v>
      </c>
      <c r="P26" s="115"/>
      <c r="Q26" s="116">
        <f>IF(N26="","",'Bachelier Model'!T24*('Adjustment Surface'!$F$7/'Adjustment Surface'!$F$3))</f>
        <v>27894.918065318623</v>
      </c>
      <c r="R26" s="117">
        <f>IF(N26="","",Q26/'Adjustment Surface'!$F$7)</f>
        <v>2.6770554765181021E-2</v>
      </c>
      <c r="S26" s="115"/>
      <c r="T26" s="118">
        <f>INDEX('Market Scenarios'!$D$3:$O$123,MATCH('Cap and Floor Pricer'!N26,'Market Scenarios'!$B$3:$B$123,0),MATCH('Cap and Floor Pricer'!$G$28,'Market Scenarios'!$D$2:$O$2,0))</f>
        <v>3.2215949945667843E-2</v>
      </c>
      <c r="U26" s="118">
        <f>'Bachelier Model'!O24</f>
        <v>0.02</v>
      </c>
      <c r="V26" s="116">
        <f>IF(N26="","",(MAX(0,IF($D$16='Data Validation'!$A$2,T26-U26,U26-T26))*'Bachelier Model'!N24*('Bachelier Model'!L24/360)*'Bachelier Model'!R24))</f>
        <v>24861.191793952417</v>
      </c>
    </row>
    <row r="27" spans="3:22" ht="15" customHeight="1" thickTop="1" x14ac:dyDescent="0.25">
      <c r="G27" s="109" t="s">
        <v>69</v>
      </c>
      <c r="N27" s="114">
        <f>'Bachelier Model'!J25</f>
        <v>46702</v>
      </c>
      <c r="O27" s="114">
        <f>'Bachelier Model'!K25</f>
        <v>46732</v>
      </c>
      <c r="P27" s="115"/>
      <c r="Q27" s="116">
        <f>IF(N27="","",'Bachelier Model'!T25*('Adjustment Surface'!$F$7/'Adjustment Surface'!$F$3))</f>
        <v>27071.854010447598</v>
      </c>
      <c r="R27" s="117">
        <f>IF(N27="","",Q27/'Adjustment Surface'!$F$7)</f>
        <v>2.5980666036897887E-2</v>
      </c>
      <c r="S27" s="115"/>
      <c r="T27" s="118">
        <f>INDEX('Market Scenarios'!$D$3:$O$123,MATCH('Cap and Floor Pricer'!N27,'Market Scenarios'!$B$3:$B$123,0),MATCH('Cap and Floor Pricer'!$G$28,'Market Scenarios'!$D$2:$O$2,0))</f>
        <v>3.2213069900194569E-2</v>
      </c>
      <c r="U27" s="118">
        <f>'Bachelier Model'!O25</f>
        <v>0.02</v>
      </c>
      <c r="V27" s="116">
        <f>IF(N27="","",(MAX(0,IF($D$16='Data Validation'!$A$2,T27-U27,U27-T27))*'Bachelier Model'!N25*('Bachelier Model'!L25/360)*'Bachelier Model'!R25))</f>
        <v>23990.19645483921</v>
      </c>
    </row>
    <row r="28" spans="3:22" ht="15" customHeight="1" x14ac:dyDescent="0.25">
      <c r="C28" s="131" t="str">
        <f>IF('Cap and Floor Pricer'!D20='Data Validation'!D3,"1st Year","")</f>
        <v/>
      </c>
      <c r="D28" s="140">
        <v>0.01</v>
      </c>
      <c r="G28" s="228" t="s">
        <v>74</v>
      </c>
      <c r="H28" s="228"/>
      <c r="N28" s="114">
        <f>'Bachelier Model'!J26</f>
        <v>46732</v>
      </c>
      <c r="O28" s="114">
        <f>'Bachelier Model'!K26</f>
        <v>46763</v>
      </c>
      <c r="P28" s="115"/>
      <c r="Q28" s="116">
        <f>IF(N28="","",'Bachelier Model'!T26*('Adjustment Surface'!$F$7/'Adjustment Surface'!$F$3))</f>
        <v>27895.426856994774</v>
      </c>
      <c r="R28" s="117">
        <f>IF(N28="","",Q28/'Adjustment Surface'!$F$7)</f>
        <v>2.6771043048939323E-2</v>
      </c>
      <c r="S28" s="115"/>
      <c r="T28" s="118">
        <f>INDEX('Market Scenarios'!$D$3:$O$123,MATCH('Cap and Floor Pricer'!N28,'Market Scenarios'!$B$3:$B$123,0),MATCH('Cap and Floor Pricer'!$G$28,'Market Scenarios'!$D$2:$O$2,0))</f>
        <v>3.2218830334396993E-2</v>
      </c>
      <c r="U28" s="118">
        <f>'Bachelier Model'!O26</f>
        <v>0.02</v>
      </c>
      <c r="V28" s="116">
        <f>IF(N28="","",(MAX(0,IF($D$16='Data Validation'!$A$2,T28-U28,U28-T28))*'Bachelier Model'!N26*('Bachelier Model'!L26/360)*'Bachelier Model'!R26))</f>
        <v>24733.674148803664</v>
      </c>
    </row>
    <row r="29" spans="3:22" ht="15" customHeight="1" x14ac:dyDescent="0.25">
      <c r="C29" s="131" t="str">
        <f>IF(D20='Data Validation'!D2,"",IF(DATEDIF('Rate &amp; Vol Update'!$C$2,'Cap and Floor Pricer'!$D$23,"M")&gt;12,"2nd Year",""))</f>
        <v/>
      </c>
      <c r="D29" s="140">
        <v>0.02</v>
      </c>
      <c r="N29" s="114">
        <f>'Bachelier Model'!J27</f>
        <v>46763</v>
      </c>
      <c r="O29" s="114">
        <f>'Bachelier Model'!K27</f>
        <v>46794</v>
      </c>
      <c r="P29" s="115"/>
      <c r="Q29" s="116">
        <f>IF(N29="","",'Bachelier Model'!T27*('Adjustment Surface'!$F$7/'Adjustment Surface'!$F$3))</f>
        <v>27812.951399672802</v>
      </c>
      <c r="R29" s="117">
        <f>IF(N29="","",Q29/'Adjustment Surface'!$F$7)</f>
        <v>2.6691891938265645E-2</v>
      </c>
      <c r="S29" s="115"/>
      <c r="T29" s="118">
        <f>INDEX('Market Scenarios'!$D$3:$O$123,MATCH('Cap and Floor Pricer'!N29,'Market Scenarios'!$B$3:$B$123,0),MATCH('Cap and Floor Pricer'!$G$28,'Market Scenarios'!$D$2:$O$2,0))</f>
        <v>3.2215949945670556E-2</v>
      </c>
      <c r="U29" s="118">
        <f>'Bachelier Model'!O27</f>
        <v>0.02</v>
      </c>
      <c r="V29" s="116">
        <f>IF(N29="","",(MAX(0,IF($D$16='Data Validation'!$A$2,T29-U29,U29-T29))*'Bachelier Model'!N27*('Bachelier Model'!L27/360)*'Bachelier Model'!R27))</f>
        <v>24660.552332934647</v>
      </c>
    </row>
    <row r="30" spans="3:22" ht="15" customHeight="1" x14ac:dyDescent="0.25">
      <c r="C30" s="131" t="str">
        <f>IF(D20='Data Validation'!D2,"",IF(DATEDIF('Rate &amp; Vol Update'!$C$2,'Cap and Floor Pricer'!$D$23,"M")&gt;24,"3rd Year",""))</f>
        <v/>
      </c>
      <c r="D30" s="140">
        <v>0.03</v>
      </c>
      <c r="I30" s="115" t="s">
        <v>81</v>
      </c>
      <c r="J30" s="223" t="s">
        <v>83</v>
      </c>
      <c r="K30" s="223"/>
      <c r="N30" s="114">
        <f>'Bachelier Model'!J28</f>
        <v>46794</v>
      </c>
      <c r="O30" s="114">
        <f>'Bachelier Model'!K28</f>
        <v>46823</v>
      </c>
      <c r="P30" s="115"/>
      <c r="Q30" s="116">
        <f>IF(N30="","",'Bachelier Model'!T28*('Adjustment Surface'!$F$7/'Adjustment Surface'!$F$3))</f>
        <v>28065.223693430085</v>
      </c>
      <c r="R30" s="117">
        <f>IF(N30="","",Q30/'Adjustment Surface'!$F$7)</f>
        <v>2.6933995867015437E-2</v>
      </c>
      <c r="S30" s="115"/>
      <c r="T30" s="118">
        <f>INDEX('Market Scenarios'!$D$3:$O$123,MATCH('Cap and Floor Pricer'!N30,'Market Scenarios'!$B$3:$B$123,0),MATCH('Cap and Floor Pricer'!$G$28,'Market Scenarios'!$D$2:$O$2,0))</f>
        <v>3.3516024401973946E-2</v>
      </c>
      <c r="U30" s="118">
        <f>'Bachelier Model'!O28</f>
        <v>0.02</v>
      </c>
      <c r="V30" s="116">
        <f>IF(N30="","",(MAX(0,IF($D$16='Data Validation'!$A$2,T30-U30,U30-T30))*'Bachelier Model'!N28*('Bachelier Model'!L28/360)*'Bachelier Model'!R28))</f>
        <v>25392.12293990645</v>
      </c>
    </row>
    <row r="31" spans="3:22" ht="15" customHeight="1" x14ac:dyDescent="0.25">
      <c r="C31" s="131" t="str">
        <f>IF(D20='Data Validation'!D2,"",IF(DATEDIF('Rate &amp; Vol Update'!$C$2,'Cap and Floor Pricer'!$D$23,"M")&gt;36,"4th Year",""))</f>
        <v/>
      </c>
      <c r="D31" s="140">
        <v>0.04</v>
      </c>
      <c r="G31" s="225" t="str">
        <f>"                    "&amp;IF(D16='Data Validation'!A2,"Cap","Floor")&amp;" Premium"</f>
        <v xml:space="preserve">                    Cap Premium</v>
      </c>
      <c r="H31" s="225"/>
      <c r="I31" s="132">
        <f>SUM(Q6:Q89)</f>
        <v>1042000</v>
      </c>
      <c r="J31" s="222">
        <f>I31/D22</f>
        <v>4.1680000000000002E-2</v>
      </c>
      <c r="K31" s="222"/>
      <c r="N31" s="114">
        <f>'Bachelier Model'!J29</f>
        <v>46823</v>
      </c>
      <c r="O31" s="114">
        <f>'Bachelier Model'!K29</f>
        <v>46854</v>
      </c>
      <c r="P31" s="115"/>
      <c r="Q31" s="116">
        <f>IF(N31="","",'Bachelier Model'!T29*('Adjustment Surface'!$F$7/'Adjustment Surface'!$F$3))</f>
        <v>30133.170745805703</v>
      </c>
      <c r="R31" s="117">
        <f>IF(N31="","",Q31/'Adjustment Surface'!$F$7)</f>
        <v>2.8918589967183977E-2</v>
      </c>
      <c r="S31" s="115"/>
      <c r="T31" s="118">
        <f>INDEX('Market Scenarios'!$D$3:$O$123,MATCH('Cap and Floor Pricer'!N31,'Market Scenarios'!$B$3:$B$123,0),MATCH('Cap and Floor Pricer'!$G$28,'Market Scenarios'!$D$2:$O$2,0))</f>
        <v>3.3568865638292748E-2</v>
      </c>
      <c r="U31" s="118">
        <f>'Bachelier Model'!O29</f>
        <v>0.02</v>
      </c>
      <c r="V31" s="116">
        <f>IF(N31="","",(MAX(0,IF($D$16='Data Validation'!$A$2,T31-U31,U31-T31))*'Bachelier Model'!N29*('Bachelier Model'!L29/360)*'Bachelier Model'!R29))</f>
        <v>27169.127160583164</v>
      </c>
    </row>
    <row r="32" spans="3:22" ht="15" customHeight="1" x14ac:dyDescent="0.25">
      <c r="C32" s="131" t="str">
        <f>IF(D20='Data Validation'!D2,"",IF(DATEDIF('Rate &amp; Vol Update'!$C$2,'Cap and Floor Pricer'!$D$23,"M")&gt;48,"5th Year",""))</f>
        <v/>
      </c>
      <c r="D32" s="140">
        <v>0.05</v>
      </c>
      <c r="G32" s="225" t="s">
        <v>98</v>
      </c>
      <c r="H32" s="225"/>
      <c r="I32" s="132">
        <f>SUM(V6:V89)</f>
        <v>957764.76001350267</v>
      </c>
      <c r="J32" s="222">
        <f>I32/D22</f>
        <v>3.8310590400540107E-2</v>
      </c>
      <c r="K32" s="222"/>
      <c r="N32" s="114">
        <f>'Bachelier Model'!J30</f>
        <v>46854</v>
      </c>
      <c r="O32" s="114">
        <f>'Bachelier Model'!K30</f>
        <v>46884</v>
      </c>
      <c r="P32" s="115"/>
      <c r="Q32" s="116">
        <f>IF(N32="","",'Bachelier Model'!T30*('Adjustment Surface'!$F$7/'Adjustment Surface'!$F$3))</f>
        <v>29200.131097127938</v>
      </c>
      <c r="R32" s="117">
        <f>IF(N32="","",Q32/'Adjustment Surface'!$F$7)</f>
        <v>2.8023158442541208E-2</v>
      </c>
      <c r="S32" s="115"/>
      <c r="T32" s="118">
        <f>INDEX('Market Scenarios'!$D$3:$O$123,MATCH('Cap and Floor Pricer'!N32,'Market Scenarios'!$B$3:$B$123,0),MATCH('Cap and Floor Pricer'!$G$28,'Market Scenarios'!$D$2:$O$2,0))</f>
        <v>3.3567302194227322E-2</v>
      </c>
      <c r="U32" s="118">
        <f>'Bachelier Model'!O30</f>
        <v>0.02</v>
      </c>
      <c r="V32" s="116">
        <f>IF(N32="","",(MAX(0,IF($D$16='Data Validation'!$A$2,T32-U32,U32-T32))*'Bachelier Model'!N30*('Bachelier Model'!L30/360)*'Bachelier Model'!R30))</f>
        <v>26217.528488566953</v>
      </c>
    </row>
    <row r="33" spans="3:22" ht="15" customHeight="1" x14ac:dyDescent="0.25">
      <c r="C33" s="131" t="str">
        <f>IF(D20='Data Validation'!D2,"",IF(DATEDIF('Rate &amp; Vol Update'!$C$2,'Cap and Floor Pricer'!$D$23,"M")&gt;60,"6th Year",""))</f>
        <v/>
      </c>
      <c r="D33" s="140">
        <v>0.06</v>
      </c>
      <c r="G33" s="224" t="s">
        <v>99</v>
      </c>
      <c r="H33" s="224"/>
      <c r="I33" s="133">
        <f>I32-I31</f>
        <v>-84235.239986497327</v>
      </c>
      <c r="J33" s="221">
        <f>J32-J31</f>
        <v>-3.3694095994598952E-3</v>
      </c>
      <c r="K33" s="221"/>
      <c r="N33" s="114">
        <f>'Bachelier Model'!J31</f>
        <v>46884</v>
      </c>
      <c r="O33" s="114">
        <f>'Bachelier Model'!K31</f>
        <v>46915</v>
      </c>
      <c r="P33" s="115"/>
      <c r="Q33" s="116">
        <f>IF(N33="","",'Bachelier Model'!T31*('Adjustment Surface'!$F$7/'Adjustment Surface'!$F$3))</f>
        <v>30214.165098000092</v>
      </c>
      <c r="R33" s="117">
        <f>IF(N33="","",Q33/'Adjustment Surface'!$F$7)</f>
        <v>2.8996319671785117E-2</v>
      </c>
      <c r="S33" s="115"/>
      <c r="T33" s="118">
        <f>INDEX('Market Scenarios'!$D$3:$O$123,MATCH('Cap and Floor Pricer'!N33,'Market Scenarios'!$B$3:$B$123,0),MATCH('Cap and Floor Pricer'!$G$28,'Market Scenarios'!$D$2:$O$2,0))</f>
        <v>3.3565738847226766E-2</v>
      </c>
      <c r="U33" s="118">
        <f>'Bachelier Model'!O31</f>
        <v>0.02</v>
      </c>
      <c r="V33" s="116">
        <f>IF(N33="","",(MAX(0,IF($D$16='Data Validation'!$A$2,T33-U33,U33-T33))*'Bachelier Model'!N31*('Bachelier Model'!L31/360)*'Bachelier Model'!R31))</f>
        <v>27011.516518731434</v>
      </c>
    </row>
    <row r="34" spans="3:22" ht="15" customHeight="1" x14ac:dyDescent="0.25">
      <c r="C34" s="131" t="str">
        <f>IF(D20='Data Validation'!D2,"",IF(DATEDIF('Rate &amp; Vol Update'!$C$2,'Cap and Floor Pricer'!$D$23,"M")&gt;72,"7th Year",""))</f>
        <v/>
      </c>
      <c r="D34" s="140">
        <v>7.0000000000000007E-2</v>
      </c>
      <c r="G34" s="200"/>
      <c r="H34" s="200"/>
      <c r="I34" s="133"/>
      <c r="J34" s="199"/>
      <c r="K34" s="199"/>
      <c r="N34" s="114">
        <f>'Bachelier Model'!J32</f>
        <v>46915</v>
      </c>
      <c r="O34" s="114">
        <f>'Bachelier Model'!K32</f>
        <v>46945</v>
      </c>
      <c r="P34" s="115"/>
      <c r="Q34" s="116">
        <f>IF(N34="","",'Bachelier Model'!T32*('Adjustment Surface'!$F$7/'Adjustment Surface'!$F$3))</f>
        <v>29277.574725705665</v>
      </c>
      <c r="R34" s="117">
        <f>IF(N34="","",Q34/'Adjustment Surface'!$F$7)</f>
        <v>2.8097480542903709E-2</v>
      </c>
      <c r="S34" s="115"/>
      <c r="T34" s="118">
        <f>INDEX('Market Scenarios'!$D$3:$O$123,MATCH('Cap and Floor Pricer'!N34,'Market Scenarios'!$B$3:$B$123,0),MATCH('Cap and Floor Pricer'!$G$28,'Market Scenarios'!$D$2:$O$2,0))</f>
        <v>3.3564175597285306E-2</v>
      </c>
      <c r="U34" s="118">
        <f>'Bachelier Model'!O32</f>
        <v>0.02</v>
      </c>
      <c r="V34" s="116">
        <f>IF(N34="","",(MAX(0,IF($D$16='Data Validation'!$A$2,T34-U34,U34-T34))*'Bachelier Model'!N32*('Bachelier Model'!L32/360)*'Bachelier Model'!R32))</f>
        <v>26065.451080531271</v>
      </c>
    </row>
    <row r="35" spans="3:22" ht="15" customHeight="1" thickBot="1" x14ac:dyDescent="0.3">
      <c r="C35" s="134"/>
      <c r="D35" s="134"/>
      <c r="E35" s="134"/>
      <c r="F35" s="134"/>
      <c r="G35" s="134"/>
      <c r="H35" s="134"/>
      <c r="I35" s="134"/>
      <c r="J35" s="134"/>
      <c r="K35" s="134"/>
      <c r="N35" s="114">
        <f>'Bachelier Model'!J33</f>
        <v>46945</v>
      </c>
      <c r="O35" s="114">
        <f>'Bachelier Model'!K33</f>
        <v>46976</v>
      </c>
      <c r="P35" s="115"/>
      <c r="Q35" s="116">
        <f>IF(N35="","",'Bachelier Model'!T33*('Adjustment Surface'!$F$7/'Adjustment Surface'!$F$3))</f>
        <v>30301.277848298716</v>
      </c>
      <c r="R35" s="117">
        <f>IF(N35="","",Q35/'Adjustment Surface'!$F$7)</f>
        <v>2.9079921159595696E-2</v>
      </c>
      <c r="S35" s="115"/>
      <c r="T35" s="118">
        <f>INDEX('Market Scenarios'!$D$3:$O$123,MATCH('Cap and Floor Pricer'!N35,'Market Scenarios'!$B$3:$B$123,0),MATCH('Cap and Floor Pricer'!$G$28,'Market Scenarios'!$D$2:$O$2,0))</f>
        <v>3.3567302194227322E-2</v>
      </c>
      <c r="U35" s="118">
        <f>'Bachelier Model'!O33</f>
        <v>0.02</v>
      </c>
      <c r="V35" s="116">
        <f>IF(N35="","",(MAX(0,IF($D$16='Data Validation'!$A$2,T35-U35,U35-T35))*'Bachelier Model'!N33*('Bachelier Model'!L33/360)*'Bachelier Model'!R33))</f>
        <v>26863.824249106372</v>
      </c>
    </row>
    <row r="36" spans="3:22" ht="15" customHeight="1" thickTop="1" x14ac:dyDescent="0.25">
      <c r="C36" s="135"/>
      <c r="D36" s="135"/>
      <c r="E36" s="135"/>
      <c r="F36" s="135"/>
      <c r="G36" s="135"/>
      <c r="H36" s="135"/>
      <c r="I36" s="135"/>
      <c r="J36" s="135"/>
      <c r="K36" s="135"/>
      <c r="N36" s="114">
        <f>'Bachelier Model'!J34</f>
        <v>46976</v>
      </c>
      <c r="O36" s="114">
        <f>'Bachelier Model'!K34</f>
        <v>47007</v>
      </c>
      <c r="P36" s="115"/>
      <c r="Q36" s="116">
        <f>IF(N36="","",'Bachelier Model'!T34*('Adjustment Surface'!$F$7/'Adjustment Surface'!$F$3))</f>
        <v>30340.172330808899</v>
      </c>
      <c r="R36" s="117">
        <f>IF(N36="","",Q36/'Adjustment Surface'!$F$7)</f>
        <v>2.9117247918242706E-2</v>
      </c>
      <c r="S36" s="115"/>
      <c r="T36" s="118">
        <f>INDEX('Market Scenarios'!$D$3:$O$123,MATCH('Cap and Floor Pricer'!N36,'Market Scenarios'!$B$3:$B$123,0),MATCH('Cap and Floor Pricer'!$G$28,'Market Scenarios'!$D$2:$O$2,0))</f>
        <v>3.3565738847226759E-2</v>
      </c>
      <c r="U36" s="118">
        <f>'Bachelier Model'!O34</f>
        <v>0.02</v>
      </c>
      <c r="V36" s="116">
        <f>IF(N36="","",(MAX(0,IF($D$16='Data Validation'!$A$2,T36-U36,U36-T36))*'Bachelier Model'!N34*('Bachelier Model'!L34/360)*'Bachelier Model'!R34))</f>
        <v>26784.576583463164</v>
      </c>
    </row>
    <row r="37" spans="3:22" ht="15" customHeight="1" x14ac:dyDescent="0.25">
      <c r="C37" s="220" t="s">
        <v>92</v>
      </c>
      <c r="D37" s="220"/>
      <c r="E37" s="220"/>
      <c r="F37" s="220"/>
      <c r="G37" s="220"/>
      <c r="H37" s="220"/>
      <c r="I37" s="220"/>
      <c r="J37" s="220"/>
      <c r="K37" s="220"/>
      <c r="N37" s="114">
        <f>'Bachelier Model'!J35</f>
        <v>47007</v>
      </c>
      <c r="O37" s="114">
        <f>'Bachelier Model'!K35</f>
        <v>47037</v>
      </c>
      <c r="P37" s="115"/>
      <c r="Q37" s="116">
        <f>IF(N37="","",'Bachelier Model'!T35*('Adjustment Surface'!$F$7/'Adjustment Surface'!$F$3))</f>
        <v>29397.365070330819</v>
      </c>
      <c r="R37" s="117">
        <f>IF(N37="","",Q37/'Adjustment Surface'!$F$7)</f>
        <v>2.8212442485922092E-2</v>
      </c>
      <c r="S37" s="115"/>
      <c r="T37" s="118">
        <f>INDEX('Market Scenarios'!$D$3:$O$123,MATCH('Cap and Floor Pricer'!N37,'Market Scenarios'!$B$3:$B$123,0),MATCH('Cap and Floor Pricer'!$G$28,'Market Scenarios'!$D$2:$O$2,0))</f>
        <v>3.3564175597287978E-2</v>
      </c>
      <c r="U37" s="118">
        <f>'Bachelier Model'!O35</f>
        <v>0.02</v>
      </c>
      <c r="V37" s="116">
        <f>IF(N37="","",(MAX(0,IF($D$16='Data Validation'!$A$2,T37-U37,U37-T37))*'Bachelier Model'!N35*('Bachelier Model'!L35/360)*'Bachelier Model'!R35))</f>
        <v>25846.469598153453</v>
      </c>
    </row>
    <row r="38" spans="3:22" ht="15" customHeight="1" x14ac:dyDescent="0.25">
      <c r="C38" s="220"/>
      <c r="D38" s="220"/>
      <c r="E38" s="220"/>
      <c r="F38" s="220"/>
      <c r="G38" s="220"/>
      <c r="H38" s="220"/>
      <c r="I38" s="220"/>
      <c r="J38" s="220"/>
      <c r="K38" s="220"/>
      <c r="N38" s="114">
        <f>'Bachelier Model'!J36</f>
        <v>47037</v>
      </c>
      <c r="O38" s="114">
        <f>'Bachelier Model'!K36</f>
        <v>47068</v>
      </c>
      <c r="P38" s="115"/>
      <c r="Q38" s="116">
        <f>IF(N38="","",'Bachelier Model'!T36*('Adjustment Surface'!$F$7/'Adjustment Surface'!$F$3))</f>
        <v>30419.99023221069</v>
      </c>
      <c r="R38" s="117">
        <f>IF(N38="","",Q38/'Adjustment Surface'!$F$7)</f>
        <v>2.9193848591373021E-2</v>
      </c>
      <c r="S38" s="115"/>
      <c r="T38" s="118">
        <f>INDEX('Market Scenarios'!$D$3:$O$123,MATCH('Cap and Floor Pricer'!N38,'Market Scenarios'!$B$3:$B$123,0),MATCH('Cap and Floor Pricer'!$G$28,'Market Scenarios'!$D$2:$O$2,0))</f>
        <v>3.3565738847226766E-2</v>
      </c>
      <c r="U38" s="118">
        <f>'Bachelier Model'!O36</f>
        <v>0.02</v>
      </c>
      <c r="V38" s="116">
        <f>IF(N38="","",(MAX(0,IF($D$16='Data Validation'!$A$2,T38-U38,U38-T38))*'Bachelier Model'!N36*('Bachelier Model'!L36/360)*'Bachelier Model'!R36))</f>
        <v>26635.157741825482</v>
      </c>
    </row>
    <row r="39" spans="3:22" ht="15" customHeight="1" x14ac:dyDescent="0.25">
      <c r="C39" s="220"/>
      <c r="D39" s="220"/>
      <c r="E39" s="220"/>
      <c r="F39" s="220"/>
      <c r="G39" s="220"/>
      <c r="H39" s="220"/>
      <c r="I39" s="220"/>
      <c r="J39" s="220"/>
      <c r="K39" s="220"/>
      <c r="N39" s="114">
        <f>'Bachelier Model'!J37</f>
        <v>47068</v>
      </c>
      <c r="O39" s="114">
        <f>'Bachelier Model'!K37</f>
        <v>47098</v>
      </c>
      <c r="P39" s="115"/>
      <c r="Q39" s="116">
        <f>IF(N39="","",'Bachelier Model'!T37*('Adjustment Surface'!$F$7/'Adjustment Surface'!$F$3))</f>
        <v>29455.688889425361</v>
      </c>
      <c r="R39" s="117">
        <f>IF(N39="","",Q39/'Adjustment Surface'!$F$7)</f>
        <v>2.8268415440907257E-2</v>
      </c>
      <c r="S39" s="115"/>
      <c r="T39" s="118">
        <f>INDEX('Market Scenarios'!$D$3:$O$123,MATCH('Cap and Floor Pricer'!N39,'Market Scenarios'!$B$3:$B$123,0),MATCH('Cap and Floor Pricer'!$G$28,'Market Scenarios'!$D$2:$O$2,0))</f>
        <v>3.3564175597290635E-2</v>
      </c>
      <c r="U39" s="118">
        <f>'Bachelier Model'!O37</f>
        <v>0.02</v>
      </c>
      <c r="V39" s="116">
        <f>IF(N39="","",(MAX(0,IF($D$16='Data Validation'!$A$2,T39-U39,U39-T39))*'Bachelier Model'!N37*('Bachelier Model'!L37/360)*'Bachelier Model'!R37))</f>
        <v>25702.290611236789</v>
      </c>
    </row>
    <row r="40" spans="3:22" ht="15" customHeight="1" x14ac:dyDescent="0.25">
      <c r="N40" s="114">
        <f>'Bachelier Model'!J38</f>
        <v>47098</v>
      </c>
      <c r="O40" s="114">
        <f>'Bachelier Model'!K38</f>
        <v>47129</v>
      </c>
      <c r="P40" s="115"/>
      <c r="Q40" s="116">
        <f>IF(N40="","",'Bachelier Model'!T38*('Adjustment Surface'!$F$7/'Adjustment Surface'!$F$3))</f>
        <v>30244.370099184198</v>
      </c>
      <c r="R40" s="117">
        <f>IF(N40="","",Q40/'Adjustment Surface'!$F$7)</f>
        <v>2.9025307196913819E-2</v>
      </c>
      <c r="S40" s="115"/>
      <c r="T40" s="118">
        <f>INDEX('Market Scenarios'!$D$3:$O$123,MATCH('Cap and Floor Pricer'!N40,'Market Scenarios'!$B$3:$B$123,0),MATCH('Cap and Floor Pricer'!$G$28,'Market Scenarios'!$D$2:$O$2,0))</f>
        <v>3.3570429179421046E-2</v>
      </c>
      <c r="U40" s="118">
        <f>'Bachelier Model'!O38</f>
        <v>0.02</v>
      </c>
      <c r="V40" s="116">
        <f>IF(N40="","",(MAX(0,IF($D$16='Data Validation'!$A$2,T40-U40,U40-T40))*'Bachelier Model'!N38*('Bachelier Model'!L38/360)*'Bachelier Model'!R38))</f>
        <v>26495.374428071475</v>
      </c>
    </row>
    <row r="41" spans="3:22" ht="15" customHeight="1" x14ac:dyDescent="0.25">
      <c r="N41" s="114">
        <f>'Bachelier Model'!J39</f>
        <v>47129</v>
      </c>
      <c r="O41" s="114">
        <f>'Bachelier Model'!K39</f>
        <v>47160</v>
      </c>
      <c r="P41" s="115"/>
      <c r="Q41" s="116">
        <f>IF(N41="","",'Bachelier Model'!T39*('Adjustment Surface'!$F$7/'Adjustment Surface'!$F$3))</f>
        <v>30113.306546038057</v>
      </c>
      <c r="R41" s="117">
        <f>IF(N41="","",Q41/'Adjustment Surface'!$F$7)</f>
        <v>2.8899526435737097E-2</v>
      </c>
      <c r="S41" s="115"/>
      <c r="T41" s="118">
        <f>INDEX('Market Scenarios'!$D$3:$O$123,MATCH('Cap and Floor Pricer'!N41,'Market Scenarios'!$B$3:$B$123,0),MATCH('Cap and Floor Pricer'!$G$28,'Market Scenarios'!$D$2:$O$2,0))</f>
        <v>3.3622331704801528E-2</v>
      </c>
      <c r="U41" s="118">
        <f>'Bachelier Model'!O39</f>
        <v>0.02</v>
      </c>
      <c r="V41" s="116">
        <f>IF(N41="","",(MAX(0,IF($D$16='Data Validation'!$A$2,T41-U41,U41-T41))*'Bachelier Model'!N39*('Bachelier Model'!L39/360)*'Bachelier Model'!R39))</f>
        <v>26517.140855910046</v>
      </c>
    </row>
    <row r="42" spans="3:22" ht="15" customHeight="1" x14ac:dyDescent="0.25">
      <c r="N42" s="114" t="str">
        <f>'Bachelier Model'!J40</f>
        <v/>
      </c>
      <c r="O42" s="114" t="str">
        <f>'Bachelier Model'!K40</f>
        <v/>
      </c>
      <c r="P42" s="115"/>
      <c r="Q42" s="116" t="str">
        <f>IF(N42="","",'Bachelier Model'!T40*('Adjustment Surface'!$F$7/'Adjustment Surface'!$F$3))</f>
        <v/>
      </c>
      <c r="R42" s="117" t="str">
        <f>IF(N42="","",Q42/'Adjustment Surface'!$F$7)</f>
        <v/>
      </c>
      <c r="S42" s="115"/>
      <c r="T42" s="118" t="str">
        <f>INDEX('Market Scenarios'!$D$3:$O$123,MATCH('Cap and Floor Pricer'!N42,'Market Scenarios'!$B$3:$B$123,0),MATCH('Cap and Floor Pricer'!$G$28,'Market Scenarios'!$D$2:$O$2,0))</f>
        <v/>
      </c>
      <c r="U42" s="118" t="str">
        <f>'Bachelier Model'!O40</f>
        <v/>
      </c>
      <c r="V42" s="116" t="str">
        <f>IF(N42="","",(MAX(0,IF($D$16='Data Validation'!$A$2,T42-U42,U42-T42))*'Bachelier Model'!N40*('Bachelier Model'!L40/360)*'Bachelier Model'!R40))</f>
        <v/>
      </c>
    </row>
    <row r="43" spans="3:22" ht="15" customHeight="1" x14ac:dyDescent="0.25">
      <c r="N43" s="114" t="str">
        <f>'Bachelier Model'!J41</f>
        <v/>
      </c>
      <c r="O43" s="114" t="str">
        <f>'Bachelier Model'!K41</f>
        <v/>
      </c>
      <c r="P43" s="115"/>
      <c r="Q43" s="116" t="str">
        <f>IF(N43="","",'Bachelier Model'!T41*('Adjustment Surface'!$F$7/'Adjustment Surface'!$F$3))</f>
        <v/>
      </c>
      <c r="R43" s="117" t="str">
        <f>IF(N43="","",Q43/'Adjustment Surface'!$F$7)</f>
        <v/>
      </c>
      <c r="S43" s="115"/>
      <c r="T43" s="118" t="str">
        <f>INDEX('Market Scenarios'!$D$3:$O$123,MATCH('Cap and Floor Pricer'!N43,'Market Scenarios'!$B$3:$B$123,0),MATCH('Cap and Floor Pricer'!$G$28,'Market Scenarios'!$D$2:$O$2,0))</f>
        <v/>
      </c>
      <c r="U43" s="118" t="str">
        <f>'Bachelier Model'!O41</f>
        <v/>
      </c>
      <c r="V43" s="116" t="str">
        <f>IF(N43="","",(MAX(0,IF($D$16='Data Validation'!$A$2,T43-U43,U43-T43))*'Bachelier Model'!N41*('Bachelier Model'!L41/360)*'Bachelier Model'!R41))</f>
        <v/>
      </c>
    </row>
    <row r="44" spans="3:22" ht="15" customHeight="1" x14ac:dyDescent="0.25">
      <c r="N44" s="114" t="str">
        <f>'Bachelier Model'!J42</f>
        <v/>
      </c>
      <c r="O44" s="114" t="str">
        <f>'Bachelier Model'!K42</f>
        <v/>
      </c>
      <c r="P44" s="115"/>
      <c r="Q44" s="116" t="str">
        <f>IF(N44="","",'Bachelier Model'!T42*('Adjustment Surface'!$F$7/'Adjustment Surface'!$F$3))</f>
        <v/>
      </c>
      <c r="R44" s="117" t="str">
        <f>IF(N44="","",Q44/'Adjustment Surface'!$F$7)</f>
        <v/>
      </c>
      <c r="S44" s="115"/>
      <c r="T44" s="118" t="str">
        <f>INDEX('Market Scenarios'!$D$3:$O$123,MATCH('Cap and Floor Pricer'!N44,'Market Scenarios'!$B$3:$B$123,0),MATCH('Cap and Floor Pricer'!$G$28,'Market Scenarios'!$D$2:$O$2,0))</f>
        <v/>
      </c>
      <c r="U44" s="118" t="str">
        <f>'Bachelier Model'!O42</f>
        <v/>
      </c>
      <c r="V44" s="116" t="str">
        <f>IF(N44="","",(MAX(0,IF($D$16='Data Validation'!$A$2,T44-U44,U44-T44))*'Bachelier Model'!N42*('Bachelier Model'!L42/360)*'Bachelier Model'!R42))</f>
        <v/>
      </c>
    </row>
    <row r="45" spans="3:22" ht="15" customHeight="1" x14ac:dyDescent="0.25">
      <c r="N45" s="114" t="str">
        <f>'Bachelier Model'!J43</f>
        <v/>
      </c>
      <c r="O45" s="114" t="str">
        <f>'Bachelier Model'!K43</f>
        <v/>
      </c>
      <c r="P45" s="115"/>
      <c r="Q45" s="116" t="str">
        <f>IF(N45="","",'Bachelier Model'!T43*('Adjustment Surface'!$F$7/'Adjustment Surface'!$F$3))</f>
        <v/>
      </c>
      <c r="R45" s="117" t="str">
        <f>IF(N45="","",Q45/'Adjustment Surface'!$F$7)</f>
        <v/>
      </c>
      <c r="S45" s="115"/>
      <c r="T45" s="118" t="str">
        <f>INDEX('Market Scenarios'!$D$3:$O$123,MATCH('Cap and Floor Pricer'!N45,'Market Scenarios'!$B$3:$B$123,0),MATCH('Cap and Floor Pricer'!$G$28,'Market Scenarios'!$D$2:$O$2,0))</f>
        <v/>
      </c>
      <c r="U45" s="118" t="str">
        <f>'Bachelier Model'!O43</f>
        <v/>
      </c>
      <c r="V45" s="116" t="str">
        <f>IF(N45="","",(MAX(0,IF($D$16='Data Validation'!$A$2,T45-U45,U45-T45))*'Bachelier Model'!N43*('Bachelier Model'!L43/360)*'Bachelier Model'!R43))</f>
        <v/>
      </c>
    </row>
    <row r="46" spans="3:22" ht="15" customHeight="1" x14ac:dyDescent="0.25">
      <c r="N46" s="114" t="str">
        <f>'Bachelier Model'!J44</f>
        <v/>
      </c>
      <c r="O46" s="114" t="str">
        <f>'Bachelier Model'!K44</f>
        <v/>
      </c>
      <c r="P46" s="115"/>
      <c r="Q46" s="116" t="str">
        <f>IF(N46="","",'Bachelier Model'!T44*('Adjustment Surface'!$F$7/'Adjustment Surface'!$F$3))</f>
        <v/>
      </c>
      <c r="R46" s="117" t="str">
        <f>IF(N46="","",Q46/'Adjustment Surface'!$F$7)</f>
        <v/>
      </c>
      <c r="S46" s="115"/>
      <c r="T46" s="118" t="str">
        <f>INDEX('Market Scenarios'!$D$3:$O$123,MATCH('Cap and Floor Pricer'!N46,'Market Scenarios'!$B$3:$B$123,0),MATCH('Cap and Floor Pricer'!$G$28,'Market Scenarios'!$D$2:$O$2,0))</f>
        <v/>
      </c>
      <c r="U46" s="118" t="str">
        <f>'Bachelier Model'!O44</f>
        <v/>
      </c>
      <c r="V46" s="116" t="str">
        <f>IF(N46="","",(MAX(0,IF($D$16='Data Validation'!$A$2,T46-U46,U46-T46))*'Bachelier Model'!N44*('Bachelier Model'!L44/360)*'Bachelier Model'!R44))</f>
        <v/>
      </c>
    </row>
    <row r="47" spans="3:22" ht="15" customHeight="1" x14ac:dyDescent="0.25">
      <c r="N47" s="114" t="str">
        <f>'Bachelier Model'!J45</f>
        <v/>
      </c>
      <c r="O47" s="114" t="str">
        <f>'Bachelier Model'!K45</f>
        <v/>
      </c>
      <c r="P47" s="115"/>
      <c r="Q47" s="116" t="str">
        <f>IF(N47="","",'Bachelier Model'!T45*('Adjustment Surface'!$F$7/'Adjustment Surface'!$F$3))</f>
        <v/>
      </c>
      <c r="R47" s="117" t="str">
        <f>IF(N47="","",Q47/'Adjustment Surface'!$F$7)</f>
        <v/>
      </c>
      <c r="S47" s="115"/>
      <c r="T47" s="118" t="str">
        <f>INDEX('Market Scenarios'!$D$3:$O$123,MATCH('Cap and Floor Pricer'!N47,'Market Scenarios'!$B$3:$B$123,0),MATCH('Cap and Floor Pricer'!$G$28,'Market Scenarios'!$D$2:$O$2,0))</f>
        <v/>
      </c>
      <c r="U47" s="118" t="str">
        <f>'Bachelier Model'!O45</f>
        <v/>
      </c>
      <c r="V47" s="116" t="str">
        <f>IF(N47="","",(MAX(0,IF($D$16='Data Validation'!$A$2,T47-U47,U47-T47))*'Bachelier Model'!N45*('Bachelier Model'!L45/360)*'Bachelier Model'!R45))</f>
        <v/>
      </c>
    </row>
    <row r="48" spans="3:22" ht="15" customHeight="1" x14ac:dyDescent="0.25">
      <c r="N48" s="114" t="str">
        <f>'Bachelier Model'!J46</f>
        <v/>
      </c>
      <c r="O48" s="114" t="str">
        <f>'Bachelier Model'!K46</f>
        <v/>
      </c>
      <c r="P48" s="115"/>
      <c r="Q48" s="116" t="str">
        <f>IF(N48="","",'Bachelier Model'!T46*('Adjustment Surface'!$F$7/'Adjustment Surface'!$F$3))</f>
        <v/>
      </c>
      <c r="R48" s="117" t="str">
        <f>IF(N48="","",Q48/'Adjustment Surface'!$F$7)</f>
        <v/>
      </c>
      <c r="S48" s="115"/>
      <c r="T48" s="118" t="str">
        <f>INDEX('Market Scenarios'!$D$3:$O$123,MATCH('Cap and Floor Pricer'!N48,'Market Scenarios'!$B$3:$B$123,0),MATCH('Cap and Floor Pricer'!$G$28,'Market Scenarios'!$D$2:$O$2,0))</f>
        <v/>
      </c>
      <c r="U48" s="118" t="str">
        <f>'Bachelier Model'!O46</f>
        <v/>
      </c>
      <c r="V48" s="116" t="str">
        <f>IF(N48="","",(MAX(0,IF($D$16='Data Validation'!$A$2,T48-U48,U48-T48))*'Bachelier Model'!N46*('Bachelier Model'!L46/360)*'Bachelier Model'!R46))</f>
        <v/>
      </c>
    </row>
    <row r="49" spans="14:22" ht="15" customHeight="1" x14ac:dyDescent="0.25">
      <c r="N49" s="114" t="str">
        <f>'Bachelier Model'!J47</f>
        <v/>
      </c>
      <c r="O49" s="114" t="str">
        <f>'Bachelier Model'!K47</f>
        <v/>
      </c>
      <c r="P49" s="115"/>
      <c r="Q49" s="116" t="str">
        <f>IF(N49="","",'Bachelier Model'!T47*('Adjustment Surface'!$F$7/'Adjustment Surface'!$F$3))</f>
        <v/>
      </c>
      <c r="R49" s="117" t="str">
        <f>IF(N49="","",Q49/'Adjustment Surface'!$F$7)</f>
        <v/>
      </c>
      <c r="S49" s="115"/>
      <c r="T49" s="118" t="str">
        <f>INDEX('Market Scenarios'!$D$3:$O$123,MATCH('Cap and Floor Pricer'!N49,'Market Scenarios'!$B$3:$B$123,0),MATCH('Cap and Floor Pricer'!$G$28,'Market Scenarios'!$D$2:$O$2,0))</f>
        <v/>
      </c>
      <c r="U49" s="118" t="str">
        <f>'Bachelier Model'!O47</f>
        <v/>
      </c>
      <c r="V49" s="116" t="str">
        <f>IF(N49="","",(MAX(0,IF($D$16='Data Validation'!$A$2,T49-U49,U49-T49))*'Bachelier Model'!N47*('Bachelier Model'!L47/360)*'Bachelier Model'!R47))</f>
        <v/>
      </c>
    </row>
    <row r="50" spans="14:22" ht="15" customHeight="1" x14ac:dyDescent="0.25">
      <c r="N50" s="114" t="str">
        <f>'Bachelier Model'!J48</f>
        <v/>
      </c>
      <c r="O50" s="114" t="str">
        <f>'Bachelier Model'!K48</f>
        <v/>
      </c>
      <c r="P50" s="115"/>
      <c r="Q50" s="116" t="str">
        <f>IF(N50="","",'Bachelier Model'!T48*('Adjustment Surface'!$F$7/'Adjustment Surface'!$F$3))</f>
        <v/>
      </c>
      <c r="R50" s="117" t="str">
        <f>IF(N50="","",Q50/'Adjustment Surface'!$F$7)</f>
        <v/>
      </c>
      <c r="S50" s="115"/>
      <c r="T50" s="118" t="str">
        <f>INDEX('Market Scenarios'!$D$3:$O$123,MATCH('Cap and Floor Pricer'!N50,'Market Scenarios'!$B$3:$B$123,0),MATCH('Cap and Floor Pricer'!$G$28,'Market Scenarios'!$D$2:$O$2,0))</f>
        <v/>
      </c>
      <c r="U50" s="118" t="str">
        <f>'Bachelier Model'!O48</f>
        <v/>
      </c>
      <c r="V50" s="116" t="str">
        <f>IF(N50="","",(MAX(0,IF($D$16='Data Validation'!$A$2,T50-U50,U50-T50))*'Bachelier Model'!N48*('Bachelier Model'!L48/360)*'Bachelier Model'!R48))</f>
        <v/>
      </c>
    </row>
    <row r="51" spans="14:22" ht="15" customHeight="1" x14ac:dyDescent="0.25">
      <c r="N51" s="114" t="str">
        <f>'Bachelier Model'!J49</f>
        <v/>
      </c>
      <c r="O51" s="114" t="str">
        <f>'Bachelier Model'!K49</f>
        <v/>
      </c>
      <c r="P51" s="115"/>
      <c r="Q51" s="116" t="str">
        <f>IF(N51="","",'Bachelier Model'!T49*('Adjustment Surface'!$F$7/'Adjustment Surface'!$F$3))</f>
        <v/>
      </c>
      <c r="R51" s="117" t="str">
        <f>IF(N51="","",Q51/'Adjustment Surface'!$F$7)</f>
        <v/>
      </c>
      <c r="S51" s="115"/>
      <c r="T51" s="118" t="str">
        <f>INDEX('Market Scenarios'!$D$3:$O$123,MATCH('Cap and Floor Pricer'!N51,'Market Scenarios'!$B$3:$B$123,0),MATCH('Cap and Floor Pricer'!$G$28,'Market Scenarios'!$D$2:$O$2,0))</f>
        <v/>
      </c>
      <c r="U51" s="118" t="str">
        <f>'Bachelier Model'!O49</f>
        <v/>
      </c>
      <c r="V51" s="116" t="str">
        <f>IF(N51="","",(MAX(0,IF($D$16='Data Validation'!$A$2,T51-U51,U51-T51))*'Bachelier Model'!N49*('Bachelier Model'!L49/360)*'Bachelier Model'!R49))</f>
        <v/>
      </c>
    </row>
    <row r="52" spans="14:22" ht="15" customHeight="1" x14ac:dyDescent="0.25">
      <c r="N52" s="114" t="str">
        <f>'Bachelier Model'!J50</f>
        <v/>
      </c>
      <c r="O52" s="114" t="str">
        <f>'Bachelier Model'!K50</f>
        <v/>
      </c>
      <c r="P52" s="115"/>
      <c r="Q52" s="116" t="str">
        <f>IF(N52="","",'Bachelier Model'!T50*('Adjustment Surface'!$F$7/'Adjustment Surface'!$F$3))</f>
        <v/>
      </c>
      <c r="R52" s="117" t="str">
        <f>IF(N52="","",Q52/'Adjustment Surface'!$F$7)</f>
        <v/>
      </c>
      <c r="S52" s="115"/>
      <c r="T52" s="118" t="str">
        <f>INDEX('Market Scenarios'!$D$3:$O$123,MATCH('Cap and Floor Pricer'!N52,'Market Scenarios'!$B$3:$B$123,0),MATCH('Cap and Floor Pricer'!$G$28,'Market Scenarios'!$D$2:$O$2,0))</f>
        <v/>
      </c>
      <c r="U52" s="118" t="str">
        <f>'Bachelier Model'!O50</f>
        <v/>
      </c>
      <c r="V52" s="116" t="str">
        <f>IF(N52="","",(MAX(0,IF($D$16='Data Validation'!$A$2,T52-U52,U52-T52))*'Bachelier Model'!N50*('Bachelier Model'!L50/360)*'Bachelier Model'!R50))</f>
        <v/>
      </c>
    </row>
    <row r="53" spans="14:22" ht="15" customHeight="1" x14ac:dyDescent="0.25">
      <c r="N53" s="114" t="str">
        <f>'Bachelier Model'!J51</f>
        <v/>
      </c>
      <c r="O53" s="114" t="str">
        <f>'Bachelier Model'!K51</f>
        <v/>
      </c>
      <c r="P53" s="115"/>
      <c r="Q53" s="116" t="str">
        <f>IF(N53="","",'Bachelier Model'!T51*('Adjustment Surface'!$F$7/'Adjustment Surface'!$F$3))</f>
        <v/>
      </c>
      <c r="R53" s="117" t="str">
        <f>IF(N53="","",Q53/'Adjustment Surface'!$F$7)</f>
        <v/>
      </c>
      <c r="S53" s="115"/>
      <c r="T53" s="118" t="str">
        <f>INDEX('Market Scenarios'!$D$3:$O$123,MATCH('Cap and Floor Pricer'!N53,'Market Scenarios'!$B$3:$B$123,0),MATCH('Cap and Floor Pricer'!$G$28,'Market Scenarios'!$D$2:$O$2,0))</f>
        <v/>
      </c>
      <c r="U53" s="118" t="str">
        <f>'Bachelier Model'!O51</f>
        <v/>
      </c>
      <c r="V53" s="116" t="str">
        <f>IF(N53="","",(MAX(0,IF($D$16='Data Validation'!$A$2,T53-U53,U53-T53))*'Bachelier Model'!N51*('Bachelier Model'!L51/360)*'Bachelier Model'!R51))</f>
        <v/>
      </c>
    </row>
    <row r="54" spans="14:22" ht="15" customHeight="1" x14ac:dyDescent="0.25">
      <c r="N54" s="114" t="str">
        <f>'Bachelier Model'!J52</f>
        <v/>
      </c>
      <c r="O54" s="114" t="str">
        <f>'Bachelier Model'!K52</f>
        <v/>
      </c>
      <c r="P54" s="115"/>
      <c r="Q54" s="116" t="str">
        <f>IF(N54="","",'Bachelier Model'!T52*('Adjustment Surface'!$F$7/'Adjustment Surface'!$F$3))</f>
        <v/>
      </c>
      <c r="R54" s="117" t="str">
        <f>IF(N54="","",Q54/'Adjustment Surface'!$F$7)</f>
        <v/>
      </c>
      <c r="S54" s="115"/>
      <c r="T54" s="118" t="str">
        <f>INDEX('Market Scenarios'!$D$3:$O$123,MATCH('Cap and Floor Pricer'!N54,'Market Scenarios'!$B$3:$B$123,0),MATCH('Cap and Floor Pricer'!$G$28,'Market Scenarios'!$D$2:$O$2,0))</f>
        <v/>
      </c>
      <c r="U54" s="118" t="str">
        <f>'Bachelier Model'!O52</f>
        <v/>
      </c>
      <c r="V54" s="116" t="str">
        <f>IF(N54="","",(MAX(0,IF($D$16='Data Validation'!$A$2,T54-U54,U54-T54))*'Bachelier Model'!N52*('Bachelier Model'!L52/360)*'Bachelier Model'!R52))</f>
        <v/>
      </c>
    </row>
    <row r="55" spans="14:22" ht="15" customHeight="1" x14ac:dyDescent="0.25">
      <c r="N55" s="114" t="str">
        <f>'Bachelier Model'!J53</f>
        <v/>
      </c>
      <c r="O55" s="114" t="str">
        <f>'Bachelier Model'!K53</f>
        <v/>
      </c>
      <c r="P55" s="115"/>
      <c r="Q55" s="116" t="str">
        <f>IF(N55="","",'Bachelier Model'!T53*('Adjustment Surface'!$F$7/'Adjustment Surface'!$F$3))</f>
        <v/>
      </c>
      <c r="R55" s="117" t="str">
        <f>IF(N55="","",Q55/'Adjustment Surface'!$F$7)</f>
        <v/>
      </c>
      <c r="S55" s="115"/>
      <c r="T55" s="118" t="str">
        <f>INDEX('Market Scenarios'!$D$3:$O$123,MATCH('Cap and Floor Pricer'!N55,'Market Scenarios'!$B$3:$B$123,0),MATCH('Cap and Floor Pricer'!$G$28,'Market Scenarios'!$D$2:$O$2,0))</f>
        <v/>
      </c>
      <c r="U55" s="118" t="str">
        <f>'Bachelier Model'!O53</f>
        <v/>
      </c>
      <c r="V55" s="116" t="str">
        <f>IF(N55="","",(MAX(0,IF($D$16='Data Validation'!$A$2,T55-U55,U55-T55))*'Bachelier Model'!N53*('Bachelier Model'!L53/360)*'Bachelier Model'!R53))</f>
        <v/>
      </c>
    </row>
    <row r="56" spans="14:22" ht="15" customHeight="1" x14ac:dyDescent="0.25">
      <c r="N56" s="114" t="str">
        <f>'Bachelier Model'!J54</f>
        <v/>
      </c>
      <c r="O56" s="114" t="str">
        <f>'Bachelier Model'!K54</f>
        <v/>
      </c>
      <c r="P56" s="115"/>
      <c r="Q56" s="116" t="str">
        <f>IF(N56="","",'Bachelier Model'!T54*('Adjustment Surface'!$F$7/'Adjustment Surface'!$F$3))</f>
        <v/>
      </c>
      <c r="R56" s="117" t="str">
        <f>IF(N56="","",Q56/'Adjustment Surface'!$F$7)</f>
        <v/>
      </c>
      <c r="S56" s="115"/>
      <c r="T56" s="118" t="str">
        <f>INDEX('Market Scenarios'!$D$3:$O$123,MATCH('Cap and Floor Pricer'!N56,'Market Scenarios'!$B$3:$B$123,0),MATCH('Cap and Floor Pricer'!$G$28,'Market Scenarios'!$D$2:$O$2,0))</f>
        <v/>
      </c>
      <c r="U56" s="118" t="str">
        <f>'Bachelier Model'!O54</f>
        <v/>
      </c>
      <c r="V56" s="116" t="str">
        <f>IF(N56="","",(MAX(0,IF($D$16='Data Validation'!$A$2,T56-U56,U56-T56))*'Bachelier Model'!N54*('Bachelier Model'!L54/360)*'Bachelier Model'!R54))</f>
        <v/>
      </c>
    </row>
    <row r="57" spans="14:22" ht="15" customHeight="1" x14ac:dyDescent="0.25">
      <c r="N57" s="114" t="str">
        <f>'Bachelier Model'!J55</f>
        <v/>
      </c>
      <c r="O57" s="114" t="str">
        <f>'Bachelier Model'!K55</f>
        <v/>
      </c>
      <c r="P57" s="115"/>
      <c r="Q57" s="116" t="str">
        <f>IF(N57="","",'Bachelier Model'!T55*('Adjustment Surface'!$F$7/'Adjustment Surface'!$F$3))</f>
        <v/>
      </c>
      <c r="R57" s="117" t="str">
        <f>IF(N57="","",Q57/'Adjustment Surface'!$F$7)</f>
        <v/>
      </c>
      <c r="S57" s="115"/>
      <c r="T57" s="118" t="str">
        <f>INDEX('Market Scenarios'!$D$3:$O$123,MATCH('Cap and Floor Pricer'!N57,'Market Scenarios'!$B$3:$B$123,0),MATCH('Cap and Floor Pricer'!$G$28,'Market Scenarios'!$D$2:$O$2,0))</f>
        <v/>
      </c>
      <c r="U57" s="118" t="str">
        <f>'Bachelier Model'!O55</f>
        <v/>
      </c>
      <c r="V57" s="116" t="str">
        <f>IF(N57="","",(MAX(0,IF($D$16='Data Validation'!$A$2,T57-U57,U57-T57))*'Bachelier Model'!N55*('Bachelier Model'!L55/360)*'Bachelier Model'!R55))</f>
        <v/>
      </c>
    </row>
    <row r="58" spans="14:22" ht="15" customHeight="1" x14ac:dyDescent="0.25">
      <c r="N58" s="114" t="str">
        <f>'Bachelier Model'!J56</f>
        <v/>
      </c>
      <c r="O58" s="114" t="str">
        <f>'Bachelier Model'!K56</f>
        <v/>
      </c>
      <c r="P58" s="115"/>
      <c r="Q58" s="116" t="str">
        <f>IF(N58="","",'Bachelier Model'!T56*('Adjustment Surface'!$F$7/'Adjustment Surface'!$F$3))</f>
        <v/>
      </c>
      <c r="R58" s="117" t="str">
        <f>IF(N58="","",Q58/'Adjustment Surface'!$F$7)</f>
        <v/>
      </c>
      <c r="S58" s="115"/>
      <c r="T58" s="118" t="str">
        <f>INDEX('Market Scenarios'!$D$3:$O$123,MATCH('Cap and Floor Pricer'!N58,'Market Scenarios'!$B$3:$B$123,0),MATCH('Cap and Floor Pricer'!$G$28,'Market Scenarios'!$D$2:$O$2,0))</f>
        <v/>
      </c>
      <c r="U58" s="118" t="str">
        <f>'Bachelier Model'!O56</f>
        <v/>
      </c>
      <c r="V58" s="116" t="str">
        <f>IF(N58="","",(MAX(0,IF($D$16='Data Validation'!$A$2,T58-U58,U58-T58))*'Bachelier Model'!N56*('Bachelier Model'!L56/360)*'Bachelier Model'!R56))</f>
        <v/>
      </c>
    </row>
    <row r="59" spans="14:22" ht="15" customHeight="1" x14ac:dyDescent="0.25">
      <c r="N59" s="114" t="str">
        <f>'Bachelier Model'!J57</f>
        <v/>
      </c>
      <c r="O59" s="114" t="str">
        <f>'Bachelier Model'!K57</f>
        <v/>
      </c>
      <c r="P59" s="115"/>
      <c r="Q59" s="116" t="str">
        <f>IF(N59="","",'Bachelier Model'!T57*('Adjustment Surface'!$F$7/'Adjustment Surface'!$F$3))</f>
        <v/>
      </c>
      <c r="R59" s="117" t="str">
        <f>IF(N59="","",Q59/'Adjustment Surface'!$F$7)</f>
        <v/>
      </c>
      <c r="S59" s="115"/>
      <c r="T59" s="118" t="str">
        <f>INDEX('Market Scenarios'!$D$3:$O$123,MATCH('Cap and Floor Pricer'!N59,'Market Scenarios'!$B$3:$B$123,0),MATCH('Cap and Floor Pricer'!$G$28,'Market Scenarios'!$D$2:$O$2,0))</f>
        <v/>
      </c>
      <c r="U59" s="118" t="str">
        <f>'Bachelier Model'!O57</f>
        <v/>
      </c>
      <c r="V59" s="116" t="str">
        <f>IF(N59="","",(MAX(0,IF($D$16='Data Validation'!$A$2,T59-U59,U59-T59))*'Bachelier Model'!N57*('Bachelier Model'!L57/360)*'Bachelier Model'!R57))</f>
        <v/>
      </c>
    </row>
    <row r="60" spans="14:22" ht="15" customHeight="1" x14ac:dyDescent="0.25">
      <c r="N60" s="114" t="str">
        <f>'Bachelier Model'!J58</f>
        <v/>
      </c>
      <c r="O60" s="114" t="str">
        <f>'Bachelier Model'!K58</f>
        <v/>
      </c>
      <c r="P60" s="115"/>
      <c r="Q60" s="116" t="str">
        <f>IF(N60="","",'Bachelier Model'!T58*('Adjustment Surface'!$F$7/'Adjustment Surface'!$F$3))</f>
        <v/>
      </c>
      <c r="R60" s="117" t="str">
        <f>IF(N60="","",Q60/'Adjustment Surface'!$F$7)</f>
        <v/>
      </c>
      <c r="S60" s="115"/>
      <c r="T60" s="118" t="str">
        <f>INDEX('Market Scenarios'!$D$3:$O$123,MATCH('Cap and Floor Pricer'!N60,'Market Scenarios'!$B$3:$B$123,0),MATCH('Cap and Floor Pricer'!$G$28,'Market Scenarios'!$D$2:$O$2,0))</f>
        <v/>
      </c>
      <c r="U60" s="118" t="str">
        <f>'Bachelier Model'!O58</f>
        <v/>
      </c>
      <c r="V60" s="116" t="str">
        <f>IF(N60="","",(MAX(0,IF($D$16='Data Validation'!$A$2,T60-U60,U60-T60))*'Bachelier Model'!N58*('Bachelier Model'!L58/360)*'Bachelier Model'!R58))</f>
        <v/>
      </c>
    </row>
    <row r="61" spans="14:22" ht="15" customHeight="1" x14ac:dyDescent="0.25">
      <c r="N61" s="114" t="str">
        <f>'Bachelier Model'!J59</f>
        <v/>
      </c>
      <c r="O61" s="114" t="str">
        <f>'Bachelier Model'!K59</f>
        <v/>
      </c>
      <c r="P61" s="115"/>
      <c r="Q61" s="116" t="str">
        <f>IF(N61="","",'Bachelier Model'!T59*('Adjustment Surface'!$F$7/'Adjustment Surface'!$F$3))</f>
        <v/>
      </c>
      <c r="R61" s="117" t="str">
        <f>IF(N61="","",Q61/'Adjustment Surface'!$F$7)</f>
        <v/>
      </c>
      <c r="S61" s="115"/>
      <c r="T61" s="118" t="str">
        <f>INDEX('Market Scenarios'!$D$3:$O$123,MATCH('Cap and Floor Pricer'!N61,'Market Scenarios'!$B$3:$B$123,0),MATCH('Cap and Floor Pricer'!$G$28,'Market Scenarios'!$D$2:$O$2,0))</f>
        <v/>
      </c>
      <c r="U61" s="118" t="str">
        <f>'Bachelier Model'!O59</f>
        <v/>
      </c>
      <c r="V61" s="116" t="str">
        <f>IF(N61="","",(MAX(0,IF($D$16='Data Validation'!$A$2,T61-U61,U61-T61))*'Bachelier Model'!N59*('Bachelier Model'!L59/360)*'Bachelier Model'!R59))</f>
        <v/>
      </c>
    </row>
    <row r="62" spans="14:22" ht="15" customHeight="1" x14ac:dyDescent="0.25">
      <c r="N62" s="114" t="str">
        <f>'Bachelier Model'!J60</f>
        <v/>
      </c>
      <c r="O62" s="114" t="str">
        <f>'Bachelier Model'!K60</f>
        <v/>
      </c>
      <c r="P62" s="115"/>
      <c r="Q62" s="116" t="str">
        <f>IF(N62="","",'Bachelier Model'!T60*('Adjustment Surface'!$F$7/'Adjustment Surface'!$F$3))</f>
        <v/>
      </c>
      <c r="R62" s="117" t="str">
        <f>IF(N62="","",Q62/'Adjustment Surface'!$F$7)</f>
        <v/>
      </c>
      <c r="S62" s="115"/>
      <c r="T62" s="118" t="str">
        <f>INDEX('Market Scenarios'!$D$3:$O$123,MATCH('Cap and Floor Pricer'!N62,'Market Scenarios'!$B$3:$B$123,0),MATCH('Cap and Floor Pricer'!$G$28,'Market Scenarios'!$D$2:$O$2,0))</f>
        <v/>
      </c>
      <c r="U62" s="118" t="str">
        <f>'Bachelier Model'!O60</f>
        <v/>
      </c>
      <c r="V62" s="116" t="str">
        <f>IF(N62="","",(MAX(0,IF($D$16='Data Validation'!$A$2,T62-U62,U62-T62))*'Bachelier Model'!N60*('Bachelier Model'!L60/360)*'Bachelier Model'!R60))</f>
        <v/>
      </c>
    </row>
    <row r="63" spans="14:22" ht="15" customHeight="1" x14ac:dyDescent="0.25">
      <c r="N63" s="114" t="str">
        <f>'Bachelier Model'!J61</f>
        <v/>
      </c>
      <c r="O63" s="114" t="str">
        <f>'Bachelier Model'!K61</f>
        <v/>
      </c>
      <c r="P63" s="115"/>
      <c r="Q63" s="116" t="str">
        <f>IF(N63="","",'Bachelier Model'!T61*('Adjustment Surface'!$F$7/'Adjustment Surface'!$F$3))</f>
        <v/>
      </c>
      <c r="R63" s="117" t="str">
        <f>IF(N63="","",Q63/'Adjustment Surface'!$F$7)</f>
        <v/>
      </c>
      <c r="S63" s="115"/>
      <c r="T63" s="118" t="str">
        <f>INDEX('Market Scenarios'!$D$3:$O$123,MATCH('Cap and Floor Pricer'!N63,'Market Scenarios'!$B$3:$B$123,0),MATCH('Cap and Floor Pricer'!$G$28,'Market Scenarios'!$D$2:$O$2,0))</f>
        <v/>
      </c>
      <c r="U63" s="118" t="str">
        <f>'Bachelier Model'!O61</f>
        <v/>
      </c>
      <c r="V63" s="116" t="str">
        <f>IF(N63="","",(MAX(0,IF($D$16='Data Validation'!$A$2,T63-U63,U63-T63))*'Bachelier Model'!N61*('Bachelier Model'!L61/360)*'Bachelier Model'!R61))</f>
        <v/>
      </c>
    </row>
    <row r="64" spans="14:22" ht="15" customHeight="1" x14ac:dyDescent="0.25">
      <c r="N64" s="114" t="str">
        <f>'Bachelier Model'!J62</f>
        <v/>
      </c>
      <c r="O64" s="114" t="str">
        <f>'Bachelier Model'!K62</f>
        <v/>
      </c>
      <c r="P64" s="115"/>
      <c r="Q64" s="116" t="str">
        <f>IF(N64="","",'Bachelier Model'!T62*('Adjustment Surface'!$F$7/'Adjustment Surface'!$F$3))</f>
        <v/>
      </c>
      <c r="R64" s="117" t="str">
        <f>IF(N64="","",Q64/'Adjustment Surface'!$F$7)</f>
        <v/>
      </c>
      <c r="S64" s="115"/>
      <c r="T64" s="118" t="str">
        <f>INDEX('Market Scenarios'!$D$3:$O$123,MATCH('Cap and Floor Pricer'!N64,'Market Scenarios'!$B$3:$B$123,0),MATCH('Cap and Floor Pricer'!$G$28,'Market Scenarios'!$D$2:$O$2,0))</f>
        <v/>
      </c>
      <c r="U64" s="118" t="str">
        <f>'Bachelier Model'!O62</f>
        <v/>
      </c>
      <c r="V64" s="116" t="str">
        <f>IF(N64="","",(MAX(0,IF($D$16='Data Validation'!$A$2,T64-U64,U64-T64))*'Bachelier Model'!N62*('Bachelier Model'!L62/360)*'Bachelier Model'!R62))</f>
        <v/>
      </c>
    </row>
    <row r="65" spans="14:22" ht="15" customHeight="1" x14ac:dyDescent="0.25">
      <c r="N65" s="114" t="str">
        <f>'Bachelier Model'!J63</f>
        <v/>
      </c>
      <c r="O65" s="114" t="str">
        <f>'Bachelier Model'!K63</f>
        <v/>
      </c>
      <c r="P65" s="115"/>
      <c r="Q65" s="116" t="str">
        <f>IF(N65="","",'Bachelier Model'!T63*('Adjustment Surface'!$F$7/'Adjustment Surface'!$F$3))</f>
        <v/>
      </c>
      <c r="R65" s="117" t="str">
        <f>IF(N65="","",Q65/'Adjustment Surface'!$F$7)</f>
        <v/>
      </c>
      <c r="S65" s="115"/>
      <c r="T65" s="118" t="str">
        <f>INDEX('Market Scenarios'!$D$3:$O$123,MATCH('Cap and Floor Pricer'!N65,'Market Scenarios'!$B$3:$B$123,0),MATCH('Cap and Floor Pricer'!$G$28,'Market Scenarios'!$D$2:$O$2,0))</f>
        <v/>
      </c>
      <c r="U65" s="118" t="str">
        <f>'Bachelier Model'!O63</f>
        <v/>
      </c>
      <c r="V65" s="116" t="str">
        <f>IF(N65="","",(MAX(0,IF($D$16='Data Validation'!$A$2,T65-U65,U65-T65))*'Bachelier Model'!N63*('Bachelier Model'!L63/360)*'Bachelier Model'!R63))</f>
        <v/>
      </c>
    </row>
    <row r="66" spans="14:22" ht="15" customHeight="1" x14ac:dyDescent="0.25">
      <c r="N66" s="114" t="str">
        <f>'Bachelier Model'!J64</f>
        <v/>
      </c>
      <c r="O66" s="114" t="str">
        <f>'Bachelier Model'!K64</f>
        <v/>
      </c>
      <c r="P66" s="115"/>
      <c r="Q66" s="116" t="str">
        <f>IF(N66="","",'Bachelier Model'!T64*('Adjustment Surface'!$F$7/'Adjustment Surface'!$F$3))</f>
        <v/>
      </c>
      <c r="R66" s="117" t="str">
        <f>IF(N66="","",Q66/'Adjustment Surface'!$F$7)</f>
        <v/>
      </c>
      <c r="S66" s="115"/>
      <c r="T66" s="118" t="str">
        <f>INDEX('Market Scenarios'!$D$3:$O$123,MATCH('Cap and Floor Pricer'!N66,'Market Scenarios'!$B$3:$B$123,0),MATCH('Cap and Floor Pricer'!$G$28,'Market Scenarios'!$D$2:$O$2,0))</f>
        <v/>
      </c>
      <c r="U66" s="118" t="str">
        <f>'Bachelier Model'!O64</f>
        <v/>
      </c>
      <c r="V66" s="116" t="str">
        <f>IF(N66="","",(MAX(0,IF($D$16='Data Validation'!$A$2,T66-U66,U66-T66))*'Bachelier Model'!N64*('Bachelier Model'!L64/360)*'Bachelier Model'!R64))</f>
        <v/>
      </c>
    </row>
    <row r="67" spans="14:22" ht="15" customHeight="1" x14ac:dyDescent="0.25">
      <c r="N67" s="114" t="str">
        <f>'Bachelier Model'!J65</f>
        <v/>
      </c>
      <c r="O67" s="114" t="str">
        <f>'Bachelier Model'!K65</f>
        <v/>
      </c>
      <c r="P67" s="115"/>
      <c r="Q67" s="116" t="str">
        <f>IF(N67="","",'Bachelier Model'!T65*('Adjustment Surface'!$F$7/'Adjustment Surface'!$F$3))</f>
        <v/>
      </c>
      <c r="R67" s="117" t="str">
        <f>IF(N67="","",Q67/'Adjustment Surface'!$F$7)</f>
        <v/>
      </c>
      <c r="S67" s="115"/>
      <c r="T67" s="118" t="str">
        <f>INDEX('Market Scenarios'!$D$3:$O$123,MATCH('Cap and Floor Pricer'!N67,'Market Scenarios'!$B$3:$B$123,0),MATCH('Cap and Floor Pricer'!$G$28,'Market Scenarios'!$D$2:$O$2,0))</f>
        <v/>
      </c>
      <c r="U67" s="118" t="str">
        <f>'Bachelier Model'!O65</f>
        <v/>
      </c>
      <c r="V67" s="116" t="str">
        <f>IF(N67="","",(MAX(0,IF($D$16='Data Validation'!$A$2,T67-U67,U67-T67))*'Bachelier Model'!N65*('Bachelier Model'!L65/360)*'Bachelier Model'!R65))</f>
        <v/>
      </c>
    </row>
    <row r="68" spans="14:22" ht="15" customHeight="1" x14ac:dyDescent="0.25">
      <c r="N68" s="114" t="str">
        <f>'Bachelier Model'!J66</f>
        <v/>
      </c>
      <c r="O68" s="114" t="str">
        <f>'Bachelier Model'!K66</f>
        <v/>
      </c>
      <c r="P68" s="115"/>
      <c r="Q68" s="116" t="str">
        <f>IF(N68="","",'Bachelier Model'!T66*('Adjustment Surface'!$F$7/'Adjustment Surface'!$F$3))</f>
        <v/>
      </c>
      <c r="R68" s="117" t="str">
        <f>IF(N68="","",Q68/'Adjustment Surface'!$F$7)</f>
        <v/>
      </c>
      <c r="S68" s="115"/>
      <c r="T68" s="118" t="str">
        <f>INDEX('Market Scenarios'!$D$3:$O$123,MATCH('Cap and Floor Pricer'!N68,'Market Scenarios'!$B$3:$B$123,0),MATCH('Cap and Floor Pricer'!$G$28,'Market Scenarios'!$D$2:$O$2,0))</f>
        <v/>
      </c>
      <c r="U68" s="118" t="str">
        <f>'Bachelier Model'!O66</f>
        <v/>
      </c>
      <c r="V68" s="116" t="str">
        <f>IF(N68="","",(MAX(0,IF($D$16='Data Validation'!$A$2,T68-U68,U68-T68))*'Bachelier Model'!N66*('Bachelier Model'!L66/360)*'Bachelier Model'!R66))</f>
        <v/>
      </c>
    </row>
    <row r="69" spans="14:22" ht="15" customHeight="1" x14ac:dyDescent="0.25">
      <c r="N69" s="114" t="str">
        <f>'Bachelier Model'!J67</f>
        <v/>
      </c>
      <c r="O69" s="114" t="str">
        <f>'Bachelier Model'!K67</f>
        <v/>
      </c>
      <c r="P69" s="115"/>
      <c r="Q69" s="116" t="str">
        <f>IF(N69="","",'Bachelier Model'!T67*('Adjustment Surface'!$F$7/'Adjustment Surface'!$F$3))</f>
        <v/>
      </c>
      <c r="R69" s="117" t="str">
        <f>IF(N69="","",Q69/'Adjustment Surface'!$F$7)</f>
        <v/>
      </c>
      <c r="S69" s="115"/>
      <c r="T69" s="118" t="str">
        <f>INDEX('Market Scenarios'!$D$3:$O$123,MATCH('Cap and Floor Pricer'!N69,'Market Scenarios'!$B$3:$B$123,0),MATCH('Cap and Floor Pricer'!$G$28,'Market Scenarios'!$D$2:$O$2,0))</f>
        <v/>
      </c>
      <c r="U69" s="118" t="str">
        <f>'Bachelier Model'!O67</f>
        <v/>
      </c>
      <c r="V69" s="116" t="str">
        <f>IF(N69="","",(MAX(0,IF($D$16='Data Validation'!$A$2,T69-U69,U69-T69))*'Bachelier Model'!N67*('Bachelier Model'!L67/360)*'Bachelier Model'!R67))</f>
        <v/>
      </c>
    </row>
    <row r="70" spans="14:22" ht="15" customHeight="1" x14ac:dyDescent="0.25">
      <c r="N70" s="114" t="str">
        <f>'Bachelier Model'!J68</f>
        <v/>
      </c>
      <c r="O70" s="114" t="str">
        <f>'Bachelier Model'!K68</f>
        <v/>
      </c>
      <c r="P70" s="115"/>
      <c r="Q70" s="116" t="str">
        <f>IF(N70="","",'Bachelier Model'!T68*('Adjustment Surface'!$F$7/'Adjustment Surface'!$F$3))</f>
        <v/>
      </c>
      <c r="R70" s="117" t="str">
        <f>IF(N70="","",Q70/'Adjustment Surface'!$F$7)</f>
        <v/>
      </c>
      <c r="S70" s="115"/>
      <c r="T70" s="118" t="str">
        <f>INDEX('Market Scenarios'!$D$3:$O$123,MATCH('Cap and Floor Pricer'!N70,'Market Scenarios'!$B$3:$B$123,0),MATCH('Cap and Floor Pricer'!$G$28,'Market Scenarios'!$D$2:$O$2,0))</f>
        <v/>
      </c>
      <c r="U70" s="118" t="str">
        <f>'Bachelier Model'!O68</f>
        <v/>
      </c>
      <c r="V70" s="116" t="str">
        <f>IF(N70="","",(MAX(0,IF($D$16='Data Validation'!$A$2,T70-U70,U70-T70))*'Bachelier Model'!N68*('Bachelier Model'!L68/360)*'Bachelier Model'!R68))</f>
        <v/>
      </c>
    </row>
    <row r="71" spans="14:22" ht="15" customHeight="1" x14ac:dyDescent="0.25">
      <c r="N71" s="114" t="str">
        <f>'Bachelier Model'!J69</f>
        <v/>
      </c>
      <c r="O71" s="114" t="str">
        <f>'Bachelier Model'!K69</f>
        <v/>
      </c>
      <c r="P71" s="115"/>
      <c r="Q71" s="116" t="str">
        <f>IF(N71="","",'Bachelier Model'!T69*('Adjustment Surface'!$F$7/'Adjustment Surface'!$F$3))</f>
        <v/>
      </c>
      <c r="R71" s="117" t="str">
        <f>IF(N71="","",Q71/'Adjustment Surface'!$F$7)</f>
        <v/>
      </c>
      <c r="S71" s="115"/>
      <c r="T71" s="118" t="str">
        <f>INDEX('Market Scenarios'!$D$3:$O$123,MATCH('Cap and Floor Pricer'!N71,'Market Scenarios'!$B$3:$B$123,0),MATCH('Cap and Floor Pricer'!$G$28,'Market Scenarios'!$D$2:$O$2,0))</f>
        <v/>
      </c>
      <c r="U71" s="118" t="str">
        <f>'Bachelier Model'!O69</f>
        <v/>
      </c>
      <c r="V71" s="116" t="str">
        <f>IF(N71="","",(MAX(0,IF($D$16='Data Validation'!$A$2,T71-U71,U71-T71))*'Bachelier Model'!N69*('Bachelier Model'!L69/360)*'Bachelier Model'!R69))</f>
        <v/>
      </c>
    </row>
    <row r="72" spans="14:22" ht="15" customHeight="1" x14ac:dyDescent="0.25">
      <c r="N72" s="114" t="str">
        <f>'Bachelier Model'!J70</f>
        <v/>
      </c>
      <c r="O72" s="114" t="str">
        <f>'Bachelier Model'!K70</f>
        <v/>
      </c>
      <c r="P72" s="115"/>
      <c r="Q72" s="116" t="str">
        <f>IF(N72="","",'Bachelier Model'!T70*('Adjustment Surface'!$F$7/'Adjustment Surface'!$F$3))</f>
        <v/>
      </c>
      <c r="R72" s="117" t="str">
        <f>IF(N72="","",Q72/'Adjustment Surface'!$F$7)</f>
        <v/>
      </c>
      <c r="S72" s="115"/>
      <c r="T72" s="118" t="str">
        <f>INDEX('Market Scenarios'!$D$3:$O$123,MATCH('Cap and Floor Pricer'!N72,'Market Scenarios'!$B$3:$B$123,0),MATCH('Cap and Floor Pricer'!$G$28,'Market Scenarios'!$D$2:$O$2,0))</f>
        <v/>
      </c>
      <c r="U72" s="118" t="str">
        <f>'Bachelier Model'!O70</f>
        <v/>
      </c>
      <c r="V72" s="116" t="str">
        <f>IF(N72="","",(MAX(0,IF($D$16='Data Validation'!$A$2,T72-U72,U72-T72))*'Bachelier Model'!N70*('Bachelier Model'!L70/360)*'Bachelier Model'!R70))</f>
        <v/>
      </c>
    </row>
    <row r="73" spans="14:22" ht="15" customHeight="1" x14ac:dyDescent="0.25">
      <c r="N73" s="114" t="str">
        <f>'Bachelier Model'!J71</f>
        <v/>
      </c>
      <c r="O73" s="114" t="str">
        <f>'Bachelier Model'!K71</f>
        <v/>
      </c>
      <c r="P73" s="115"/>
      <c r="Q73" s="116" t="str">
        <f>IF(N73="","",'Bachelier Model'!T71*('Adjustment Surface'!$F$7/'Adjustment Surface'!$F$3))</f>
        <v/>
      </c>
      <c r="R73" s="117" t="str">
        <f>IF(N73="","",Q73/'Adjustment Surface'!$F$7)</f>
        <v/>
      </c>
      <c r="S73" s="115"/>
      <c r="T73" s="118" t="str">
        <f>INDEX('Market Scenarios'!$D$3:$O$123,MATCH('Cap and Floor Pricer'!N73,'Market Scenarios'!$B$3:$B$123,0),MATCH('Cap and Floor Pricer'!$G$28,'Market Scenarios'!$D$2:$O$2,0))</f>
        <v/>
      </c>
      <c r="U73" s="118" t="str">
        <f>'Bachelier Model'!O71</f>
        <v/>
      </c>
      <c r="V73" s="116" t="str">
        <f>IF(N73="","",(MAX(0,IF($D$16='Data Validation'!$A$2,T73-U73,U73-T73))*'Bachelier Model'!N71*('Bachelier Model'!L71/360)*'Bachelier Model'!R71))</f>
        <v/>
      </c>
    </row>
    <row r="74" spans="14:22" ht="15" customHeight="1" x14ac:dyDescent="0.25">
      <c r="N74" s="114" t="str">
        <f>'Bachelier Model'!J72</f>
        <v/>
      </c>
      <c r="O74" s="114" t="str">
        <f>'Bachelier Model'!K72</f>
        <v/>
      </c>
      <c r="P74" s="115"/>
      <c r="Q74" s="116" t="str">
        <f>IF(N74="","",'Bachelier Model'!T72*('Adjustment Surface'!$F$7/'Adjustment Surface'!$F$3))</f>
        <v/>
      </c>
      <c r="R74" s="117" t="str">
        <f>IF(N74="","",Q74/'Adjustment Surface'!$F$7)</f>
        <v/>
      </c>
      <c r="S74" s="115"/>
      <c r="T74" s="118" t="str">
        <f>INDEX('Market Scenarios'!$D$3:$O$123,MATCH('Cap and Floor Pricer'!N74,'Market Scenarios'!$B$3:$B$123,0),MATCH('Cap and Floor Pricer'!$G$28,'Market Scenarios'!$D$2:$O$2,0))</f>
        <v/>
      </c>
      <c r="U74" s="118" t="str">
        <f>'Bachelier Model'!O72</f>
        <v/>
      </c>
      <c r="V74" s="116" t="str">
        <f>IF(N74="","",(MAX(0,IF($D$16='Data Validation'!$A$2,T74-U74,U74-T74))*'Bachelier Model'!N72*('Bachelier Model'!L72/360)*'Bachelier Model'!R72))</f>
        <v/>
      </c>
    </row>
    <row r="75" spans="14:22" ht="15" customHeight="1" x14ac:dyDescent="0.25">
      <c r="N75" s="114" t="str">
        <f>'Bachelier Model'!J73</f>
        <v/>
      </c>
      <c r="O75" s="114" t="str">
        <f>'Bachelier Model'!K73</f>
        <v/>
      </c>
      <c r="P75" s="115"/>
      <c r="Q75" s="116" t="str">
        <f>IF(N75="","",'Bachelier Model'!T73*('Adjustment Surface'!$F$7/'Adjustment Surface'!$F$3))</f>
        <v/>
      </c>
      <c r="R75" s="117" t="str">
        <f>IF(N75="","",Q75/'Adjustment Surface'!$F$7)</f>
        <v/>
      </c>
      <c r="S75" s="115"/>
      <c r="T75" s="118" t="str">
        <f>INDEX('Market Scenarios'!$D$3:$O$123,MATCH('Cap and Floor Pricer'!N75,'Market Scenarios'!$B$3:$B$123,0),MATCH('Cap and Floor Pricer'!$G$28,'Market Scenarios'!$D$2:$O$2,0))</f>
        <v/>
      </c>
      <c r="U75" s="118" t="str">
        <f>'Bachelier Model'!O73</f>
        <v/>
      </c>
      <c r="V75" s="116" t="str">
        <f>IF(N75="","",(MAX(0,IF($D$16='Data Validation'!$A$2,T75-U75,U75-T75))*'Bachelier Model'!N73*('Bachelier Model'!L73/360)*'Bachelier Model'!R73))</f>
        <v/>
      </c>
    </row>
    <row r="76" spans="14:22" ht="15" customHeight="1" x14ac:dyDescent="0.25">
      <c r="N76" s="114" t="str">
        <f>'Bachelier Model'!J74</f>
        <v/>
      </c>
      <c r="O76" s="114" t="str">
        <f>'Bachelier Model'!K74</f>
        <v/>
      </c>
      <c r="P76" s="115"/>
      <c r="Q76" s="116" t="str">
        <f>IF(N76="","",'Bachelier Model'!T74*('Adjustment Surface'!$F$7/'Adjustment Surface'!$F$3))</f>
        <v/>
      </c>
      <c r="R76" s="117" t="str">
        <f>IF(N76="","",Q76/'Adjustment Surface'!$F$7)</f>
        <v/>
      </c>
      <c r="S76" s="115"/>
      <c r="T76" s="118" t="str">
        <f>INDEX('Market Scenarios'!$D$3:$O$123,MATCH('Cap and Floor Pricer'!N76,'Market Scenarios'!$B$3:$B$123,0),MATCH('Cap and Floor Pricer'!$G$28,'Market Scenarios'!$D$2:$O$2,0))</f>
        <v/>
      </c>
      <c r="U76" s="118" t="str">
        <f>'Bachelier Model'!O74</f>
        <v/>
      </c>
      <c r="V76" s="116" t="str">
        <f>IF(N76="","",(MAX(0,IF($D$16='Data Validation'!$A$2,T76-U76,U76-T76))*'Bachelier Model'!N74*('Bachelier Model'!L74/360)*'Bachelier Model'!R74))</f>
        <v/>
      </c>
    </row>
    <row r="77" spans="14:22" ht="15" customHeight="1" x14ac:dyDescent="0.25">
      <c r="N77" s="114" t="str">
        <f>'Bachelier Model'!J75</f>
        <v/>
      </c>
      <c r="O77" s="114" t="str">
        <f>'Bachelier Model'!K75</f>
        <v/>
      </c>
      <c r="P77" s="115"/>
      <c r="Q77" s="116" t="str">
        <f>IF(N77="","",'Bachelier Model'!T75*('Adjustment Surface'!$F$7/'Adjustment Surface'!$F$3))</f>
        <v/>
      </c>
      <c r="R77" s="117" t="str">
        <f>IF(N77="","",Q77/'Adjustment Surface'!$F$7)</f>
        <v/>
      </c>
      <c r="S77" s="115"/>
      <c r="T77" s="118" t="str">
        <f>INDEX('Market Scenarios'!$D$3:$O$123,MATCH('Cap and Floor Pricer'!N77,'Market Scenarios'!$B$3:$B$123,0),MATCH('Cap and Floor Pricer'!$G$28,'Market Scenarios'!$D$2:$O$2,0))</f>
        <v/>
      </c>
      <c r="U77" s="118" t="str">
        <f>'Bachelier Model'!O75</f>
        <v/>
      </c>
      <c r="V77" s="116" t="str">
        <f>IF(N77="","",(MAX(0,IF($D$16='Data Validation'!$A$2,T77-U77,U77-T77))*'Bachelier Model'!N75*('Bachelier Model'!L75/360)*'Bachelier Model'!R75))</f>
        <v/>
      </c>
    </row>
    <row r="78" spans="14:22" ht="15" customHeight="1" x14ac:dyDescent="0.25">
      <c r="N78" s="114" t="str">
        <f>'Bachelier Model'!J76</f>
        <v/>
      </c>
      <c r="O78" s="114" t="str">
        <f>'Bachelier Model'!K76</f>
        <v/>
      </c>
      <c r="P78" s="115"/>
      <c r="Q78" s="116" t="str">
        <f>IF(N78="","",'Bachelier Model'!T76*('Adjustment Surface'!$F$7/'Adjustment Surface'!$F$3))</f>
        <v/>
      </c>
      <c r="R78" s="117" t="str">
        <f>IF(N78="","",Q78/'Adjustment Surface'!$F$7)</f>
        <v/>
      </c>
      <c r="S78" s="115"/>
      <c r="T78" s="118" t="str">
        <f>INDEX('Market Scenarios'!$D$3:$O$123,MATCH('Cap and Floor Pricer'!N78,'Market Scenarios'!$B$3:$B$123,0),MATCH('Cap and Floor Pricer'!$G$28,'Market Scenarios'!$D$2:$O$2,0))</f>
        <v/>
      </c>
      <c r="U78" s="118" t="str">
        <f>'Bachelier Model'!O76</f>
        <v/>
      </c>
      <c r="V78" s="116" t="str">
        <f>IF(N78="","",(MAX(0,IF($D$16='Data Validation'!$A$2,T78-U78,U78-T78))*'Bachelier Model'!N76*('Bachelier Model'!L76/360)*'Bachelier Model'!R76))</f>
        <v/>
      </c>
    </row>
    <row r="79" spans="14:22" ht="15" customHeight="1" x14ac:dyDescent="0.25">
      <c r="N79" s="114" t="str">
        <f>'Bachelier Model'!J77</f>
        <v/>
      </c>
      <c r="O79" s="114" t="str">
        <f>'Bachelier Model'!K77</f>
        <v/>
      </c>
      <c r="P79" s="115"/>
      <c r="Q79" s="116" t="str">
        <f>IF(N79="","",'Bachelier Model'!T77*('Adjustment Surface'!$F$7/'Adjustment Surface'!$F$3))</f>
        <v/>
      </c>
      <c r="R79" s="117" t="str">
        <f>IF(N79="","",Q79/'Adjustment Surface'!$F$7)</f>
        <v/>
      </c>
      <c r="S79" s="115"/>
      <c r="T79" s="118" t="str">
        <f>INDEX('Market Scenarios'!$D$3:$O$123,MATCH('Cap and Floor Pricer'!N79,'Market Scenarios'!$B$3:$B$123,0),MATCH('Cap and Floor Pricer'!$G$28,'Market Scenarios'!$D$2:$O$2,0))</f>
        <v/>
      </c>
      <c r="U79" s="118" t="str">
        <f>'Bachelier Model'!O77</f>
        <v/>
      </c>
      <c r="V79" s="116" t="str">
        <f>IF(N79="","",(MAX(0,IF($D$16='Data Validation'!$A$2,T79-U79,U79-T79))*'Bachelier Model'!N77*('Bachelier Model'!L77/360)*'Bachelier Model'!R77))</f>
        <v/>
      </c>
    </row>
    <row r="80" spans="14:22" ht="15" customHeight="1" x14ac:dyDescent="0.25">
      <c r="N80" s="114" t="str">
        <f>'Bachelier Model'!J78</f>
        <v/>
      </c>
      <c r="O80" s="114" t="str">
        <f>'Bachelier Model'!K78</f>
        <v/>
      </c>
      <c r="P80" s="115"/>
      <c r="Q80" s="116" t="str">
        <f>IF(N80="","",'Bachelier Model'!T78*('Adjustment Surface'!$F$7/'Adjustment Surface'!$F$3))</f>
        <v/>
      </c>
      <c r="R80" s="117" t="str">
        <f>IF(N80="","",Q80/'Adjustment Surface'!$F$7)</f>
        <v/>
      </c>
      <c r="S80" s="115"/>
      <c r="T80" s="118" t="str">
        <f>INDEX('Market Scenarios'!$D$3:$O$123,MATCH('Cap and Floor Pricer'!N80,'Market Scenarios'!$B$3:$B$123,0),MATCH('Cap and Floor Pricer'!$G$28,'Market Scenarios'!$D$2:$O$2,0))</f>
        <v/>
      </c>
      <c r="U80" s="118" t="str">
        <f>'Bachelier Model'!O78</f>
        <v/>
      </c>
      <c r="V80" s="116" t="str">
        <f>IF(N80="","",(MAX(0,IF($D$16='Data Validation'!$A$2,T80-U80,U80-T80))*'Bachelier Model'!N78*('Bachelier Model'!L78/360)*'Bachelier Model'!R78))</f>
        <v/>
      </c>
    </row>
    <row r="81" spans="13:22" ht="15" customHeight="1" x14ac:dyDescent="0.25">
      <c r="N81" s="114" t="str">
        <f>'Bachelier Model'!J79</f>
        <v/>
      </c>
      <c r="O81" s="114" t="str">
        <f>'Bachelier Model'!K79</f>
        <v/>
      </c>
      <c r="P81" s="115"/>
      <c r="Q81" s="116" t="str">
        <f>IF(N81="","",'Bachelier Model'!T79*('Adjustment Surface'!$F$7/'Adjustment Surface'!$F$3))</f>
        <v/>
      </c>
      <c r="R81" s="117" t="str">
        <f>IF(N81="","",Q81/'Adjustment Surface'!$F$7)</f>
        <v/>
      </c>
      <c r="S81" s="115"/>
      <c r="T81" s="118" t="str">
        <f>INDEX('Market Scenarios'!$D$3:$O$123,MATCH('Cap and Floor Pricer'!N81,'Market Scenarios'!$B$3:$B$123,0),MATCH('Cap and Floor Pricer'!$G$28,'Market Scenarios'!$D$2:$O$2,0))</f>
        <v/>
      </c>
      <c r="U81" s="118" t="str">
        <f>'Bachelier Model'!O79</f>
        <v/>
      </c>
      <c r="V81" s="116" t="str">
        <f>IF(N81="","",(MAX(0,IF($D$16='Data Validation'!$A$2,T81-U81,U81-T81))*'Bachelier Model'!N79*('Bachelier Model'!L79/360)*'Bachelier Model'!R79))</f>
        <v/>
      </c>
    </row>
    <row r="82" spans="13:22" ht="15" customHeight="1" x14ac:dyDescent="0.25">
      <c r="N82" s="114" t="str">
        <f>'Bachelier Model'!J80</f>
        <v/>
      </c>
      <c r="O82" s="114" t="str">
        <f>'Bachelier Model'!K80</f>
        <v/>
      </c>
      <c r="P82" s="115"/>
      <c r="Q82" s="116" t="str">
        <f>IF(N82="","",'Bachelier Model'!T80*('Adjustment Surface'!$F$7/'Adjustment Surface'!$F$3))</f>
        <v/>
      </c>
      <c r="R82" s="117" t="str">
        <f>IF(N82="","",Q82/'Adjustment Surface'!$F$7)</f>
        <v/>
      </c>
      <c r="S82" s="115"/>
      <c r="T82" s="118" t="str">
        <f>INDEX('Market Scenarios'!$D$3:$O$123,MATCH('Cap and Floor Pricer'!N82,'Market Scenarios'!$B$3:$B$123,0),MATCH('Cap and Floor Pricer'!$G$28,'Market Scenarios'!$D$2:$O$2,0))</f>
        <v/>
      </c>
      <c r="U82" s="118" t="str">
        <f>'Bachelier Model'!O80</f>
        <v/>
      </c>
      <c r="V82" s="116" t="str">
        <f>IF(N82="","",(MAX(0,IF($D$16='Data Validation'!$A$2,T82-U82,U82-T82))*'Bachelier Model'!N80*('Bachelier Model'!L80/360)*'Bachelier Model'!R80))</f>
        <v/>
      </c>
    </row>
    <row r="83" spans="13:22" ht="15" customHeight="1" x14ac:dyDescent="0.25">
      <c r="N83" s="114" t="str">
        <f>'Bachelier Model'!J81</f>
        <v/>
      </c>
      <c r="O83" s="114" t="str">
        <f>'Bachelier Model'!K81</f>
        <v/>
      </c>
      <c r="P83" s="115"/>
      <c r="Q83" s="116" t="str">
        <f>IF(N83="","",'Bachelier Model'!T81*('Adjustment Surface'!$F$7/'Adjustment Surface'!$F$3))</f>
        <v/>
      </c>
      <c r="R83" s="117" t="str">
        <f>IF(N83="","",Q83/'Adjustment Surface'!$F$7)</f>
        <v/>
      </c>
      <c r="S83" s="115"/>
      <c r="T83" s="118" t="str">
        <f>INDEX('Market Scenarios'!$D$3:$O$123,MATCH('Cap and Floor Pricer'!N83,'Market Scenarios'!$B$3:$B$123,0),MATCH('Cap and Floor Pricer'!$G$28,'Market Scenarios'!$D$2:$O$2,0))</f>
        <v/>
      </c>
      <c r="U83" s="118" t="str">
        <f>'Bachelier Model'!O81</f>
        <v/>
      </c>
      <c r="V83" s="116" t="str">
        <f>IF(N83="","",(MAX(0,IF($D$16='Data Validation'!$A$2,T83-U83,U83-T83))*'Bachelier Model'!N81*('Bachelier Model'!L81/360)*'Bachelier Model'!R81))</f>
        <v/>
      </c>
    </row>
    <row r="84" spans="13:22" ht="15" customHeight="1" x14ac:dyDescent="0.25">
      <c r="N84" s="114" t="str">
        <f>'Bachelier Model'!J82</f>
        <v/>
      </c>
      <c r="O84" s="114" t="str">
        <f>'Bachelier Model'!K82</f>
        <v/>
      </c>
      <c r="P84" s="115"/>
      <c r="Q84" s="116" t="str">
        <f>IF(N84="","",'Bachelier Model'!T82*('Adjustment Surface'!$F$7/'Adjustment Surface'!$F$3))</f>
        <v/>
      </c>
      <c r="R84" s="117" t="str">
        <f>IF(N84="","",Q84/'Adjustment Surface'!$F$7)</f>
        <v/>
      </c>
      <c r="S84" s="115"/>
      <c r="T84" s="118" t="str">
        <f>INDEX('Market Scenarios'!$D$3:$O$123,MATCH('Cap and Floor Pricer'!N84,'Market Scenarios'!$B$3:$B$123,0),MATCH('Cap and Floor Pricer'!$G$28,'Market Scenarios'!$D$2:$O$2,0))</f>
        <v/>
      </c>
      <c r="U84" s="118" t="str">
        <f>'Bachelier Model'!O82</f>
        <v/>
      </c>
      <c r="V84" s="116" t="str">
        <f>IF(N84="","",(MAX(0,IF($D$16='Data Validation'!$A$2,T84-U84,U84-T84))*'Bachelier Model'!N82*('Bachelier Model'!L82/360)*'Bachelier Model'!R82))</f>
        <v/>
      </c>
    </row>
    <row r="85" spans="13:22" ht="15" customHeight="1" x14ac:dyDescent="0.25">
      <c r="N85" s="114" t="str">
        <f>'Bachelier Model'!J83</f>
        <v/>
      </c>
      <c r="O85" s="114" t="str">
        <f>'Bachelier Model'!K83</f>
        <v/>
      </c>
      <c r="P85" s="115"/>
      <c r="Q85" s="116" t="str">
        <f>IF(N85="","",'Bachelier Model'!T83*('Adjustment Surface'!$F$7/'Adjustment Surface'!$F$3))</f>
        <v/>
      </c>
      <c r="R85" s="117" t="str">
        <f>IF(N85="","",Q85/'Adjustment Surface'!$F$7)</f>
        <v/>
      </c>
      <c r="S85" s="115"/>
      <c r="T85" s="118" t="str">
        <f>INDEX('Market Scenarios'!$D$3:$O$123,MATCH('Cap and Floor Pricer'!N85,'Market Scenarios'!$B$3:$B$123,0),MATCH('Cap and Floor Pricer'!$G$28,'Market Scenarios'!$D$2:$O$2,0))</f>
        <v/>
      </c>
      <c r="U85" s="118" t="str">
        <f>'Bachelier Model'!O83</f>
        <v/>
      </c>
      <c r="V85" s="116" t="str">
        <f>IF(N85="","",(MAX(0,IF($D$16='Data Validation'!$A$2,T85-U85,U85-T85))*'Bachelier Model'!N83*('Bachelier Model'!L83/360)*'Bachelier Model'!R83))</f>
        <v/>
      </c>
    </row>
    <row r="86" spans="13:22" ht="15" customHeight="1" x14ac:dyDescent="0.25">
      <c r="N86" s="114" t="str">
        <f>'Bachelier Model'!J84</f>
        <v/>
      </c>
      <c r="O86" s="114" t="str">
        <f>'Bachelier Model'!K84</f>
        <v/>
      </c>
      <c r="P86" s="115"/>
      <c r="Q86" s="116" t="str">
        <f>IF(N86="","",'Bachelier Model'!T84*('Adjustment Surface'!$F$7/'Adjustment Surface'!$F$3))</f>
        <v/>
      </c>
      <c r="R86" s="117" t="str">
        <f>IF(N86="","",Q86/'Adjustment Surface'!$F$7)</f>
        <v/>
      </c>
      <c r="S86" s="115"/>
      <c r="T86" s="118" t="str">
        <f>INDEX('Market Scenarios'!$D$3:$O$123,MATCH('Cap and Floor Pricer'!N86,'Market Scenarios'!$B$3:$B$123,0),MATCH('Cap and Floor Pricer'!$G$28,'Market Scenarios'!$D$2:$O$2,0))</f>
        <v/>
      </c>
      <c r="U86" s="118" t="str">
        <f>'Bachelier Model'!O84</f>
        <v/>
      </c>
      <c r="V86" s="116" t="str">
        <f>IF(N86="","",(MAX(0,IF($D$16='Data Validation'!$A$2,T86-U86,U86-T86))*'Bachelier Model'!N84*('Bachelier Model'!L84/360)*'Bachelier Model'!R84))</f>
        <v/>
      </c>
    </row>
    <row r="87" spans="13:22" ht="15" customHeight="1" x14ac:dyDescent="0.25">
      <c r="N87" s="114" t="str">
        <f>'Bachelier Model'!J85</f>
        <v/>
      </c>
      <c r="O87" s="114" t="str">
        <f>'Bachelier Model'!K85</f>
        <v/>
      </c>
      <c r="P87" s="115"/>
      <c r="Q87" s="116" t="str">
        <f>IF(N87="","",'Bachelier Model'!T85*('Adjustment Surface'!$F$7/'Adjustment Surface'!$F$3))</f>
        <v/>
      </c>
      <c r="R87" s="117" t="str">
        <f>IF(N87="","",Q87/'Adjustment Surface'!$F$7)</f>
        <v/>
      </c>
      <c r="S87" s="115"/>
      <c r="T87" s="118" t="str">
        <f>INDEX('Market Scenarios'!$D$3:$O$123,MATCH('Cap and Floor Pricer'!N87,'Market Scenarios'!$B$3:$B$123,0),MATCH('Cap and Floor Pricer'!$G$28,'Market Scenarios'!$D$2:$O$2,0))</f>
        <v/>
      </c>
      <c r="U87" s="118" t="str">
        <f>'Bachelier Model'!O85</f>
        <v/>
      </c>
      <c r="V87" s="116" t="str">
        <f>IF(N87="","",(MAX(0,IF($D$16='Data Validation'!$A$2,T87-U87,U87-T87))*'Bachelier Model'!N85*('Bachelier Model'!L85/360)*'Bachelier Model'!R85))</f>
        <v/>
      </c>
    </row>
    <row r="88" spans="13:22" ht="15" customHeight="1" x14ac:dyDescent="0.25">
      <c r="N88" s="114" t="str">
        <f>'Bachelier Model'!J86</f>
        <v/>
      </c>
      <c r="O88" s="114" t="str">
        <f>'Bachelier Model'!K86</f>
        <v/>
      </c>
      <c r="P88" s="115"/>
      <c r="Q88" s="116" t="str">
        <f>IF(N88="","",'Bachelier Model'!T86*('Adjustment Surface'!$F$7/'Adjustment Surface'!$F$3))</f>
        <v/>
      </c>
      <c r="R88" s="117" t="str">
        <f>IF(N88="","",Q88/'Adjustment Surface'!$F$7)</f>
        <v/>
      </c>
      <c r="S88" s="115"/>
      <c r="T88" s="118" t="str">
        <f>INDEX('Market Scenarios'!$D$3:$O$123,MATCH('Cap and Floor Pricer'!N88,'Market Scenarios'!$B$3:$B$123,0),MATCH('Cap and Floor Pricer'!$G$28,'Market Scenarios'!$D$2:$O$2,0))</f>
        <v/>
      </c>
      <c r="U88" s="118" t="str">
        <f>'Bachelier Model'!O86</f>
        <v/>
      </c>
      <c r="V88" s="116" t="str">
        <f>IF(N88="","",(MAX(0,IF($D$16='Data Validation'!$A$2,T88-U88,U88-T88))*'Bachelier Model'!N86*('Bachelier Model'!L86/360)*'Bachelier Model'!R86))</f>
        <v/>
      </c>
    </row>
    <row r="89" spans="13:22" ht="15" customHeight="1" x14ac:dyDescent="0.25">
      <c r="N89" s="114" t="str">
        <f>'Bachelier Model'!J87</f>
        <v/>
      </c>
      <c r="O89" s="114" t="str">
        <f>'Bachelier Model'!K87</f>
        <v/>
      </c>
      <c r="P89" s="115"/>
      <c r="Q89" s="116" t="str">
        <f>IF(N89="","",'Bachelier Model'!T87*('Adjustment Surface'!$F$7/'Adjustment Surface'!$F$3))</f>
        <v/>
      </c>
      <c r="R89" s="117" t="str">
        <f>IF(N89="","",Q89/'Adjustment Surface'!$F$7)</f>
        <v/>
      </c>
      <c r="S89" s="115"/>
      <c r="T89" s="118" t="str">
        <f>INDEX('Market Scenarios'!$D$3:$O$123,MATCH('Cap and Floor Pricer'!N89,'Market Scenarios'!$B$3:$B$123,0),MATCH('Cap and Floor Pricer'!$G$28,'Market Scenarios'!$D$2:$O$2,0))</f>
        <v/>
      </c>
      <c r="U89" s="118" t="str">
        <f>'Bachelier Model'!O87</f>
        <v/>
      </c>
      <c r="V89" s="116" t="str">
        <f>IF(N89="","",(MAX(0,IF($D$16='Data Validation'!$A$2,T89-U89,U89-T89))*'Bachelier Model'!N87*('Bachelier Model'!L87/360)*'Bachelier Model'!R87))</f>
        <v/>
      </c>
    </row>
    <row r="90" spans="13:22" ht="15" customHeight="1" thickBot="1" x14ac:dyDescent="0.3"/>
    <row r="91" spans="13:22" ht="15" customHeight="1" thickTop="1" x14ac:dyDescent="0.25">
      <c r="N91" s="136"/>
      <c r="O91" s="136"/>
      <c r="P91" s="136"/>
      <c r="Q91" s="136"/>
      <c r="R91" s="136"/>
      <c r="S91" s="136"/>
      <c r="T91" s="136"/>
      <c r="U91" s="136"/>
      <c r="V91" s="136"/>
    </row>
    <row r="92" spans="13:22" ht="0" hidden="1" customHeight="1" x14ac:dyDescent="0.25">
      <c r="M92" s="136"/>
    </row>
  </sheetData>
  <sheetProtection algorithmName="SHA-512" hashValue="zDWXWJJ562CHII3qveM7F1h5P6Olu1Dw0HZBZK/egyFsG+bMd6F7OqyqJiD086JYxj5fkbjEEaLY4UuMVLF3Aw==" saltValue="lBvpXzx6l/nmhz9atiEjiQ==" spinCount="100000" sheet="1" objects="1" scenarios="1"/>
  <mergeCells count="16">
    <mergeCell ref="G9:K10"/>
    <mergeCell ref="G6:K8"/>
    <mergeCell ref="G3:K5"/>
    <mergeCell ref="C12:K13"/>
    <mergeCell ref="G28:H28"/>
    <mergeCell ref="C6:D7"/>
    <mergeCell ref="C10:C11"/>
    <mergeCell ref="D10:D11"/>
    <mergeCell ref="C37:K39"/>
    <mergeCell ref="J33:K33"/>
    <mergeCell ref="J32:K32"/>
    <mergeCell ref="J31:K31"/>
    <mergeCell ref="J30:K30"/>
    <mergeCell ref="G33:H33"/>
    <mergeCell ref="G32:H32"/>
    <mergeCell ref="G31:H31"/>
  </mergeCells>
  <conditionalFormatting sqref="D28:D34">
    <cfRule type="expression" dxfId="3" priority="2">
      <formula>C28=""</formula>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expression" priority="3" id="{7F9F83D9-AA85-4ECB-84D7-F4352722A52F}">
            <xm:f>$D$20='Data Validation'!$D$2</xm:f>
            <x14:dxf>
              <border>
                <left/>
                <right/>
                <top/>
                <bottom/>
                <vertical/>
                <horizontal/>
              </border>
            </x14:dxf>
          </x14:cfRule>
          <xm:sqref>C26:D26</xm:sqref>
        </x14:conditionalFormatting>
        <x14:conditionalFormatting xmlns:xm="http://schemas.microsoft.com/office/excel/2006/main">
          <x14:cfRule type="expression" priority="1" id="{C6B9E722-6790-40C0-82FE-F033F691BE20}">
            <xm:f>$D$20='Data Validation'!$D$3</xm:f>
            <x14:dxf>
              <font>
                <color theme="0"/>
              </font>
              <fill>
                <patternFill patternType="none">
                  <bgColor auto="1"/>
                </patternFill>
              </fill>
            </x14:dxf>
          </x14:cfRule>
          <xm:sqref>D24</xm:sqref>
        </x14:conditionalFormatting>
        <x14:conditionalFormatting xmlns:xm="http://schemas.microsoft.com/office/excel/2006/main">
          <x14:cfRule type="expression" priority="7" id="{641CA8E3-BAE9-40C3-BAA6-F5ED1E04DF42}">
            <xm:f>$D$18='Data Validation'!$H$3</xm:f>
            <x14:dxf>
              <numFmt numFmtId="14" formatCode="0.00%"/>
            </x14:dxf>
          </x14:cfRule>
          <xm:sqref>D10:D11 H18:K21</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B6024D8F-FE1A-4AB1-8A3D-157BDB6F0CAD}">
          <x14:formula1>
            <xm:f>'Data Validation'!$H$2:$H$3</xm:f>
          </x14:formula1>
          <xm:sqref>D18</xm:sqref>
        </x14:dataValidation>
        <x14:dataValidation type="list" allowBlank="1" showInputMessage="1" showErrorMessage="1" xr:uid="{36277EF9-8995-48D1-9DE4-156EF40B9D66}">
          <x14:formula1>
            <xm:f>'Data Validation'!$E$2:$E$3</xm:f>
          </x14:formula1>
          <xm:sqref>D19</xm:sqref>
        </x14:dataValidation>
        <x14:dataValidation type="list" allowBlank="1" showInputMessage="1" showErrorMessage="1" xr:uid="{B68E8353-C0D4-4F6D-B67B-B32D2819F025}">
          <x14:formula1>
            <xm:f>'Data Validation'!$D$2:$D$3</xm:f>
          </x14:formula1>
          <xm:sqref>D20</xm:sqref>
        </x14:dataValidation>
        <x14:dataValidation type="list" allowBlank="1" showInputMessage="1" showErrorMessage="1" xr:uid="{C8240415-4808-4152-877E-45CB9FFEE0DF}">
          <x14:formula1>
            <xm:f>'Data Validation'!$G$2:$G$13</xm:f>
          </x14:formula1>
          <xm:sqref>G28:H28</xm:sqref>
        </x14:dataValidation>
        <x14:dataValidation type="list" allowBlank="1" showInputMessage="1" showErrorMessage="1" xr:uid="{D3A13179-427E-4339-BACC-2833C72F594E}">
          <x14:formula1>
            <xm:f>'Data Validation'!$A$2:$A$3</xm:f>
          </x14:formula1>
          <xm:sqref>D16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18436F-5ADF-4BEE-9DFC-5247C5073AA6}">
  <sheetPr codeName="Sheet2">
    <tabColor theme="3"/>
  </sheetPr>
  <dimension ref="A1:I124"/>
  <sheetViews>
    <sheetView showGridLines="0" workbookViewId="0">
      <selection activeCell="E2" sqref="E2"/>
    </sheetView>
  </sheetViews>
  <sheetFormatPr defaultColWidth="0" defaultRowHeight="15" zeroHeight="1" x14ac:dyDescent="0.25"/>
  <cols>
    <col min="1" max="1" width="2.85546875" hidden="1" customWidth="1"/>
    <col min="2" max="4" width="12.85546875" style="3" hidden="1" customWidth="1"/>
    <col min="5" max="5" width="12.85546875" style="15" hidden="1" customWidth="1"/>
    <col min="6" max="6" width="12.85546875" style="16" hidden="1" customWidth="1"/>
    <col min="7" max="7" width="12.85546875" style="100" hidden="1" customWidth="1"/>
    <col min="8" max="8" width="12.85546875" style="104" hidden="1" customWidth="1"/>
    <col min="9" max="9" width="2.85546875" hidden="1" customWidth="1"/>
    <col min="10" max="16384" width="9.140625" hidden="1"/>
  </cols>
  <sheetData>
    <row r="1" spans="2:8" x14ac:dyDescent="0.25"/>
    <row r="2" spans="2:8" x14ac:dyDescent="0.25">
      <c r="B2" s="9" t="s">
        <v>39</v>
      </c>
      <c r="C2" s="9" t="s">
        <v>40</v>
      </c>
      <c r="D2" s="9" t="s">
        <v>66</v>
      </c>
      <c r="E2" s="13" t="s">
        <v>5</v>
      </c>
      <c r="F2" s="97" t="s">
        <v>6</v>
      </c>
      <c r="G2" s="101"/>
      <c r="H2" s="105"/>
    </row>
    <row r="3" spans="2:8" x14ac:dyDescent="0.25">
      <c r="B3" s="82">
        <f>'Bachelier Model'!J4</f>
        <v>46064</v>
      </c>
      <c r="C3" s="83">
        <f>'Bachelier Model'!K4</f>
        <v>46092</v>
      </c>
      <c r="D3" s="145">
        <v>5.3297799999999992E-2</v>
      </c>
      <c r="E3" s="146">
        <v>135000000</v>
      </c>
      <c r="F3" s="145">
        <v>0.05</v>
      </c>
      <c r="G3" s="102" cm="1">
        <f t="array" ref="G3:G38">_xlfn.SEQUENCE(COUNT(B3:B123),,IF(EDATE(B3,1)=C3,1,0))</f>
        <v>1</v>
      </c>
      <c r="H3" s="94">
        <f>IF(G3="","",IF('Control Panel'!$C$3='Data Validation'!$J$2,Schedules!F3,IF(G3&lt;13,'Cap and Floor Pricer'!$D$28,IF(G3&lt;25,'Cap and Floor Pricer'!$D$29,IF(G3&lt;37,'Cap and Floor Pricer'!$D$30,IF(G3&lt;49,'Cap and Floor Pricer'!$D$31,IF(G3&lt;61,'Cap and Floor Pricer'!$D$32,IF(G3&lt;73,'Cap and Floor Pricer'!$D$33,IF(G3&lt;85,'Cap and Floor Pricer'!$D$34,"Cap Term Too Long")))))))))</f>
        <v>0.01</v>
      </c>
    </row>
    <row r="4" spans="2:8" x14ac:dyDescent="0.25">
      <c r="B4" s="84">
        <f>'Bachelier Model'!J5</f>
        <v>46092</v>
      </c>
      <c r="C4" s="4">
        <f>'Bachelier Model'!K5</f>
        <v>46123</v>
      </c>
      <c r="D4" s="147">
        <v>5.3483096774193516E-2</v>
      </c>
      <c r="E4" s="148">
        <v>134844000</v>
      </c>
      <c r="F4" s="147">
        <v>0.05</v>
      </c>
      <c r="G4" s="100">
        <v>2</v>
      </c>
      <c r="H4" s="95">
        <f>IF(G4="","",IF('Control Panel'!$C$3='Data Validation'!$J$2,Schedules!F4,IF(G4&lt;13,'Cap and Floor Pricer'!$D$28,IF(G4&lt;25,'Cap and Floor Pricer'!$D$29,IF(G4&lt;37,'Cap and Floor Pricer'!$D$30,IF(G4&lt;49,'Cap and Floor Pricer'!$D$31,IF(G4&lt;61,'Cap and Floor Pricer'!$D$32,IF(G4&lt;73,'Cap and Floor Pricer'!$D$33,IF(G4&lt;85,'Cap and Floor Pricer'!$D$34,"Cap Term Too Long")))))))))</f>
        <v>0.01</v>
      </c>
    </row>
    <row r="5" spans="2:8" x14ac:dyDescent="0.25">
      <c r="B5" s="84">
        <f>'Bachelier Model'!J6</f>
        <v>46123</v>
      </c>
      <c r="C5" s="4">
        <f>'Bachelier Model'!K6</f>
        <v>46153</v>
      </c>
      <c r="D5" s="147">
        <v>5.3924200000000012E-2</v>
      </c>
      <c r="E5" s="148">
        <v>134688000</v>
      </c>
      <c r="F5" s="147">
        <v>0.05</v>
      </c>
      <c r="G5" s="100">
        <v>3</v>
      </c>
      <c r="H5" s="95">
        <f>IF(G5="","",IF('Control Panel'!$C$3='Data Validation'!$J$2,Schedules!F5,IF(G5&lt;13,'Cap and Floor Pricer'!$D$28,IF(G5&lt;25,'Cap and Floor Pricer'!$D$29,IF(G5&lt;37,'Cap and Floor Pricer'!$D$30,IF(G5&lt;49,'Cap and Floor Pricer'!$D$31,IF(G5&lt;61,'Cap and Floor Pricer'!$D$32,IF(G5&lt;73,'Cap and Floor Pricer'!$D$33,IF(G5&lt;85,'Cap and Floor Pricer'!$D$34,"Cap Term Too Long")))))))))</f>
        <v>0.01</v>
      </c>
    </row>
    <row r="6" spans="2:8" x14ac:dyDescent="0.25">
      <c r="B6" s="84">
        <f>'Bachelier Model'!J7</f>
        <v>46153</v>
      </c>
      <c r="C6" s="4">
        <f>'Bachelier Model'!K7</f>
        <v>46184</v>
      </c>
      <c r="D6" s="147">
        <v>5.425441612903225E-2</v>
      </c>
      <c r="E6" s="148">
        <v>134532000</v>
      </c>
      <c r="F6" s="147">
        <v>0.05</v>
      </c>
      <c r="G6" s="100">
        <v>4</v>
      </c>
      <c r="H6" s="95">
        <f>IF(G6="","",IF('Control Panel'!$C$3='Data Validation'!$J$2,Schedules!F6,IF(G6&lt;13,'Cap and Floor Pricer'!$D$28,IF(G6&lt;25,'Cap and Floor Pricer'!$D$29,IF(G6&lt;37,'Cap and Floor Pricer'!$D$30,IF(G6&lt;49,'Cap and Floor Pricer'!$D$31,IF(G6&lt;61,'Cap and Floor Pricer'!$D$32,IF(G6&lt;73,'Cap and Floor Pricer'!$D$33,IF(G6&lt;85,'Cap and Floor Pricer'!$D$34,"Cap Term Too Long")))))))))</f>
        <v>0.01</v>
      </c>
    </row>
    <row r="7" spans="2:8" x14ac:dyDescent="0.25">
      <c r="B7" s="84">
        <f>'Bachelier Model'!J8</f>
        <v>46184</v>
      </c>
      <c r="C7" s="4">
        <f>'Bachelier Model'!K8</f>
        <v>46214</v>
      </c>
      <c r="D7" s="147">
        <v>5.4258854838709673E-2</v>
      </c>
      <c r="E7" s="148">
        <v>134376000</v>
      </c>
      <c r="F7" s="147">
        <v>0.05</v>
      </c>
      <c r="G7" s="100">
        <v>5</v>
      </c>
      <c r="H7" s="95">
        <f>IF(G7="","",IF('Control Panel'!$C$3='Data Validation'!$J$2,Schedules!F7,IF(G7&lt;13,'Cap and Floor Pricer'!$D$28,IF(G7&lt;25,'Cap and Floor Pricer'!$D$29,IF(G7&lt;37,'Cap and Floor Pricer'!$D$30,IF(G7&lt;49,'Cap and Floor Pricer'!$D$31,IF(G7&lt;61,'Cap and Floor Pricer'!$D$32,IF(G7&lt;73,'Cap and Floor Pricer'!$D$33,IF(G7&lt;85,'Cap and Floor Pricer'!$D$34,"Cap Term Too Long")))))))))</f>
        <v>0.01</v>
      </c>
    </row>
    <row r="8" spans="2:8" x14ac:dyDescent="0.25">
      <c r="B8" s="84">
        <f>'Bachelier Model'!J9</f>
        <v>46214</v>
      </c>
      <c r="C8" s="4">
        <f>'Bachelier Model'!K9</f>
        <v>46245</v>
      </c>
      <c r="D8" s="147">
        <v>5.402478965517233E-2</v>
      </c>
      <c r="E8" s="148">
        <v>134220000</v>
      </c>
      <c r="F8" s="147">
        <v>0.05</v>
      </c>
      <c r="G8" s="100">
        <v>6</v>
      </c>
      <c r="H8" s="95">
        <f>IF(G8="","",IF('Control Panel'!$C$3='Data Validation'!$J$2,Schedules!F8,IF(G8&lt;13,'Cap and Floor Pricer'!$D$28,IF(G8&lt;25,'Cap and Floor Pricer'!$D$29,IF(G8&lt;37,'Cap and Floor Pricer'!$D$30,IF(G8&lt;49,'Cap and Floor Pricer'!$D$31,IF(G8&lt;61,'Cap and Floor Pricer'!$D$32,IF(G8&lt;73,'Cap and Floor Pricer'!$D$33,IF(G8&lt;85,'Cap and Floor Pricer'!$D$34,"Cap Term Too Long")))))))))</f>
        <v>0.01</v>
      </c>
    </row>
    <row r="9" spans="2:8" x14ac:dyDescent="0.25">
      <c r="B9" s="84">
        <f>'Bachelier Model'!J10</f>
        <v>46245</v>
      </c>
      <c r="C9" s="4">
        <f>'Bachelier Model'!K10</f>
        <v>46276</v>
      </c>
      <c r="D9" s="147">
        <v>5.3530958064516201E-2</v>
      </c>
      <c r="E9" s="148">
        <v>134064000</v>
      </c>
      <c r="F9" s="147">
        <v>0.05</v>
      </c>
      <c r="G9" s="100">
        <v>7</v>
      </c>
      <c r="H9" s="95">
        <f>IF(G9="","",IF('Control Panel'!$C$3='Data Validation'!$J$2,Schedules!F9,IF(G9&lt;13,'Cap and Floor Pricer'!$D$28,IF(G9&lt;25,'Cap and Floor Pricer'!$D$29,IF(G9&lt;37,'Cap and Floor Pricer'!$D$30,IF(G9&lt;49,'Cap and Floor Pricer'!$D$31,IF(G9&lt;61,'Cap and Floor Pricer'!$D$32,IF(G9&lt;73,'Cap and Floor Pricer'!$D$33,IF(G9&lt;85,'Cap and Floor Pricer'!$D$34,"Cap Term Too Long")))))))))</f>
        <v>0.01</v>
      </c>
    </row>
    <row r="10" spans="2:8" x14ac:dyDescent="0.25">
      <c r="B10" s="84">
        <f>'Bachelier Model'!J11</f>
        <v>46276</v>
      </c>
      <c r="C10" s="4">
        <f>'Bachelier Model'!K11</f>
        <v>46306</v>
      </c>
      <c r="D10" s="147">
        <v>5.2947000000000057E-2</v>
      </c>
      <c r="E10" s="148">
        <v>133908000</v>
      </c>
      <c r="F10" s="147">
        <v>0.05</v>
      </c>
      <c r="G10" s="100">
        <v>8</v>
      </c>
      <c r="H10" s="95">
        <f>IF(G10="","",IF('Control Panel'!$C$3='Data Validation'!$J$2,Schedules!F10,IF(G10&lt;13,'Cap and Floor Pricer'!$D$28,IF(G10&lt;25,'Cap and Floor Pricer'!$D$29,IF(G10&lt;37,'Cap and Floor Pricer'!$D$30,IF(G10&lt;49,'Cap and Floor Pricer'!$D$31,IF(G10&lt;61,'Cap and Floor Pricer'!$D$32,IF(G10&lt;73,'Cap and Floor Pricer'!$D$33,IF(G10&lt;85,'Cap and Floor Pricer'!$D$34,"Cap Term Too Long")))))))))</f>
        <v>0.01</v>
      </c>
    </row>
    <row r="11" spans="2:8" x14ac:dyDescent="0.25">
      <c r="B11" s="84">
        <f>'Bachelier Model'!J12</f>
        <v>46306</v>
      </c>
      <c r="C11" s="4">
        <f>'Bachelier Model'!K12</f>
        <v>46337</v>
      </c>
      <c r="D11" s="147">
        <v>5.2184112903225784E-2</v>
      </c>
      <c r="E11" s="148">
        <v>133752000</v>
      </c>
      <c r="F11" s="147">
        <v>0.05</v>
      </c>
      <c r="G11" s="100">
        <v>9</v>
      </c>
      <c r="H11" s="95">
        <f>IF(G11="","",IF('Control Panel'!$C$3='Data Validation'!$J$2,Schedules!F11,IF(G11&lt;13,'Cap and Floor Pricer'!$D$28,IF(G11&lt;25,'Cap and Floor Pricer'!$D$29,IF(G11&lt;37,'Cap and Floor Pricer'!$D$30,IF(G11&lt;49,'Cap and Floor Pricer'!$D$31,IF(G11&lt;61,'Cap and Floor Pricer'!$D$32,IF(G11&lt;73,'Cap and Floor Pricer'!$D$33,IF(G11&lt;85,'Cap and Floor Pricer'!$D$34,"Cap Term Too Long")))))))))</f>
        <v>0.01</v>
      </c>
    </row>
    <row r="12" spans="2:8" x14ac:dyDescent="0.25">
      <c r="B12" s="84">
        <f>'Bachelier Model'!J13</f>
        <v>46337</v>
      </c>
      <c r="C12" s="4">
        <f>'Bachelier Model'!K13</f>
        <v>46367</v>
      </c>
      <c r="D12" s="147">
        <v>5.1507550000000041E-2</v>
      </c>
      <c r="E12" s="148">
        <v>133596000</v>
      </c>
      <c r="F12" s="147">
        <v>0.05</v>
      </c>
      <c r="G12" s="100">
        <v>10</v>
      </c>
      <c r="H12" s="95">
        <f>IF(G12="","",IF('Control Panel'!$C$3='Data Validation'!$J$2,Schedules!F12,IF(G12&lt;13,'Cap and Floor Pricer'!$D$28,IF(G12&lt;25,'Cap and Floor Pricer'!$D$29,IF(G12&lt;37,'Cap and Floor Pricer'!$D$30,IF(G12&lt;49,'Cap and Floor Pricer'!$D$31,IF(G12&lt;61,'Cap and Floor Pricer'!$D$32,IF(G12&lt;73,'Cap and Floor Pricer'!$D$33,IF(G12&lt;85,'Cap and Floor Pricer'!$D$34,"Cap Term Too Long")))))))))</f>
        <v>0.01</v>
      </c>
    </row>
    <row r="13" spans="2:8" x14ac:dyDescent="0.25">
      <c r="B13" s="84">
        <f>'Bachelier Model'!J14</f>
        <v>46367</v>
      </c>
      <c r="C13" s="4">
        <f>'Bachelier Model'!K14</f>
        <v>46398</v>
      </c>
      <c r="D13" s="147">
        <v>5.0871287096774152E-2</v>
      </c>
      <c r="E13" s="148">
        <v>133440000</v>
      </c>
      <c r="F13" s="147">
        <v>0.05</v>
      </c>
      <c r="G13" s="100">
        <v>11</v>
      </c>
      <c r="H13" s="95">
        <f>IF(G13="","",IF('Control Panel'!$C$3='Data Validation'!$J$2,Schedules!F13,IF(G13&lt;13,'Cap and Floor Pricer'!$D$28,IF(G13&lt;25,'Cap and Floor Pricer'!$D$29,IF(G13&lt;37,'Cap and Floor Pricer'!$D$30,IF(G13&lt;49,'Cap and Floor Pricer'!$D$31,IF(G13&lt;61,'Cap and Floor Pricer'!$D$32,IF(G13&lt;73,'Cap and Floor Pricer'!$D$33,IF(G13&lt;85,'Cap and Floor Pricer'!$D$34,"Cap Term Too Long")))))))))</f>
        <v>0.01</v>
      </c>
    </row>
    <row r="14" spans="2:8" x14ac:dyDescent="0.25">
      <c r="B14" s="84">
        <f>'Bachelier Model'!J15</f>
        <v>46398</v>
      </c>
      <c r="C14" s="4">
        <f>'Bachelier Model'!K15</f>
        <v>46429</v>
      </c>
      <c r="D14" s="147">
        <v>4.9988490322580785E-2</v>
      </c>
      <c r="E14" s="148">
        <v>133284000</v>
      </c>
      <c r="F14" s="147">
        <v>0.05</v>
      </c>
      <c r="G14" s="100">
        <v>12</v>
      </c>
      <c r="H14" s="95">
        <f>IF(G14="","",IF('Control Panel'!$C$3='Data Validation'!$J$2,Schedules!F14,IF(G14&lt;13,'Cap and Floor Pricer'!$D$28,IF(G14&lt;25,'Cap and Floor Pricer'!$D$29,IF(G14&lt;37,'Cap and Floor Pricer'!$D$30,IF(G14&lt;49,'Cap and Floor Pricer'!$D$31,IF(G14&lt;61,'Cap and Floor Pricer'!$D$32,IF(G14&lt;73,'Cap and Floor Pricer'!$D$33,IF(G14&lt;85,'Cap and Floor Pricer'!$D$34,"Cap Term Too Long")))))))))</f>
        <v>0.01</v>
      </c>
    </row>
    <row r="15" spans="2:8" x14ac:dyDescent="0.25">
      <c r="B15" s="84">
        <f>'Bachelier Model'!J16</f>
        <v>46429</v>
      </c>
      <c r="C15" s="4">
        <f>'Bachelier Model'!K16</f>
        <v>46457</v>
      </c>
      <c r="D15" s="147">
        <v>4.8004149999999871E-2</v>
      </c>
      <c r="E15" s="148">
        <v>133128000</v>
      </c>
      <c r="F15" s="147">
        <v>0.05</v>
      </c>
      <c r="G15" s="100">
        <v>13</v>
      </c>
      <c r="H15" s="95">
        <f>IF(G15="","",IF('Control Panel'!$C$3='Data Validation'!$J$2,Schedules!F15,IF(G15&lt;13,'Cap and Floor Pricer'!$D$28,IF(G15&lt;25,'Cap and Floor Pricer'!$D$29,IF(G15&lt;37,'Cap and Floor Pricer'!$D$30,IF(G15&lt;49,'Cap and Floor Pricer'!$D$31,IF(G15&lt;61,'Cap and Floor Pricer'!$D$32,IF(G15&lt;73,'Cap and Floor Pricer'!$D$33,IF(G15&lt;85,'Cap and Floor Pricer'!$D$34,"Cap Term Too Long")))))))))</f>
        <v>0.02</v>
      </c>
    </row>
    <row r="16" spans="2:8" x14ac:dyDescent="0.25">
      <c r="B16" s="84">
        <f>'Bachelier Model'!J17</f>
        <v>46457</v>
      </c>
      <c r="C16" s="4">
        <f>'Bachelier Model'!K17</f>
        <v>46488</v>
      </c>
      <c r="D16" s="147">
        <v>4.6537551612903225E-2</v>
      </c>
      <c r="E16" s="148">
        <v>132972000</v>
      </c>
      <c r="F16" s="147">
        <v>0.05</v>
      </c>
      <c r="G16" s="100">
        <v>14</v>
      </c>
      <c r="H16" s="95">
        <f>IF(G16="","",IF('Control Panel'!$C$3='Data Validation'!$J$2,Schedules!F16,IF(G16&lt;13,'Cap and Floor Pricer'!$D$28,IF(G16&lt;25,'Cap and Floor Pricer'!$D$29,IF(G16&lt;37,'Cap and Floor Pricer'!$D$30,IF(G16&lt;49,'Cap and Floor Pricer'!$D$31,IF(G16&lt;61,'Cap and Floor Pricer'!$D$32,IF(G16&lt;73,'Cap and Floor Pricer'!$D$33,IF(G16&lt;85,'Cap and Floor Pricer'!$D$34,"Cap Term Too Long")))))))))</f>
        <v>0.02</v>
      </c>
    </row>
    <row r="17" spans="2:8" x14ac:dyDescent="0.25">
      <c r="B17" s="84">
        <f>'Bachelier Model'!J18</f>
        <v>46488</v>
      </c>
      <c r="C17" s="4">
        <f>'Bachelier Model'!K18</f>
        <v>46518</v>
      </c>
      <c r="D17" s="147">
        <v>4.6542100000000003E-2</v>
      </c>
      <c r="E17" s="148">
        <v>132816000</v>
      </c>
      <c r="F17" s="147">
        <v>0.05</v>
      </c>
      <c r="G17" s="100">
        <v>15</v>
      </c>
      <c r="H17" s="95">
        <f>IF(G17="","",IF('Control Panel'!$C$3='Data Validation'!$J$2,Schedules!F17,IF(G17&lt;13,'Cap and Floor Pricer'!$D$28,IF(G17&lt;25,'Cap and Floor Pricer'!$D$29,IF(G17&lt;37,'Cap and Floor Pricer'!$D$30,IF(G17&lt;49,'Cap and Floor Pricer'!$D$31,IF(G17&lt;61,'Cap and Floor Pricer'!$D$32,IF(G17&lt;73,'Cap and Floor Pricer'!$D$33,IF(G17&lt;85,'Cap and Floor Pricer'!$D$34,"Cap Term Too Long")))))))))</f>
        <v>0.02</v>
      </c>
    </row>
    <row r="18" spans="2:8" x14ac:dyDescent="0.25">
      <c r="B18" s="84">
        <f>'Bachelier Model'!J19</f>
        <v>46518</v>
      </c>
      <c r="C18" s="4">
        <f>'Bachelier Model'!K19</f>
        <v>46549</v>
      </c>
      <c r="D18" s="147">
        <v>4.6543454838709676E-2</v>
      </c>
      <c r="E18" s="148">
        <v>132660000</v>
      </c>
      <c r="F18" s="147">
        <v>0.05</v>
      </c>
      <c r="G18" s="100">
        <v>16</v>
      </c>
      <c r="H18" s="95">
        <f>IF(G18="","",IF('Control Panel'!$C$3='Data Validation'!$J$2,Schedules!F18,IF(G18&lt;13,'Cap and Floor Pricer'!$D$28,IF(G18&lt;25,'Cap and Floor Pricer'!$D$29,IF(G18&lt;37,'Cap and Floor Pricer'!$D$30,IF(G18&lt;49,'Cap and Floor Pricer'!$D$31,IF(G18&lt;61,'Cap and Floor Pricer'!$D$32,IF(G18&lt;73,'Cap and Floor Pricer'!$D$33,IF(G18&lt;85,'Cap and Floor Pricer'!$D$34,"Cap Term Too Long")))))))))</f>
        <v>0.02</v>
      </c>
    </row>
    <row r="19" spans="2:8" x14ac:dyDescent="0.25">
      <c r="B19" s="84">
        <f>'Bachelier Model'!J20</f>
        <v>46549</v>
      </c>
      <c r="C19" s="4">
        <f>'Bachelier Model'!K20</f>
        <v>46579</v>
      </c>
      <c r="D19" s="147">
        <v>4.6534454838709667E-2</v>
      </c>
      <c r="E19" s="148">
        <v>132504000</v>
      </c>
      <c r="F19" s="147">
        <v>0.05</v>
      </c>
      <c r="G19" s="100">
        <v>17</v>
      </c>
      <c r="H19" s="95">
        <f>IF(G19="","",IF('Control Panel'!$C$3='Data Validation'!$J$2,Schedules!F19,IF(G19&lt;13,'Cap and Floor Pricer'!$D$28,IF(G19&lt;25,'Cap and Floor Pricer'!$D$29,IF(G19&lt;37,'Cap and Floor Pricer'!$D$30,IF(G19&lt;49,'Cap and Floor Pricer'!$D$31,IF(G19&lt;61,'Cap and Floor Pricer'!$D$32,IF(G19&lt;73,'Cap and Floor Pricer'!$D$33,IF(G19&lt;85,'Cap and Floor Pricer'!$D$34,"Cap Term Too Long")))))))))</f>
        <v>0.02</v>
      </c>
    </row>
    <row r="20" spans="2:8" x14ac:dyDescent="0.25">
      <c r="B20" s="84">
        <f>'Bachelier Model'!J21</f>
        <v>46579</v>
      </c>
      <c r="C20" s="4">
        <f>'Bachelier Model'!K21</f>
        <v>46610</v>
      </c>
      <c r="D20" s="147">
        <v>4.6537064285714289E-2</v>
      </c>
      <c r="E20" s="148">
        <v>132348000</v>
      </c>
      <c r="F20" s="147">
        <v>0.05</v>
      </c>
      <c r="G20" s="100">
        <v>18</v>
      </c>
      <c r="H20" s="95">
        <f>IF(G20="","",IF('Control Panel'!$C$3='Data Validation'!$J$2,Schedules!F20,IF(G20&lt;13,'Cap and Floor Pricer'!$D$28,IF(G20&lt;25,'Cap and Floor Pricer'!$D$29,IF(G20&lt;37,'Cap and Floor Pricer'!$D$30,IF(G20&lt;49,'Cap and Floor Pricer'!$D$31,IF(G20&lt;61,'Cap and Floor Pricer'!$D$32,IF(G20&lt;73,'Cap and Floor Pricer'!$D$33,IF(G20&lt;85,'Cap and Floor Pricer'!$D$34,"Cap Term Too Long")))))))))</f>
        <v>0.02</v>
      </c>
    </row>
    <row r="21" spans="2:8" x14ac:dyDescent="0.25">
      <c r="B21" s="84">
        <f>'Bachelier Model'!J22</f>
        <v>46610</v>
      </c>
      <c r="C21" s="4">
        <f>'Bachelier Model'!K22</f>
        <v>46641</v>
      </c>
      <c r="D21" s="147">
        <v>4.4244816129032645E-2</v>
      </c>
      <c r="E21" s="148">
        <v>132192000</v>
      </c>
      <c r="F21" s="147">
        <v>0.05</v>
      </c>
      <c r="G21" s="100">
        <v>19</v>
      </c>
      <c r="H21" s="95">
        <f>IF(G21="","",IF('Control Panel'!$C$3='Data Validation'!$J$2,Schedules!F21,IF(G21&lt;13,'Cap and Floor Pricer'!$D$28,IF(G21&lt;25,'Cap and Floor Pricer'!$D$29,IF(G21&lt;37,'Cap and Floor Pricer'!$D$30,IF(G21&lt;49,'Cap and Floor Pricer'!$D$31,IF(G21&lt;61,'Cap and Floor Pricer'!$D$32,IF(G21&lt;73,'Cap and Floor Pricer'!$D$33,IF(G21&lt;85,'Cap and Floor Pricer'!$D$34,"Cap Term Too Long")))))))))</f>
        <v>0.02</v>
      </c>
    </row>
    <row r="22" spans="2:8" x14ac:dyDescent="0.25">
      <c r="B22" s="84">
        <f>'Bachelier Model'!J23</f>
        <v>46641</v>
      </c>
      <c r="C22" s="4">
        <f>'Bachelier Model'!K23</f>
        <v>46671</v>
      </c>
      <c r="D22" s="147">
        <v>4.2012849999999984E-2</v>
      </c>
      <c r="E22" s="148">
        <v>132036000</v>
      </c>
      <c r="F22" s="147">
        <v>0.05</v>
      </c>
      <c r="G22" s="100">
        <v>20</v>
      </c>
      <c r="H22" s="95">
        <f>IF(G22="","",IF('Control Panel'!$C$3='Data Validation'!$J$2,Schedules!F22,IF(G22&lt;13,'Cap and Floor Pricer'!$D$28,IF(G22&lt;25,'Cap and Floor Pricer'!$D$29,IF(G22&lt;37,'Cap and Floor Pricer'!$D$30,IF(G22&lt;49,'Cap and Floor Pricer'!$D$31,IF(G22&lt;61,'Cap and Floor Pricer'!$D$32,IF(G22&lt;73,'Cap and Floor Pricer'!$D$33,IF(G22&lt;85,'Cap and Floor Pricer'!$D$34,"Cap Term Too Long")))))))))</f>
        <v>0.02</v>
      </c>
    </row>
    <row r="23" spans="2:8" x14ac:dyDescent="0.25">
      <c r="B23" s="84">
        <f>'Bachelier Model'!J24</f>
        <v>46671</v>
      </c>
      <c r="C23" s="4">
        <f>'Bachelier Model'!K24</f>
        <v>46702</v>
      </c>
      <c r="D23" s="147">
        <v>4.1936109677419349E-2</v>
      </c>
      <c r="E23" s="148">
        <v>131880000</v>
      </c>
      <c r="F23" s="147">
        <v>0.05</v>
      </c>
      <c r="G23" s="100">
        <v>21</v>
      </c>
      <c r="H23" s="95">
        <f>IF(G23="","",IF('Control Panel'!$C$3='Data Validation'!$J$2,Schedules!F23,IF(G23&lt;13,'Cap and Floor Pricer'!$D$28,IF(G23&lt;25,'Cap and Floor Pricer'!$D$29,IF(G23&lt;37,'Cap and Floor Pricer'!$D$30,IF(G23&lt;49,'Cap and Floor Pricer'!$D$31,IF(G23&lt;61,'Cap and Floor Pricer'!$D$32,IF(G23&lt;73,'Cap and Floor Pricer'!$D$33,IF(G23&lt;85,'Cap and Floor Pricer'!$D$34,"Cap Term Too Long")))))))))</f>
        <v>0.02</v>
      </c>
    </row>
    <row r="24" spans="2:8" x14ac:dyDescent="0.25">
      <c r="B24" s="84">
        <f>'Bachelier Model'!J25</f>
        <v>46702</v>
      </c>
      <c r="C24" s="4">
        <f>'Bachelier Model'!K25</f>
        <v>46732</v>
      </c>
      <c r="D24" s="147">
        <v>4.1936149999999991E-2</v>
      </c>
      <c r="E24" s="148">
        <v>131724000</v>
      </c>
      <c r="F24" s="147">
        <v>0.05</v>
      </c>
      <c r="G24" s="100">
        <v>22</v>
      </c>
      <c r="H24" s="95">
        <f>IF(G24="","",IF('Control Panel'!$C$3='Data Validation'!$J$2,Schedules!F24,IF(G24&lt;13,'Cap and Floor Pricer'!$D$28,IF(G24&lt;25,'Cap and Floor Pricer'!$D$29,IF(G24&lt;37,'Cap and Floor Pricer'!$D$30,IF(G24&lt;49,'Cap and Floor Pricer'!$D$31,IF(G24&lt;61,'Cap and Floor Pricer'!$D$32,IF(G24&lt;73,'Cap and Floor Pricer'!$D$33,IF(G24&lt;85,'Cap and Floor Pricer'!$D$34,"Cap Term Too Long")))))))))</f>
        <v>0.02</v>
      </c>
    </row>
    <row r="25" spans="2:8" x14ac:dyDescent="0.25">
      <c r="B25" s="84">
        <f>'Bachelier Model'!J26</f>
        <v>46732</v>
      </c>
      <c r="C25" s="4">
        <f>'Bachelier Model'!K26</f>
        <v>46763</v>
      </c>
      <c r="D25" s="147">
        <v>4.1939929032258058E-2</v>
      </c>
      <c r="E25" s="148">
        <v>131568000</v>
      </c>
      <c r="F25" s="147">
        <v>0.05</v>
      </c>
      <c r="G25" s="100">
        <v>23</v>
      </c>
      <c r="H25" s="95">
        <f>IF(G25="","",IF('Control Panel'!$C$3='Data Validation'!$J$2,Schedules!F25,IF(G25&lt;13,'Cap and Floor Pricer'!$D$28,IF(G25&lt;25,'Cap and Floor Pricer'!$D$29,IF(G25&lt;37,'Cap and Floor Pricer'!$D$30,IF(G25&lt;49,'Cap and Floor Pricer'!$D$31,IF(G25&lt;61,'Cap and Floor Pricer'!$D$32,IF(G25&lt;73,'Cap and Floor Pricer'!$D$33,IF(G25&lt;85,'Cap and Floor Pricer'!$D$34,"Cap Term Too Long")))))))))</f>
        <v>0.02</v>
      </c>
    </row>
    <row r="26" spans="2:8" x14ac:dyDescent="0.25">
      <c r="B26" s="84">
        <f>'Bachelier Model'!J27</f>
        <v>46763</v>
      </c>
      <c r="C26" s="4">
        <f>'Bachelier Model'!K27</f>
        <v>46794</v>
      </c>
      <c r="D26" s="147">
        <v>4.1941009677419358E-2</v>
      </c>
      <c r="E26" s="148">
        <v>131412000</v>
      </c>
      <c r="F26" s="147">
        <v>0.05</v>
      </c>
      <c r="G26" s="100">
        <v>24</v>
      </c>
      <c r="H26" s="95">
        <f>IF(G26="","",IF('Control Panel'!$C$3='Data Validation'!$J$2,Schedules!F26,IF(G26&lt;13,'Cap and Floor Pricer'!$D$28,IF(G26&lt;25,'Cap and Floor Pricer'!$D$29,IF(G26&lt;37,'Cap and Floor Pricer'!$D$30,IF(G26&lt;49,'Cap and Floor Pricer'!$D$31,IF(G26&lt;61,'Cap and Floor Pricer'!$D$32,IF(G26&lt;73,'Cap and Floor Pricer'!$D$33,IF(G26&lt;85,'Cap and Floor Pricer'!$D$34,"Cap Term Too Long")))))))))</f>
        <v>0.02</v>
      </c>
    </row>
    <row r="27" spans="2:8" x14ac:dyDescent="0.25">
      <c r="B27" s="84">
        <f>'Bachelier Model'!J28</f>
        <v>46794</v>
      </c>
      <c r="C27" s="4">
        <f>'Bachelier Model'!K28</f>
        <v>46823</v>
      </c>
      <c r="D27" s="147">
        <v>4.1081500000000236E-2</v>
      </c>
      <c r="E27" s="148">
        <v>25000000</v>
      </c>
      <c r="F27" s="147">
        <v>0.05</v>
      </c>
      <c r="G27" s="100">
        <v>25</v>
      </c>
      <c r="H27" s="95">
        <f>IF(G27="","",IF('Control Panel'!$C$3='Data Validation'!$J$2,Schedules!F27,IF(G27&lt;13,'Cap and Floor Pricer'!$D$28,IF(G27&lt;25,'Cap and Floor Pricer'!$D$29,IF(G27&lt;37,'Cap and Floor Pricer'!$D$30,IF(G27&lt;49,'Cap and Floor Pricer'!$D$31,IF(G27&lt;61,'Cap and Floor Pricer'!$D$32,IF(G27&lt;73,'Cap and Floor Pricer'!$D$33,IF(G27&lt;85,'Cap and Floor Pricer'!$D$34,"Cap Term Too Long")))))))))</f>
        <v>0.03</v>
      </c>
    </row>
    <row r="28" spans="2:8" x14ac:dyDescent="0.25">
      <c r="B28" s="84">
        <f>'Bachelier Model'!J29</f>
        <v>46823</v>
      </c>
      <c r="C28" s="4">
        <f>'Bachelier Model'!K29</f>
        <v>46854</v>
      </c>
      <c r="D28" s="147">
        <v>4.0161058064516163E-2</v>
      </c>
      <c r="E28" s="148">
        <v>25000000</v>
      </c>
      <c r="F28" s="147">
        <v>0.05</v>
      </c>
      <c r="G28" s="100">
        <v>26</v>
      </c>
      <c r="H28" s="95">
        <f>IF(G28="","",IF('Control Panel'!$C$3='Data Validation'!$J$2,Schedules!F28,IF(G28&lt;13,'Cap and Floor Pricer'!$D$28,IF(G28&lt;25,'Cap and Floor Pricer'!$D$29,IF(G28&lt;37,'Cap and Floor Pricer'!$D$30,IF(G28&lt;49,'Cap and Floor Pricer'!$D$31,IF(G28&lt;61,'Cap and Floor Pricer'!$D$32,IF(G28&lt;73,'Cap and Floor Pricer'!$D$33,IF(G28&lt;85,'Cap and Floor Pricer'!$D$34,"Cap Term Too Long")))))))))</f>
        <v>0.03</v>
      </c>
    </row>
    <row r="29" spans="2:8" x14ac:dyDescent="0.25">
      <c r="B29" s="84">
        <f>'Bachelier Model'!J30</f>
        <v>46854</v>
      </c>
      <c r="C29" s="4">
        <f>'Bachelier Model'!K30</f>
        <v>46884</v>
      </c>
      <c r="D29" s="147">
        <v>4.0106149999999993E-2</v>
      </c>
      <c r="E29" s="148">
        <v>25000000</v>
      </c>
      <c r="F29" s="147">
        <v>0.05</v>
      </c>
      <c r="G29" s="100">
        <v>27</v>
      </c>
      <c r="H29" s="95">
        <f>IF(G29="","",IF('Control Panel'!$C$3='Data Validation'!$J$2,Schedules!F29,IF(G29&lt;13,'Cap and Floor Pricer'!$D$28,IF(G29&lt;25,'Cap and Floor Pricer'!$D$29,IF(G29&lt;37,'Cap and Floor Pricer'!$D$30,IF(G29&lt;49,'Cap and Floor Pricer'!$D$31,IF(G29&lt;61,'Cap and Floor Pricer'!$D$32,IF(G29&lt;73,'Cap and Floor Pricer'!$D$33,IF(G29&lt;85,'Cap and Floor Pricer'!$D$34,"Cap Term Too Long")))))))))</f>
        <v>0.03</v>
      </c>
    </row>
    <row r="30" spans="2:8" x14ac:dyDescent="0.25">
      <c r="B30" s="84">
        <f>'Bachelier Model'!J31</f>
        <v>46884</v>
      </c>
      <c r="C30" s="4">
        <f>'Bachelier Model'!K31</f>
        <v>46915</v>
      </c>
      <c r="D30" s="147">
        <v>4.0109499999999999E-2</v>
      </c>
      <c r="E30" s="148">
        <v>25000000</v>
      </c>
      <c r="F30" s="147">
        <v>0.05</v>
      </c>
      <c r="G30" s="100">
        <v>28</v>
      </c>
      <c r="H30" s="95">
        <f>IF(G30="","",IF('Control Panel'!$C$3='Data Validation'!$J$2,Schedules!F30,IF(G30&lt;13,'Cap and Floor Pricer'!$D$28,IF(G30&lt;25,'Cap and Floor Pricer'!$D$29,IF(G30&lt;37,'Cap and Floor Pricer'!$D$30,IF(G30&lt;49,'Cap and Floor Pricer'!$D$31,IF(G30&lt;61,'Cap and Floor Pricer'!$D$32,IF(G30&lt;73,'Cap and Floor Pricer'!$D$33,IF(G30&lt;85,'Cap and Floor Pricer'!$D$34,"Cap Term Too Long")))))))))</f>
        <v>0.03</v>
      </c>
    </row>
    <row r="31" spans="2:8" x14ac:dyDescent="0.25">
      <c r="B31" s="84">
        <f>'Bachelier Model'!J32</f>
        <v>46915</v>
      </c>
      <c r="C31" s="4">
        <f>'Bachelier Model'!K32</f>
        <v>46945</v>
      </c>
      <c r="D31" s="147">
        <v>4.010371935483871E-2</v>
      </c>
      <c r="E31" s="148">
        <v>25000000</v>
      </c>
      <c r="F31" s="147">
        <v>0.05</v>
      </c>
      <c r="G31" s="100">
        <v>29</v>
      </c>
      <c r="H31" s="95">
        <f>IF(G31="","",IF('Control Panel'!$C$3='Data Validation'!$J$2,Schedules!F31,IF(G31&lt;13,'Cap and Floor Pricer'!$D$28,IF(G31&lt;25,'Cap and Floor Pricer'!$D$29,IF(G31&lt;37,'Cap and Floor Pricer'!$D$30,IF(G31&lt;49,'Cap and Floor Pricer'!$D$31,IF(G31&lt;61,'Cap and Floor Pricer'!$D$32,IF(G31&lt;73,'Cap and Floor Pricer'!$D$33,IF(G31&lt;85,'Cap and Floor Pricer'!$D$34,"Cap Term Too Long")))))))))</f>
        <v>0.03</v>
      </c>
    </row>
    <row r="32" spans="2:8" x14ac:dyDescent="0.25">
      <c r="B32" s="84">
        <f>'Bachelier Model'!J33</f>
        <v>46945</v>
      </c>
      <c r="C32" s="4">
        <f>'Bachelier Model'!K33</f>
        <v>46976</v>
      </c>
      <c r="D32" s="147">
        <v>4.01035E-2</v>
      </c>
      <c r="E32" s="148">
        <v>25000000</v>
      </c>
      <c r="F32" s="147">
        <v>0.05</v>
      </c>
      <c r="G32" s="100">
        <v>30</v>
      </c>
      <c r="H32" s="95">
        <f>IF(G32="","",IF('Control Panel'!$C$3='Data Validation'!$J$2,Schedules!F32,IF(G32&lt;13,'Cap and Floor Pricer'!$D$28,IF(G32&lt;25,'Cap and Floor Pricer'!$D$29,IF(G32&lt;37,'Cap and Floor Pricer'!$D$30,IF(G32&lt;49,'Cap and Floor Pricer'!$D$31,IF(G32&lt;61,'Cap and Floor Pricer'!$D$32,IF(G32&lt;73,'Cap and Floor Pricer'!$D$33,IF(G32&lt;85,'Cap and Floor Pricer'!$D$34,"Cap Term Too Long")))))))))</f>
        <v>0.03</v>
      </c>
    </row>
    <row r="33" spans="2:8" x14ac:dyDescent="0.25">
      <c r="B33" s="84">
        <f>'Bachelier Model'!J34</f>
        <v>46976</v>
      </c>
      <c r="C33" s="4">
        <f>'Bachelier Model'!K34</f>
        <v>47007</v>
      </c>
      <c r="D33" s="147">
        <v>4.0106041935483859E-2</v>
      </c>
      <c r="E33" s="148">
        <v>25000000</v>
      </c>
      <c r="F33" s="147">
        <v>0.05</v>
      </c>
      <c r="G33" s="100">
        <v>31</v>
      </c>
      <c r="H33" s="95">
        <f>IF(G33="","",IF('Control Panel'!$C$3='Data Validation'!$J$2,Schedules!F33,IF(G33&lt;13,'Cap and Floor Pricer'!$D$28,IF(G33&lt;25,'Cap and Floor Pricer'!$D$29,IF(G33&lt;37,'Cap and Floor Pricer'!$D$30,IF(G33&lt;49,'Cap and Floor Pricer'!$D$31,IF(G33&lt;61,'Cap and Floor Pricer'!$D$32,IF(G33&lt;73,'Cap and Floor Pricer'!$D$33,IF(G33&lt;85,'Cap and Floor Pricer'!$D$34,"Cap Term Too Long")))))))))</f>
        <v>0.03</v>
      </c>
    </row>
    <row r="34" spans="2:8" x14ac:dyDescent="0.25">
      <c r="B34" s="84">
        <f>'Bachelier Model'!J35</f>
        <v>47007</v>
      </c>
      <c r="C34" s="4">
        <f>'Bachelier Model'!K35</f>
        <v>47037</v>
      </c>
      <c r="D34" s="147">
        <v>4.0106149999999993E-2</v>
      </c>
      <c r="E34" s="148">
        <v>25000000</v>
      </c>
      <c r="F34" s="147">
        <v>0.05</v>
      </c>
      <c r="G34" s="100">
        <v>32</v>
      </c>
      <c r="H34" s="95">
        <f>IF(G34="","",IF('Control Panel'!$C$3='Data Validation'!$J$2,Schedules!F34,IF(G34&lt;13,'Cap and Floor Pricer'!$D$28,IF(G34&lt;25,'Cap and Floor Pricer'!$D$29,IF(G34&lt;37,'Cap and Floor Pricer'!$D$30,IF(G34&lt;49,'Cap and Floor Pricer'!$D$31,IF(G34&lt;61,'Cap and Floor Pricer'!$D$32,IF(G34&lt;73,'Cap and Floor Pricer'!$D$33,IF(G34&lt;85,'Cap and Floor Pricer'!$D$34,"Cap Term Too Long")))))))))</f>
        <v>0.03</v>
      </c>
    </row>
    <row r="35" spans="2:8" x14ac:dyDescent="0.25">
      <c r="B35" s="84">
        <f>'Bachelier Model'!J36</f>
        <v>47037</v>
      </c>
      <c r="C35" s="4">
        <f>'Bachelier Model'!K36</f>
        <v>47068</v>
      </c>
      <c r="D35" s="147">
        <v>4.0108364516129036E-2</v>
      </c>
      <c r="E35" s="148">
        <v>25000000</v>
      </c>
      <c r="F35" s="147">
        <v>0.05</v>
      </c>
      <c r="G35" s="100">
        <v>33</v>
      </c>
      <c r="H35" s="95">
        <f>IF(G35="","",IF('Control Panel'!$C$3='Data Validation'!$J$2,Schedules!F35,IF(G35&lt;13,'Cap and Floor Pricer'!$D$28,IF(G35&lt;25,'Cap and Floor Pricer'!$D$29,IF(G35&lt;37,'Cap and Floor Pricer'!$D$30,IF(G35&lt;49,'Cap and Floor Pricer'!$D$31,IF(G35&lt;61,'Cap and Floor Pricer'!$D$32,IF(G35&lt;73,'Cap and Floor Pricer'!$D$33,IF(G35&lt;85,'Cap and Floor Pricer'!$D$34,"Cap Term Too Long")))))))))</f>
        <v>0.03</v>
      </c>
    </row>
    <row r="36" spans="2:8" x14ac:dyDescent="0.25">
      <c r="B36" s="84">
        <f>'Bachelier Model'!J37</f>
        <v>47068</v>
      </c>
      <c r="C36" s="4">
        <f>'Bachelier Model'!K37</f>
        <v>47098</v>
      </c>
      <c r="D36" s="147">
        <v>4.0106149999999993E-2</v>
      </c>
      <c r="E36" s="148">
        <v>25000000</v>
      </c>
      <c r="F36" s="147">
        <v>0.05</v>
      </c>
      <c r="G36" s="100">
        <v>34</v>
      </c>
      <c r="H36" s="95">
        <f>IF(G36="","",IF('Control Panel'!$C$3='Data Validation'!$J$2,Schedules!F36,IF(G36&lt;13,'Cap and Floor Pricer'!$D$28,IF(G36&lt;25,'Cap and Floor Pricer'!$D$29,IF(G36&lt;37,'Cap and Floor Pricer'!$D$30,IF(G36&lt;49,'Cap and Floor Pricer'!$D$31,IF(G36&lt;61,'Cap and Floor Pricer'!$D$32,IF(G36&lt;73,'Cap and Floor Pricer'!$D$33,IF(G36&lt;85,'Cap and Floor Pricer'!$D$34,"Cap Term Too Long")))))))))</f>
        <v>0.03</v>
      </c>
    </row>
    <row r="37" spans="2:8" x14ac:dyDescent="0.25">
      <c r="B37" s="84">
        <f>'Bachelier Model'!J38</f>
        <v>47098</v>
      </c>
      <c r="C37" s="4">
        <f>'Bachelier Model'!K38</f>
        <v>47129</v>
      </c>
      <c r="D37" s="147">
        <v>4.0107322580645172E-2</v>
      </c>
      <c r="E37" s="148">
        <v>25000000</v>
      </c>
      <c r="F37" s="147">
        <v>0.05</v>
      </c>
      <c r="G37" s="100">
        <v>35</v>
      </c>
      <c r="H37" s="95">
        <f>IF(G37="","",IF('Control Panel'!$C$3='Data Validation'!$J$2,Schedules!F37,IF(G37&lt;13,'Cap and Floor Pricer'!$D$28,IF(G37&lt;25,'Cap and Floor Pricer'!$D$29,IF(G37&lt;37,'Cap and Floor Pricer'!$D$30,IF(G37&lt;49,'Cap and Floor Pricer'!$D$31,IF(G37&lt;61,'Cap and Floor Pricer'!$D$32,IF(G37&lt;73,'Cap and Floor Pricer'!$D$33,IF(G37&lt;85,'Cap and Floor Pricer'!$D$34,"Cap Term Too Long")))))))))</f>
        <v>0.03</v>
      </c>
    </row>
    <row r="38" spans="2:8" x14ac:dyDescent="0.25">
      <c r="B38" s="84">
        <f>'Bachelier Model'!J39</f>
        <v>47129</v>
      </c>
      <c r="C38" s="4">
        <f>'Bachelier Model'!K39</f>
        <v>47160</v>
      </c>
      <c r="D38" s="147">
        <v>4.0107177419354843E-2</v>
      </c>
      <c r="E38" s="148">
        <v>25000000</v>
      </c>
      <c r="F38" s="147">
        <v>0.05</v>
      </c>
      <c r="G38" s="100">
        <v>36</v>
      </c>
      <c r="H38" s="95">
        <f>IF(G38="","",IF('Control Panel'!$C$3='Data Validation'!$J$2,Schedules!F38,IF(G38&lt;13,'Cap and Floor Pricer'!$D$28,IF(G38&lt;25,'Cap and Floor Pricer'!$D$29,IF(G38&lt;37,'Cap and Floor Pricer'!$D$30,IF(G38&lt;49,'Cap and Floor Pricer'!$D$31,IF(G38&lt;61,'Cap and Floor Pricer'!$D$32,IF(G38&lt;73,'Cap and Floor Pricer'!$D$33,IF(G38&lt;85,'Cap and Floor Pricer'!$D$34,"Cap Term Too Long")))))))))</f>
        <v>0.03</v>
      </c>
    </row>
    <row r="39" spans="2:8" x14ac:dyDescent="0.25">
      <c r="B39" s="84" t="str">
        <f>'Bachelier Model'!J40</f>
        <v/>
      </c>
      <c r="C39" s="4" t="str">
        <f>'Bachelier Model'!K40</f>
        <v/>
      </c>
      <c r="D39" s="147">
        <v>3.9922650000000032E-2</v>
      </c>
      <c r="E39" s="148">
        <v>25000000</v>
      </c>
      <c r="F39" s="147">
        <v>0.05</v>
      </c>
      <c r="H39" s="95" t="str">
        <f>IF(G39="","",IF('Control Panel'!$C$3='Data Validation'!$J$2,Schedules!F39,IF(G39&lt;13,'Cap and Floor Pricer'!$D$28,IF(G39&lt;25,'Cap and Floor Pricer'!$D$29,IF(G39&lt;37,'Cap and Floor Pricer'!$D$30,IF(G39&lt;49,'Cap and Floor Pricer'!$D$31,IF(G39&lt;61,'Cap and Floor Pricer'!$D$32,IF(G39&lt;73,'Cap and Floor Pricer'!$D$33,IF(G39&lt;85,'Cap and Floor Pricer'!$D$34,"Cap Term Too Long")))))))))</f>
        <v/>
      </c>
    </row>
    <row r="40" spans="2:8" x14ac:dyDescent="0.25">
      <c r="B40" s="84" t="str">
        <f>'Bachelier Model'!J41</f>
        <v/>
      </c>
      <c r="C40" s="4" t="str">
        <f>'Bachelier Model'!K41</f>
        <v/>
      </c>
      <c r="D40" s="147">
        <v>3.9732867741935476E-2</v>
      </c>
      <c r="E40" s="148">
        <v>25000000</v>
      </c>
      <c r="F40" s="147">
        <v>0.05</v>
      </c>
      <c r="H40" s="95" t="str">
        <f>IF(G40="","",IF('Control Panel'!$C$3='Data Validation'!$J$2,Schedules!F40,IF(G40&lt;13,'Cap and Floor Pricer'!$D$28,IF(G40&lt;25,'Cap and Floor Pricer'!$D$29,IF(G40&lt;37,'Cap and Floor Pricer'!$D$30,IF(G40&lt;49,'Cap and Floor Pricer'!$D$31,IF(G40&lt;61,'Cap and Floor Pricer'!$D$32,IF(G40&lt;73,'Cap and Floor Pricer'!$D$33,IF(G40&lt;85,'Cap and Floor Pricer'!$D$34,"Cap Term Too Long")))))))))</f>
        <v/>
      </c>
    </row>
    <row r="41" spans="2:8" x14ac:dyDescent="0.25">
      <c r="B41" s="84" t="str">
        <f>'Bachelier Model'!J42</f>
        <v/>
      </c>
      <c r="C41" s="4" t="str">
        <f>'Bachelier Model'!K42</f>
        <v/>
      </c>
      <c r="D41" s="147">
        <v>3.9728100000000002E-2</v>
      </c>
      <c r="E41" s="148">
        <v>25000000</v>
      </c>
      <c r="F41" s="147">
        <v>0.05</v>
      </c>
      <c r="H41" s="95" t="str">
        <f>IF(G41="","",IF('Control Panel'!$C$3='Data Validation'!$J$2,Schedules!F41,IF(G41&lt;13,'Cap and Floor Pricer'!$D$28,IF(G41&lt;25,'Cap and Floor Pricer'!$D$29,IF(G41&lt;37,'Cap and Floor Pricer'!$D$30,IF(G41&lt;49,'Cap and Floor Pricer'!$D$31,IF(G41&lt;61,'Cap and Floor Pricer'!$D$32,IF(G41&lt;73,'Cap and Floor Pricer'!$D$33,IF(G41&lt;85,'Cap and Floor Pricer'!$D$34,"Cap Term Too Long")))))))))</f>
        <v/>
      </c>
    </row>
    <row r="42" spans="2:8" x14ac:dyDescent="0.25">
      <c r="B42" s="84" t="str">
        <f>'Bachelier Model'!J43</f>
        <v/>
      </c>
      <c r="C42" s="4" t="str">
        <f>'Bachelier Model'!K43</f>
        <v/>
      </c>
      <c r="D42" s="147">
        <v>3.9730300000000003E-2</v>
      </c>
      <c r="E42" s="148">
        <v>25000000</v>
      </c>
      <c r="F42" s="147">
        <v>0.05</v>
      </c>
      <c r="H42" s="95" t="str">
        <f>IF(G42="","",IF('Control Panel'!$C$3='Data Validation'!$J$2,Schedules!F42,IF(G42&lt;13,'Cap and Floor Pricer'!$D$28,IF(G42&lt;25,'Cap and Floor Pricer'!$D$29,IF(G42&lt;37,'Cap and Floor Pricer'!$D$30,IF(G42&lt;49,'Cap and Floor Pricer'!$D$31,IF(G42&lt;61,'Cap and Floor Pricer'!$D$32,IF(G42&lt;73,'Cap and Floor Pricer'!$D$33,IF(G42&lt;85,'Cap and Floor Pricer'!$D$34,"Cap Term Too Long")))))))))</f>
        <v/>
      </c>
    </row>
    <row r="43" spans="2:8" x14ac:dyDescent="0.25">
      <c r="B43" s="84" t="str">
        <f>'Bachelier Model'!J44</f>
        <v/>
      </c>
      <c r="C43" s="4" t="str">
        <f>'Bachelier Model'!K44</f>
        <v/>
      </c>
      <c r="D43" s="147">
        <v>3.9725758064516128E-2</v>
      </c>
      <c r="E43" s="148">
        <v>25000000</v>
      </c>
      <c r="F43" s="147">
        <v>0.05</v>
      </c>
      <c r="H43" s="95" t="str">
        <f>IF(G43="","",IF('Control Panel'!$C$3='Data Validation'!$J$2,Schedules!F43,IF(G43&lt;13,'Cap and Floor Pricer'!$D$28,IF(G43&lt;25,'Cap and Floor Pricer'!$D$29,IF(G43&lt;37,'Cap and Floor Pricer'!$D$30,IF(G43&lt;49,'Cap and Floor Pricer'!$D$31,IF(G43&lt;61,'Cap and Floor Pricer'!$D$32,IF(G43&lt;73,'Cap and Floor Pricer'!$D$33,IF(G43&lt;85,'Cap and Floor Pricer'!$D$34,"Cap Term Too Long")))))))))</f>
        <v/>
      </c>
    </row>
    <row r="44" spans="2:8" x14ac:dyDescent="0.25">
      <c r="B44" s="84" t="str">
        <f>'Bachelier Model'!J45</f>
        <v/>
      </c>
      <c r="C44" s="4" t="str">
        <f>'Bachelier Model'!K45</f>
        <v/>
      </c>
      <c r="D44" s="147">
        <v>3.9725585714285722E-2</v>
      </c>
      <c r="E44" s="148">
        <v>25000000</v>
      </c>
      <c r="F44" s="147">
        <v>0.05</v>
      </c>
      <c r="H44" s="95" t="str">
        <f>IF(G44="","",IF('Control Panel'!$C$3='Data Validation'!$J$2,Schedules!F44,IF(G44&lt;13,'Cap and Floor Pricer'!$D$28,IF(G44&lt;25,'Cap and Floor Pricer'!$D$29,IF(G44&lt;37,'Cap and Floor Pricer'!$D$30,IF(G44&lt;49,'Cap and Floor Pricer'!$D$31,IF(G44&lt;61,'Cap and Floor Pricer'!$D$32,IF(G44&lt;73,'Cap and Floor Pricer'!$D$33,IF(G44&lt;85,'Cap and Floor Pricer'!$D$34,"Cap Term Too Long")))))))))</f>
        <v/>
      </c>
    </row>
    <row r="45" spans="2:8" x14ac:dyDescent="0.25">
      <c r="B45" s="84" t="str">
        <f>'Bachelier Model'!J46</f>
        <v/>
      </c>
      <c r="C45" s="4" t="str">
        <f>'Bachelier Model'!K46</f>
        <v/>
      </c>
      <c r="D45" s="147">
        <v>3.9728029032258069E-2</v>
      </c>
      <c r="E45" s="148">
        <v>25000000</v>
      </c>
      <c r="F45" s="147">
        <v>0.05</v>
      </c>
      <c r="H45" s="95" t="str">
        <f>IF(G45="","",IF('Control Panel'!$C$3='Data Validation'!$J$2,Schedules!F45,IF(G45&lt;13,'Cap and Floor Pricer'!$D$28,IF(G45&lt;25,'Cap and Floor Pricer'!$D$29,IF(G45&lt;37,'Cap and Floor Pricer'!$D$30,IF(G45&lt;49,'Cap and Floor Pricer'!$D$31,IF(G45&lt;61,'Cap and Floor Pricer'!$D$32,IF(G45&lt;73,'Cap and Floor Pricer'!$D$33,IF(G45&lt;85,'Cap and Floor Pricer'!$D$34,"Cap Term Too Long")))))))))</f>
        <v/>
      </c>
    </row>
    <row r="46" spans="2:8" x14ac:dyDescent="0.25">
      <c r="B46" s="84" t="str">
        <f>'Bachelier Model'!J47</f>
        <v/>
      </c>
      <c r="C46" s="4" t="str">
        <f>'Bachelier Model'!K47</f>
        <v/>
      </c>
      <c r="D46" s="147">
        <v>3.9729199999999999E-2</v>
      </c>
      <c r="E46" s="148">
        <v>25000000</v>
      </c>
      <c r="F46" s="147">
        <v>0.05</v>
      </c>
      <c r="H46" s="95" t="str">
        <f>IF(G46="","",IF('Control Panel'!$C$3='Data Validation'!$J$2,Schedules!F46,IF(G46&lt;13,'Cap and Floor Pricer'!$D$28,IF(G46&lt;25,'Cap and Floor Pricer'!$D$29,IF(G46&lt;37,'Cap and Floor Pricer'!$D$30,IF(G46&lt;49,'Cap and Floor Pricer'!$D$31,IF(G46&lt;61,'Cap and Floor Pricer'!$D$32,IF(G46&lt;73,'Cap and Floor Pricer'!$D$33,IF(G46&lt;85,'Cap and Floor Pricer'!$D$34,"Cap Term Too Long")))))))))</f>
        <v/>
      </c>
    </row>
    <row r="47" spans="2:8" x14ac:dyDescent="0.25">
      <c r="B47" s="84" t="str">
        <f>'Bachelier Model'!J48</f>
        <v/>
      </c>
      <c r="C47" s="4" t="str">
        <f>'Bachelier Model'!K48</f>
        <v/>
      </c>
      <c r="D47" s="147">
        <v>3.97290935483871E-2</v>
      </c>
      <c r="E47" s="148">
        <v>25000000</v>
      </c>
      <c r="F47" s="147">
        <v>0.05</v>
      </c>
      <c r="H47" s="95" t="str">
        <f>IF(G47="","",IF('Control Panel'!$C$3='Data Validation'!$J$2,Schedules!F47,IF(G47&lt;13,'Cap and Floor Pricer'!$D$28,IF(G47&lt;25,'Cap and Floor Pricer'!$D$29,IF(G47&lt;37,'Cap and Floor Pricer'!$D$30,IF(G47&lt;49,'Cap and Floor Pricer'!$D$31,IF(G47&lt;61,'Cap and Floor Pricer'!$D$32,IF(G47&lt;73,'Cap and Floor Pricer'!$D$33,IF(G47&lt;85,'Cap and Floor Pricer'!$D$34,"Cap Term Too Long")))))))))</f>
        <v/>
      </c>
    </row>
    <row r="48" spans="2:8" x14ac:dyDescent="0.25">
      <c r="B48" s="84" t="str">
        <f>'Bachelier Model'!J49</f>
        <v/>
      </c>
      <c r="C48" s="4" t="str">
        <f>'Bachelier Model'!K49</f>
        <v/>
      </c>
      <c r="D48" s="147">
        <v>3.9726999999999998E-2</v>
      </c>
      <c r="E48" s="148">
        <v>25000000</v>
      </c>
      <c r="F48" s="147">
        <v>0.05</v>
      </c>
      <c r="H48" s="95" t="str">
        <f>IF(G48="","",IF('Control Panel'!$C$3='Data Validation'!$J$2,Schedules!F48,IF(G48&lt;13,'Cap and Floor Pricer'!$D$28,IF(G48&lt;25,'Cap and Floor Pricer'!$D$29,IF(G48&lt;37,'Cap and Floor Pricer'!$D$30,IF(G48&lt;49,'Cap and Floor Pricer'!$D$31,IF(G48&lt;61,'Cap and Floor Pricer'!$D$32,IF(G48&lt;73,'Cap and Floor Pricer'!$D$33,IF(G48&lt;85,'Cap and Floor Pricer'!$D$34,"Cap Term Too Long")))))))))</f>
        <v/>
      </c>
    </row>
    <row r="49" spans="2:8" x14ac:dyDescent="0.25">
      <c r="B49" s="84" t="str">
        <f>'Bachelier Model'!J50</f>
        <v/>
      </c>
      <c r="C49" s="4" t="str">
        <f>'Bachelier Model'!K50</f>
        <v/>
      </c>
      <c r="D49" s="147">
        <v>3.9730370967741929E-2</v>
      </c>
      <c r="E49" s="148">
        <v>25000000</v>
      </c>
      <c r="F49" s="147">
        <v>0.05</v>
      </c>
      <c r="H49" s="95" t="str">
        <f>IF(G49="","",IF('Control Panel'!$C$3='Data Validation'!$J$2,Schedules!F49,IF(G49&lt;13,'Cap and Floor Pricer'!$D$28,IF(G49&lt;25,'Cap and Floor Pricer'!$D$29,IF(G49&lt;37,'Cap and Floor Pricer'!$D$30,IF(G49&lt;49,'Cap and Floor Pricer'!$D$31,IF(G49&lt;61,'Cap and Floor Pricer'!$D$32,IF(G49&lt;73,'Cap and Floor Pricer'!$D$33,IF(G49&lt;85,'Cap and Floor Pricer'!$D$34,"Cap Term Too Long")))))))))</f>
        <v/>
      </c>
    </row>
    <row r="50" spans="2:8" x14ac:dyDescent="0.25">
      <c r="B50" s="84" t="str">
        <f>'Bachelier Model'!J51</f>
        <v/>
      </c>
      <c r="C50" s="4" t="str">
        <f>'Bachelier Model'!K51</f>
        <v/>
      </c>
      <c r="D50" s="147">
        <v>3.9729093548387093E-2</v>
      </c>
      <c r="E50" s="148">
        <v>25000000</v>
      </c>
      <c r="F50" s="147">
        <v>0.05</v>
      </c>
      <c r="H50" s="95" t="str">
        <f>IF(G50="","",IF('Control Panel'!$C$3='Data Validation'!$J$2,Schedules!F50,IF(G50&lt;13,'Cap and Floor Pricer'!$D$28,IF(G50&lt;25,'Cap and Floor Pricer'!$D$29,IF(G50&lt;37,'Cap and Floor Pricer'!$D$30,IF(G50&lt;49,'Cap and Floor Pricer'!$D$31,IF(G50&lt;61,'Cap and Floor Pricer'!$D$32,IF(G50&lt;73,'Cap and Floor Pricer'!$D$33,IF(G50&lt;85,'Cap and Floor Pricer'!$D$34,"Cap Term Too Long")))))))))</f>
        <v/>
      </c>
    </row>
    <row r="51" spans="2:8" x14ac:dyDescent="0.25">
      <c r="B51" s="84" t="str">
        <f>'Bachelier Model'!J52</f>
        <v/>
      </c>
      <c r="C51" s="4" t="str">
        <f>'Bachelier Model'!K52</f>
        <v/>
      </c>
      <c r="D51" s="147">
        <v>4.0183049999999977E-2</v>
      </c>
      <c r="E51" s="148">
        <v>25000000</v>
      </c>
      <c r="F51" s="147">
        <v>0.05</v>
      </c>
      <c r="H51" s="95" t="str">
        <f>IF(G51="","",IF('Control Panel'!$C$3='Data Validation'!$J$2,Schedules!F51,IF(G51&lt;13,'Cap and Floor Pricer'!$D$28,IF(G51&lt;25,'Cap and Floor Pricer'!$D$29,IF(G51&lt;37,'Cap and Floor Pricer'!$D$30,IF(G51&lt;49,'Cap and Floor Pricer'!$D$31,IF(G51&lt;61,'Cap and Floor Pricer'!$D$32,IF(G51&lt;73,'Cap and Floor Pricer'!$D$33,IF(G51&lt;85,'Cap and Floor Pricer'!$D$34,"Cap Term Too Long")))))))))</f>
        <v/>
      </c>
    </row>
    <row r="52" spans="2:8" x14ac:dyDescent="0.25">
      <c r="B52" s="84" t="str">
        <f>'Bachelier Model'!J53</f>
        <v/>
      </c>
      <c r="C52" s="4" t="str">
        <f>'Bachelier Model'!K53</f>
        <v/>
      </c>
      <c r="D52" s="147">
        <v>4.0183049999999977E-2</v>
      </c>
      <c r="E52" s="148">
        <v>25000000</v>
      </c>
      <c r="F52" s="147">
        <v>0.05</v>
      </c>
      <c r="H52" s="95" t="str">
        <f>IF(G52="","",IF('Control Panel'!$C$3='Data Validation'!$J$2,Schedules!F52,IF(G52&lt;13,'Cap and Floor Pricer'!$D$28,IF(G52&lt;25,'Cap and Floor Pricer'!$D$29,IF(G52&lt;37,'Cap and Floor Pricer'!$D$30,IF(G52&lt;49,'Cap and Floor Pricer'!$D$31,IF(G52&lt;61,'Cap and Floor Pricer'!$D$32,IF(G52&lt;73,'Cap and Floor Pricer'!$D$33,IF(G52&lt;85,'Cap and Floor Pricer'!$D$34,"Cap Term Too Long")))))))))</f>
        <v/>
      </c>
    </row>
    <row r="53" spans="2:8" x14ac:dyDescent="0.25">
      <c r="B53" s="84" t="str">
        <f>'Bachelier Model'!J54</f>
        <v/>
      </c>
      <c r="C53" s="4" t="str">
        <f>'Bachelier Model'!K54</f>
        <v/>
      </c>
      <c r="D53" s="147">
        <v>4.0183049999999977E-2</v>
      </c>
      <c r="E53" s="148">
        <v>25000000</v>
      </c>
      <c r="F53" s="147">
        <v>0.05</v>
      </c>
      <c r="H53" s="95" t="str">
        <f>IF(G53="","",IF('Control Panel'!$C$3='Data Validation'!$J$2,Schedules!F53,IF(G53&lt;13,'Cap and Floor Pricer'!$D$28,IF(G53&lt;25,'Cap and Floor Pricer'!$D$29,IF(G53&lt;37,'Cap and Floor Pricer'!$D$30,IF(G53&lt;49,'Cap and Floor Pricer'!$D$31,IF(G53&lt;61,'Cap and Floor Pricer'!$D$32,IF(G53&lt;73,'Cap and Floor Pricer'!$D$33,IF(G53&lt;85,'Cap and Floor Pricer'!$D$34,"Cap Term Too Long")))))))))</f>
        <v/>
      </c>
    </row>
    <row r="54" spans="2:8" x14ac:dyDescent="0.25">
      <c r="B54" s="84" t="str">
        <f>'Bachelier Model'!J55</f>
        <v/>
      </c>
      <c r="C54" s="4" t="str">
        <f>'Bachelier Model'!K55</f>
        <v/>
      </c>
      <c r="D54" s="147">
        <v>4.0183049999999977E-2</v>
      </c>
      <c r="E54" s="148">
        <v>25000000</v>
      </c>
      <c r="F54" s="147">
        <v>0.05</v>
      </c>
      <c r="H54" s="95" t="str">
        <f>IF(G54="","",IF('Control Panel'!$C$3='Data Validation'!$J$2,Schedules!F54,IF(G54&lt;13,'Cap and Floor Pricer'!$D$28,IF(G54&lt;25,'Cap and Floor Pricer'!$D$29,IF(G54&lt;37,'Cap and Floor Pricer'!$D$30,IF(G54&lt;49,'Cap and Floor Pricer'!$D$31,IF(G54&lt;61,'Cap and Floor Pricer'!$D$32,IF(G54&lt;73,'Cap and Floor Pricer'!$D$33,IF(G54&lt;85,'Cap and Floor Pricer'!$D$34,"Cap Term Too Long")))))))))</f>
        <v/>
      </c>
    </row>
    <row r="55" spans="2:8" x14ac:dyDescent="0.25">
      <c r="B55" s="84" t="str">
        <f>'Bachelier Model'!J56</f>
        <v/>
      </c>
      <c r="C55" s="4" t="str">
        <f>'Bachelier Model'!K56</f>
        <v/>
      </c>
      <c r="D55" s="147">
        <v>4.0183049999999977E-2</v>
      </c>
      <c r="E55" s="148">
        <v>25000000</v>
      </c>
      <c r="F55" s="147">
        <v>0.05</v>
      </c>
      <c r="H55" s="95" t="str">
        <f>IF(G55="","",IF('Control Panel'!$C$3='Data Validation'!$J$2,Schedules!F55,IF(G55&lt;13,'Cap and Floor Pricer'!$D$28,IF(G55&lt;25,'Cap and Floor Pricer'!$D$29,IF(G55&lt;37,'Cap and Floor Pricer'!$D$30,IF(G55&lt;49,'Cap and Floor Pricer'!$D$31,IF(G55&lt;61,'Cap and Floor Pricer'!$D$32,IF(G55&lt;73,'Cap and Floor Pricer'!$D$33,IF(G55&lt;85,'Cap and Floor Pricer'!$D$34,"Cap Term Too Long")))))))))</f>
        <v/>
      </c>
    </row>
    <row r="56" spans="2:8" x14ac:dyDescent="0.25">
      <c r="B56" s="84" t="str">
        <f>'Bachelier Model'!J57</f>
        <v/>
      </c>
      <c r="C56" s="4" t="str">
        <f>'Bachelier Model'!K57</f>
        <v/>
      </c>
      <c r="D56" s="147">
        <v>4.0183049999999977E-2</v>
      </c>
      <c r="E56" s="148">
        <v>25000000</v>
      </c>
      <c r="F56" s="147">
        <v>0.05</v>
      </c>
      <c r="H56" s="95" t="str">
        <f>IF(G56="","",IF('Control Panel'!$C$3='Data Validation'!$J$2,Schedules!F56,IF(G56&lt;13,'Cap and Floor Pricer'!$D$28,IF(G56&lt;25,'Cap and Floor Pricer'!$D$29,IF(G56&lt;37,'Cap and Floor Pricer'!$D$30,IF(G56&lt;49,'Cap and Floor Pricer'!$D$31,IF(G56&lt;61,'Cap and Floor Pricer'!$D$32,IF(G56&lt;73,'Cap and Floor Pricer'!$D$33,IF(G56&lt;85,'Cap and Floor Pricer'!$D$34,"Cap Term Too Long")))))))))</f>
        <v/>
      </c>
    </row>
    <row r="57" spans="2:8" x14ac:dyDescent="0.25">
      <c r="B57" s="84" t="str">
        <f>'Bachelier Model'!J58</f>
        <v/>
      </c>
      <c r="C57" s="4" t="str">
        <f>'Bachelier Model'!K58</f>
        <v/>
      </c>
      <c r="D57" s="147">
        <v>4.0183049999999977E-2</v>
      </c>
      <c r="E57" s="148">
        <v>25000000</v>
      </c>
      <c r="F57" s="147">
        <v>0.05</v>
      </c>
      <c r="H57" s="95" t="str">
        <f>IF(G57="","",IF('Control Panel'!$C$3='Data Validation'!$J$2,Schedules!F57,IF(G57&lt;13,'Cap and Floor Pricer'!$D$28,IF(G57&lt;25,'Cap and Floor Pricer'!$D$29,IF(G57&lt;37,'Cap and Floor Pricer'!$D$30,IF(G57&lt;49,'Cap and Floor Pricer'!$D$31,IF(G57&lt;61,'Cap and Floor Pricer'!$D$32,IF(G57&lt;73,'Cap and Floor Pricer'!$D$33,IF(G57&lt;85,'Cap and Floor Pricer'!$D$34,"Cap Term Too Long")))))))))</f>
        <v/>
      </c>
    </row>
    <row r="58" spans="2:8" x14ac:dyDescent="0.25">
      <c r="B58" s="84" t="str">
        <f>'Bachelier Model'!J59</f>
        <v/>
      </c>
      <c r="C58" s="4" t="str">
        <f>'Bachelier Model'!K59</f>
        <v/>
      </c>
      <c r="D58" s="147">
        <v>4.0183049999999977E-2</v>
      </c>
      <c r="E58" s="148">
        <v>25000000</v>
      </c>
      <c r="F58" s="147">
        <v>0.05</v>
      </c>
      <c r="H58" s="95" t="str">
        <f>IF(G58="","",IF('Control Panel'!$C$3='Data Validation'!$J$2,Schedules!F58,IF(G58&lt;13,'Cap and Floor Pricer'!$D$28,IF(G58&lt;25,'Cap and Floor Pricer'!$D$29,IF(G58&lt;37,'Cap and Floor Pricer'!$D$30,IF(G58&lt;49,'Cap and Floor Pricer'!$D$31,IF(G58&lt;61,'Cap and Floor Pricer'!$D$32,IF(G58&lt;73,'Cap and Floor Pricer'!$D$33,IF(G58&lt;85,'Cap and Floor Pricer'!$D$34,"Cap Term Too Long")))))))))</f>
        <v/>
      </c>
    </row>
    <row r="59" spans="2:8" x14ac:dyDescent="0.25">
      <c r="B59" s="84" t="str">
        <f>'Bachelier Model'!J60</f>
        <v/>
      </c>
      <c r="C59" s="4" t="str">
        <f>'Bachelier Model'!K60</f>
        <v/>
      </c>
      <c r="D59" s="147">
        <v>4.0183049999999977E-2</v>
      </c>
      <c r="E59" s="148">
        <v>25000000</v>
      </c>
      <c r="F59" s="147">
        <v>0.05</v>
      </c>
      <c r="H59" s="95" t="str">
        <f>IF(G59="","",IF('Control Panel'!$C$3='Data Validation'!$J$2,Schedules!F59,IF(G59&lt;13,'Cap and Floor Pricer'!$D$28,IF(G59&lt;25,'Cap and Floor Pricer'!$D$29,IF(G59&lt;37,'Cap and Floor Pricer'!$D$30,IF(G59&lt;49,'Cap and Floor Pricer'!$D$31,IF(G59&lt;61,'Cap and Floor Pricer'!$D$32,IF(G59&lt;73,'Cap and Floor Pricer'!$D$33,IF(G59&lt;85,'Cap and Floor Pricer'!$D$34,"Cap Term Too Long")))))))))</f>
        <v/>
      </c>
    </row>
    <row r="60" spans="2:8" x14ac:dyDescent="0.25">
      <c r="B60" s="84" t="str">
        <f>'Bachelier Model'!J61</f>
        <v/>
      </c>
      <c r="C60" s="4" t="str">
        <f>'Bachelier Model'!K61</f>
        <v/>
      </c>
      <c r="D60" s="147">
        <v>4.0183049999999977E-2</v>
      </c>
      <c r="E60" s="148">
        <v>25000000</v>
      </c>
      <c r="F60" s="147">
        <v>0.05</v>
      </c>
      <c r="H60" s="95" t="str">
        <f>IF(G60="","",IF('Control Panel'!$C$3='Data Validation'!$J$2,Schedules!F60,IF(G60&lt;13,'Cap and Floor Pricer'!$D$28,IF(G60&lt;25,'Cap and Floor Pricer'!$D$29,IF(G60&lt;37,'Cap and Floor Pricer'!$D$30,IF(G60&lt;49,'Cap and Floor Pricer'!$D$31,IF(G60&lt;61,'Cap and Floor Pricer'!$D$32,IF(G60&lt;73,'Cap and Floor Pricer'!$D$33,IF(G60&lt;85,'Cap and Floor Pricer'!$D$34,"Cap Term Too Long")))))))))</f>
        <v/>
      </c>
    </row>
    <row r="61" spans="2:8" x14ac:dyDescent="0.25">
      <c r="B61" s="84" t="str">
        <f>'Bachelier Model'!J62</f>
        <v/>
      </c>
      <c r="C61" s="4" t="str">
        <f>'Bachelier Model'!K62</f>
        <v/>
      </c>
      <c r="D61" s="147">
        <v>4.0183049999999977E-2</v>
      </c>
      <c r="E61" s="148">
        <v>25000000</v>
      </c>
      <c r="F61" s="147">
        <v>0.05</v>
      </c>
      <c r="H61" s="95" t="str">
        <f>IF(G61="","",IF('Control Panel'!$C$3='Data Validation'!$J$2,Schedules!F61,IF(G61&lt;13,'Cap and Floor Pricer'!$D$28,IF(G61&lt;25,'Cap and Floor Pricer'!$D$29,IF(G61&lt;37,'Cap and Floor Pricer'!$D$30,IF(G61&lt;49,'Cap and Floor Pricer'!$D$31,IF(G61&lt;61,'Cap and Floor Pricer'!$D$32,IF(G61&lt;73,'Cap and Floor Pricer'!$D$33,IF(G61&lt;85,'Cap and Floor Pricer'!$D$34,"Cap Term Too Long")))))))))</f>
        <v/>
      </c>
    </row>
    <row r="62" spans="2:8" x14ac:dyDescent="0.25">
      <c r="B62" s="84" t="str">
        <f>'Bachelier Model'!J63</f>
        <v/>
      </c>
      <c r="C62" s="4" t="str">
        <f>'Bachelier Model'!K63</f>
        <v/>
      </c>
      <c r="D62" s="147">
        <v>4.0183049999999977E-2</v>
      </c>
      <c r="E62" s="148">
        <v>25000000</v>
      </c>
      <c r="F62" s="147">
        <v>0.05</v>
      </c>
      <c r="H62" s="95" t="str">
        <f>IF(G62="","",IF('Control Panel'!$C$3='Data Validation'!$J$2,Schedules!F62,IF(G62&lt;13,'Cap and Floor Pricer'!$D$28,IF(G62&lt;25,'Cap and Floor Pricer'!$D$29,IF(G62&lt;37,'Cap and Floor Pricer'!$D$30,IF(G62&lt;49,'Cap and Floor Pricer'!$D$31,IF(G62&lt;61,'Cap and Floor Pricer'!$D$32,IF(G62&lt;73,'Cap and Floor Pricer'!$D$33,IF(G62&lt;85,'Cap and Floor Pricer'!$D$34,"Cap Term Too Long")))))))))</f>
        <v/>
      </c>
    </row>
    <row r="63" spans="2:8" x14ac:dyDescent="0.25">
      <c r="B63" s="84" t="str">
        <f>'Bachelier Model'!J64</f>
        <v/>
      </c>
      <c r="C63" s="4" t="str">
        <f>'Bachelier Model'!K64</f>
        <v/>
      </c>
      <c r="D63" s="147">
        <v>4.0183049999999977E-2</v>
      </c>
      <c r="E63" s="148">
        <v>25000000</v>
      </c>
      <c r="F63" s="147">
        <v>0.05</v>
      </c>
      <c r="H63" s="95" t="str">
        <f>IF(G63="","",IF('Control Panel'!$C$3='Data Validation'!$J$2,Schedules!F63,IF(G63&lt;13,'Cap and Floor Pricer'!$D$28,IF(G63&lt;25,'Cap and Floor Pricer'!$D$29,IF(G63&lt;37,'Cap and Floor Pricer'!$D$30,IF(G63&lt;49,'Cap and Floor Pricer'!$D$31,IF(G63&lt;61,'Cap and Floor Pricer'!$D$32,IF(G63&lt;73,'Cap and Floor Pricer'!$D$33,IF(G63&lt;85,'Cap and Floor Pricer'!$D$34,"Cap Term Too Long")))))))))</f>
        <v/>
      </c>
    </row>
    <row r="64" spans="2:8" x14ac:dyDescent="0.25">
      <c r="B64" s="84" t="str">
        <f>'Bachelier Model'!J65</f>
        <v/>
      </c>
      <c r="C64" s="4" t="str">
        <f>'Bachelier Model'!K65</f>
        <v/>
      </c>
      <c r="D64" s="147">
        <v>4.0183049999999977E-2</v>
      </c>
      <c r="E64" s="148">
        <v>25000000</v>
      </c>
      <c r="F64" s="147">
        <v>0.05</v>
      </c>
      <c r="H64" s="95" t="str">
        <f>IF(G64="","",IF('Control Panel'!$C$3='Data Validation'!$J$2,Schedules!F64,IF(G64&lt;13,'Cap and Floor Pricer'!$D$28,IF(G64&lt;25,'Cap and Floor Pricer'!$D$29,IF(G64&lt;37,'Cap and Floor Pricer'!$D$30,IF(G64&lt;49,'Cap and Floor Pricer'!$D$31,IF(G64&lt;61,'Cap and Floor Pricer'!$D$32,IF(G64&lt;73,'Cap and Floor Pricer'!$D$33,IF(G64&lt;85,'Cap and Floor Pricer'!$D$34,"Cap Term Too Long")))))))))</f>
        <v/>
      </c>
    </row>
    <row r="65" spans="2:8" x14ac:dyDescent="0.25">
      <c r="B65" s="84" t="str">
        <f>'Bachelier Model'!J66</f>
        <v/>
      </c>
      <c r="C65" s="4" t="str">
        <f>'Bachelier Model'!K66</f>
        <v/>
      </c>
      <c r="D65" s="147">
        <v>4.0183049999999977E-2</v>
      </c>
      <c r="E65" s="148">
        <v>25000000</v>
      </c>
      <c r="F65" s="147">
        <v>0.05</v>
      </c>
      <c r="H65" s="95" t="str">
        <f>IF(G65="","",IF('Control Panel'!$C$3='Data Validation'!$J$2,Schedules!F65,IF(G65&lt;13,'Cap and Floor Pricer'!$D$28,IF(G65&lt;25,'Cap and Floor Pricer'!$D$29,IF(G65&lt;37,'Cap and Floor Pricer'!$D$30,IF(G65&lt;49,'Cap and Floor Pricer'!$D$31,IF(G65&lt;61,'Cap and Floor Pricer'!$D$32,IF(G65&lt;73,'Cap and Floor Pricer'!$D$33,IF(G65&lt;85,'Cap and Floor Pricer'!$D$34,"Cap Term Too Long")))))))))</f>
        <v/>
      </c>
    </row>
    <row r="66" spans="2:8" x14ac:dyDescent="0.25">
      <c r="B66" s="84" t="str">
        <f>'Bachelier Model'!J67</f>
        <v/>
      </c>
      <c r="C66" s="4" t="str">
        <f>'Bachelier Model'!K67</f>
        <v/>
      </c>
      <c r="D66" s="147">
        <v>4.0183049999999977E-2</v>
      </c>
      <c r="E66" s="148">
        <v>25000000</v>
      </c>
      <c r="F66" s="147">
        <v>0.05</v>
      </c>
      <c r="H66" s="95" t="str">
        <f>IF(G66="","",IF('Control Panel'!$C$3='Data Validation'!$J$2,Schedules!F66,IF(G66&lt;13,'Cap and Floor Pricer'!$D$28,IF(G66&lt;25,'Cap and Floor Pricer'!$D$29,IF(G66&lt;37,'Cap and Floor Pricer'!$D$30,IF(G66&lt;49,'Cap and Floor Pricer'!$D$31,IF(G66&lt;61,'Cap and Floor Pricer'!$D$32,IF(G66&lt;73,'Cap and Floor Pricer'!$D$33,IF(G66&lt;85,'Cap and Floor Pricer'!$D$34,"Cap Term Too Long")))))))))</f>
        <v/>
      </c>
    </row>
    <row r="67" spans="2:8" x14ac:dyDescent="0.25">
      <c r="B67" s="84" t="str">
        <f>'Bachelier Model'!J68</f>
        <v/>
      </c>
      <c r="C67" s="4" t="str">
        <f>'Bachelier Model'!K68</f>
        <v/>
      </c>
      <c r="D67" s="147">
        <v>4.0183049999999977E-2</v>
      </c>
      <c r="E67" s="148">
        <v>25000000</v>
      </c>
      <c r="F67" s="147">
        <v>0.05</v>
      </c>
      <c r="H67" s="95" t="str">
        <f>IF(G67="","",IF('Control Panel'!$C$3='Data Validation'!$J$2,Schedules!F67,IF(G67&lt;13,'Cap and Floor Pricer'!$D$28,IF(G67&lt;25,'Cap and Floor Pricer'!$D$29,IF(G67&lt;37,'Cap and Floor Pricer'!$D$30,IF(G67&lt;49,'Cap and Floor Pricer'!$D$31,IF(G67&lt;61,'Cap and Floor Pricer'!$D$32,IF(G67&lt;73,'Cap and Floor Pricer'!$D$33,IF(G67&lt;85,'Cap and Floor Pricer'!$D$34,"Cap Term Too Long")))))))))</f>
        <v/>
      </c>
    </row>
    <row r="68" spans="2:8" x14ac:dyDescent="0.25">
      <c r="B68" s="84" t="str">
        <f>'Bachelier Model'!J69</f>
        <v/>
      </c>
      <c r="C68" s="4" t="str">
        <f>'Bachelier Model'!K69</f>
        <v/>
      </c>
      <c r="D68" s="147">
        <v>4.0183049999999977E-2</v>
      </c>
      <c r="E68" s="148">
        <v>25000000</v>
      </c>
      <c r="F68" s="147">
        <v>0.05</v>
      </c>
      <c r="H68" s="95" t="str">
        <f>IF(G68="","",IF('Control Panel'!$C$3='Data Validation'!$J$2,Schedules!F68,IF(G68&lt;13,'Cap and Floor Pricer'!$D$28,IF(G68&lt;25,'Cap and Floor Pricer'!$D$29,IF(G68&lt;37,'Cap and Floor Pricer'!$D$30,IF(G68&lt;49,'Cap and Floor Pricer'!$D$31,IF(G68&lt;61,'Cap and Floor Pricer'!$D$32,IF(G68&lt;73,'Cap and Floor Pricer'!$D$33,IF(G68&lt;85,'Cap and Floor Pricer'!$D$34,"Cap Term Too Long")))))))))</f>
        <v/>
      </c>
    </row>
    <row r="69" spans="2:8" x14ac:dyDescent="0.25">
      <c r="B69" s="84" t="str">
        <f>'Bachelier Model'!J70</f>
        <v/>
      </c>
      <c r="C69" s="4" t="str">
        <f>'Bachelier Model'!K70</f>
        <v/>
      </c>
      <c r="D69" s="147">
        <v>4.0183049999999977E-2</v>
      </c>
      <c r="E69" s="148">
        <v>25000000</v>
      </c>
      <c r="F69" s="147">
        <v>0.05</v>
      </c>
      <c r="H69" s="95" t="str">
        <f>IF(G69="","",IF('Control Panel'!$C$3='Data Validation'!$J$2,Schedules!F69,IF(G69&lt;13,'Cap and Floor Pricer'!$D$28,IF(G69&lt;25,'Cap and Floor Pricer'!$D$29,IF(G69&lt;37,'Cap and Floor Pricer'!$D$30,IF(G69&lt;49,'Cap and Floor Pricer'!$D$31,IF(G69&lt;61,'Cap and Floor Pricer'!$D$32,IF(G69&lt;73,'Cap and Floor Pricer'!$D$33,IF(G69&lt;85,'Cap and Floor Pricer'!$D$34,"Cap Term Too Long")))))))))</f>
        <v/>
      </c>
    </row>
    <row r="70" spans="2:8" x14ac:dyDescent="0.25">
      <c r="B70" s="84" t="str">
        <f>'Bachelier Model'!J71</f>
        <v/>
      </c>
      <c r="C70" s="4" t="str">
        <f>'Bachelier Model'!K71</f>
        <v/>
      </c>
      <c r="D70" s="147">
        <v>4.0183049999999977E-2</v>
      </c>
      <c r="E70" s="148">
        <v>25000000</v>
      </c>
      <c r="F70" s="147">
        <v>0.05</v>
      </c>
      <c r="H70" s="95" t="str">
        <f>IF(G70="","",IF('Control Panel'!$C$3='Data Validation'!$J$2,Schedules!F70,IF(G70&lt;13,'Cap and Floor Pricer'!$D$28,IF(G70&lt;25,'Cap and Floor Pricer'!$D$29,IF(G70&lt;37,'Cap and Floor Pricer'!$D$30,IF(G70&lt;49,'Cap and Floor Pricer'!$D$31,IF(G70&lt;61,'Cap and Floor Pricer'!$D$32,IF(G70&lt;73,'Cap and Floor Pricer'!$D$33,IF(G70&lt;85,'Cap and Floor Pricer'!$D$34,"Cap Term Too Long")))))))))</f>
        <v/>
      </c>
    </row>
    <row r="71" spans="2:8" x14ac:dyDescent="0.25">
      <c r="B71" s="84" t="str">
        <f>'Bachelier Model'!J72</f>
        <v/>
      </c>
      <c r="C71" s="4" t="str">
        <f>'Bachelier Model'!K72</f>
        <v/>
      </c>
      <c r="D71" s="147">
        <v>4.0183049999999977E-2</v>
      </c>
      <c r="E71" s="148">
        <v>25000000</v>
      </c>
      <c r="F71" s="147">
        <v>0.05</v>
      </c>
      <c r="H71" s="95" t="str">
        <f>IF(G71="","",IF('Control Panel'!$C$3='Data Validation'!$J$2,Schedules!F71,IF(G71&lt;13,'Cap and Floor Pricer'!$D$28,IF(G71&lt;25,'Cap and Floor Pricer'!$D$29,IF(G71&lt;37,'Cap and Floor Pricer'!$D$30,IF(G71&lt;49,'Cap and Floor Pricer'!$D$31,IF(G71&lt;61,'Cap and Floor Pricer'!$D$32,IF(G71&lt;73,'Cap and Floor Pricer'!$D$33,IF(G71&lt;85,'Cap and Floor Pricer'!$D$34,"Cap Term Too Long")))))))))</f>
        <v/>
      </c>
    </row>
    <row r="72" spans="2:8" x14ac:dyDescent="0.25">
      <c r="B72" s="84" t="str">
        <f>'Bachelier Model'!J73</f>
        <v/>
      </c>
      <c r="C72" s="4" t="str">
        <f>'Bachelier Model'!K73</f>
        <v/>
      </c>
      <c r="D72" s="147">
        <v>4.0183049999999977E-2</v>
      </c>
      <c r="E72" s="148">
        <v>25000000</v>
      </c>
      <c r="F72" s="147">
        <v>0.05</v>
      </c>
      <c r="H72" s="95" t="str">
        <f>IF(G72="","",IF('Control Panel'!$C$3='Data Validation'!$J$2,Schedules!F72,IF(G72&lt;13,'Cap and Floor Pricer'!$D$28,IF(G72&lt;25,'Cap and Floor Pricer'!$D$29,IF(G72&lt;37,'Cap and Floor Pricer'!$D$30,IF(G72&lt;49,'Cap and Floor Pricer'!$D$31,IF(G72&lt;61,'Cap and Floor Pricer'!$D$32,IF(G72&lt;73,'Cap and Floor Pricer'!$D$33,IF(G72&lt;85,'Cap and Floor Pricer'!$D$34,"Cap Term Too Long")))))))))</f>
        <v/>
      </c>
    </row>
    <row r="73" spans="2:8" x14ac:dyDescent="0.25">
      <c r="B73" s="84" t="str">
        <f>'Bachelier Model'!J74</f>
        <v/>
      </c>
      <c r="C73" s="4" t="str">
        <f>'Bachelier Model'!K74</f>
        <v/>
      </c>
      <c r="D73" s="147">
        <v>4.0183049999999977E-2</v>
      </c>
      <c r="E73" s="148">
        <v>25000000</v>
      </c>
      <c r="F73" s="147">
        <v>0.05</v>
      </c>
      <c r="H73" s="95" t="str">
        <f>IF(G73="","",IF('Control Panel'!$C$3='Data Validation'!$J$2,Schedules!F73,IF(G73&lt;13,'Cap and Floor Pricer'!$D$28,IF(G73&lt;25,'Cap and Floor Pricer'!$D$29,IF(G73&lt;37,'Cap and Floor Pricer'!$D$30,IF(G73&lt;49,'Cap and Floor Pricer'!$D$31,IF(G73&lt;61,'Cap and Floor Pricer'!$D$32,IF(G73&lt;73,'Cap and Floor Pricer'!$D$33,IF(G73&lt;85,'Cap and Floor Pricer'!$D$34,"Cap Term Too Long")))))))))</f>
        <v/>
      </c>
    </row>
    <row r="74" spans="2:8" x14ac:dyDescent="0.25">
      <c r="B74" s="84" t="str">
        <f>'Bachelier Model'!J75</f>
        <v/>
      </c>
      <c r="C74" s="4" t="str">
        <f>'Bachelier Model'!K75</f>
        <v/>
      </c>
      <c r="D74" s="147">
        <v>4.0183049999999977E-2</v>
      </c>
      <c r="E74" s="148">
        <v>25000000</v>
      </c>
      <c r="F74" s="147">
        <v>0.05</v>
      </c>
      <c r="H74" s="95" t="str">
        <f>IF(G74="","",IF('Control Panel'!$C$3='Data Validation'!$J$2,Schedules!F74,IF(G74&lt;13,'Cap and Floor Pricer'!$D$28,IF(G74&lt;25,'Cap and Floor Pricer'!$D$29,IF(G74&lt;37,'Cap and Floor Pricer'!$D$30,IF(G74&lt;49,'Cap and Floor Pricer'!$D$31,IF(G74&lt;61,'Cap and Floor Pricer'!$D$32,IF(G74&lt;73,'Cap and Floor Pricer'!$D$33,IF(G74&lt;85,'Cap and Floor Pricer'!$D$34,"Cap Term Too Long")))))))))</f>
        <v/>
      </c>
    </row>
    <row r="75" spans="2:8" x14ac:dyDescent="0.25">
      <c r="B75" s="84" t="str">
        <f>'Bachelier Model'!J76</f>
        <v/>
      </c>
      <c r="C75" s="4" t="str">
        <f>'Bachelier Model'!K76</f>
        <v/>
      </c>
      <c r="D75" s="147">
        <v>4.0183049999999977E-2</v>
      </c>
      <c r="E75" s="148">
        <v>25000000</v>
      </c>
      <c r="F75" s="147">
        <v>0.05</v>
      </c>
      <c r="H75" s="95" t="str">
        <f>IF(G75="","",IF('Control Panel'!$C$3='Data Validation'!$J$2,Schedules!F75,IF(G75&lt;13,'Cap and Floor Pricer'!$D$28,IF(G75&lt;25,'Cap and Floor Pricer'!$D$29,IF(G75&lt;37,'Cap and Floor Pricer'!$D$30,IF(G75&lt;49,'Cap and Floor Pricer'!$D$31,IF(G75&lt;61,'Cap and Floor Pricer'!$D$32,IF(G75&lt;73,'Cap and Floor Pricer'!$D$33,IF(G75&lt;85,'Cap and Floor Pricer'!$D$34,"Cap Term Too Long")))))))))</f>
        <v/>
      </c>
    </row>
    <row r="76" spans="2:8" x14ac:dyDescent="0.25">
      <c r="B76" s="84" t="str">
        <f>'Bachelier Model'!J77</f>
        <v/>
      </c>
      <c r="C76" s="4" t="str">
        <f>'Bachelier Model'!K77</f>
        <v/>
      </c>
      <c r="D76" s="147">
        <v>4.0183049999999977E-2</v>
      </c>
      <c r="E76" s="148">
        <v>25000000</v>
      </c>
      <c r="F76" s="147">
        <v>0.05</v>
      </c>
      <c r="H76" s="95" t="str">
        <f>IF(G76="","",IF('Control Panel'!$C$3='Data Validation'!$J$2,Schedules!F76,IF(G76&lt;13,'Cap and Floor Pricer'!$D$28,IF(G76&lt;25,'Cap and Floor Pricer'!$D$29,IF(G76&lt;37,'Cap and Floor Pricer'!$D$30,IF(G76&lt;49,'Cap and Floor Pricer'!$D$31,IF(G76&lt;61,'Cap and Floor Pricer'!$D$32,IF(G76&lt;73,'Cap and Floor Pricer'!$D$33,IF(G76&lt;85,'Cap and Floor Pricer'!$D$34,"Cap Term Too Long")))))))))</f>
        <v/>
      </c>
    </row>
    <row r="77" spans="2:8" x14ac:dyDescent="0.25">
      <c r="B77" s="84" t="str">
        <f>'Bachelier Model'!J78</f>
        <v/>
      </c>
      <c r="C77" s="4" t="str">
        <f>'Bachelier Model'!K78</f>
        <v/>
      </c>
      <c r="D77" s="147">
        <v>4.0183049999999977E-2</v>
      </c>
      <c r="E77" s="148">
        <v>25000000</v>
      </c>
      <c r="F77" s="147">
        <v>0.05</v>
      </c>
      <c r="H77" s="95" t="str">
        <f>IF(G77="","",IF('Control Panel'!$C$3='Data Validation'!$J$2,Schedules!F77,IF(G77&lt;13,'Cap and Floor Pricer'!$D$28,IF(G77&lt;25,'Cap and Floor Pricer'!$D$29,IF(G77&lt;37,'Cap and Floor Pricer'!$D$30,IF(G77&lt;49,'Cap and Floor Pricer'!$D$31,IF(G77&lt;61,'Cap and Floor Pricer'!$D$32,IF(G77&lt;73,'Cap and Floor Pricer'!$D$33,IF(G77&lt;85,'Cap and Floor Pricer'!$D$34,"Cap Term Too Long")))))))))</f>
        <v/>
      </c>
    </row>
    <row r="78" spans="2:8" x14ac:dyDescent="0.25">
      <c r="B78" s="84" t="str">
        <f>'Bachelier Model'!J79</f>
        <v/>
      </c>
      <c r="C78" s="4" t="str">
        <f>'Bachelier Model'!K79</f>
        <v/>
      </c>
      <c r="D78" s="147">
        <v>4.0183049999999977E-2</v>
      </c>
      <c r="E78" s="148">
        <v>25000000</v>
      </c>
      <c r="F78" s="147">
        <v>0.05</v>
      </c>
      <c r="H78" s="95" t="str">
        <f>IF(G78="","",IF('Control Panel'!$C$3='Data Validation'!$J$2,Schedules!F78,IF(G78&lt;13,'Cap and Floor Pricer'!$D$28,IF(G78&lt;25,'Cap and Floor Pricer'!$D$29,IF(G78&lt;37,'Cap and Floor Pricer'!$D$30,IF(G78&lt;49,'Cap and Floor Pricer'!$D$31,IF(G78&lt;61,'Cap and Floor Pricer'!$D$32,IF(G78&lt;73,'Cap and Floor Pricer'!$D$33,IF(G78&lt;85,'Cap and Floor Pricer'!$D$34,"Cap Term Too Long")))))))))</f>
        <v/>
      </c>
    </row>
    <row r="79" spans="2:8" x14ac:dyDescent="0.25">
      <c r="B79" s="84" t="str">
        <f>'Bachelier Model'!J80</f>
        <v/>
      </c>
      <c r="C79" s="4" t="str">
        <f>'Bachelier Model'!K80</f>
        <v/>
      </c>
      <c r="D79" s="147">
        <v>4.0183049999999977E-2</v>
      </c>
      <c r="E79" s="148">
        <v>25000000</v>
      </c>
      <c r="F79" s="147">
        <v>0.05</v>
      </c>
      <c r="H79" s="95" t="str">
        <f>IF(G79="","",IF('Control Panel'!$C$3='Data Validation'!$J$2,Schedules!F79,IF(G79&lt;13,'Cap and Floor Pricer'!$D$28,IF(G79&lt;25,'Cap and Floor Pricer'!$D$29,IF(G79&lt;37,'Cap and Floor Pricer'!$D$30,IF(G79&lt;49,'Cap and Floor Pricer'!$D$31,IF(G79&lt;61,'Cap and Floor Pricer'!$D$32,IF(G79&lt;73,'Cap and Floor Pricer'!$D$33,IF(G79&lt;85,'Cap and Floor Pricer'!$D$34,"Cap Term Too Long")))))))))</f>
        <v/>
      </c>
    </row>
    <row r="80" spans="2:8" x14ac:dyDescent="0.25">
      <c r="B80" s="84" t="str">
        <f>'Bachelier Model'!J81</f>
        <v/>
      </c>
      <c r="C80" s="4" t="str">
        <f>'Bachelier Model'!K81</f>
        <v/>
      </c>
      <c r="D80" s="147">
        <v>4.0183049999999977E-2</v>
      </c>
      <c r="E80" s="148">
        <v>25000000</v>
      </c>
      <c r="F80" s="147">
        <v>0.05</v>
      </c>
      <c r="H80" s="95" t="str">
        <f>IF(G80="","",IF('Control Panel'!$C$3='Data Validation'!$J$2,Schedules!F80,IF(G80&lt;13,'Cap and Floor Pricer'!$D$28,IF(G80&lt;25,'Cap and Floor Pricer'!$D$29,IF(G80&lt;37,'Cap and Floor Pricer'!$D$30,IF(G80&lt;49,'Cap and Floor Pricer'!$D$31,IF(G80&lt;61,'Cap and Floor Pricer'!$D$32,IF(G80&lt;73,'Cap and Floor Pricer'!$D$33,IF(G80&lt;85,'Cap and Floor Pricer'!$D$34,"Cap Term Too Long")))))))))</f>
        <v/>
      </c>
    </row>
    <row r="81" spans="2:8" x14ac:dyDescent="0.25">
      <c r="B81" s="84" t="str">
        <f>'Bachelier Model'!J82</f>
        <v/>
      </c>
      <c r="C81" s="4" t="str">
        <f>'Bachelier Model'!K82</f>
        <v/>
      </c>
      <c r="D81" s="147">
        <v>4.0183049999999977E-2</v>
      </c>
      <c r="E81" s="148">
        <v>25000000</v>
      </c>
      <c r="F81" s="147">
        <v>0.05</v>
      </c>
      <c r="H81" s="95" t="str">
        <f>IF(G81="","",IF('Control Panel'!$C$3='Data Validation'!$J$2,Schedules!F81,IF(G81&lt;13,'Cap and Floor Pricer'!$D$28,IF(G81&lt;25,'Cap and Floor Pricer'!$D$29,IF(G81&lt;37,'Cap and Floor Pricer'!$D$30,IF(G81&lt;49,'Cap and Floor Pricer'!$D$31,IF(G81&lt;61,'Cap and Floor Pricer'!$D$32,IF(G81&lt;73,'Cap and Floor Pricer'!$D$33,IF(G81&lt;85,'Cap and Floor Pricer'!$D$34,"Cap Term Too Long")))))))))</f>
        <v/>
      </c>
    </row>
    <row r="82" spans="2:8" x14ac:dyDescent="0.25">
      <c r="B82" s="84" t="str">
        <f>'Bachelier Model'!J83</f>
        <v/>
      </c>
      <c r="C82" s="4" t="str">
        <f>'Bachelier Model'!K83</f>
        <v/>
      </c>
      <c r="D82" s="147">
        <v>4.0183049999999977E-2</v>
      </c>
      <c r="E82" s="148">
        <v>25000000</v>
      </c>
      <c r="F82" s="147">
        <v>0.05</v>
      </c>
      <c r="H82" s="95" t="str">
        <f>IF(G82="","",IF('Control Panel'!$C$3='Data Validation'!$J$2,Schedules!F82,IF(G82&lt;13,'Cap and Floor Pricer'!$D$28,IF(G82&lt;25,'Cap and Floor Pricer'!$D$29,IF(G82&lt;37,'Cap and Floor Pricer'!$D$30,IF(G82&lt;49,'Cap and Floor Pricer'!$D$31,IF(G82&lt;61,'Cap and Floor Pricer'!$D$32,IF(G82&lt;73,'Cap and Floor Pricer'!$D$33,IF(G82&lt;85,'Cap and Floor Pricer'!$D$34,"Cap Term Too Long")))))))))</f>
        <v/>
      </c>
    </row>
    <row r="83" spans="2:8" x14ac:dyDescent="0.25">
      <c r="B83" s="84" t="str">
        <f>'Bachelier Model'!J84</f>
        <v/>
      </c>
      <c r="C83" s="4" t="str">
        <f>'Bachelier Model'!K84</f>
        <v/>
      </c>
      <c r="D83" s="147">
        <v>4.0183049999999977E-2</v>
      </c>
      <c r="E83" s="148">
        <v>25000000</v>
      </c>
      <c r="F83" s="147">
        <v>0.05</v>
      </c>
      <c r="H83" s="95" t="str">
        <f>IF(G83="","",IF('Control Panel'!$C$3='Data Validation'!$J$2,Schedules!F83,IF(G83&lt;13,'Cap and Floor Pricer'!$D$28,IF(G83&lt;25,'Cap and Floor Pricer'!$D$29,IF(G83&lt;37,'Cap and Floor Pricer'!$D$30,IF(G83&lt;49,'Cap and Floor Pricer'!$D$31,IF(G83&lt;61,'Cap and Floor Pricer'!$D$32,IF(G83&lt;73,'Cap and Floor Pricer'!$D$33,IF(G83&lt;85,'Cap and Floor Pricer'!$D$34,"Cap Term Too Long")))))))))</f>
        <v/>
      </c>
    </row>
    <row r="84" spans="2:8" x14ac:dyDescent="0.25">
      <c r="B84" s="84" t="str">
        <f>'Bachelier Model'!J85</f>
        <v/>
      </c>
      <c r="C84" s="4" t="str">
        <f>'Bachelier Model'!K85</f>
        <v/>
      </c>
      <c r="D84" s="147">
        <v>4.0183049999999977E-2</v>
      </c>
      <c r="E84" s="148">
        <v>25000000</v>
      </c>
      <c r="F84" s="147">
        <v>0.05</v>
      </c>
      <c r="H84" s="95" t="str">
        <f>IF(G84="","",IF('Control Panel'!$C$3='Data Validation'!$J$2,Schedules!F84,IF(G84&lt;13,'Cap and Floor Pricer'!$D$28,IF(G84&lt;25,'Cap and Floor Pricer'!$D$29,IF(G84&lt;37,'Cap and Floor Pricer'!$D$30,IF(G84&lt;49,'Cap and Floor Pricer'!$D$31,IF(G84&lt;61,'Cap and Floor Pricer'!$D$32,IF(G84&lt;73,'Cap and Floor Pricer'!$D$33,IF(G84&lt;85,'Cap and Floor Pricer'!$D$34,"Cap Term Too Long")))))))))</f>
        <v/>
      </c>
    </row>
    <row r="85" spans="2:8" x14ac:dyDescent="0.25">
      <c r="B85" s="84" t="str">
        <f>'Bachelier Model'!J86</f>
        <v/>
      </c>
      <c r="C85" s="4" t="str">
        <f>'Bachelier Model'!K86</f>
        <v/>
      </c>
      <c r="D85" s="147">
        <v>4.0183049999999977E-2</v>
      </c>
      <c r="E85" s="148">
        <v>25000000</v>
      </c>
      <c r="F85" s="147">
        <v>0.05</v>
      </c>
      <c r="H85" s="95" t="str">
        <f>IF(G85="","",IF('Control Panel'!$C$3='Data Validation'!$J$2,Schedules!F85,IF(G85&lt;13,'Cap and Floor Pricer'!$D$28,IF(G85&lt;25,'Cap and Floor Pricer'!$D$29,IF(G85&lt;37,'Cap and Floor Pricer'!$D$30,IF(G85&lt;49,'Cap and Floor Pricer'!$D$31,IF(G85&lt;61,'Cap and Floor Pricer'!$D$32,IF(G85&lt;73,'Cap and Floor Pricer'!$D$33,IF(G85&lt;85,'Cap and Floor Pricer'!$D$34,"Cap Term Too Long")))))))))</f>
        <v/>
      </c>
    </row>
    <row r="86" spans="2:8" x14ac:dyDescent="0.25">
      <c r="B86" s="84" t="str">
        <f>'Bachelier Model'!J87</f>
        <v/>
      </c>
      <c r="C86" s="4" t="str">
        <f>'Bachelier Model'!K87</f>
        <v/>
      </c>
      <c r="D86" s="147">
        <v>4.0183049999999977E-2</v>
      </c>
      <c r="E86" s="148">
        <v>25000000</v>
      </c>
      <c r="F86" s="147">
        <v>0.05</v>
      </c>
      <c r="H86" s="95" t="str">
        <f>IF(G86="","",IF('Control Panel'!$C$3='Data Validation'!$J$2,Schedules!F86,IF(G86&lt;13,'Cap and Floor Pricer'!$D$28,IF(G86&lt;25,'Cap and Floor Pricer'!$D$29,IF(G86&lt;37,'Cap and Floor Pricer'!$D$30,IF(G86&lt;49,'Cap and Floor Pricer'!$D$31,IF(G86&lt;61,'Cap and Floor Pricer'!$D$32,IF(G86&lt;73,'Cap and Floor Pricer'!$D$33,IF(G86&lt;85,'Cap and Floor Pricer'!$D$34,"Cap Term Too Long")))))))))</f>
        <v/>
      </c>
    </row>
    <row r="87" spans="2:8" x14ac:dyDescent="0.25">
      <c r="B87" s="84" t="str">
        <f>'Bachelier Model'!J88</f>
        <v/>
      </c>
      <c r="C87" s="4" t="str">
        <f>'Bachelier Model'!K88</f>
        <v/>
      </c>
      <c r="D87" s="147">
        <v>4.0183049999999977E-2</v>
      </c>
      <c r="E87" s="148">
        <v>25000000</v>
      </c>
      <c r="F87" s="147">
        <v>0.05</v>
      </c>
      <c r="H87" s="95" t="str">
        <f>IF(G87="","",IF('Control Panel'!$C$3='Data Validation'!$J$2,Schedules!F87,IF(G87&lt;13,'Cap and Floor Pricer'!$D$28,IF(G87&lt;25,'Cap and Floor Pricer'!$D$29,IF(G87&lt;37,'Cap and Floor Pricer'!$D$30,IF(G87&lt;49,'Cap and Floor Pricer'!$D$31,IF(G87&lt;61,'Cap and Floor Pricer'!$D$32,IF(G87&lt;73,'Cap and Floor Pricer'!$D$33,IF(G87&lt;85,'Cap and Floor Pricer'!$D$34,"Cap Term Too Long")))))))))</f>
        <v/>
      </c>
    </row>
    <row r="88" spans="2:8" x14ac:dyDescent="0.25">
      <c r="B88" s="84" t="str">
        <f>'Bachelier Model'!J89</f>
        <v/>
      </c>
      <c r="C88" s="4" t="str">
        <f>'Bachelier Model'!K89</f>
        <v/>
      </c>
      <c r="D88" s="147">
        <v>4.0183049999999977E-2</v>
      </c>
      <c r="E88" s="148">
        <v>25000000</v>
      </c>
      <c r="F88" s="147">
        <v>0.05</v>
      </c>
      <c r="H88" s="95" t="str">
        <f>IF(G88="","",IF('Control Panel'!$C$3='Data Validation'!$J$2,Schedules!F88,IF(G88&lt;13,'Cap and Floor Pricer'!$D$28,IF(G88&lt;25,'Cap and Floor Pricer'!$D$29,IF(G88&lt;37,'Cap and Floor Pricer'!$D$30,IF(G88&lt;49,'Cap and Floor Pricer'!$D$31,IF(G88&lt;61,'Cap and Floor Pricer'!$D$32,IF(G88&lt;73,'Cap and Floor Pricer'!$D$33,IF(G88&lt;85,'Cap and Floor Pricer'!$D$34,"Cap Term Too Long")))))))))</f>
        <v/>
      </c>
    </row>
    <row r="89" spans="2:8" x14ac:dyDescent="0.25">
      <c r="B89" s="84" t="str">
        <f>'Bachelier Model'!J90</f>
        <v/>
      </c>
      <c r="C89" s="4" t="str">
        <f>'Bachelier Model'!K90</f>
        <v/>
      </c>
      <c r="D89" s="147">
        <v>4.0183049999999977E-2</v>
      </c>
      <c r="E89" s="148">
        <v>25000000</v>
      </c>
      <c r="F89" s="147">
        <v>0.05</v>
      </c>
      <c r="H89" s="95" t="str">
        <f>IF(G89="","",IF('Control Panel'!$C$3='Data Validation'!$J$2,Schedules!F89,IF(G89&lt;13,'Cap and Floor Pricer'!$D$28,IF(G89&lt;25,'Cap and Floor Pricer'!$D$29,IF(G89&lt;37,'Cap and Floor Pricer'!$D$30,IF(G89&lt;49,'Cap and Floor Pricer'!$D$31,IF(G89&lt;61,'Cap and Floor Pricer'!$D$32,IF(G89&lt;73,'Cap and Floor Pricer'!$D$33,IF(G89&lt;85,'Cap and Floor Pricer'!$D$34,"Cap Term Too Long")))))))))</f>
        <v/>
      </c>
    </row>
    <row r="90" spans="2:8" x14ac:dyDescent="0.25">
      <c r="B90" s="84" t="str">
        <f>'Bachelier Model'!J91</f>
        <v/>
      </c>
      <c r="C90" s="4" t="str">
        <f>'Bachelier Model'!K91</f>
        <v/>
      </c>
      <c r="D90" s="147">
        <v>4.0183049999999977E-2</v>
      </c>
      <c r="E90" s="148">
        <v>25000000</v>
      </c>
      <c r="F90" s="147">
        <v>0.05</v>
      </c>
      <c r="H90" s="95" t="str">
        <f>IF(G90="","",IF('Control Panel'!$C$3='Data Validation'!$J$2,Schedules!F90,IF(G90&lt;13,'Cap and Floor Pricer'!$D$28,IF(G90&lt;25,'Cap and Floor Pricer'!$D$29,IF(G90&lt;37,'Cap and Floor Pricer'!$D$30,IF(G90&lt;49,'Cap and Floor Pricer'!$D$31,IF(G90&lt;61,'Cap and Floor Pricer'!$D$32,IF(G90&lt;73,'Cap and Floor Pricer'!$D$33,IF(G90&lt;85,'Cap and Floor Pricer'!$D$34,"Cap Term Too Long")))))))))</f>
        <v/>
      </c>
    </row>
    <row r="91" spans="2:8" x14ac:dyDescent="0.25">
      <c r="B91" s="84" t="str">
        <f>'Bachelier Model'!J92</f>
        <v/>
      </c>
      <c r="C91" s="4" t="str">
        <f>'Bachelier Model'!K92</f>
        <v/>
      </c>
      <c r="D91" s="147">
        <v>4.0183049999999977E-2</v>
      </c>
      <c r="E91" s="148">
        <v>25000000</v>
      </c>
      <c r="F91" s="147">
        <v>0.05</v>
      </c>
      <c r="H91" s="95" t="str">
        <f>IF(G91="","",IF('Control Panel'!$C$3='Data Validation'!$J$2,Schedules!F91,IF(G91&lt;13,'Cap and Floor Pricer'!$D$28,IF(G91&lt;25,'Cap and Floor Pricer'!$D$29,IF(G91&lt;37,'Cap and Floor Pricer'!$D$30,IF(G91&lt;49,'Cap and Floor Pricer'!$D$31,IF(G91&lt;61,'Cap and Floor Pricer'!$D$32,IF(G91&lt;73,'Cap and Floor Pricer'!$D$33,IF(G91&lt;85,'Cap and Floor Pricer'!$D$34,"Cap Term Too Long")))))))))</f>
        <v/>
      </c>
    </row>
    <row r="92" spans="2:8" x14ac:dyDescent="0.25">
      <c r="B92" s="84" t="str">
        <f>'Bachelier Model'!J93</f>
        <v/>
      </c>
      <c r="C92" s="4" t="str">
        <f>'Bachelier Model'!K93</f>
        <v/>
      </c>
      <c r="D92" s="147">
        <v>4.0183049999999977E-2</v>
      </c>
      <c r="E92" s="148">
        <v>25000000</v>
      </c>
      <c r="F92" s="147">
        <v>0.05</v>
      </c>
      <c r="H92" s="95" t="str">
        <f>IF(G92="","",IF('Control Panel'!$C$3='Data Validation'!$J$2,Schedules!F92,IF(G92&lt;13,'Cap and Floor Pricer'!$D$28,IF(G92&lt;25,'Cap and Floor Pricer'!$D$29,IF(G92&lt;37,'Cap and Floor Pricer'!$D$30,IF(G92&lt;49,'Cap and Floor Pricer'!$D$31,IF(G92&lt;61,'Cap and Floor Pricer'!$D$32,IF(G92&lt;73,'Cap and Floor Pricer'!$D$33,IF(G92&lt;85,'Cap and Floor Pricer'!$D$34,"Cap Term Too Long")))))))))</f>
        <v/>
      </c>
    </row>
    <row r="93" spans="2:8" x14ac:dyDescent="0.25">
      <c r="B93" s="84" t="str">
        <f>'Bachelier Model'!J94</f>
        <v/>
      </c>
      <c r="C93" s="4" t="str">
        <f>'Bachelier Model'!K94</f>
        <v/>
      </c>
      <c r="D93" s="147">
        <v>4.0183049999999977E-2</v>
      </c>
      <c r="E93" s="148">
        <v>25000000</v>
      </c>
      <c r="F93" s="147">
        <v>0.05</v>
      </c>
      <c r="H93" s="95" t="str">
        <f>IF(G93="","",IF('Control Panel'!$C$3='Data Validation'!$J$2,Schedules!F93,IF(G93&lt;13,'Cap and Floor Pricer'!$D$28,IF(G93&lt;25,'Cap and Floor Pricer'!$D$29,IF(G93&lt;37,'Cap and Floor Pricer'!$D$30,IF(G93&lt;49,'Cap and Floor Pricer'!$D$31,IF(G93&lt;61,'Cap and Floor Pricer'!$D$32,IF(G93&lt;73,'Cap and Floor Pricer'!$D$33,IF(G93&lt;85,'Cap and Floor Pricer'!$D$34,"Cap Term Too Long")))))))))</f>
        <v/>
      </c>
    </row>
    <row r="94" spans="2:8" x14ac:dyDescent="0.25">
      <c r="B94" s="84" t="str">
        <f>'Bachelier Model'!J95</f>
        <v/>
      </c>
      <c r="C94" s="4" t="str">
        <f>'Bachelier Model'!K95</f>
        <v/>
      </c>
      <c r="D94" s="147">
        <v>4.0183049999999977E-2</v>
      </c>
      <c r="E94" s="148">
        <v>25000000</v>
      </c>
      <c r="F94" s="147">
        <v>0.05</v>
      </c>
      <c r="H94" s="95" t="str">
        <f>IF(G94="","",IF('Control Panel'!$C$3='Data Validation'!$J$2,Schedules!F94,IF(G94&lt;13,'Cap and Floor Pricer'!$D$28,IF(G94&lt;25,'Cap and Floor Pricer'!$D$29,IF(G94&lt;37,'Cap and Floor Pricer'!$D$30,IF(G94&lt;49,'Cap and Floor Pricer'!$D$31,IF(G94&lt;61,'Cap and Floor Pricer'!$D$32,IF(G94&lt;73,'Cap and Floor Pricer'!$D$33,IF(G94&lt;85,'Cap and Floor Pricer'!$D$34,"Cap Term Too Long")))))))))</f>
        <v/>
      </c>
    </row>
    <row r="95" spans="2:8" x14ac:dyDescent="0.25">
      <c r="B95" s="84" t="str">
        <f>'Bachelier Model'!J96</f>
        <v/>
      </c>
      <c r="C95" s="4" t="str">
        <f>'Bachelier Model'!K96</f>
        <v/>
      </c>
      <c r="D95" s="147">
        <v>4.0183049999999977E-2</v>
      </c>
      <c r="E95" s="148">
        <v>25000000</v>
      </c>
      <c r="F95" s="147">
        <v>0.05</v>
      </c>
      <c r="H95" s="95" t="str">
        <f>IF(G95="","",IF('Control Panel'!$C$3='Data Validation'!$J$2,Schedules!F95,IF(G95&lt;13,'Cap and Floor Pricer'!$D$28,IF(G95&lt;25,'Cap and Floor Pricer'!$D$29,IF(G95&lt;37,'Cap and Floor Pricer'!$D$30,IF(G95&lt;49,'Cap and Floor Pricer'!$D$31,IF(G95&lt;61,'Cap and Floor Pricer'!$D$32,IF(G95&lt;73,'Cap and Floor Pricer'!$D$33,IF(G95&lt;85,'Cap and Floor Pricer'!$D$34,"Cap Term Too Long")))))))))</f>
        <v/>
      </c>
    </row>
    <row r="96" spans="2:8" x14ac:dyDescent="0.25">
      <c r="B96" s="84" t="str">
        <f>'Bachelier Model'!J97</f>
        <v/>
      </c>
      <c r="C96" s="4" t="str">
        <f>'Bachelier Model'!K97</f>
        <v/>
      </c>
      <c r="D96" s="147">
        <v>4.0183049999999977E-2</v>
      </c>
      <c r="E96" s="148">
        <v>25000000</v>
      </c>
      <c r="F96" s="147">
        <v>0.05</v>
      </c>
      <c r="H96" s="95" t="str">
        <f>IF(G96="","",IF('Control Panel'!$C$3='Data Validation'!$J$2,Schedules!F96,IF(G96&lt;13,'Cap and Floor Pricer'!$D$28,IF(G96&lt;25,'Cap and Floor Pricer'!$D$29,IF(G96&lt;37,'Cap and Floor Pricer'!$D$30,IF(G96&lt;49,'Cap and Floor Pricer'!$D$31,IF(G96&lt;61,'Cap and Floor Pricer'!$D$32,IF(G96&lt;73,'Cap and Floor Pricer'!$D$33,IF(G96&lt;85,'Cap and Floor Pricer'!$D$34,"Cap Term Too Long")))))))))</f>
        <v/>
      </c>
    </row>
    <row r="97" spans="2:8" x14ac:dyDescent="0.25">
      <c r="B97" s="84" t="str">
        <f>'Bachelier Model'!J98</f>
        <v/>
      </c>
      <c r="C97" s="4" t="str">
        <f>'Bachelier Model'!K98</f>
        <v/>
      </c>
      <c r="D97" s="147">
        <v>4.0183049999999977E-2</v>
      </c>
      <c r="E97" s="148">
        <v>25000000</v>
      </c>
      <c r="F97" s="147">
        <v>0.05</v>
      </c>
      <c r="H97" s="95" t="str">
        <f>IF(G97="","",IF('Control Panel'!$C$3='Data Validation'!$J$2,Schedules!F97,IF(G97&lt;13,'Cap and Floor Pricer'!$D$28,IF(G97&lt;25,'Cap and Floor Pricer'!$D$29,IF(G97&lt;37,'Cap and Floor Pricer'!$D$30,IF(G97&lt;49,'Cap and Floor Pricer'!$D$31,IF(G97&lt;61,'Cap and Floor Pricer'!$D$32,IF(G97&lt;73,'Cap and Floor Pricer'!$D$33,IF(G97&lt;85,'Cap and Floor Pricer'!$D$34,"Cap Term Too Long")))))))))</f>
        <v/>
      </c>
    </row>
    <row r="98" spans="2:8" x14ac:dyDescent="0.25">
      <c r="B98" s="84" t="str">
        <f>'Bachelier Model'!J99</f>
        <v/>
      </c>
      <c r="C98" s="4" t="str">
        <f>'Bachelier Model'!K99</f>
        <v/>
      </c>
      <c r="D98" s="147">
        <v>4.0183049999999977E-2</v>
      </c>
      <c r="E98" s="148">
        <v>25000000</v>
      </c>
      <c r="F98" s="147">
        <v>0.05</v>
      </c>
      <c r="H98" s="95" t="str">
        <f>IF(G98="","",IF('Control Panel'!$C$3='Data Validation'!$J$2,Schedules!F98,IF(G98&lt;13,'Cap and Floor Pricer'!$D$28,IF(G98&lt;25,'Cap and Floor Pricer'!$D$29,IF(G98&lt;37,'Cap and Floor Pricer'!$D$30,IF(G98&lt;49,'Cap and Floor Pricer'!$D$31,IF(G98&lt;61,'Cap and Floor Pricer'!$D$32,IF(G98&lt;73,'Cap and Floor Pricer'!$D$33,IF(G98&lt;85,'Cap and Floor Pricer'!$D$34,"Cap Term Too Long")))))))))</f>
        <v/>
      </c>
    </row>
    <row r="99" spans="2:8" x14ac:dyDescent="0.25">
      <c r="B99" s="84" t="str">
        <f>'Bachelier Model'!J100</f>
        <v/>
      </c>
      <c r="C99" s="4" t="str">
        <f>'Bachelier Model'!K100</f>
        <v/>
      </c>
      <c r="D99" s="147">
        <v>4.0183049999999977E-2</v>
      </c>
      <c r="E99" s="148">
        <v>25000000</v>
      </c>
      <c r="F99" s="147">
        <v>0.05</v>
      </c>
      <c r="H99" s="95" t="str">
        <f>IF(G99="","",IF('Control Panel'!$C$3='Data Validation'!$J$2,Schedules!F99,IF(G99&lt;13,'Cap and Floor Pricer'!$D$28,IF(G99&lt;25,'Cap and Floor Pricer'!$D$29,IF(G99&lt;37,'Cap and Floor Pricer'!$D$30,IF(G99&lt;49,'Cap and Floor Pricer'!$D$31,IF(G99&lt;61,'Cap and Floor Pricer'!$D$32,IF(G99&lt;73,'Cap and Floor Pricer'!$D$33,IF(G99&lt;85,'Cap and Floor Pricer'!$D$34,"Cap Term Too Long")))))))))</f>
        <v/>
      </c>
    </row>
    <row r="100" spans="2:8" x14ac:dyDescent="0.25">
      <c r="B100" s="84" t="str">
        <f>'Bachelier Model'!J101</f>
        <v/>
      </c>
      <c r="C100" s="4" t="str">
        <f>'Bachelier Model'!K101</f>
        <v/>
      </c>
      <c r="D100" s="147">
        <v>4.0183049999999977E-2</v>
      </c>
      <c r="E100" s="148">
        <v>25000000</v>
      </c>
      <c r="F100" s="147">
        <v>0.05</v>
      </c>
      <c r="H100" s="95" t="str">
        <f>IF(G100="","",IF('Control Panel'!$C$3='Data Validation'!$J$2,Schedules!F100,IF(G100&lt;13,'Cap and Floor Pricer'!$D$28,IF(G100&lt;25,'Cap and Floor Pricer'!$D$29,IF(G100&lt;37,'Cap and Floor Pricer'!$D$30,IF(G100&lt;49,'Cap and Floor Pricer'!$D$31,IF(G100&lt;61,'Cap and Floor Pricer'!$D$32,IF(G100&lt;73,'Cap and Floor Pricer'!$D$33,IF(G100&lt;85,'Cap and Floor Pricer'!$D$34,"Cap Term Too Long")))))))))</f>
        <v/>
      </c>
    </row>
    <row r="101" spans="2:8" x14ac:dyDescent="0.25">
      <c r="B101" s="84" t="str">
        <f>'Bachelier Model'!J102</f>
        <v/>
      </c>
      <c r="C101" s="4" t="str">
        <f>'Bachelier Model'!K102</f>
        <v/>
      </c>
      <c r="D101" s="147">
        <v>4.0183049999999977E-2</v>
      </c>
      <c r="E101" s="148">
        <v>25000000</v>
      </c>
      <c r="F101" s="147">
        <v>0.05</v>
      </c>
      <c r="H101" s="95" t="str">
        <f>IF(G101="","",IF('Control Panel'!$C$3='Data Validation'!$J$2,Schedules!F101,IF(G101&lt;13,'Cap and Floor Pricer'!$D$28,IF(G101&lt;25,'Cap and Floor Pricer'!$D$29,IF(G101&lt;37,'Cap and Floor Pricer'!$D$30,IF(G101&lt;49,'Cap and Floor Pricer'!$D$31,IF(G101&lt;61,'Cap and Floor Pricer'!$D$32,IF(G101&lt;73,'Cap and Floor Pricer'!$D$33,IF(G101&lt;85,'Cap and Floor Pricer'!$D$34,"Cap Term Too Long")))))))))</f>
        <v/>
      </c>
    </row>
    <row r="102" spans="2:8" x14ac:dyDescent="0.25">
      <c r="B102" s="84" t="str">
        <f>'Bachelier Model'!J103</f>
        <v/>
      </c>
      <c r="C102" s="4" t="str">
        <f>'Bachelier Model'!K103</f>
        <v/>
      </c>
      <c r="D102" s="147">
        <v>4.0183049999999977E-2</v>
      </c>
      <c r="E102" s="148">
        <v>25000000</v>
      </c>
      <c r="F102" s="147">
        <v>0.05</v>
      </c>
      <c r="H102" s="95" t="str">
        <f>IF(G102="","",IF('Control Panel'!$C$3='Data Validation'!$J$2,Schedules!F102,IF(G102&lt;13,'Cap and Floor Pricer'!$D$28,IF(G102&lt;25,'Cap and Floor Pricer'!$D$29,IF(G102&lt;37,'Cap and Floor Pricer'!$D$30,IF(G102&lt;49,'Cap and Floor Pricer'!$D$31,IF(G102&lt;61,'Cap and Floor Pricer'!$D$32,IF(G102&lt;73,'Cap and Floor Pricer'!$D$33,IF(G102&lt;85,'Cap and Floor Pricer'!$D$34,"Cap Term Too Long")))))))))</f>
        <v/>
      </c>
    </row>
    <row r="103" spans="2:8" x14ac:dyDescent="0.25">
      <c r="B103" s="84" t="str">
        <f>'Bachelier Model'!J104</f>
        <v/>
      </c>
      <c r="C103" s="4" t="str">
        <f>'Bachelier Model'!K104</f>
        <v/>
      </c>
      <c r="D103" s="147">
        <v>4.0183049999999977E-2</v>
      </c>
      <c r="E103" s="148">
        <v>25000000</v>
      </c>
      <c r="F103" s="147">
        <v>0.05</v>
      </c>
      <c r="H103" s="95" t="str">
        <f>IF(G103="","",IF('Control Panel'!$C$3='Data Validation'!$J$2,Schedules!F103,IF(G103&lt;13,'Cap and Floor Pricer'!$D$28,IF(G103&lt;25,'Cap and Floor Pricer'!$D$29,IF(G103&lt;37,'Cap and Floor Pricer'!$D$30,IF(G103&lt;49,'Cap and Floor Pricer'!$D$31,IF(G103&lt;61,'Cap and Floor Pricer'!$D$32,IF(G103&lt;73,'Cap and Floor Pricer'!$D$33,IF(G103&lt;85,'Cap and Floor Pricer'!$D$34,"Cap Term Too Long")))))))))</f>
        <v/>
      </c>
    </row>
    <row r="104" spans="2:8" x14ac:dyDescent="0.25">
      <c r="B104" s="84" t="str">
        <f>'Bachelier Model'!J105</f>
        <v/>
      </c>
      <c r="C104" s="4" t="str">
        <f>'Bachelier Model'!K105</f>
        <v/>
      </c>
      <c r="D104" s="147">
        <v>4.0183049999999977E-2</v>
      </c>
      <c r="E104" s="148">
        <v>25000000</v>
      </c>
      <c r="F104" s="147">
        <v>0.05</v>
      </c>
      <c r="H104" s="95" t="str">
        <f>IF(G104="","",IF('Control Panel'!$C$3='Data Validation'!$J$2,Schedules!F104,IF(G104&lt;13,'Cap and Floor Pricer'!$D$28,IF(G104&lt;25,'Cap and Floor Pricer'!$D$29,IF(G104&lt;37,'Cap and Floor Pricer'!$D$30,IF(G104&lt;49,'Cap and Floor Pricer'!$D$31,IF(G104&lt;61,'Cap and Floor Pricer'!$D$32,IF(G104&lt;73,'Cap and Floor Pricer'!$D$33,IF(G104&lt;85,'Cap and Floor Pricer'!$D$34,"Cap Term Too Long")))))))))</f>
        <v/>
      </c>
    </row>
    <row r="105" spans="2:8" x14ac:dyDescent="0.25">
      <c r="B105" s="84" t="str">
        <f>'Bachelier Model'!J106</f>
        <v/>
      </c>
      <c r="C105" s="4" t="str">
        <f>'Bachelier Model'!K106</f>
        <v/>
      </c>
      <c r="D105" s="147">
        <v>4.0183049999999977E-2</v>
      </c>
      <c r="E105" s="148">
        <v>25000000</v>
      </c>
      <c r="F105" s="147">
        <v>0.05</v>
      </c>
      <c r="H105" s="95" t="str">
        <f>IF(G105="","",IF('Control Panel'!$C$3='Data Validation'!$J$2,Schedules!F105,IF(G105&lt;13,'Cap and Floor Pricer'!$D$28,IF(G105&lt;25,'Cap and Floor Pricer'!$D$29,IF(G105&lt;37,'Cap and Floor Pricer'!$D$30,IF(G105&lt;49,'Cap and Floor Pricer'!$D$31,IF(G105&lt;61,'Cap and Floor Pricer'!$D$32,IF(G105&lt;73,'Cap and Floor Pricer'!$D$33,IF(G105&lt;85,'Cap and Floor Pricer'!$D$34,"Cap Term Too Long")))))))))</f>
        <v/>
      </c>
    </row>
    <row r="106" spans="2:8" x14ac:dyDescent="0.25">
      <c r="B106" s="84" t="str">
        <f>'Bachelier Model'!J107</f>
        <v/>
      </c>
      <c r="C106" s="4" t="str">
        <f>'Bachelier Model'!K107</f>
        <v/>
      </c>
      <c r="D106" s="147">
        <v>4.0183049999999977E-2</v>
      </c>
      <c r="E106" s="148">
        <v>25000000</v>
      </c>
      <c r="F106" s="147">
        <v>0.05</v>
      </c>
      <c r="H106" s="95" t="str">
        <f>IF(G106="","",IF('Control Panel'!$C$3='Data Validation'!$J$2,Schedules!F106,IF(G106&lt;13,'Cap and Floor Pricer'!$D$28,IF(G106&lt;25,'Cap and Floor Pricer'!$D$29,IF(G106&lt;37,'Cap and Floor Pricer'!$D$30,IF(G106&lt;49,'Cap and Floor Pricer'!$D$31,IF(G106&lt;61,'Cap and Floor Pricer'!$D$32,IF(G106&lt;73,'Cap and Floor Pricer'!$D$33,IF(G106&lt;85,'Cap and Floor Pricer'!$D$34,"Cap Term Too Long")))))))))</f>
        <v/>
      </c>
    </row>
    <row r="107" spans="2:8" x14ac:dyDescent="0.25">
      <c r="B107" s="84" t="str">
        <f>'Bachelier Model'!J108</f>
        <v/>
      </c>
      <c r="C107" s="4" t="str">
        <f>'Bachelier Model'!K108</f>
        <v/>
      </c>
      <c r="D107" s="147">
        <v>4.0183049999999977E-2</v>
      </c>
      <c r="E107" s="148">
        <v>25000000</v>
      </c>
      <c r="F107" s="147">
        <v>0.05</v>
      </c>
      <c r="H107" s="95" t="str">
        <f>IF(G107="","",IF('Control Panel'!$C$3='Data Validation'!$J$2,Schedules!F107,IF(G107&lt;13,'Cap and Floor Pricer'!$D$28,IF(G107&lt;25,'Cap and Floor Pricer'!$D$29,IF(G107&lt;37,'Cap and Floor Pricer'!$D$30,IF(G107&lt;49,'Cap and Floor Pricer'!$D$31,IF(G107&lt;61,'Cap and Floor Pricer'!$D$32,IF(G107&lt;73,'Cap and Floor Pricer'!$D$33,IF(G107&lt;85,'Cap and Floor Pricer'!$D$34,"Cap Term Too Long")))))))))</f>
        <v/>
      </c>
    </row>
    <row r="108" spans="2:8" x14ac:dyDescent="0.25">
      <c r="B108" s="84" t="str">
        <f>'Bachelier Model'!J109</f>
        <v/>
      </c>
      <c r="C108" s="4" t="str">
        <f>'Bachelier Model'!K109</f>
        <v/>
      </c>
      <c r="D108" s="147">
        <v>4.0183049999999977E-2</v>
      </c>
      <c r="E108" s="148">
        <v>25000000</v>
      </c>
      <c r="F108" s="147">
        <v>0.05</v>
      </c>
      <c r="H108" s="95" t="str">
        <f>IF(G108="","",IF('Control Panel'!$C$3='Data Validation'!$J$2,Schedules!F108,IF(G108&lt;13,'Cap and Floor Pricer'!$D$28,IF(G108&lt;25,'Cap and Floor Pricer'!$D$29,IF(G108&lt;37,'Cap and Floor Pricer'!$D$30,IF(G108&lt;49,'Cap and Floor Pricer'!$D$31,IF(G108&lt;61,'Cap and Floor Pricer'!$D$32,IF(G108&lt;73,'Cap and Floor Pricer'!$D$33,IF(G108&lt;85,'Cap and Floor Pricer'!$D$34,"Cap Term Too Long")))))))))</f>
        <v/>
      </c>
    </row>
    <row r="109" spans="2:8" x14ac:dyDescent="0.25">
      <c r="B109" s="84" t="str">
        <f>'Bachelier Model'!J110</f>
        <v/>
      </c>
      <c r="C109" s="4" t="str">
        <f>'Bachelier Model'!K110</f>
        <v/>
      </c>
      <c r="D109" s="147">
        <v>4.0183049999999977E-2</v>
      </c>
      <c r="E109" s="148">
        <v>25000000</v>
      </c>
      <c r="F109" s="147">
        <v>0.05</v>
      </c>
      <c r="H109" s="95" t="str">
        <f>IF(G109="","",IF('Control Panel'!$C$3='Data Validation'!$J$2,Schedules!F109,IF(G109&lt;13,'Cap and Floor Pricer'!$D$28,IF(G109&lt;25,'Cap and Floor Pricer'!$D$29,IF(G109&lt;37,'Cap and Floor Pricer'!$D$30,IF(G109&lt;49,'Cap and Floor Pricer'!$D$31,IF(G109&lt;61,'Cap and Floor Pricer'!$D$32,IF(G109&lt;73,'Cap and Floor Pricer'!$D$33,IF(G109&lt;85,'Cap and Floor Pricer'!$D$34,"Cap Term Too Long")))))))))</f>
        <v/>
      </c>
    </row>
    <row r="110" spans="2:8" x14ac:dyDescent="0.25">
      <c r="B110" s="84" t="str">
        <f>'Bachelier Model'!J111</f>
        <v/>
      </c>
      <c r="C110" s="4" t="str">
        <f>'Bachelier Model'!K111</f>
        <v/>
      </c>
      <c r="D110" s="147">
        <v>4.0183049999999977E-2</v>
      </c>
      <c r="E110" s="148">
        <v>25000000</v>
      </c>
      <c r="F110" s="147">
        <v>0.05</v>
      </c>
      <c r="H110" s="95" t="str">
        <f>IF(G110="","",IF('Control Panel'!$C$3='Data Validation'!$J$2,Schedules!F110,IF(G110&lt;13,'Cap and Floor Pricer'!$D$28,IF(G110&lt;25,'Cap and Floor Pricer'!$D$29,IF(G110&lt;37,'Cap and Floor Pricer'!$D$30,IF(G110&lt;49,'Cap and Floor Pricer'!$D$31,IF(G110&lt;61,'Cap and Floor Pricer'!$D$32,IF(G110&lt;73,'Cap and Floor Pricer'!$D$33,IF(G110&lt;85,'Cap and Floor Pricer'!$D$34,"Cap Term Too Long")))))))))</f>
        <v/>
      </c>
    </row>
    <row r="111" spans="2:8" x14ac:dyDescent="0.25">
      <c r="B111" s="84" t="str">
        <f>'Bachelier Model'!J112</f>
        <v/>
      </c>
      <c r="C111" s="4" t="str">
        <f>'Bachelier Model'!K112</f>
        <v/>
      </c>
      <c r="D111" s="147">
        <v>4.0183049999999977E-2</v>
      </c>
      <c r="E111" s="148">
        <v>25000000</v>
      </c>
      <c r="F111" s="147">
        <v>0.05</v>
      </c>
      <c r="H111" s="95" t="str">
        <f>IF(G111="","",IF('Control Panel'!$C$3='Data Validation'!$J$2,Schedules!F111,IF(G111&lt;13,'Cap and Floor Pricer'!$D$28,IF(G111&lt;25,'Cap and Floor Pricer'!$D$29,IF(G111&lt;37,'Cap and Floor Pricer'!$D$30,IF(G111&lt;49,'Cap and Floor Pricer'!$D$31,IF(G111&lt;61,'Cap and Floor Pricer'!$D$32,IF(G111&lt;73,'Cap and Floor Pricer'!$D$33,IF(G111&lt;85,'Cap and Floor Pricer'!$D$34,"Cap Term Too Long")))))))))</f>
        <v/>
      </c>
    </row>
    <row r="112" spans="2:8" x14ac:dyDescent="0.25">
      <c r="B112" s="84" t="str">
        <f>'Bachelier Model'!J113</f>
        <v/>
      </c>
      <c r="C112" s="4" t="str">
        <f>'Bachelier Model'!K113</f>
        <v/>
      </c>
      <c r="D112" s="147">
        <v>4.0183049999999977E-2</v>
      </c>
      <c r="E112" s="148">
        <v>25000000</v>
      </c>
      <c r="F112" s="147">
        <v>0.05</v>
      </c>
      <c r="H112" s="95" t="str">
        <f>IF(G112="","",IF('Control Panel'!$C$3='Data Validation'!$J$2,Schedules!F112,IF(G112&lt;13,'Cap and Floor Pricer'!$D$28,IF(G112&lt;25,'Cap and Floor Pricer'!$D$29,IF(G112&lt;37,'Cap and Floor Pricer'!$D$30,IF(G112&lt;49,'Cap and Floor Pricer'!$D$31,IF(G112&lt;61,'Cap and Floor Pricer'!$D$32,IF(G112&lt;73,'Cap and Floor Pricer'!$D$33,IF(G112&lt;85,'Cap and Floor Pricer'!$D$34,"Cap Term Too Long")))))))))</f>
        <v/>
      </c>
    </row>
    <row r="113" spans="2:8" x14ac:dyDescent="0.25">
      <c r="B113" s="84" t="str">
        <f>'Bachelier Model'!J114</f>
        <v/>
      </c>
      <c r="C113" s="4" t="str">
        <f>'Bachelier Model'!K114</f>
        <v/>
      </c>
      <c r="D113" s="147">
        <v>4.0183049999999977E-2</v>
      </c>
      <c r="E113" s="148">
        <v>25000000</v>
      </c>
      <c r="F113" s="147">
        <v>0.05</v>
      </c>
      <c r="H113" s="95" t="str">
        <f>IF(G113="","",IF('Control Panel'!$C$3='Data Validation'!$J$2,Schedules!F113,IF(G113&lt;13,'Cap and Floor Pricer'!$D$28,IF(G113&lt;25,'Cap and Floor Pricer'!$D$29,IF(G113&lt;37,'Cap and Floor Pricer'!$D$30,IF(G113&lt;49,'Cap and Floor Pricer'!$D$31,IF(G113&lt;61,'Cap and Floor Pricer'!$D$32,IF(G113&lt;73,'Cap and Floor Pricer'!$D$33,IF(G113&lt;85,'Cap and Floor Pricer'!$D$34,"Cap Term Too Long")))))))))</f>
        <v/>
      </c>
    </row>
    <row r="114" spans="2:8" x14ac:dyDescent="0.25">
      <c r="B114" s="84" t="str">
        <f>'Bachelier Model'!J115</f>
        <v/>
      </c>
      <c r="C114" s="4" t="str">
        <f>'Bachelier Model'!K115</f>
        <v/>
      </c>
      <c r="D114" s="147">
        <v>4.0183049999999977E-2</v>
      </c>
      <c r="E114" s="148">
        <v>25000000</v>
      </c>
      <c r="F114" s="147">
        <v>0.05</v>
      </c>
      <c r="H114" s="95" t="str">
        <f>IF(G114="","",IF('Control Panel'!$C$3='Data Validation'!$J$2,Schedules!F114,IF(G114&lt;13,'Cap and Floor Pricer'!$D$28,IF(G114&lt;25,'Cap and Floor Pricer'!$D$29,IF(G114&lt;37,'Cap and Floor Pricer'!$D$30,IF(G114&lt;49,'Cap and Floor Pricer'!$D$31,IF(G114&lt;61,'Cap and Floor Pricer'!$D$32,IF(G114&lt;73,'Cap and Floor Pricer'!$D$33,IF(G114&lt;85,'Cap and Floor Pricer'!$D$34,"Cap Term Too Long")))))))))</f>
        <v/>
      </c>
    </row>
    <row r="115" spans="2:8" x14ac:dyDescent="0.25">
      <c r="B115" s="84" t="str">
        <f>'Bachelier Model'!J116</f>
        <v/>
      </c>
      <c r="C115" s="4" t="str">
        <f>'Bachelier Model'!K116</f>
        <v/>
      </c>
      <c r="D115" s="147">
        <v>4.0183049999999977E-2</v>
      </c>
      <c r="E115" s="148">
        <v>25000000</v>
      </c>
      <c r="F115" s="147">
        <v>0.05</v>
      </c>
      <c r="H115" s="95" t="str">
        <f>IF(G115="","",IF('Control Panel'!$C$3='Data Validation'!$J$2,Schedules!F115,IF(G115&lt;13,'Cap and Floor Pricer'!$D$28,IF(G115&lt;25,'Cap and Floor Pricer'!$D$29,IF(G115&lt;37,'Cap and Floor Pricer'!$D$30,IF(G115&lt;49,'Cap and Floor Pricer'!$D$31,IF(G115&lt;61,'Cap and Floor Pricer'!$D$32,IF(G115&lt;73,'Cap and Floor Pricer'!$D$33,IF(G115&lt;85,'Cap and Floor Pricer'!$D$34,"Cap Term Too Long")))))))))</f>
        <v/>
      </c>
    </row>
    <row r="116" spans="2:8" x14ac:dyDescent="0.25">
      <c r="B116" s="84" t="str">
        <f>'Bachelier Model'!J117</f>
        <v/>
      </c>
      <c r="C116" s="4" t="str">
        <f>'Bachelier Model'!K117</f>
        <v/>
      </c>
      <c r="D116" s="147">
        <v>4.0183049999999977E-2</v>
      </c>
      <c r="E116" s="148">
        <v>25000000</v>
      </c>
      <c r="F116" s="147">
        <v>0.05</v>
      </c>
      <c r="H116" s="95" t="str">
        <f>IF(G116="","",IF('Control Panel'!$C$3='Data Validation'!$J$2,Schedules!F116,IF(G116&lt;13,'Cap and Floor Pricer'!$D$28,IF(G116&lt;25,'Cap and Floor Pricer'!$D$29,IF(G116&lt;37,'Cap and Floor Pricer'!$D$30,IF(G116&lt;49,'Cap and Floor Pricer'!$D$31,IF(G116&lt;61,'Cap and Floor Pricer'!$D$32,IF(G116&lt;73,'Cap and Floor Pricer'!$D$33,IF(G116&lt;85,'Cap and Floor Pricer'!$D$34,"Cap Term Too Long")))))))))</f>
        <v/>
      </c>
    </row>
    <row r="117" spans="2:8" x14ac:dyDescent="0.25">
      <c r="B117" s="84" t="str">
        <f>'Bachelier Model'!J118</f>
        <v/>
      </c>
      <c r="C117" s="4" t="str">
        <f>'Bachelier Model'!K118</f>
        <v/>
      </c>
      <c r="D117" s="147">
        <v>4.0183049999999977E-2</v>
      </c>
      <c r="E117" s="148">
        <v>25000000</v>
      </c>
      <c r="F117" s="147">
        <v>0.05</v>
      </c>
      <c r="H117" s="95" t="str">
        <f>IF(G117="","",IF('Control Panel'!$C$3='Data Validation'!$J$2,Schedules!F117,IF(G117&lt;13,'Cap and Floor Pricer'!$D$28,IF(G117&lt;25,'Cap and Floor Pricer'!$D$29,IF(G117&lt;37,'Cap and Floor Pricer'!$D$30,IF(G117&lt;49,'Cap and Floor Pricer'!$D$31,IF(G117&lt;61,'Cap and Floor Pricer'!$D$32,IF(G117&lt;73,'Cap and Floor Pricer'!$D$33,IF(G117&lt;85,'Cap and Floor Pricer'!$D$34,"Cap Term Too Long")))))))))</f>
        <v/>
      </c>
    </row>
    <row r="118" spans="2:8" x14ac:dyDescent="0.25">
      <c r="B118" s="84" t="str">
        <f>'Bachelier Model'!J119</f>
        <v/>
      </c>
      <c r="C118" s="4" t="str">
        <f>'Bachelier Model'!K119</f>
        <v/>
      </c>
      <c r="D118" s="147">
        <v>4.0183049999999977E-2</v>
      </c>
      <c r="E118" s="148">
        <v>25000000</v>
      </c>
      <c r="F118" s="147">
        <v>0.05</v>
      </c>
      <c r="H118" s="95" t="str">
        <f>IF(G118="","",IF('Control Panel'!$C$3='Data Validation'!$J$2,Schedules!F118,IF(G118&lt;13,'Cap and Floor Pricer'!$D$28,IF(G118&lt;25,'Cap and Floor Pricer'!$D$29,IF(G118&lt;37,'Cap and Floor Pricer'!$D$30,IF(G118&lt;49,'Cap and Floor Pricer'!$D$31,IF(G118&lt;61,'Cap and Floor Pricer'!$D$32,IF(G118&lt;73,'Cap and Floor Pricer'!$D$33,IF(G118&lt;85,'Cap and Floor Pricer'!$D$34,"Cap Term Too Long")))))))))</f>
        <v/>
      </c>
    </row>
    <row r="119" spans="2:8" x14ac:dyDescent="0.25">
      <c r="B119" s="84" t="str">
        <f>'Bachelier Model'!J120</f>
        <v/>
      </c>
      <c r="C119" s="4" t="str">
        <f>'Bachelier Model'!K120</f>
        <v/>
      </c>
      <c r="D119" s="147">
        <v>4.0183049999999977E-2</v>
      </c>
      <c r="E119" s="148">
        <v>25000000</v>
      </c>
      <c r="F119" s="147">
        <v>0.05</v>
      </c>
      <c r="H119" s="95" t="str">
        <f>IF(G119="","",IF('Control Panel'!$C$3='Data Validation'!$J$2,Schedules!F119,IF(G119&lt;13,'Cap and Floor Pricer'!$D$28,IF(G119&lt;25,'Cap and Floor Pricer'!$D$29,IF(G119&lt;37,'Cap and Floor Pricer'!$D$30,IF(G119&lt;49,'Cap and Floor Pricer'!$D$31,IF(G119&lt;61,'Cap and Floor Pricer'!$D$32,IF(G119&lt;73,'Cap and Floor Pricer'!$D$33,IF(G119&lt;85,'Cap and Floor Pricer'!$D$34,"Cap Term Too Long")))))))))</f>
        <v/>
      </c>
    </row>
    <row r="120" spans="2:8" x14ac:dyDescent="0.25">
      <c r="B120" s="84" t="str">
        <f>'Bachelier Model'!J121</f>
        <v/>
      </c>
      <c r="C120" s="4" t="str">
        <f>'Bachelier Model'!K121</f>
        <v/>
      </c>
      <c r="D120" s="147">
        <v>4.0183049999999977E-2</v>
      </c>
      <c r="E120" s="148">
        <v>25000000</v>
      </c>
      <c r="F120" s="147">
        <v>0.05</v>
      </c>
      <c r="H120" s="95" t="str">
        <f>IF(G120="","",IF('Control Panel'!$C$3='Data Validation'!$J$2,Schedules!F120,IF(G120&lt;13,'Cap and Floor Pricer'!$D$28,IF(G120&lt;25,'Cap and Floor Pricer'!$D$29,IF(G120&lt;37,'Cap and Floor Pricer'!$D$30,IF(G120&lt;49,'Cap and Floor Pricer'!$D$31,IF(G120&lt;61,'Cap and Floor Pricer'!$D$32,IF(G120&lt;73,'Cap and Floor Pricer'!$D$33,IF(G120&lt;85,'Cap and Floor Pricer'!$D$34,"Cap Term Too Long")))))))))</f>
        <v/>
      </c>
    </row>
    <row r="121" spans="2:8" x14ac:dyDescent="0.25">
      <c r="B121" s="84" t="str">
        <f>'Bachelier Model'!J122</f>
        <v/>
      </c>
      <c r="C121" s="4" t="str">
        <f>'Bachelier Model'!K122</f>
        <v/>
      </c>
      <c r="D121" s="147">
        <v>4.0183049999999977E-2</v>
      </c>
      <c r="E121" s="148">
        <v>25000000</v>
      </c>
      <c r="F121" s="147">
        <v>0.05</v>
      </c>
      <c r="H121" s="95" t="str">
        <f>IF(G121="","",IF('Control Panel'!$C$3='Data Validation'!$J$2,Schedules!F121,IF(G121&lt;13,'Cap and Floor Pricer'!$D$28,IF(G121&lt;25,'Cap and Floor Pricer'!$D$29,IF(G121&lt;37,'Cap and Floor Pricer'!$D$30,IF(G121&lt;49,'Cap and Floor Pricer'!$D$31,IF(G121&lt;61,'Cap and Floor Pricer'!$D$32,IF(G121&lt;73,'Cap and Floor Pricer'!$D$33,IF(G121&lt;85,'Cap and Floor Pricer'!$D$34,"Cap Term Too Long")))))))))</f>
        <v/>
      </c>
    </row>
    <row r="122" spans="2:8" x14ac:dyDescent="0.25">
      <c r="B122" s="84" t="str">
        <f>'Bachelier Model'!J123</f>
        <v/>
      </c>
      <c r="C122" s="4" t="str">
        <f>'Bachelier Model'!K123</f>
        <v/>
      </c>
      <c r="D122" s="147">
        <v>4.0183049999999977E-2</v>
      </c>
      <c r="E122" s="148">
        <v>25000000</v>
      </c>
      <c r="F122" s="147">
        <v>0.05</v>
      </c>
      <c r="H122" s="95" t="str">
        <f>IF(G122="","",IF('Control Panel'!$C$3='Data Validation'!$J$2,Schedules!F122,IF(G122&lt;13,'Cap and Floor Pricer'!$D$28,IF(G122&lt;25,'Cap and Floor Pricer'!$D$29,IF(G122&lt;37,'Cap and Floor Pricer'!$D$30,IF(G122&lt;49,'Cap and Floor Pricer'!$D$31,IF(G122&lt;61,'Cap and Floor Pricer'!$D$32,IF(G122&lt;73,'Cap and Floor Pricer'!$D$33,IF(G122&lt;85,'Cap and Floor Pricer'!$D$34,"Cap Term Too Long")))))))))</f>
        <v/>
      </c>
    </row>
    <row r="123" spans="2:8" x14ac:dyDescent="0.25">
      <c r="B123" s="84" t="str">
        <f>'Bachelier Model'!J124</f>
        <v/>
      </c>
      <c r="C123" s="4" t="str">
        <f>'Bachelier Model'!K124</f>
        <v/>
      </c>
      <c r="D123" s="147">
        <v>4.0183049999999977E-2</v>
      </c>
      <c r="E123" s="148">
        <v>25000000</v>
      </c>
      <c r="F123" s="147">
        <v>0.05</v>
      </c>
      <c r="G123" s="149"/>
      <c r="H123" s="96" t="str">
        <f>IF(G123="","",IF('Control Panel'!$C$3='Data Validation'!$J$2,Schedules!F123,IF(G123&lt;13,'Cap and Floor Pricer'!$D$28,IF(G123&lt;25,'Cap and Floor Pricer'!$D$29,IF(G123&lt;37,'Cap and Floor Pricer'!$D$30,IF(G123&lt;49,'Cap and Floor Pricer'!$D$31,IF(G123&lt;61,'Cap and Floor Pricer'!$D$32,IF(G123&lt;73,'Cap and Floor Pricer'!$D$33,IF(G123&lt;85,'Cap and Floor Pricer'!$D$34,"Cap Term Too Long")))))))))</f>
        <v/>
      </c>
    </row>
    <row r="124" spans="2:8" x14ac:dyDescent="0.25">
      <c r="B124" s="86"/>
      <c r="C124" s="86"/>
      <c r="D124" s="86"/>
      <c r="E124" s="89"/>
      <c r="F124" s="98"/>
      <c r="G124" s="103"/>
    </row>
  </sheetData>
  <sheetProtection algorithmName="SHA-512" hashValue="Eb27/4WX+5mwbGNVDFQ81DVSpMklmzpnREy1a3OGkB0V6gFxbBt8uA//1OCWi9grJ0kO0gFFMroJooobH8EbGA==" saltValue="KZlU1B8poWDyeayxlOVtPA=="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7C5-D4E7-443E-A622-F694466CF7CA}">
  <sheetPr codeName="Sheet7">
    <tabColor theme="8"/>
  </sheetPr>
  <dimension ref="A1:W16"/>
  <sheetViews>
    <sheetView showGridLines="0" topLeftCell="XFD1" workbookViewId="0">
      <selection activeCell="C5" sqref="C5"/>
    </sheetView>
  </sheetViews>
  <sheetFormatPr defaultColWidth="0" defaultRowHeight="15" zeroHeight="1" x14ac:dyDescent="0.25"/>
  <cols>
    <col min="1" max="1" width="2.85546875" hidden="1" customWidth="1"/>
    <col min="2" max="2" width="18.7109375" hidden="1" customWidth="1"/>
    <col min="3" max="3" width="12" hidden="1" customWidth="1"/>
    <col min="4" max="4" width="2.85546875" hidden="1" customWidth="1"/>
    <col min="5" max="6" width="19" hidden="1" customWidth="1"/>
    <col min="7" max="8" width="2.85546875" hidden="1" customWidth="1"/>
    <col min="9" max="9" width="28.42578125" hidden="1" customWidth="1"/>
    <col min="10" max="12" width="2.85546875" hidden="1" customWidth="1"/>
    <col min="13" max="13" width="28.42578125" hidden="1" customWidth="1"/>
    <col min="14" max="16" width="2.85546875" hidden="1" customWidth="1"/>
    <col min="17" max="17" width="28.42578125" hidden="1" customWidth="1"/>
    <col min="18" max="20" width="2.85546875" hidden="1" customWidth="1"/>
    <col min="21" max="21" width="28.42578125" hidden="1" customWidth="1"/>
    <col min="22" max="23" width="2.85546875" hidden="1" customWidth="1"/>
    <col min="24" max="16384" width="9.140625" hidden="1"/>
  </cols>
  <sheetData>
    <row r="1" spans="2:22" x14ac:dyDescent="0.25"/>
    <row r="2" spans="2:22" x14ac:dyDescent="0.25">
      <c r="B2" s="219" t="s">
        <v>106</v>
      </c>
      <c r="C2" s="219"/>
      <c r="E2" s="219" t="s">
        <v>118</v>
      </c>
      <c r="F2" s="219"/>
      <c r="H2" s="219" t="s">
        <v>110</v>
      </c>
      <c r="I2" s="219"/>
      <c r="J2" s="219"/>
      <c r="L2" s="219" t="s">
        <v>109</v>
      </c>
      <c r="M2" s="219"/>
      <c r="N2" s="219"/>
      <c r="P2" s="219" t="s">
        <v>107</v>
      </c>
      <c r="Q2" s="219"/>
      <c r="R2" s="219"/>
      <c r="S2" s="87"/>
      <c r="T2" s="219" t="s">
        <v>108</v>
      </c>
      <c r="U2" s="219"/>
      <c r="V2" s="219"/>
    </row>
    <row r="3" spans="2:22" x14ac:dyDescent="0.25">
      <c r="B3" s="106" t="s">
        <v>103</v>
      </c>
      <c r="C3" s="150" t="s">
        <v>105</v>
      </c>
      <c r="E3" s="218" t="str">
        <f>IF(OR(IF(AND(E11="",E12="",E13="",E14="",E15=""),FALSE(),OR(MIN(E11:E15)&lt;MIN('Adjustment Surface'!AN4:AN23),MAX(E11:E15)&gt;MAX('Adjustment Surface'!AN4:AN23))),IF(AND(F11="",F12="",F13="",F14="",F15=""),FALSE(),OR(MIN(F11:F15)&lt;MIN('Adjustment Surface'!AO3:BH3),MAX(F11:F15)&gt;MAX('Adjustment Surface'!AO3:BH3)))),"ERROR","")</f>
        <v/>
      </c>
      <c r="F3" s="218"/>
      <c r="H3" s="152"/>
      <c r="I3" s="152"/>
      <c r="J3" s="152"/>
      <c r="L3" s="152"/>
      <c r="M3" s="152"/>
      <c r="N3" s="152"/>
      <c r="P3" s="152"/>
      <c r="Q3" s="152"/>
      <c r="R3" s="152"/>
      <c r="T3" s="152"/>
      <c r="U3" s="152"/>
      <c r="V3" s="152"/>
    </row>
    <row r="4" spans="2:22" x14ac:dyDescent="0.25">
      <c r="B4" s="106"/>
      <c r="C4" s="107"/>
      <c r="E4" s="107" t="s">
        <v>59</v>
      </c>
      <c r="F4" s="107" t="s">
        <v>119</v>
      </c>
      <c r="H4" s="152"/>
      <c r="I4" s="152"/>
      <c r="J4" s="152"/>
      <c r="L4" s="152"/>
      <c r="M4" s="152"/>
      <c r="N4" s="152"/>
      <c r="P4" s="152"/>
      <c r="Q4" s="152"/>
      <c r="R4" s="152"/>
      <c r="T4" s="152"/>
      <c r="U4" s="152"/>
      <c r="V4" s="152"/>
    </row>
    <row r="5" spans="2:22" x14ac:dyDescent="0.25">
      <c r="B5" s="106" t="s">
        <v>114</v>
      </c>
      <c r="C5" s="150" t="s">
        <v>116</v>
      </c>
      <c r="E5" s="147"/>
      <c r="F5" s="209"/>
      <c r="H5" s="152"/>
      <c r="I5" s="152"/>
      <c r="J5" s="152"/>
      <c r="L5" s="152"/>
      <c r="M5" s="152"/>
      <c r="N5" s="152"/>
      <c r="P5" s="152"/>
      <c r="Q5" s="152"/>
      <c r="R5" s="152"/>
      <c r="T5" s="152"/>
      <c r="U5" s="152"/>
      <c r="V5" s="152"/>
    </row>
    <row r="6" spans="2:22" x14ac:dyDescent="0.25">
      <c r="B6" s="108" t="s">
        <v>54</v>
      </c>
      <c r="C6" s="150" t="s">
        <v>10</v>
      </c>
      <c r="E6" s="147"/>
      <c r="F6" s="209"/>
      <c r="H6" s="152"/>
      <c r="I6" s="152"/>
      <c r="J6" s="152"/>
      <c r="L6" s="152"/>
      <c r="M6" s="152"/>
      <c r="N6" s="152"/>
      <c r="P6" s="152"/>
      <c r="Q6" s="152"/>
      <c r="R6" s="152"/>
      <c r="T6" s="152"/>
      <c r="U6" s="152"/>
      <c r="V6" s="152"/>
    </row>
    <row r="7" spans="2:22" x14ac:dyDescent="0.25">
      <c r="B7" s="106"/>
      <c r="C7" s="106"/>
      <c r="E7" s="147"/>
      <c r="F7" s="209"/>
      <c r="H7" s="152"/>
      <c r="I7" s="152"/>
      <c r="J7" s="152"/>
      <c r="L7" s="152"/>
      <c r="M7" s="152"/>
      <c r="N7" s="152"/>
      <c r="P7" s="152"/>
      <c r="Q7" s="152"/>
      <c r="R7" s="152"/>
      <c r="T7" s="152"/>
      <c r="U7" s="152"/>
      <c r="V7" s="152"/>
    </row>
    <row r="8" spans="2:22" x14ac:dyDescent="0.25">
      <c r="B8" s="106" t="s">
        <v>56</v>
      </c>
      <c r="C8" s="151">
        <v>-1000000</v>
      </c>
      <c r="E8" s="147"/>
      <c r="F8" s="209"/>
      <c r="H8" s="152"/>
      <c r="I8" s="152"/>
      <c r="J8" s="152"/>
      <c r="L8" s="152"/>
      <c r="M8" s="152"/>
      <c r="N8" s="152"/>
      <c r="P8" s="152"/>
      <c r="Q8" s="152"/>
      <c r="R8" s="152"/>
      <c r="T8" s="152"/>
      <c r="U8" s="152"/>
      <c r="V8" s="152"/>
    </row>
    <row r="9" spans="2:22" x14ac:dyDescent="0.25">
      <c r="B9" s="106" t="s">
        <v>57</v>
      </c>
      <c r="C9" s="151">
        <v>1000000</v>
      </c>
      <c r="E9" s="147"/>
      <c r="F9" s="209"/>
      <c r="H9" s="152"/>
      <c r="I9" s="152"/>
      <c r="J9" s="152"/>
      <c r="L9" s="152"/>
      <c r="M9" s="152"/>
      <c r="N9" s="152"/>
      <c r="P9" s="152"/>
      <c r="Q9" s="152"/>
      <c r="R9" s="152"/>
      <c r="T9" s="152"/>
      <c r="U9" s="152"/>
      <c r="V9" s="152"/>
    </row>
    <row r="10" spans="2:22" x14ac:dyDescent="0.25">
      <c r="B10" s="106"/>
      <c r="C10" s="106"/>
      <c r="E10" s="106"/>
      <c r="F10" s="106"/>
      <c r="H10" s="152"/>
      <c r="I10" s="152"/>
      <c r="J10" s="152"/>
      <c r="L10" s="152"/>
      <c r="M10" s="152"/>
      <c r="N10" s="152"/>
      <c r="P10" s="152"/>
      <c r="Q10" s="152"/>
      <c r="R10" s="152"/>
      <c r="T10" s="152"/>
      <c r="U10" s="152"/>
      <c r="V10" s="152"/>
    </row>
    <row r="11" spans="2:22" x14ac:dyDescent="0.25">
      <c r="B11" s="106" t="s">
        <v>111</v>
      </c>
      <c r="C11" s="151">
        <v>15000</v>
      </c>
      <c r="E11" s="211" t="str">
        <f>IF(E5="","",E5)</f>
        <v/>
      </c>
      <c r="F11" s="210" t="str">
        <f>IF(F5="","",EDATE('Rate &amp; Vol Update'!$C$2,'Control Panel'!F5))</f>
        <v/>
      </c>
      <c r="H11" s="152"/>
      <c r="I11" s="152"/>
      <c r="J11" s="152"/>
      <c r="L11" s="152"/>
      <c r="M11" s="152"/>
      <c r="N11" s="152"/>
      <c r="P11" s="152"/>
      <c r="Q11" s="152"/>
      <c r="R11" s="152"/>
      <c r="T11" s="152"/>
      <c r="U11" s="152"/>
      <c r="V11" s="152"/>
    </row>
    <row r="12" spans="2:22" x14ac:dyDescent="0.25">
      <c r="B12" s="106"/>
      <c r="C12" s="106"/>
      <c r="E12" s="211" t="str">
        <f t="shared" ref="E12:E15" si="0">IF(E6="","",E6)</f>
        <v/>
      </c>
      <c r="F12" s="210" t="str">
        <f>IF(F6="","",EDATE('Rate &amp; Vol Update'!$C$2,'Control Panel'!F6))</f>
        <v/>
      </c>
      <c r="H12" s="152"/>
      <c r="I12" s="152"/>
      <c r="J12" s="152"/>
      <c r="L12" s="152"/>
      <c r="M12" s="152"/>
      <c r="N12" s="152"/>
      <c r="P12" s="152"/>
      <c r="Q12" s="152"/>
      <c r="R12" s="152"/>
      <c r="T12" s="152"/>
      <c r="U12" s="152"/>
      <c r="V12" s="152"/>
    </row>
    <row r="13" spans="2:22" x14ac:dyDescent="0.25">
      <c r="B13" s="106"/>
      <c r="C13" s="106"/>
      <c r="E13" s="211" t="str">
        <f t="shared" si="0"/>
        <v/>
      </c>
      <c r="F13" s="210" t="str">
        <f>IF(F7="","",EDATE('Rate &amp; Vol Update'!$C$2,'Control Panel'!F7))</f>
        <v/>
      </c>
      <c r="H13" s="152"/>
      <c r="I13" s="152"/>
      <c r="J13" s="152"/>
      <c r="L13" s="152"/>
      <c r="M13" s="152"/>
      <c r="N13" s="152"/>
      <c r="P13" s="152"/>
      <c r="Q13" s="152"/>
      <c r="R13" s="152"/>
      <c r="T13" s="152"/>
      <c r="U13" s="152"/>
      <c r="V13" s="152"/>
    </row>
    <row r="14" spans="2:22" x14ac:dyDescent="0.25">
      <c r="B14" s="106"/>
      <c r="C14" s="106"/>
      <c r="E14" s="211" t="str">
        <f t="shared" si="0"/>
        <v/>
      </c>
      <c r="F14" s="210" t="str">
        <f>IF(F8="","",EDATE('Rate &amp; Vol Update'!$C$2,'Control Panel'!F8))</f>
        <v/>
      </c>
      <c r="H14" s="152"/>
      <c r="I14" s="152"/>
      <c r="J14" s="152"/>
      <c r="L14" s="152"/>
      <c r="M14" s="152"/>
      <c r="N14" s="152"/>
      <c r="P14" s="152"/>
      <c r="Q14" s="152"/>
      <c r="R14" s="152"/>
      <c r="T14" s="152"/>
      <c r="U14" s="152"/>
      <c r="V14" s="152"/>
    </row>
    <row r="15" spans="2:22" x14ac:dyDescent="0.25">
      <c r="B15" s="106"/>
      <c r="C15" s="106"/>
      <c r="E15" s="211" t="str">
        <f t="shared" si="0"/>
        <v/>
      </c>
      <c r="F15" s="210" t="str">
        <f>IF(F9="","",EDATE('Rate &amp; Vol Update'!$C$2,'Control Panel'!F9))</f>
        <v/>
      </c>
      <c r="H15" s="152"/>
      <c r="I15" s="152"/>
      <c r="J15" s="152"/>
      <c r="L15" s="152"/>
      <c r="M15" s="152"/>
      <c r="N15" s="152"/>
      <c r="P15" s="152"/>
      <c r="Q15" s="152"/>
      <c r="R15" s="152"/>
      <c r="T15" s="152"/>
      <c r="U15" s="152"/>
      <c r="V15" s="152"/>
    </row>
    <row r="16" spans="2:22" x14ac:dyDescent="0.25"/>
  </sheetData>
  <sheetProtection algorithmName="SHA-512" hashValue="wCOt/TQe9tXwi4mYAXEomyM9z4MV1DRQMStowiEJZKv/AT5eP3Hk6PJd9K+fMYaedpZweSjXiPF4wUmykkLnUQ==" saltValue="XcJRHzo5dN9JjAKRUnOVPA==" spinCount="100000" sheet="1" objects="1" scenarios="1"/>
  <mergeCells count="7">
    <mergeCell ref="E3:F3"/>
    <mergeCell ref="B2:C2"/>
    <mergeCell ref="L2:N2"/>
    <mergeCell ref="T2:V2"/>
    <mergeCell ref="P2:R2"/>
    <mergeCell ref="H2:J2"/>
    <mergeCell ref="E2:F2"/>
  </mergeCells>
  <pageMargins left="0.7" right="0.7" top="0.75" bottom="0.75" header="0.3" footer="0.3"/>
  <drawing r:id="rId1"/>
  <extLst>
    <ext xmlns:x14="http://schemas.microsoft.com/office/spreadsheetml/2009/9/main" uri="{CCE6A557-97BC-4b89-ADB6-D9C93CAAB3DF}">
      <x14:dataValidations xmlns:xm="http://schemas.microsoft.com/office/excel/2006/main" count="3">
        <x14:dataValidation type="list" allowBlank="1" showInputMessage="1" showErrorMessage="1" xr:uid="{766C292D-306C-43B0-9ABF-62162F20A832}">
          <x14:formula1>
            <xm:f>'Data Validation'!$F$2:$F$3</xm:f>
          </x14:formula1>
          <xm:sqref>C6</xm:sqref>
        </x14:dataValidation>
        <x14:dataValidation type="list" allowBlank="1" showInputMessage="1" showErrorMessage="1" xr:uid="{2FA29EEF-26C2-4C0C-B8CE-8D82F423E4CB}">
          <x14:formula1>
            <xm:f>'Data Validation'!$J$2:$J$3</xm:f>
          </x14:formula1>
          <xm:sqref>C3</xm:sqref>
        </x14:dataValidation>
        <x14:dataValidation type="list" allowBlank="1" showInputMessage="1" showErrorMessage="1" xr:uid="{5AF3BDCD-79AB-4E87-BCC9-EC56D6A05220}">
          <x14:formula1>
            <xm:f>'Data Validation'!$K$2:$K$3</xm:f>
          </x14:formula1>
          <xm:sqref>C5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2FA0DB-46F0-4476-ADE0-B25FB88391F6}">
  <sheetPr codeName="Sheet3">
    <tabColor theme="8"/>
  </sheetPr>
  <dimension ref="A1:AA128"/>
  <sheetViews>
    <sheetView showGridLines="0" zoomScaleNormal="100" workbookViewId="0">
      <selection activeCell="C2" sqref="C2"/>
    </sheetView>
  </sheetViews>
  <sheetFormatPr defaultColWidth="0" defaultRowHeight="15" zeroHeight="1" x14ac:dyDescent="0.25"/>
  <cols>
    <col min="1" max="1" width="2.85546875" hidden="1" customWidth="1"/>
    <col min="2" max="2" width="11.28515625" style="3" hidden="1" customWidth="1"/>
    <col min="3" max="3" width="10.7109375" style="3" hidden="1" customWidth="1"/>
    <col min="4" max="4" width="2.85546875" hidden="1" customWidth="1"/>
    <col min="5" max="5" width="11.28515625" style="3" hidden="1" customWidth="1"/>
    <col min="6" max="26" width="10.85546875" style="3" hidden="1" customWidth="1"/>
    <col min="27" max="27" width="2.85546875" hidden="1" customWidth="1"/>
    <col min="28" max="16384" width="9.140625" hidden="1"/>
  </cols>
  <sheetData>
    <row r="1" spans="2:27" x14ac:dyDescent="0.25"/>
    <row r="2" spans="2:27" x14ac:dyDescent="0.25">
      <c r="B2" s="11" t="s">
        <v>34</v>
      </c>
      <c r="C2" s="153">
        <v>46064</v>
      </c>
      <c r="E2" s="11" t="s">
        <v>87</v>
      </c>
      <c r="F2" s="90">
        <f>B8</f>
        <v>46064</v>
      </c>
      <c r="G2" s="90">
        <f>DATE(G3,12,31)</f>
        <v>46022</v>
      </c>
      <c r="H2" s="90">
        <f t="shared" ref="H2:K2" si="0">DATE(H3,12,31)</f>
        <v>46387</v>
      </c>
      <c r="I2" s="90">
        <f t="shared" si="0"/>
        <v>46752</v>
      </c>
      <c r="J2" s="90">
        <f t="shared" si="0"/>
        <v>47118</v>
      </c>
      <c r="K2" s="90">
        <f t="shared" si="0"/>
        <v>47483</v>
      </c>
    </row>
    <row r="3" spans="2:27" x14ac:dyDescent="0.25">
      <c r="E3" s="12" t="s">
        <v>88</v>
      </c>
      <c r="F3" s="9"/>
      <c r="G3" s="158">
        <v>2025</v>
      </c>
      <c r="H3" s="158">
        <v>2026</v>
      </c>
      <c r="I3" s="158">
        <v>2027</v>
      </c>
      <c r="J3" s="158">
        <v>2028</v>
      </c>
      <c r="K3" s="158">
        <v>2029</v>
      </c>
    </row>
    <row r="4" spans="2:27" x14ac:dyDescent="0.25">
      <c r="B4" s="36" t="s">
        <v>37</v>
      </c>
      <c r="C4" s="10"/>
      <c r="E4" s="12" t="s">
        <v>86</v>
      </c>
      <c r="F4" s="91">
        <f>C8/100</f>
        <v>3.659640073776245E-2</v>
      </c>
      <c r="G4" s="159">
        <v>3.6249999999999998E-2</v>
      </c>
      <c r="H4" s="159">
        <v>3.3750000000000002E-2</v>
      </c>
      <c r="I4" s="159">
        <v>3.125E-2</v>
      </c>
      <c r="J4" s="159">
        <v>3.125E-2</v>
      </c>
      <c r="K4" s="159">
        <v>0.03</v>
      </c>
    </row>
    <row r="5" spans="2:27" x14ac:dyDescent="0.25">
      <c r="B5" s="12" t="s">
        <v>35</v>
      </c>
      <c r="C5" s="12" t="s">
        <v>32</v>
      </c>
    </row>
    <row r="6" spans="2:27" x14ac:dyDescent="0.25">
      <c r="B6" s="4">
        <f>EDATE(C2,-2)</f>
        <v>46002</v>
      </c>
      <c r="C6" s="154">
        <v>3.7501199999999999</v>
      </c>
      <c r="E6" s="11" t="s">
        <v>38</v>
      </c>
      <c r="F6" s="69">
        <v>0</v>
      </c>
      <c r="G6" s="69">
        <v>0.01</v>
      </c>
      <c r="H6" s="69">
        <v>0.02</v>
      </c>
      <c r="I6" s="69">
        <v>0.03</v>
      </c>
      <c r="J6" s="69">
        <v>3.5000000000000003E-2</v>
      </c>
      <c r="K6" s="69">
        <v>0.04</v>
      </c>
      <c r="L6" s="69">
        <v>4.4999999999999998E-2</v>
      </c>
      <c r="M6" s="69">
        <v>0.05</v>
      </c>
      <c r="N6" s="69">
        <v>5.5E-2</v>
      </c>
      <c r="O6" s="69">
        <v>0.06</v>
      </c>
      <c r="P6" s="69">
        <v>7.0099999999999996E-2</v>
      </c>
      <c r="Q6" s="69" t="str">
        <f t="shared" ref="Q6:Z6" si="1">IF(Q7="","",Q7+(IF(Q7=MIN($F$7:$Z$7),-0.01%,IF(Q7=MAX($F$7:$Z$7),0.01%,0))))</f>
        <v/>
      </c>
      <c r="R6" s="69" t="str">
        <f t="shared" si="1"/>
        <v/>
      </c>
      <c r="S6" s="69" t="str">
        <f t="shared" si="1"/>
        <v/>
      </c>
      <c r="T6" s="69" t="str">
        <f t="shared" si="1"/>
        <v/>
      </c>
      <c r="U6" s="69" t="str">
        <f t="shared" si="1"/>
        <v/>
      </c>
      <c r="V6" s="69" t="str">
        <f t="shared" si="1"/>
        <v/>
      </c>
      <c r="W6" s="69" t="str">
        <f t="shared" si="1"/>
        <v/>
      </c>
      <c r="X6" s="69" t="str">
        <f t="shared" si="1"/>
        <v/>
      </c>
      <c r="Y6" s="69" t="str">
        <f t="shared" si="1"/>
        <v/>
      </c>
      <c r="Z6" s="69" t="str">
        <f t="shared" si="1"/>
        <v/>
      </c>
    </row>
    <row r="7" spans="2:27" x14ac:dyDescent="0.25">
      <c r="B7" s="4">
        <f>EDATE(C2,-1)</f>
        <v>46033</v>
      </c>
      <c r="C7" s="154">
        <v>3.67788</v>
      </c>
      <c r="E7" s="155" t="s">
        <v>36</v>
      </c>
      <c r="F7" s="156">
        <v>1E-4</v>
      </c>
      <c r="G7" s="156">
        <v>0.01</v>
      </c>
      <c r="H7" s="156">
        <v>0.02</v>
      </c>
      <c r="I7" s="156">
        <v>0.03</v>
      </c>
      <c r="J7" s="156">
        <v>3.5000000000000003E-2</v>
      </c>
      <c r="K7" s="156">
        <v>0.04</v>
      </c>
      <c r="L7" s="156">
        <v>4.4999999999999998E-2</v>
      </c>
      <c r="M7" s="156">
        <v>0.05</v>
      </c>
      <c r="N7" s="156">
        <v>5.5E-2</v>
      </c>
      <c r="O7" s="156">
        <v>0.06</v>
      </c>
      <c r="P7" s="156">
        <v>7.0000000000000007E-2</v>
      </c>
      <c r="Q7" s="156"/>
      <c r="R7" s="156"/>
      <c r="S7" s="156"/>
      <c r="T7" s="156"/>
      <c r="U7" s="156"/>
      <c r="V7" s="156"/>
      <c r="W7" s="156"/>
      <c r="X7" s="156"/>
      <c r="Y7" s="156"/>
      <c r="Z7" s="156"/>
      <c r="AA7" s="2"/>
    </row>
    <row r="8" spans="2:27" x14ac:dyDescent="0.25">
      <c r="B8" s="4">
        <f>C2</f>
        <v>46064</v>
      </c>
      <c r="C8" s="154">
        <v>3.6596400737762451</v>
      </c>
      <c r="E8" s="157">
        <v>61.240328238007194</v>
      </c>
      <c r="F8" s="216">
        <v>130.66475789054454</v>
      </c>
      <c r="G8" s="157">
        <v>112.59469780683781</v>
      </c>
      <c r="H8" s="157">
        <v>92.692249662922961</v>
      </c>
      <c r="I8" s="157">
        <v>72.057416160914713</v>
      </c>
      <c r="J8" s="157">
        <v>63.500140967520124</v>
      </c>
      <c r="K8" s="157">
        <v>60.822484536136415</v>
      </c>
      <c r="L8" s="157">
        <v>66.635927769370213</v>
      </c>
      <c r="M8" s="216">
        <v>76.784348211655825</v>
      </c>
      <c r="N8" s="157">
        <v>88.15102659954573</v>
      </c>
      <c r="O8" s="157">
        <v>99.748169719167564</v>
      </c>
      <c r="P8" s="216">
        <v>122.69205251720008</v>
      </c>
      <c r="Q8" s="157"/>
      <c r="R8" s="157"/>
      <c r="S8" s="157"/>
      <c r="T8" s="157"/>
      <c r="U8" s="157"/>
      <c r="V8" s="157"/>
      <c r="W8" s="157"/>
      <c r="X8" s="157"/>
      <c r="Y8" s="157"/>
      <c r="Z8" s="157"/>
    </row>
    <row r="9" spans="2:27" x14ac:dyDescent="0.25">
      <c r="B9" s="4">
        <f>EDATE(B$8,COUNT(B$8:B8))</f>
        <v>46092</v>
      </c>
      <c r="C9" s="154">
        <v>3.6488071335794512</v>
      </c>
      <c r="E9" s="157">
        <v>61.76949630214262</v>
      </c>
      <c r="F9" s="157">
        <v>132.09589519053469</v>
      </c>
      <c r="G9" s="157">
        <v>114.02302808203189</v>
      </c>
      <c r="H9" s="157">
        <v>94.035918210117686</v>
      </c>
      <c r="I9" s="157">
        <v>73.155792230450118</v>
      </c>
      <c r="J9" s="157">
        <v>64.298325958069114</v>
      </c>
      <c r="K9" s="157">
        <v>60.819548932287184</v>
      </c>
      <c r="L9" s="157">
        <v>65.743812252358026</v>
      </c>
      <c r="M9" s="216">
        <v>75.471377334451375</v>
      </c>
      <c r="N9" s="157">
        <v>86.648776736044425</v>
      </c>
      <c r="O9" s="157">
        <v>98.126851068806104</v>
      </c>
      <c r="P9" s="216">
        <v>120.91333163037723</v>
      </c>
      <c r="Q9" s="157"/>
      <c r="R9" s="157"/>
      <c r="S9" s="157"/>
      <c r="T9" s="157"/>
      <c r="U9" s="157"/>
      <c r="V9" s="157"/>
      <c r="W9" s="157"/>
      <c r="X9" s="157"/>
      <c r="Y9" s="157"/>
      <c r="Z9" s="157"/>
    </row>
    <row r="10" spans="2:27" x14ac:dyDescent="0.25">
      <c r="B10" s="4">
        <f>EDATE(B$8,COUNT(B$8:B9))</f>
        <v>46123</v>
      </c>
      <c r="C10" s="154">
        <v>3.6294673420255386</v>
      </c>
      <c r="E10" s="157">
        <v>62.267304617569671</v>
      </c>
      <c r="F10" s="157">
        <v>133.4881474793396</v>
      </c>
      <c r="G10" s="157">
        <v>115.38934622268664</v>
      </c>
      <c r="H10" s="157">
        <v>95.285624730931346</v>
      </c>
      <c r="I10" s="157">
        <v>74.127850981736358</v>
      </c>
      <c r="J10" s="157">
        <v>64.9933430580639</v>
      </c>
      <c r="K10" s="157">
        <v>60.92100730134036</v>
      </c>
      <c r="L10" s="157">
        <v>65.068049589293608</v>
      </c>
      <c r="M10" s="216">
        <v>74.365012667705926</v>
      </c>
      <c r="N10" s="157">
        <v>85.329650804168935</v>
      </c>
      <c r="O10" s="157">
        <v>96.66362171388279</v>
      </c>
      <c r="P10" s="216">
        <v>119.24929285746431</v>
      </c>
      <c r="Q10" s="157"/>
      <c r="R10" s="157"/>
      <c r="S10" s="157"/>
      <c r="T10" s="157"/>
      <c r="U10" s="157"/>
      <c r="V10" s="157"/>
      <c r="W10" s="157"/>
      <c r="X10" s="157"/>
      <c r="Y10" s="157"/>
      <c r="Z10" s="157"/>
    </row>
    <row r="11" spans="2:27" x14ac:dyDescent="0.25">
      <c r="B11" s="4">
        <f>EDATE(B$8,COUNT(B$8:B10))</f>
        <v>46153</v>
      </c>
      <c r="C11" s="154">
        <v>3.6121732232225026</v>
      </c>
      <c r="E11" s="157">
        <v>61.165945154411538</v>
      </c>
      <c r="F11" s="157">
        <v>130.82742305793272</v>
      </c>
      <c r="G11" s="157">
        <v>112.28374148917757</v>
      </c>
      <c r="H11" s="157">
        <v>91.718196185898364</v>
      </c>
      <c r="I11" s="157">
        <v>70.555741582442252</v>
      </c>
      <c r="J11" s="157">
        <v>62.70419659191959</v>
      </c>
      <c r="K11" s="157">
        <v>61.597210390325564</v>
      </c>
      <c r="L11" s="157">
        <v>68.090016125838389</v>
      </c>
      <c r="M11" s="216">
        <v>78.09874660947446</v>
      </c>
      <c r="N11" s="157">
        <v>89.152399776134402</v>
      </c>
      <c r="O11" s="157">
        <v>100.38934317306358</v>
      </c>
      <c r="P11" s="216">
        <v>122.69834422011331</v>
      </c>
      <c r="Q11" s="157"/>
      <c r="R11" s="157"/>
      <c r="S11" s="157"/>
      <c r="T11" s="157"/>
      <c r="U11" s="157"/>
      <c r="V11" s="157"/>
      <c r="W11" s="157"/>
      <c r="X11" s="157"/>
      <c r="Y11" s="157"/>
      <c r="Z11" s="157"/>
    </row>
    <row r="12" spans="2:27" x14ac:dyDescent="0.25">
      <c r="B12" s="4">
        <f>EDATE(B$8,COUNT(B$8:B11))</f>
        <v>46184</v>
      </c>
      <c r="C12" s="154">
        <v>3.5034939949360577</v>
      </c>
      <c r="E12" s="157">
        <v>61.324110400300789</v>
      </c>
      <c r="F12" s="157">
        <v>131.98271351151817</v>
      </c>
      <c r="G12" s="157">
        <v>113.37050420699002</v>
      </c>
      <c r="H12" s="157">
        <v>92.675860726848185</v>
      </c>
      <c r="I12" s="157">
        <v>71.236387151874354</v>
      </c>
      <c r="J12" s="157">
        <v>63.058214285113387</v>
      </c>
      <c r="K12" s="157">
        <v>61.475641019794125</v>
      </c>
      <c r="L12" s="157">
        <v>67.513804372625415</v>
      </c>
      <c r="M12" s="216">
        <v>77.278478812982797</v>
      </c>
      <c r="N12" s="157">
        <v>88.169594324802063</v>
      </c>
      <c r="O12" s="157">
        <v>99.279686523692604</v>
      </c>
      <c r="P12" s="216">
        <v>121.36402207652304</v>
      </c>
      <c r="Q12" s="157"/>
      <c r="R12" s="157"/>
      <c r="S12" s="157"/>
      <c r="T12" s="157"/>
      <c r="U12" s="157"/>
      <c r="V12" s="157"/>
      <c r="W12" s="157"/>
      <c r="X12" s="157"/>
      <c r="Y12" s="157"/>
      <c r="Z12" s="157"/>
    </row>
    <row r="13" spans="2:27" x14ac:dyDescent="0.25">
      <c r="B13" s="4">
        <f>EDATE(B$8,COUNT(B$8:B12))</f>
        <v>46214</v>
      </c>
      <c r="C13" s="154">
        <v>3.4448644433826558</v>
      </c>
      <c r="E13" s="157">
        <v>61.416660793981151</v>
      </c>
      <c r="F13" s="157">
        <v>132.99411678198263</v>
      </c>
      <c r="G13" s="157">
        <v>114.29911429947468</v>
      </c>
      <c r="H13" s="157">
        <v>93.460559807853954</v>
      </c>
      <c r="I13" s="157">
        <v>71.751454902456103</v>
      </c>
      <c r="J13" s="157">
        <v>63.295260012311161</v>
      </c>
      <c r="K13" s="157">
        <v>61.395490411212329</v>
      </c>
      <c r="L13" s="157">
        <v>67.128034730052249</v>
      </c>
      <c r="M13" s="216">
        <v>76.688654570606303</v>
      </c>
      <c r="N13" s="157">
        <v>87.422025258039454</v>
      </c>
      <c r="O13" s="157">
        <v>98.401433285192041</v>
      </c>
      <c r="P13" s="216">
        <v>120.24598101333439</v>
      </c>
      <c r="Q13" s="157"/>
      <c r="R13" s="157"/>
      <c r="S13" s="157"/>
      <c r="T13" s="157"/>
      <c r="U13" s="157"/>
      <c r="V13" s="157"/>
      <c r="W13" s="157"/>
      <c r="X13" s="157"/>
      <c r="Y13" s="157"/>
      <c r="Z13" s="157"/>
    </row>
    <row r="14" spans="2:27" x14ac:dyDescent="0.25">
      <c r="B14" s="4">
        <f>EDATE(B$8,COUNT(B$8:B13))</f>
        <v>46245</v>
      </c>
      <c r="C14" s="154">
        <v>3.3994429169521001</v>
      </c>
      <c r="E14" s="157">
        <v>61.05129152771778</v>
      </c>
      <c r="F14" s="157">
        <v>130.92436706375742</v>
      </c>
      <c r="G14" s="157">
        <v>111.84849004674339</v>
      </c>
      <c r="H14" s="157">
        <v>90.588476279882499</v>
      </c>
      <c r="I14" s="157">
        <v>68.952677355567118</v>
      </c>
      <c r="J14" s="157">
        <v>61.846774701563291</v>
      </c>
      <c r="K14" s="157">
        <v>62.404676859347788</v>
      </c>
      <c r="L14" s="157">
        <v>69.639569752225682</v>
      </c>
      <c r="M14" s="216">
        <v>79.587705183289756</v>
      </c>
      <c r="N14" s="157">
        <v>90.323918130177717</v>
      </c>
      <c r="O14" s="157">
        <v>101.21189046091878</v>
      </c>
      <c r="P14" s="216">
        <v>122.7699304785761</v>
      </c>
      <c r="Q14" s="157"/>
      <c r="R14" s="157"/>
      <c r="S14" s="157"/>
      <c r="T14" s="157"/>
      <c r="U14" s="157"/>
      <c r="V14" s="157"/>
      <c r="W14" s="157"/>
      <c r="X14" s="157"/>
      <c r="Y14" s="157"/>
      <c r="Z14" s="157"/>
    </row>
    <row r="15" spans="2:27" x14ac:dyDescent="0.25">
      <c r="B15" s="4">
        <f>EDATE(B$8,COUNT(B$8:B14))</f>
        <v>46276</v>
      </c>
      <c r="C15" s="154">
        <v>3.3016426049774061</v>
      </c>
      <c r="E15" s="157">
        <v>60.982952933026382</v>
      </c>
      <c r="F15" s="157">
        <v>131.97187171231977</v>
      </c>
      <c r="G15" s="157">
        <v>112.82516198514784</v>
      </c>
      <c r="H15" s="157">
        <v>91.43061244239837</v>
      </c>
      <c r="I15" s="157">
        <v>69.474935627880981</v>
      </c>
      <c r="J15" s="157">
        <v>61.96633157220294</v>
      </c>
      <c r="K15" s="157">
        <v>62.161895061823678</v>
      </c>
      <c r="L15" s="157">
        <v>69.166326338163969</v>
      </c>
      <c r="M15" s="216">
        <v>78.947477681241324</v>
      </c>
      <c r="N15" s="157">
        <v>89.540491549588367</v>
      </c>
      <c r="O15" s="157">
        <v>100.30367811846104</v>
      </c>
      <c r="P15" s="216">
        <v>121.63557168067891</v>
      </c>
      <c r="Q15" s="157"/>
      <c r="R15" s="157"/>
      <c r="S15" s="157"/>
      <c r="T15" s="157"/>
      <c r="U15" s="157"/>
      <c r="V15" s="157"/>
      <c r="W15" s="157"/>
      <c r="X15" s="157"/>
      <c r="Y15" s="157"/>
      <c r="Z15" s="157"/>
    </row>
    <row r="16" spans="2:27" x14ac:dyDescent="0.25">
      <c r="B16" s="4">
        <f>EDATE(B$8,COUNT(B$8:B15))</f>
        <v>46306</v>
      </c>
      <c r="C16" s="154">
        <v>3.2551878288218372</v>
      </c>
      <c r="E16" s="157">
        <v>60.878121775955883</v>
      </c>
      <c r="F16" s="157">
        <v>132.88628069744163</v>
      </c>
      <c r="G16" s="157">
        <v>113.64956089073956</v>
      </c>
      <c r="H16" s="157">
        <v>92.104960373021683</v>
      </c>
      <c r="I16" s="157">
        <v>69.849408283097631</v>
      </c>
      <c r="J16" s="157">
        <v>62.005709598437186</v>
      </c>
      <c r="K16" s="157">
        <v>61.96129424215583</v>
      </c>
      <c r="L16" s="157">
        <v>68.859549590525631</v>
      </c>
      <c r="M16" s="216">
        <v>78.5131416037934</v>
      </c>
      <c r="N16" s="157">
        <v>88.967976119737514</v>
      </c>
      <c r="O16" s="157">
        <v>99.60134851979403</v>
      </c>
      <c r="P16" s="216">
        <v>120.69258808054943</v>
      </c>
      <c r="Q16" s="157"/>
      <c r="R16" s="157"/>
      <c r="S16" s="157"/>
      <c r="T16" s="157"/>
      <c r="U16" s="157"/>
      <c r="V16" s="157"/>
      <c r="W16" s="157"/>
      <c r="X16" s="157"/>
      <c r="Y16" s="157"/>
      <c r="Z16" s="157"/>
    </row>
    <row r="17" spans="2:26" x14ac:dyDescent="0.25">
      <c r="B17" s="4">
        <f>EDATE(B$8,COUNT(B$8:B16))</f>
        <v>46337</v>
      </c>
      <c r="C17" s="154">
        <v>3.2135881179584658</v>
      </c>
      <c r="E17" s="157">
        <v>61.069846300566645</v>
      </c>
      <c r="F17" s="157">
        <v>131.08507281335034</v>
      </c>
      <c r="G17" s="157">
        <v>111.4416837623354</v>
      </c>
      <c r="H17" s="157">
        <v>89.514728277087968</v>
      </c>
      <c r="I17" s="157">
        <v>67.472832750445434</v>
      </c>
      <c r="J17" s="157">
        <v>61.126158278613509</v>
      </c>
      <c r="K17" s="157">
        <v>63.329466863017835</v>
      </c>
      <c r="L17" s="157">
        <v>71.29507224471358</v>
      </c>
      <c r="M17" s="216">
        <v>81.181744107494978</v>
      </c>
      <c r="N17" s="157">
        <v>91.593080548615589</v>
      </c>
      <c r="O17" s="157">
        <v>102.09836789400299</v>
      </c>
      <c r="P17" s="216">
        <v>122.90028006893164</v>
      </c>
      <c r="Q17" s="157"/>
      <c r="R17" s="157"/>
      <c r="S17" s="157"/>
      <c r="T17" s="157"/>
      <c r="U17" s="157"/>
      <c r="V17" s="157"/>
      <c r="W17" s="157"/>
      <c r="X17" s="157"/>
      <c r="Y17" s="157"/>
      <c r="Z17" s="157"/>
    </row>
    <row r="18" spans="2:26" x14ac:dyDescent="0.25">
      <c r="B18" s="4">
        <f>EDATE(B$8,COUNT(B$8:B17))</f>
        <v>46367</v>
      </c>
      <c r="C18" s="154">
        <v>3.1915661082672111</v>
      </c>
      <c r="E18" s="157">
        <v>64.88332177155624</v>
      </c>
      <c r="F18" s="157">
        <v>131.35575869264818</v>
      </c>
      <c r="G18" s="157">
        <v>112.30723693781637</v>
      </c>
      <c r="H18" s="157">
        <v>91.185787767847657</v>
      </c>
      <c r="I18" s="157">
        <v>70.493259238290477</v>
      </c>
      <c r="J18" s="157">
        <v>64.853151719742485</v>
      </c>
      <c r="K18" s="157">
        <v>67.04166467515418</v>
      </c>
      <c r="L18" s="157">
        <v>74.642906775456368</v>
      </c>
      <c r="M18" s="216">
        <v>84.220458068991732</v>
      </c>
      <c r="N18" s="157">
        <v>94.422266613573342</v>
      </c>
      <c r="O18" s="157">
        <v>104.77858786142762</v>
      </c>
      <c r="P18" s="216">
        <v>125.39533292902168</v>
      </c>
      <c r="Q18" s="157"/>
      <c r="R18" s="157"/>
      <c r="S18" s="157"/>
      <c r="T18" s="157"/>
      <c r="U18" s="157"/>
      <c r="V18" s="157"/>
      <c r="W18" s="157"/>
      <c r="X18" s="157"/>
      <c r="Y18" s="157"/>
      <c r="Z18" s="157"/>
    </row>
    <row r="19" spans="2:26" x14ac:dyDescent="0.25">
      <c r="B19" s="4">
        <f>EDATE(B$8,COUNT(B$8:B18))</f>
        <v>46398</v>
      </c>
      <c r="C19" s="154">
        <v>3.1649566751940674</v>
      </c>
      <c r="E19" s="157">
        <v>68.955065706755406</v>
      </c>
      <c r="F19" s="157">
        <v>131.66586139449049</v>
      </c>
      <c r="G19" s="157">
        <v>113.25579939049715</v>
      </c>
      <c r="H19" s="157">
        <v>93.000822714766898</v>
      </c>
      <c r="I19" s="157">
        <v>73.757113350365174</v>
      </c>
      <c r="J19" s="157">
        <v>68.848998165086286</v>
      </c>
      <c r="K19" s="157">
        <v>70.991855345182515</v>
      </c>
      <c r="L19" s="157">
        <v>78.198511428269711</v>
      </c>
      <c r="M19" s="216">
        <v>87.447672042578617</v>
      </c>
      <c r="N19" s="157">
        <v>97.427025665636464</v>
      </c>
      <c r="O19" s="157">
        <v>107.62524295760146</v>
      </c>
      <c r="P19" s="216">
        <v>128.0453189699472</v>
      </c>
      <c r="Q19" s="157"/>
      <c r="R19" s="157"/>
      <c r="S19" s="157"/>
      <c r="T19" s="157"/>
      <c r="U19" s="157"/>
      <c r="V19" s="157"/>
      <c r="W19" s="157"/>
      <c r="X19" s="157"/>
      <c r="Y19" s="157"/>
      <c r="Z19" s="157"/>
    </row>
    <row r="20" spans="2:26" x14ac:dyDescent="0.25">
      <c r="B20" s="4">
        <f>EDATE(B$8,COUNT(B$8:B19))</f>
        <v>46429</v>
      </c>
      <c r="C20" s="154">
        <v>3.1655680544151146</v>
      </c>
      <c r="E20" s="157">
        <v>72.962172870918891</v>
      </c>
      <c r="F20" s="157">
        <v>132.3091684322535</v>
      </c>
      <c r="G20" s="157">
        <v>114.56839216685518</v>
      </c>
      <c r="H20" s="157">
        <v>95.199070062045934</v>
      </c>
      <c r="I20" s="157">
        <v>77.291975617616032</v>
      </c>
      <c r="J20" s="157">
        <v>72.898898681055343</v>
      </c>
      <c r="K20" s="157">
        <v>74.753886601390434</v>
      </c>
      <c r="L20" s="157">
        <v>81.431178752989723</v>
      </c>
      <c r="M20" s="216">
        <v>90.31067104959952</v>
      </c>
      <c r="N20" s="157">
        <v>100.05123016368923</v>
      </c>
      <c r="O20" s="157">
        <v>110.08656195527998</v>
      </c>
      <c r="P20" s="216">
        <v>130.3116836392814</v>
      </c>
      <c r="Q20" s="157"/>
      <c r="R20" s="157"/>
      <c r="S20" s="157"/>
      <c r="T20" s="157"/>
      <c r="U20" s="157"/>
      <c r="V20" s="157"/>
      <c r="W20" s="157"/>
      <c r="X20" s="157"/>
      <c r="Y20" s="157"/>
      <c r="Z20" s="157"/>
    </row>
    <row r="21" spans="2:26" x14ac:dyDescent="0.25">
      <c r="B21" s="4">
        <f>EDATE(B$8,COUNT(B$8:B20))</f>
        <v>46457</v>
      </c>
      <c r="C21" s="154">
        <v>3.1659714684477915</v>
      </c>
      <c r="E21" s="157">
        <v>73.326830429989542</v>
      </c>
      <c r="F21" s="157">
        <v>132.37207290212251</v>
      </c>
      <c r="G21" s="157">
        <v>114.70533476927444</v>
      </c>
      <c r="H21" s="157">
        <v>95.43007487677751</v>
      </c>
      <c r="I21" s="157">
        <v>77.645411944713175</v>
      </c>
      <c r="J21" s="157">
        <v>73.279180191731768</v>
      </c>
      <c r="K21" s="157">
        <v>75.082440388387525</v>
      </c>
      <c r="L21" s="157">
        <v>81.700911000462739</v>
      </c>
      <c r="M21" s="216">
        <v>90.549470741472888</v>
      </c>
      <c r="N21" s="157">
        <v>100.27447889528536</v>
      </c>
      <c r="O21" s="157">
        <v>110.30276569287633</v>
      </c>
      <c r="P21" s="216">
        <v>130.52645087037368</v>
      </c>
      <c r="Q21" s="157"/>
      <c r="R21" s="157"/>
      <c r="S21" s="157"/>
      <c r="T21" s="157"/>
      <c r="U21" s="157"/>
      <c r="V21" s="157"/>
      <c r="W21" s="157"/>
      <c r="X21" s="157"/>
      <c r="Y21" s="157"/>
      <c r="Z21" s="157"/>
    </row>
    <row r="22" spans="2:26" x14ac:dyDescent="0.25">
      <c r="B22" s="4">
        <f>EDATE(B$8,COUNT(B$8:B21))</f>
        <v>46488</v>
      </c>
      <c r="C22" s="154">
        <v>3.1658323853122283</v>
      </c>
      <c r="E22" s="157">
        <v>73.297047225325642</v>
      </c>
      <c r="F22" s="157">
        <v>132.37101943064656</v>
      </c>
      <c r="G22" s="157">
        <v>114.71610677739845</v>
      </c>
      <c r="H22" s="157">
        <v>95.452020650291615</v>
      </c>
      <c r="I22" s="157">
        <v>77.66018557061372</v>
      </c>
      <c r="J22" s="157">
        <v>73.264450697139054</v>
      </c>
      <c r="K22" s="157">
        <v>75.037055800552181</v>
      </c>
      <c r="L22" s="157">
        <v>81.647033564708238</v>
      </c>
      <c r="M22" s="216">
        <v>90.502737253970267</v>
      </c>
      <c r="N22" s="157">
        <v>100.23792818088857</v>
      </c>
      <c r="O22" s="157">
        <v>110.27762482395762</v>
      </c>
      <c r="P22" s="216">
        <v>130.52382019832845</v>
      </c>
      <c r="Q22" s="157"/>
      <c r="R22" s="157"/>
      <c r="S22" s="157"/>
      <c r="T22" s="157"/>
      <c r="U22" s="157"/>
      <c r="V22" s="157"/>
      <c r="W22" s="157"/>
      <c r="X22" s="157"/>
      <c r="Y22" s="157"/>
      <c r="Z22" s="157"/>
    </row>
    <row r="23" spans="2:26" x14ac:dyDescent="0.25">
      <c r="B23" s="4">
        <f>EDATE(B$8,COUNT(B$8:B22))</f>
        <v>46518</v>
      </c>
      <c r="C23" s="154">
        <v>3.1661105597286801</v>
      </c>
      <c r="E23" s="157">
        <v>73.269666057908267</v>
      </c>
      <c r="F23" s="157">
        <v>132.37217445399699</v>
      </c>
      <c r="G23" s="157">
        <v>114.72820044720824</v>
      </c>
      <c r="H23" s="157">
        <v>95.474337651745387</v>
      </c>
      <c r="I23" s="157">
        <v>77.675271172122208</v>
      </c>
      <c r="J23" s="157">
        <v>73.251446348744835</v>
      </c>
      <c r="K23" s="157">
        <v>74.994751681931731</v>
      </c>
      <c r="L23" s="157">
        <v>81.596195614332089</v>
      </c>
      <c r="M23" s="216">
        <v>90.458038071402854</v>
      </c>
      <c r="N23" s="157">
        <v>100.20233204215036</v>
      </c>
      <c r="O23" s="157">
        <v>110.25232905156747</v>
      </c>
      <c r="P23" s="216">
        <v>130.51893039413949</v>
      </c>
      <c r="Q23" s="157"/>
      <c r="R23" s="157"/>
      <c r="S23" s="157"/>
      <c r="T23" s="157"/>
      <c r="U23" s="157"/>
      <c r="V23" s="157"/>
      <c r="W23" s="157"/>
      <c r="X23" s="157"/>
      <c r="Y23" s="157"/>
      <c r="Z23" s="157"/>
    </row>
    <row r="24" spans="2:26" x14ac:dyDescent="0.25">
      <c r="B24" s="4">
        <f>EDATE(B$8,COUNT(B$8:B23))</f>
        <v>46549</v>
      </c>
      <c r="C24" s="154">
        <v>3.1658323853122283</v>
      </c>
      <c r="E24" s="157">
        <v>73.299650898453137</v>
      </c>
      <c r="F24" s="157">
        <v>132.04341942623233</v>
      </c>
      <c r="G24" s="157">
        <v>114.3884589498486</v>
      </c>
      <c r="H24" s="157">
        <v>95.130909357034326</v>
      </c>
      <c r="I24" s="157">
        <v>77.425613202196288</v>
      </c>
      <c r="J24" s="157">
        <v>73.183417449574947</v>
      </c>
      <c r="K24" s="157">
        <v>75.134356867766812</v>
      </c>
      <c r="L24" s="157">
        <v>81.858639410158702</v>
      </c>
      <c r="M24" s="216">
        <v>90.767517345262135</v>
      </c>
      <c r="N24" s="157">
        <v>100.54044906667031</v>
      </c>
      <c r="O24" s="157">
        <v>110.60736693431255</v>
      </c>
      <c r="P24" s="216">
        <v>130.907654788592</v>
      </c>
      <c r="Q24" s="157"/>
      <c r="R24" s="157"/>
      <c r="S24" s="157"/>
      <c r="T24" s="157"/>
      <c r="U24" s="157"/>
      <c r="V24" s="157"/>
      <c r="W24" s="157"/>
      <c r="X24" s="157"/>
      <c r="Y24" s="157"/>
      <c r="Z24" s="157"/>
    </row>
    <row r="25" spans="2:26" x14ac:dyDescent="0.25">
      <c r="B25" s="4">
        <f>EDATE(B$8,COUNT(B$8:B24))</f>
        <v>46579</v>
      </c>
      <c r="C25" s="154">
        <v>3.1662496591553921</v>
      </c>
      <c r="E25" s="157">
        <v>73.32681594468302</v>
      </c>
      <c r="F25" s="157">
        <v>131.75595380508022</v>
      </c>
      <c r="G25" s="157">
        <v>114.09600393537069</v>
      </c>
      <c r="H25" s="157">
        <v>94.83719498363746</v>
      </c>
      <c r="I25" s="157">
        <v>77.213402001521985</v>
      </c>
      <c r="J25" s="157">
        <v>73.127854588352363</v>
      </c>
      <c r="K25" s="157">
        <v>75.254759227018837</v>
      </c>
      <c r="L25" s="157">
        <v>82.082930158988276</v>
      </c>
      <c r="M25" s="216">
        <v>91.030580128055874</v>
      </c>
      <c r="N25" s="157">
        <v>100.82918487690206</v>
      </c>
      <c r="O25" s="157">
        <v>110.91221635486936</v>
      </c>
      <c r="P25" s="216">
        <v>131.24743616975087</v>
      </c>
      <c r="Q25" s="157"/>
      <c r="R25" s="157"/>
      <c r="S25" s="157"/>
      <c r="T25" s="157"/>
      <c r="U25" s="157"/>
      <c r="V25" s="157"/>
      <c r="W25" s="157"/>
      <c r="X25" s="157"/>
      <c r="Y25" s="157"/>
      <c r="Z25" s="157"/>
    </row>
    <row r="26" spans="2:26" x14ac:dyDescent="0.25">
      <c r="B26" s="4">
        <f>EDATE(B$8,COUNT(B$8:B25))</f>
        <v>46610</v>
      </c>
      <c r="C26" s="154">
        <v>3.2142921917914213</v>
      </c>
      <c r="E26" s="157">
        <v>73.180253004523379</v>
      </c>
      <c r="F26" s="157">
        <v>132.32512526649231</v>
      </c>
      <c r="G26" s="157">
        <v>114.79038321437652</v>
      </c>
      <c r="H26" s="157">
        <v>95.569977124277415</v>
      </c>
      <c r="I26" s="157">
        <v>77.704714920567724</v>
      </c>
      <c r="J26" s="157">
        <v>73.204382765627258</v>
      </c>
      <c r="K26" s="157">
        <v>74.872813486566798</v>
      </c>
      <c r="L26" s="157">
        <v>81.454607586378401</v>
      </c>
      <c r="M26" s="216">
        <v>90.292071792284275</v>
      </c>
      <c r="N26" s="157">
        <v>100.06392852698222</v>
      </c>
      <c r="O26" s="157">
        <v>110.15229355400595</v>
      </c>
      <c r="P26" s="216">
        <v>130.56072390007552</v>
      </c>
      <c r="Q26" s="157"/>
      <c r="R26" s="157"/>
      <c r="S26" s="157"/>
      <c r="T26" s="157"/>
      <c r="U26" s="157"/>
      <c r="V26" s="157"/>
      <c r="W26" s="157"/>
      <c r="X26" s="157"/>
      <c r="Y26" s="157"/>
      <c r="Z26" s="157"/>
    </row>
    <row r="27" spans="2:26" x14ac:dyDescent="0.25">
      <c r="B27" s="4">
        <f>EDATE(B$8,COUNT(B$8:B26))</f>
        <v>46641</v>
      </c>
      <c r="C27" s="154">
        <v>3.2213069900191904</v>
      </c>
      <c r="E27" s="157">
        <v>73.148860581169444</v>
      </c>
      <c r="F27" s="157">
        <v>132.32820969254578</v>
      </c>
      <c r="G27" s="157">
        <v>114.80603055144441</v>
      </c>
      <c r="H27" s="157">
        <v>95.597344339874653</v>
      </c>
      <c r="I27" s="157">
        <v>77.723234942163586</v>
      </c>
      <c r="J27" s="157">
        <v>73.189741360849212</v>
      </c>
      <c r="K27" s="157">
        <v>74.823657207390184</v>
      </c>
      <c r="L27" s="157">
        <v>81.395099026911595</v>
      </c>
      <c r="M27" s="216">
        <v>90.239262064971783</v>
      </c>
      <c r="N27" s="157">
        <v>100.021366885643</v>
      </c>
      <c r="O27" s="157">
        <v>110.12142646603174</v>
      </c>
      <c r="P27" s="216">
        <v>130.55315632208993</v>
      </c>
      <c r="Q27" s="157"/>
      <c r="R27" s="157"/>
      <c r="S27" s="157"/>
      <c r="T27" s="157"/>
      <c r="U27" s="157"/>
      <c r="V27" s="157"/>
      <c r="W27" s="157"/>
      <c r="X27" s="157"/>
      <c r="Y27" s="157"/>
      <c r="Z27" s="157"/>
    </row>
    <row r="28" spans="2:26" x14ac:dyDescent="0.25">
      <c r="B28" s="4">
        <f>EDATE(B$8,COUNT(B$8:B27))</f>
        <v>46671</v>
      </c>
      <c r="C28" s="154">
        <v>3.2215949945667841</v>
      </c>
      <c r="E28" s="157">
        <v>73.119928436023599</v>
      </c>
      <c r="F28" s="157">
        <v>132.33965136945608</v>
      </c>
      <c r="G28" s="157">
        <v>114.829441585875</v>
      </c>
      <c r="H28" s="157">
        <v>95.631477456767271</v>
      </c>
      <c r="I28" s="157">
        <v>77.746725145665721</v>
      </c>
      <c r="J28" s="157">
        <v>73.178587460629757</v>
      </c>
      <c r="K28" s="157">
        <v>74.775727300452729</v>
      </c>
      <c r="L28" s="157">
        <v>81.334424658018932</v>
      </c>
      <c r="M28" s="216">
        <v>90.183015712400547</v>
      </c>
      <c r="N28" s="157">
        <v>99.973583988615147</v>
      </c>
      <c r="O28" s="157">
        <v>110.08375193128063</v>
      </c>
      <c r="P28" s="216">
        <v>130.53599558384465</v>
      </c>
      <c r="Q28" s="157"/>
      <c r="R28" s="157"/>
      <c r="S28" s="157"/>
      <c r="T28" s="157"/>
      <c r="U28" s="157"/>
      <c r="V28" s="157"/>
      <c r="W28" s="157"/>
      <c r="X28" s="157"/>
      <c r="Y28" s="157"/>
      <c r="Z28" s="157"/>
    </row>
    <row r="29" spans="2:26" x14ac:dyDescent="0.25">
      <c r="B29" s="4">
        <f>EDATE(B$8,COUNT(B$8:B28))</f>
        <v>46702</v>
      </c>
      <c r="C29" s="154">
        <v>3.2213069900194569</v>
      </c>
      <c r="E29" s="157">
        <v>73.092037080549531</v>
      </c>
      <c r="F29" s="157">
        <v>132.33226833152438</v>
      </c>
      <c r="G29" s="157">
        <v>114.83276612119811</v>
      </c>
      <c r="H29" s="157">
        <v>95.64531486298948</v>
      </c>
      <c r="I29" s="157">
        <v>77.755638804780773</v>
      </c>
      <c r="J29" s="157">
        <v>73.162834827917166</v>
      </c>
      <c r="K29" s="157">
        <v>74.735130449612058</v>
      </c>
      <c r="L29" s="157">
        <v>81.28838636957741</v>
      </c>
      <c r="M29" s="216">
        <v>90.144983768991167</v>
      </c>
      <c r="N29" s="157">
        <v>99.945816412841921</v>
      </c>
      <c r="O29" s="157">
        <v>110.06716844279664</v>
      </c>
      <c r="P29" s="216">
        <v>130.54125420078881</v>
      </c>
      <c r="Q29" s="157"/>
      <c r="R29" s="157"/>
      <c r="S29" s="157"/>
      <c r="T29" s="157"/>
      <c r="U29" s="157"/>
      <c r="V29" s="157"/>
      <c r="W29" s="157"/>
      <c r="X29" s="157"/>
      <c r="Y29" s="157"/>
      <c r="Z29" s="157"/>
    </row>
    <row r="30" spans="2:26" x14ac:dyDescent="0.25">
      <c r="B30" s="4">
        <f>EDATE(B$8,COUNT(B$8:B29))</f>
        <v>46732</v>
      </c>
      <c r="C30" s="154">
        <v>3.2218830334396995</v>
      </c>
      <c r="E30" s="157">
        <v>75.986675241347044</v>
      </c>
      <c r="F30" s="157">
        <v>126.14416036802776</v>
      </c>
      <c r="G30" s="157">
        <v>110.30325928051174</v>
      </c>
      <c r="H30" s="157">
        <v>93.33715706159262</v>
      </c>
      <c r="I30" s="157">
        <v>78.598505134393235</v>
      </c>
      <c r="J30" s="157">
        <v>75.598649227155263</v>
      </c>
      <c r="K30" s="157">
        <v>77.906225584571416</v>
      </c>
      <c r="L30" s="157">
        <v>84.3129746743098</v>
      </c>
      <c r="M30" s="216">
        <v>92.694789116651677</v>
      </c>
      <c r="N30" s="157">
        <v>101.94543143809827</v>
      </c>
      <c r="O30" s="157">
        <v>111.52790688143284</v>
      </c>
      <c r="P30" s="216">
        <v>130.97883998352256</v>
      </c>
      <c r="Q30" s="157"/>
      <c r="R30" s="157"/>
      <c r="S30" s="157"/>
      <c r="T30" s="157"/>
      <c r="U30" s="157"/>
      <c r="V30" s="157"/>
      <c r="W30" s="157"/>
      <c r="X30" s="157"/>
      <c r="Y30" s="157"/>
      <c r="Z30" s="157"/>
    </row>
    <row r="31" spans="2:26" x14ac:dyDescent="0.25">
      <c r="B31" s="4">
        <f>EDATE(B$8,COUNT(B$8:B30))</f>
        <v>46763</v>
      </c>
      <c r="C31" s="154">
        <v>3.2215949945670341</v>
      </c>
      <c r="E31" s="157">
        <v>78.86327877797585</v>
      </c>
      <c r="F31" s="157">
        <v>120.28694577999437</v>
      </c>
      <c r="G31" s="157">
        <v>106.07989250383734</v>
      </c>
      <c r="H31" s="157">
        <v>91.31222768233846</v>
      </c>
      <c r="I31" s="157">
        <v>79.657725702332812</v>
      </c>
      <c r="J31" s="157">
        <v>78.101877726878939</v>
      </c>
      <c r="K31" s="157">
        <v>80.968338075424043</v>
      </c>
      <c r="L31" s="157">
        <v>87.163637692444567</v>
      </c>
      <c r="M31" s="216">
        <v>95.071717264597396</v>
      </c>
      <c r="N31" s="157">
        <v>103.79330716683441</v>
      </c>
      <c r="O31" s="157">
        <v>112.86032835095278</v>
      </c>
      <c r="P31" s="216">
        <v>131.33262544023168</v>
      </c>
      <c r="Q31" s="157"/>
      <c r="R31" s="157"/>
      <c r="S31" s="157"/>
      <c r="T31" s="157"/>
      <c r="U31" s="157"/>
      <c r="V31" s="157"/>
      <c r="W31" s="157"/>
      <c r="X31" s="157"/>
      <c r="Y31" s="157"/>
      <c r="Z31" s="157"/>
    </row>
    <row r="32" spans="2:26" x14ac:dyDescent="0.25">
      <c r="B32" s="4">
        <f>EDATE(B$8,COUNT(B$8:B31))</f>
        <v>46794</v>
      </c>
      <c r="C32" s="154">
        <v>3.3516024401973952</v>
      </c>
      <c r="E32" s="157">
        <v>81.325661488618579</v>
      </c>
      <c r="F32" s="157">
        <v>115.64952434673475</v>
      </c>
      <c r="G32" s="157">
        <v>103.28345675198717</v>
      </c>
      <c r="H32" s="157">
        <v>90.777855990269558</v>
      </c>
      <c r="I32" s="157">
        <v>81.589778857350467</v>
      </c>
      <c r="J32" s="157">
        <v>80.622340389305165</v>
      </c>
      <c r="K32" s="157">
        <v>83.132346057776545</v>
      </c>
      <c r="L32" s="157">
        <v>88.521941914281058</v>
      </c>
      <c r="M32" s="216">
        <v>95.635952203815918</v>
      </c>
      <c r="N32" s="157">
        <v>103.66021775580363</v>
      </c>
      <c r="O32" s="157">
        <v>112.11783798557032</v>
      </c>
      <c r="P32" s="216">
        <v>129.50431537412206</v>
      </c>
      <c r="Q32" s="157"/>
      <c r="R32" s="157"/>
      <c r="S32" s="157"/>
      <c r="T32" s="157"/>
      <c r="U32" s="157"/>
      <c r="V32" s="157"/>
      <c r="W32" s="157"/>
      <c r="X32" s="157"/>
      <c r="Y32" s="157"/>
      <c r="Z32" s="157"/>
    </row>
    <row r="33" spans="2:26" x14ac:dyDescent="0.25">
      <c r="B33" s="4">
        <f>EDATE(B$8,COUNT(B$8:B32))</f>
        <v>46823</v>
      </c>
      <c r="C33" s="154">
        <v>3.3568865638292746</v>
      </c>
      <c r="E33" s="157">
        <v>81.401814667994103</v>
      </c>
      <c r="F33" s="157">
        <v>115.50495668576244</v>
      </c>
      <c r="G33" s="157">
        <v>103.19765905159129</v>
      </c>
      <c r="H33" s="157">
        <v>90.76233526153446</v>
      </c>
      <c r="I33" s="157">
        <v>81.648612456301692</v>
      </c>
      <c r="J33" s="157">
        <v>80.699908392893676</v>
      </c>
      <c r="K33" s="157">
        <v>83.199141510320857</v>
      </c>
      <c r="L33" s="157">
        <v>88.561826729952472</v>
      </c>
      <c r="M33" s="216">
        <v>95.64886985793504</v>
      </c>
      <c r="N33" s="157">
        <v>103.64999044644996</v>
      </c>
      <c r="O33" s="157">
        <v>112.08775700083808</v>
      </c>
      <c r="P33" s="216">
        <v>129.44005483011301</v>
      </c>
      <c r="Q33" s="157"/>
      <c r="R33" s="157"/>
      <c r="S33" s="157"/>
      <c r="T33" s="157"/>
      <c r="U33" s="157"/>
      <c r="V33" s="157"/>
      <c r="W33" s="157"/>
      <c r="X33" s="157"/>
      <c r="Y33" s="157"/>
      <c r="Z33" s="157"/>
    </row>
    <row r="34" spans="2:26" x14ac:dyDescent="0.25">
      <c r="B34" s="4">
        <f>EDATE(B$8,COUNT(B$8:B33))</f>
        <v>46854</v>
      </c>
      <c r="C34" s="154">
        <v>3.3567302194227322</v>
      </c>
      <c r="E34" s="157">
        <v>81.400690016670481</v>
      </c>
      <c r="F34" s="157">
        <v>115.50929212574876</v>
      </c>
      <c r="G34" s="157">
        <v>103.20216170523015</v>
      </c>
      <c r="H34" s="157">
        <v>90.766240791518513</v>
      </c>
      <c r="I34" s="157">
        <v>81.650182074573706</v>
      </c>
      <c r="J34" s="157">
        <v>80.699598577222247</v>
      </c>
      <c r="K34" s="157">
        <v>83.197221830270706</v>
      </c>
      <c r="L34" s="157">
        <v>88.559033804000393</v>
      </c>
      <c r="M34" s="216">
        <v>95.645630822123579</v>
      </c>
      <c r="N34" s="157">
        <v>103.64676469143976</v>
      </c>
      <c r="O34" s="157">
        <v>112.08472247312882</v>
      </c>
      <c r="P34" s="216">
        <v>129.43805196749167</v>
      </c>
      <c r="Q34" s="157"/>
      <c r="R34" s="157"/>
      <c r="S34" s="157"/>
      <c r="T34" s="157"/>
      <c r="U34" s="157"/>
      <c r="V34" s="157"/>
      <c r="W34" s="157"/>
      <c r="X34" s="157"/>
      <c r="Y34" s="157"/>
      <c r="Z34" s="157"/>
    </row>
    <row r="35" spans="2:26" x14ac:dyDescent="0.25">
      <c r="B35" s="4">
        <f>EDATE(B$8,COUNT(B$8:B34))</f>
        <v>46884</v>
      </c>
      <c r="C35" s="154">
        <v>3.356573884722676</v>
      </c>
      <c r="E35" s="157">
        <v>81.40248269508308</v>
      </c>
      <c r="F35" s="157">
        <v>115.50622608493182</v>
      </c>
      <c r="G35" s="157">
        <v>103.1988236363313</v>
      </c>
      <c r="H35" s="157">
        <v>90.762925789264301</v>
      </c>
      <c r="I35" s="157">
        <v>81.648604124759686</v>
      </c>
      <c r="J35" s="157">
        <v>80.700247632167716</v>
      </c>
      <c r="K35" s="157">
        <v>83.200410080300628</v>
      </c>
      <c r="L35" s="157">
        <v>88.564205114895614</v>
      </c>
      <c r="M35" s="216">
        <v>95.651913315852511</v>
      </c>
      <c r="N35" s="157">
        <v>103.65384248698655</v>
      </c>
      <c r="O35" s="157">
        <v>112.09236211084001</v>
      </c>
      <c r="P35" s="216">
        <v>129.44695021268308</v>
      </c>
      <c r="Q35" s="157"/>
      <c r="R35" s="157"/>
      <c r="S35" s="157"/>
      <c r="T35" s="157"/>
      <c r="U35" s="157"/>
      <c r="V35" s="157"/>
      <c r="W35" s="157"/>
      <c r="X35" s="157"/>
      <c r="Y35" s="157"/>
      <c r="Z35" s="157"/>
    </row>
    <row r="36" spans="2:26" x14ac:dyDescent="0.25">
      <c r="B36" s="4">
        <f>EDATE(B$8,COUNT(B$8:B35))</f>
        <v>46915</v>
      </c>
      <c r="C36" s="154">
        <v>3.3564175597285306</v>
      </c>
      <c r="E36" s="157">
        <v>81.401359552258356</v>
      </c>
      <c r="F36" s="157">
        <v>115.51070725908774</v>
      </c>
      <c r="G36" s="157">
        <v>103.20347141313673</v>
      </c>
      <c r="H36" s="157">
        <v>90.766940208534493</v>
      </c>
      <c r="I36" s="157">
        <v>81.650207120675702</v>
      </c>
      <c r="J36" s="157">
        <v>80.699943921683101</v>
      </c>
      <c r="K36" s="157">
        <v>83.198498731940404</v>
      </c>
      <c r="L36" s="157">
        <v>88.561446192707493</v>
      </c>
      <c r="M36" s="216">
        <v>95.648725375979097</v>
      </c>
      <c r="N36" s="157">
        <v>103.65070063965003</v>
      </c>
      <c r="O36" s="157">
        <v>112.0894459198194</v>
      </c>
      <c r="P36" s="216">
        <v>129.44518012532924</v>
      </c>
      <c r="Q36" s="157"/>
      <c r="R36" s="157"/>
      <c r="S36" s="157"/>
      <c r="T36" s="157"/>
      <c r="U36" s="157"/>
      <c r="V36" s="157"/>
      <c r="W36" s="157"/>
      <c r="X36" s="157"/>
      <c r="Y36" s="157"/>
      <c r="Z36" s="157"/>
    </row>
    <row r="37" spans="2:26" x14ac:dyDescent="0.25">
      <c r="B37" s="4">
        <f>EDATE(B$8,COUNT(B$8:B36))</f>
        <v>46945</v>
      </c>
      <c r="C37" s="154">
        <v>3.3567302194227322</v>
      </c>
      <c r="E37" s="157">
        <v>81.399455343355001</v>
      </c>
      <c r="F37" s="157">
        <v>115.51703574525168</v>
      </c>
      <c r="G37" s="157">
        <v>103.21008510841672</v>
      </c>
      <c r="H37" s="157">
        <v>90.772788172393078</v>
      </c>
      <c r="I37" s="157">
        <v>81.652623239466166</v>
      </c>
      <c r="J37" s="157">
        <v>80.699379186957046</v>
      </c>
      <c r="K37" s="157">
        <v>83.195213507053253</v>
      </c>
      <c r="L37" s="157">
        <v>88.556525166937902</v>
      </c>
      <c r="M37" s="216">
        <v>95.642942861108807</v>
      </c>
      <c r="N37" s="157">
        <v>103.64472492484023</v>
      </c>
      <c r="O37" s="157">
        <v>112.08356525618643</v>
      </c>
      <c r="P37" s="216">
        <v>129.44028046267726</v>
      </c>
      <c r="Q37" s="157"/>
      <c r="R37" s="157"/>
      <c r="S37" s="157"/>
      <c r="T37" s="157"/>
      <c r="U37" s="157"/>
      <c r="V37" s="157"/>
      <c r="W37" s="157"/>
      <c r="X37" s="157"/>
      <c r="Y37" s="157"/>
      <c r="Z37" s="157"/>
    </row>
    <row r="38" spans="2:26" x14ac:dyDescent="0.25">
      <c r="B38" s="4">
        <f>EDATE(B$8,COUNT(B$8:B37))</f>
        <v>46976</v>
      </c>
      <c r="C38" s="154">
        <v>3.356573884722676</v>
      </c>
      <c r="E38" s="157">
        <v>81.400548524547318</v>
      </c>
      <c r="F38" s="157">
        <v>115.51580338867689</v>
      </c>
      <c r="G38" s="157">
        <v>103.20868503731606</v>
      </c>
      <c r="H38" s="157">
        <v>90.77124689599934</v>
      </c>
      <c r="I38" s="157">
        <v>81.651811293182249</v>
      </c>
      <c r="J38" s="157">
        <v>80.69979953207897</v>
      </c>
      <c r="K38" s="157">
        <v>83.197180914549648</v>
      </c>
      <c r="L38" s="157">
        <v>88.559802799054822</v>
      </c>
      <c r="M38" s="216">
        <v>95.646966005295724</v>
      </c>
      <c r="N38" s="157">
        <v>103.64936981941904</v>
      </c>
      <c r="O38" s="157">
        <v>112.08869755071392</v>
      </c>
      <c r="P38" s="216">
        <v>129.44666447624721</v>
      </c>
      <c r="Q38" s="157"/>
      <c r="R38" s="157"/>
      <c r="S38" s="157"/>
      <c r="T38" s="157"/>
      <c r="U38" s="157"/>
      <c r="V38" s="157"/>
      <c r="W38" s="157"/>
      <c r="X38" s="157"/>
      <c r="Y38" s="157"/>
      <c r="Z38" s="157"/>
    </row>
    <row r="39" spans="2:26" x14ac:dyDescent="0.25">
      <c r="B39" s="4">
        <f>EDATE(B$8,COUNT(B$8:B38))</f>
        <v>47007</v>
      </c>
      <c r="C39" s="154">
        <v>3.3564175597287971</v>
      </c>
      <c r="E39" s="157">
        <v>81.400456825450107</v>
      </c>
      <c r="F39" s="157">
        <v>115.51759921519526</v>
      </c>
      <c r="G39" s="157">
        <v>103.21049249270318</v>
      </c>
      <c r="H39" s="157">
        <v>90.77265656452073</v>
      </c>
      <c r="I39" s="157">
        <v>81.65228468115231</v>
      </c>
      <c r="J39" s="157">
        <v>80.699832103721576</v>
      </c>
      <c r="K39" s="157">
        <v>83.197073680663124</v>
      </c>
      <c r="L39" s="157">
        <v>88.559847796275264</v>
      </c>
      <c r="M39" s="216">
        <v>95.647124822635192</v>
      </c>
      <c r="N39" s="157">
        <v>103.6498367263095</v>
      </c>
      <c r="O39" s="157">
        <v>112.08950576075227</v>
      </c>
      <c r="P39" s="216">
        <v>129.44864818228805</v>
      </c>
      <c r="Q39" s="157"/>
      <c r="R39" s="157"/>
      <c r="S39" s="157"/>
      <c r="T39" s="157"/>
      <c r="U39" s="157"/>
      <c r="V39" s="157"/>
      <c r="W39" s="157"/>
      <c r="X39" s="157"/>
      <c r="Y39" s="157"/>
      <c r="Z39" s="157"/>
    </row>
    <row r="40" spans="2:26" x14ac:dyDescent="0.25">
      <c r="B40" s="4">
        <f>EDATE(B$8,COUNT(B$8:B39))</f>
        <v>47037</v>
      </c>
      <c r="C40" s="154">
        <v>3.356573884722676</v>
      </c>
      <c r="E40" s="157">
        <v>81.399549098838449</v>
      </c>
      <c r="F40" s="157">
        <v>115.52143049804793</v>
      </c>
      <c r="G40" s="157">
        <v>103.21445901270422</v>
      </c>
      <c r="H40" s="157">
        <v>90.776061029970919</v>
      </c>
      <c r="I40" s="157">
        <v>81.653631839340648</v>
      </c>
      <c r="J40" s="157">
        <v>80.699595711679123</v>
      </c>
      <c r="K40" s="157">
        <v>83.195535428817806</v>
      </c>
      <c r="L40" s="157">
        <v>88.557655952466732</v>
      </c>
      <c r="M40" s="216">
        <v>95.644606851423774</v>
      </c>
      <c r="N40" s="157">
        <v>103.64740004570933</v>
      </c>
      <c r="O40" s="157">
        <v>112.08729836361361</v>
      </c>
      <c r="P40" s="216">
        <v>129.44752516715724</v>
      </c>
      <c r="Q40" s="157"/>
      <c r="R40" s="157"/>
      <c r="S40" s="157"/>
      <c r="T40" s="157"/>
      <c r="U40" s="157"/>
      <c r="V40" s="157"/>
      <c r="W40" s="157"/>
      <c r="X40" s="157"/>
      <c r="Y40" s="157"/>
      <c r="Z40" s="157"/>
    </row>
    <row r="41" spans="2:26" x14ac:dyDescent="0.25">
      <c r="B41" s="4">
        <f>EDATE(B$8,COUNT(B$8:B40))</f>
        <v>47068</v>
      </c>
      <c r="C41" s="154">
        <v>3.3564175597290635</v>
      </c>
      <c r="E41" s="157">
        <v>81.473528237509186</v>
      </c>
      <c r="F41" s="157">
        <v>115.0998853259026</v>
      </c>
      <c r="G41" s="157">
        <v>102.890932325264</v>
      </c>
      <c r="H41" s="157">
        <v>90.581702262793982</v>
      </c>
      <c r="I41" s="157">
        <v>81.625497394383558</v>
      </c>
      <c r="J41" s="157">
        <v>80.748589515756748</v>
      </c>
      <c r="K41" s="157">
        <v>83.290088879670179</v>
      </c>
      <c r="L41" s="157">
        <v>88.661870337824098</v>
      </c>
      <c r="M41" s="216">
        <v>95.735045961011792</v>
      </c>
      <c r="N41" s="157">
        <v>103.71369908316461</v>
      </c>
      <c r="O41" s="157">
        <v>112.12523092711844</v>
      </c>
      <c r="P41" s="216">
        <v>129.4264151086889</v>
      </c>
      <c r="Q41" s="157"/>
      <c r="R41" s="157"/>
      <c r="S41" s="157"/>
      <c r="T41" s="157"/>
      <c r="U41" s="157"/>
      <c r="V41" s="157"/>
      <c r="W41" s="157"/>
      <c r="X41" s="157"/>
      <c r="Y41" s="157"/>
      <c r="Z41" s="157"/>
    </row>
    <row r="42" spans="2:26" x14ac:dyDescent="0.25">
      <c r="B42" s="4">
        <f>EDATE(B$8,COUNT(B$8:B41))</f>
        <v>47098</v>
      </c>
      <c r="C42" s="154">
        <v>3.3570429179421044</v>
      </c>
      <c r="E42" s="157">
        <v>82.549170775054449</v>
      </c>
      <c r="F42" s="157">
        <v>109.29122716814585</v>
      </c>
      <c r="G42" s="157">
        <v>98.470760793470546</v>
      </c>
      <c r="H42" s="157">
        <v>87.994920456926209</v>
      </c>
      <c r="I42" s="157">
        <v>81.359519542015391</v>
      </c>
      <c r="J42" s="157">
        <v>81.507961725025808</v>
      </c>
      <c r="K42" s="157">
        <v>84.613576759111297</v>
      </c>
      <c r="L42" s="157">
        <v>90.066351144281739</v>
      </c>
      <c r="M42" s="216">
        <v>96.920531523701968</v>
      </c>
      <c r="N42" s="157">
        <v>104.5476038714277</v>
      </c>
      <c r="O42" s="157">
        <v>112.55486344731895</v>
      </c>
      <c r="P42" s="216">
        <v>129.01495052802829</v>
      </c>
      <c r="Q42" s="157"/>
      <c r="R42" s="157"/>
      <c r="S42" s="157"/>
      <c r="T42" s="157"/>
      <c r="U42" s="157"/>
      <c r="V42" s="157"/>
      <c r="W42" s="157"/>
      <c r="X42" s="157"/>
      <c r="Y42" s="157"/>
      <c r="Z42" s="157"/>
    </row>
    <row r="43" spans="2:26" x14ac:dyDescent="0.25">
      <c r="B43" s="4">
        <f>EDATE(B$8,COUNT(B$8:B42))</f>
        <v>47129</v>
      </c>
      <c r="C43" s="154">
        <v>3.3622331704801152</v>
      </c>
      <c r="E43" s="157">
        <v>83.849878552980584</v>
      </c>
      <c r="F43" s="157">
        <v>103.00627669878868</v>
      </c>
      <c r="G43" s="157">
        <v>93.765840876388481</v>
      </c>
      <c r="H43" s="157">
        <v>85.383388815690168</v>
      </c>
      <c r="I43" s="157">
        <v>81.322866670080003</v>
      </c>
      <c r="J43" s="157">
        <v>82.513893908742617</v>
      </c>
      <c r="K43" s="157">
        <v>86.125454252154881</v>
      </c>
      <c r="L43" s="157">
        <v>91.588311548068432</v>
      </c>
      <c r="M43" s="216">
        <v>98.164035795160473</v>
      </c>
      <c r="N43" s="157">
        <v>105.3884715417615</v>
      </c>
      <c r="O43" s="157">
        <v>112.9444581765383</v>
      </c>
      <c r="P43" s="216">
        <v>128.47402751943372</v>
      </c>
      <c r="Q43" s="157"/>
      <c r="R43" s="157"/>
      <c r="S43" s="157"/>
      <c r="T43" s="157"/>
      <c r="U43" s="157"/>
      <c r="V43" s="157"/>
      <c r="W43" s="157"/>
      <c r="X43" s="157"/>
      <c r="Y43" s="157"/>
      <c r="Z43" s="157"/>
    </row>
    <row r="44" spans="2:26" x14ac:dyDescent="0.25">
      <c r="B44" s="4">
        <f>EDATE(B$8,COUNT(B$8:B43))</f>
        <v>47160</v>
      </c>
      <c r="C44" s="154">
        <v>3.5252405985159356</v>
      </c>
      <c r="E44" s="157">
        <v>83.904156507872941</v>
      </c>
      <c r="F44" s="157">
        <v>98.344301628762921</v>
      </c>
      <c r="G44" s="157">
        <v>90.669414400643433</v>
      </c>
      <c r="H44" s="157">
        <v>83.983782046259535</v>
      </c>
      <c r="I44" s="157">
        <v>81.288109161040452</v>
      </c>
      <c r="J44" s="157">
        <v>82.642970593760808</v>
      </c>
      <c r="K44" s="157">
        <v>85.976410155250321</v>
      </c>
      <c r="L44" s="157">
        <v>90.903523583432261</v>
      </c>
      <c r="M44" s="216">
        <v>96.889086550371502</v>
      </c>
      <c r="N44" s="157">
        <v>103.53461366118752</v>
      </c>
      <c r="O44" s="157">
        <v>110.54668260024573</v>
      </c>
      <c r="P44" s="216">
        <v>125.07874941387442</v>
      </c>
      <c r="Q44" s="157"/>
      <c r="R44" s="157"/>
      <c r="S44" s="157"/>
      <c r="T44" s="157"/>
      <c r="U44" s="157"/>
      <c r="V44" s="157"/>
      <c r="W44" s="157"/>
      <c r="X44" s="157"/>
      <c r="Y44" s="157"/>
      <c r="Z44" s="157"/>
    </row>
    <row r="45" spans="2:26" x14ac:dyDescent="0.25">
      <c r="B45" s="4">
        <f>EDATE(B$8,COUNT(B$8:B44))</f>
        <v>47188</v>
      </c>
      <c r="C45" s="154">
        <v>3.5323707362780712</v>
      </c>
      <c r="E45" s="157">
        <v>83.901108826387883</v>
      </c>
      <c r="F45" s="157">
        <v>98.348220663296573</v>
      </c>
      <c r="G45" s="157">
        <v>90.673204725828199</v>
      </c>
      <c r="H45" s="157">
        <v>83.986527705293597</v>
      </c>
      <c r="I45" s="157">
        <v>81.287996854542357</v>
      </c>
      <c r="J45" s="157">
        <v>82.640794699315634</v>
      </c>
      <c r="K45" s="157">
        <v>85.972379792443931</v>
      </c>
      <c r="L45" s="157">
        <v>90.898156216422095</v>
      </c>
      <c r="M45" s="216">
        <v>96.883088496253123</v>
      </c>
      <c r="N45" s="157">
        <v>103.52820223817147</v>
      </c>
      <c r="O45" s="157">
        <v>110.54007359628844</v>
      </c>
      <c r="P45" s="216">
        <v>125.07166538473355</v>
      </c>
      <c r="Q45" s="157"/>
      <c r="R45" s="157"/>
      <c r="S45" s="157"/>
      <c r="T45" s="157"/>
      <c r="U45" s="157"/>
      <c r="V45" s="157"/>
      <c r="W45" s="157"/>
      <c r="X45" s="157"/>
      <c r="Y45" s="157"/>
      <c r="Z45" s="157"/>
    </row>
    <row r="46" spans="2:26" x14ac:dyDescent="0.25">
      <c r="B46" s="4">
        <f>EDATE(B$8,COUNT(B$8:B45))</f>
        <v>47219</v>
      </c>
      <c r="C46" s="154">
        <v>3.5320245311940917</v>
      </c>
      <c r="E46" s="157">
        <v>83.901568135622583</v>
      </c>
      <c r="F46" s="157">
        <v>98.347966029054803</v>
      </c>
      <c r="G46" s="157">
        <v>90.672941037965685</v>
      </c>
      <c r="H46" s="157">
        <v>83.986409144617937</v>
      </c>
      <c r="I46" s="157">
        <v>81.288259584093325</v>
      </c>
      <c r="J46" s="157">
        <v>82.641189520789638</v>
      </c>
      <c r="K46" s="157">
        <v>85.972893287255488</v>
      </c>
      <c r="L46" s="157">
        <v>90.898760675346253</v>
      </c>
      <c r="M46" s="216">
        <v>96.88397007594746</v>
      </c>
      <c r="N46" s="157">
        <v>103.52919644020801</v>
      </c>
      <c r="O46" s="157">
        <v>110.5411616565078</v>
      </c>
      <c r="P46" s="216">
        <v>125.07247283816901</v>
      </c>
      <c r="Q46" s="157"/>
      <c r="R46" s="157"/>
      <c r="S46" s="157"/>
      <c r="T46" s="157"/>
      <c r="U46" s="157"/>
      <c r="V46" s="157"/>
      <c r="W46" s="157"/>
      <c r="X46" s="157"/>
      <c r="Y46" s="157"/>
      <c r="Z46" s="157"/>
    </row>
    <row r="47" spans="2:26" x14ac:dyDescent="0.25">
      <c r="B47" s="4">
        <f>EDATE(B$8,COUNT(B$8:B46))</f>
        <v>47249</v>
      </c>
      <c r="C47" s="154">
        <v>3.5320245311938336</v>
      </c>
      <c r="E47" s="157">
        <v>83.903190457248016</v>
      </c>
      <c r="F47" s="157">
        <v>98.346320906390545</v>
      </c>
      <c r="G47" s="157">
        <v>90.671326999845419</v>
      </c>
      <c r="H47" s="157">
        <v>83.98533498705747</v>
      </c>
      <c r="I47" s="157">
        <v>81.288641806658774</v>
      </c>
      <c r="J47" s="157">
        <v>82.642435448616141</v>
      </c>
      <c r="K47" s="157">
        <v>85.974915386331475</v>
      </c>
      <c r="L47" s="157">
        <v>90.90134947767811</v>
      </c>
      <c r="M47" s="216">
        <v>96.88713364481552</v>
      </c>
      <c r="N47" s="157">
        <v>103.5326461010209</v>
      </c>
      <c r="O47" s="157">
        <v>110.54480058775739</v>
      </c>
      <c r="P47" s="216">
        <v>125.07590240775257</v>
      </c>
      <c r="Q47" s="157"/>
      <c r="R47" s="157"/>
      <c r="S47" s="157"/>
      <c r="T47" s="157"/>
      <c r="U47" s="157"/>
      <c r="V47" s="157"/>
      <c r="W47" s="157"/>
      <c r="X47" s="157"/>
      <c r="Y47" s="157"/>
      <c r="Z47" s="157"/>
    </row>
    <row r="48" spans="2:26" x14ac:dyDescent="0.25">
      <c r="B48" s="4">
        <f>EDATE(B$8,COUNT(B$8:B47))</f>
        <v>47280</v>
      </c>
      <c r="C48" s="154">
        <v>3.5318514456132988</v>
      </c>
      <c r="E48" s="157">
        <v>83.903699218816072</v>
      </c>
      <c r="F48" s="157">
        <v>98.346017213898108</v>
      </c>
      <c r="G48" s="157">
        <v>90.671015071024527</v>
      </c>
      <c r="H48" s="157">
        <v>83.98518457861185</v>
      </c>
      <c r="I48" s="157">
        <v>81.288916840717235</v>
      </c>
      <c r="J48" s="157">
        <v>82.642868372643093</v>
      </c>
      <c r="K48" s="157">
        <v>85.975490162362007</v>
      </c>
      <c r="L48" s="157">
        <v>90.90203215676236</v>
      </c>
      <c r="M48" s="216">
        <v>96.888111454966037</v>
      </c>
      <c r="N48" s="157">
        <v>103.53374535034956</v>
      </c>
      <c r="O48" s="157">
        <v>110.54599960639659</v>
      </c>
      <c r="P48" s="216">
        <v>125.0768134873349</v>
      </c>
      <c r="Q48" s="157"/>
      <c r="R48" s="157"/>
      <c r="S48" s="157"/>
      <c r="T48" s="157"/>
      <c r="U48" s="157"/>
      <c r="V48" s="157"/>
      <c r="W48" s="157"/>
      <c r="X48" s="157"/>
      <c r="Y48" s="157"/>
      <c r="Z48" s="157"/>
    </row>
    <row r="49" spans="2:26" x14ac:dyDescent="0.25">
      <c r="B49" s="4">
        <f>EDATE(B$8,COUNT(B$8:B48))</f>
        <v>47310</v>
      </c>
      <c r="C49" s="154">
        <v>3.5320245311943492</v>
      </c>
      <c r="E49" s="157">
        <v>83.902952003343657</v>
      </c>
      <c r="F49" s="157">
        <v>98.347205177535642</v>
      </c>
      <c r="G49" s="157">
        <v>90.672152282292245</v>
      </c>
      <c r="H49" s="157">
        <v>83.986057365736215</v>
      </c>
      <c r="I49" s="157">
        <v>81.289055550202931</v>
      </c>
      <c r="J49" s="157">
        <v>82.642380180114856</v>
      </c>
      <c r="K49" s="157">
        <v>85.974438556738903</v>
      </c>
      <c r="L49" s="157">
        <v>90.900577994889176</v>
      </c>
      <c r="M49" s="216">
        <v>96.886625703980343</v>
      </c>
      <c r="N49" s="157">
        <v>103.53219226629969</v>
      </c>
      <c r="O49" s="157">
        <v>110.54444140003952</v>
      </c>
      <c r="P49" s="216">
        <v>125.07490072122356</v>
      </c>
      <c r="Q49" s="157"/>
      <c r="R49" s="157"/>
      <c r="S49" s="157"/>
      <c r="T49" s="157"/>
      <c r="U49" s="157"/>
      <c r="V49" s="157"/>
      <c r="W49" s="157"/>
      <c r="X49" s="157"/>
      <c r="Y49" s="157"/>
      <c r="Z49" s="157"/>
    </row>
    <row r="50" spans="2:26" x14ac:dyDescent="0.25">
      <c r="B50" s="4">
        <f>EDATE(B$8,COUNT(B$8:B49))</f>
        <v>47341</v>
      </c>
      <c r="C50" s="154">
        <v>3.5323707362780712</v>
      </c>
      <c r="E50" s="157">
        <v>83.903345885791651</v>
      </c>
      <c r="F50" s="157">
        <v>98.347058471717546</v>
      </c>
      <c r="G50" s="157">
        <v>90.671991655749125</v>
      </c>
      <c r="H50" s="157">
        <v>83.986018543000995</v>
      </c>
      <c r="I50" s="157">
        <v>81.289333096191825</v>
      </c>
      <c r="J50" s="157">
        <v>82.642732902146875</v>
      </c>
      <c r="K50" s="157">
        <v>85.974858812475645</v>
      </c>
      <c r="L50" s="157">
        <v>90.901052729185793</v>
      </c>
      <c r="M50" s="216">
        <v>96.887376889627902</v>
      </c>
      <c r="N50" s="157">
        <v>103.53305071150798</v>
      </c>
      <c r="O50" s="157">
        <v>110.54539394305316</v>
      </c>
      <c r="P50" s="216">
        <v>125.07553764440222</v>
      </c>
      <c r="Q50" s="157"/>
      <c r="R50" s="157"/>
      <c r="S50" s="157"/>
      <c r="T50" s="157"/>
      <c r="U50" s="157"/>
      <c r="V50" s="157"/>
      <c r="W50" s="157"/>
      <c r="X50" s="157"/>
      <c r="Y50" s="157"/>
      <c r="Z50" s="157"/>
    </row>
    <row r="51" spans="2:26" x14ac:dyDescent="0.25">
      <c r="B51" s="4">
        <f>EDATE(B$8,COUNT(B$8:B50))</f>
        <v>47372</v>
      </c>
      <c r="C51" s="154">
        <v>3.5321976280824066</v>
      </c>
      <c r="E51" s="157">
        <v>83.902245233674137</v>
      </c>
      <c r="F51" s="157">
        <v>98.348659600160033</v>
      </c>
      <c r="G51" s="157">
        <v>90.673530187556949</v>
      </c>
      <c r="H51" s="157">
        <v>83.987173148939618</v>
      </c>
      <c r="I51" s="157">
        <v>81.289428484454703</v>
      </c>
      <c r="J51" s="157">
        <v>82.641984026983295</v>
      </c>
      <c r="K51" s="157">
        <v>85.973351195092746</v>
      </c>
      <c r="L51" s="157">
        <v>90.899001049175368</v>
      </c>
      <c r="M51" s="216">
        <v>96.885198360791662</v>
      </c>
      <c r="N51" s="157">
        <v>103.5307506411861</v>
      </c>
      <c r="O51" s="157">
        <v>110.54305787101501</v>
      </c>
      <c r="P51" s="216">
        <v>125.07283486300041</v>
      </c>
      <c r="Q51" s="157"/>
      <c r="R51" s="157"/>
      <c r="S51" s="157"/>
      <c r="T51" s="157"/>
      <c r="U51" s="157"/>
      <c r="V51" s="157"/>
      <c r="W51" s="157"/>
      <c r="X51" s="157"/>
      <c r="Y51" s="157"/>
      <c r="Z51" s="157"/>
    </row>
    <row r="52" spans="2:26" x14ac:dyDescent="0.25">
      <c r="B52" s="4">
        <f>EDATE(B$8,COUNT(B$8:B51))</f>
        <v>47402</v>
      </c>
      <c r="C52" s="154">
        <v>3.5320245311940917</v>
      </c>
      <c r="E52" s="157">
        <v>83.905650097170749</v>
      </c>
      <c r="F52" s="157">
        <v>98.344884822926389</v>
      </c>
      <c r="G52" s="157">
        <v>90.669847107944662</v>
      </c>
      <c r="H52" s="157">
        <v>83.984634853181873</v>
      </c>
      <c r="I52" s="157">
        <v>81.28999387431935</v>
      </c>
      <c r="J52" s="157">
        <v>82.644533934516033</v>
      </c>
      <c r="K52" s="157">
        <v>85.977684626086031</v>
      </c>
      <c r="L52" s="157">
        <v>90.904630099741482</v>
      </c>
      <c r="M52" s="216">
        <v>96.891859309614688</v>
      </c>
      <c r="N52" s="157">
        <v>103.53796347008628</v>
      </c>
      <c r="O52" s="157">
        <v>110.55060614969841</v>
      </c>
      <c r="P52" s="216">
        <v>125.08028181418534</v>
      </c>
      <c r="Q52" s="157"/>
      <c r="R52" s="157"/>
      <c r="S52" s="157"/>
      <c r="T52" s="157"/>
      <c r="U52" s="157"/>
      <c r="V52" s="157"/>
      <c r="W52" s="157"/>
      <c r="X52" s="157"/>
      <c r="Y52" s="157"/>
      <c r="Z52" s="157"/>
    </row>
    <row r="53" spans="2:26" x14ac:dyDescent="0.25">
      <c r="B53" s="4">
        <f>EDATE(B$8,COUNT(B$8:B52))</f>
        <v>47433</v>
      </c>
      <c r="C53" s="154">
        <v>3.5321976280821565</v>
      </c>
      <c r="E53" s="157">
        <v>83.923656411505718</v>
      </c>
      <c r="F53" s="157">
        <v>98.194208778430408</v>
      </c>
      <c r="G53" s="157">
        <v>90.558362744715311</v>
      </c>
      <c r="H53" s="157">
        <v>83.92448643958997</v>
      </c>
      <c r="I53" s="157">
        <v>81.284820241644439</v>
      </c>
      <c r="J53" s="157">
        <v>82.657690581799415</v>
      </c>
      <c r="K53" s="157">
        <v>85.997750082707952</v>
      </c>
      <c r="L53" s="157">
        <v>90.921102373212292</v>
      </c>
      <c r="M53" s="216">
        <v>96.898862474961817</v>
      </c>
      <c r="N53" s="157">
        <v>103.53113634183416</v>
      </c>
      <c r="O53" s="157">
        <v>110.52836895809868</v>
      </c>
      <c r="P53" s="216">
        <v>125.02477825168955</v>
      </c>
      <c r="Q53" s="157"/>
      <c r="R53" s="157"/>
      <c r="S53" s="157"/>
      <c r="T53" s="157"/>
      <c r="U53" s="157"/>
      <c r="V53" s="157"/>
      <c r="W53" s="157"/>
      <c r="X53" s="157"/>
      <c r="Y53" s="157"/>
      <c r="Z53" s="157"/>
    </row>
    <row r="54" spans="2:26" x14ac:dyDescent="0.25">
      <c r="B54" s="4">
        <f>EDATE(B$8,COUNT(B$8:B53))</f>
        <v>47463</v>
      </c>
      <c r="C54" s="154">
        <v>3.5321976280819065</v>
      </c>
      <c r="E54" s="157">
        <v>84.191425629808307</v>
      </c>
      <c r="F54" s="157">
        <v>96.090192106233275</v>
      </c>
      <c r="G54" s="157">
        <v>89.009824320362142</v>
      </c>
      <c r="H54" s="157">
        <v>83.103138330629989</v>
      </c>
      <c r="I54" s="157">
        <v>81.234015112856056</v>
      </c>
      <c r="J54" s="157">
        <v>82.859742404663464</v>
      </c>
      <c r="K54" s="157">
        <v>86.291656736648221</v>
      </c>
      <c r="L54" s="157">
        <v>91.161773451086361</v>
      </c>
      <c r="M54" s="216">
        <v>97.002748644990021</v>
      </c>
      <c r="N54" s="157">
        <v>103.44064930834543</v>
      </c>
      <c r="O54" s="157">
        <v>110.22184409912646</v>
      </c>
      <c r="P54" s="216">
        <v>124.25869621312341</v>
      </c>
      <c r="Q54" s="157"/>
      <c r="R54" s="157"/>
      <c r="S54" s="157"/>
      <c r="T54" s="157"/>
      <c r="U54" s="157"/>
      <c r="V54" s="157"/>
      <c r="W54" s="157"/>
      <c r="X54" s="157"/>
      <c r="Y54" s="157"/>
      <c r="Z54" s="157"/>
    </row>
    <row r="55" spans="2:26" x14ac:dyDescent="0.25">
      <c r="B55" s="4">
        <f>EDATE(B$8,COUNT(B$8:B54))</f>
        <v>47494</v>
      </c>
      <c r="C55" s="154">
        <v>3.5320245311940917</v>
      </c>
      <c r="E55" s="157">
        <v>84.494955805316337</v>
      </c>
      <c r="F55" s="157">
        <v>93.812154213403517</v>
      </c>
      <c r="G55" s="157">
        <v>87.360182649461109</v>
      </c>
      <c r="H55" s="157">
        <v>82.267973906918584</v>
      </c>
      <c r="I55" s="157">
        <v>81.227320027231087</v>
      </c>
      <c r="J55" s="157">
        <v>83.103641907705594</v>
      </c>
      <c r="K55" s="157">
        <v>86.608862609739305</v>
      </c>
      <c r="L55" s="157">
        <v>91.401490562694292</v>
      </c>
      <c r="M55" s="216">
        <v>97.081259962789048</v>
      </c>
      <c r="N55" s="157">
        <v>103.30043620420857</v>
      </c>
      <c r="O55" s="157">
        <v>109.84173212550688</v>
      </c>
      <c r="P55" s="216">
        <v>123.37207766575528</v>
      </c>
      <c r="Q55" s="157"/>
      <c r="R55" s="157"/>
      <c r="S55" s="157"/>
      <c r="T55" s="157"/>
      <c r="U55" s="157"/>
      <c r="V55" s="157"/>
      <c r="W55" s="157"/>
      <c r="X55" s="157"/>
      <c r="Y55" s="157"/>
      <c r="Z55" s="157"/>
    </row>
    <row r="56" spans="2:26" x14ac:dyDescent="0.25">
      <c r="B56" s="4">
        <f>EDATE(B$8,COUNT(B$8:B55))</f>
        <v>47525</v>
      </c>
      <c r="C56" s="154">
        <v>3.6733536772873672</v>
      </c>
      <c r="E56" s="157">
        <v>83.781429117075021</v>
      </c>
      <c r="F56" s="157">
        <v>92.531345851120591</v>
      </c>
      <c r="G56" s="157">
        <v>86.623613272688615</v>
      </c>
      <c r="H56" s="157">
        <v>81.979394868924089</v>
      </c>
      <c r="I56" s="157">
        <v>80.940196317045292</v>
      </c>
      <c r="J56" s="157">
        <v>82.550125855287632</v>
      </c>
      <c r="K56" s="157">
        <v>85.684053702953932</v>
      </c>
      <c r="L56" s="157">
        <v>90.068213332063635</v>
      </c>
      <c r="M56" s="216">
        <v>95.36341365243058</v>
      </c>
      <c r="N56" s="157">
        <v>101.23532112949607</v>
      </c>
      <c r="O56" s="157">
        <v>107.45616430399134</v>
      </c>
      <c r="P56" s="216">
        <v>120.42323201852783</v>
      </c>
      <c r="Q56" s="157"/>
      <c r="R56" s="157"/>
      <c r="S56" s="157"/>
      <c r="T56" s="157"/>
      <c r="U56" s="157"/>
      <c r="V56" s="157"/>
      <c r="W56" s="157"/>
      <c r="X56" s="157"/>
      <c r="Y56" s="157"/>
      <c r="Z56" s="157"/>
    </row>
    <row r="57" spans="2:26" x14ac:dyDescent="0.25">
      <c r="B57" s="4">
        <f>EDATE(B$8,COUNT(B$8:B56))</f>
        <v>47553</v>
      </c>
      <c r="C57" s="154">
        <v>3.6852076240344291</v>
      </c>
      <c r="E57" s="157">
        <v>83.77660167864174</v>
      </c>
      <c r="F57" s="157">
        <v>92.536522762944458</v>
      </c>
      <c r="G57" s="157">
        <v>86.628524390216782</v>
      </c>
      <c r="H57" s="157">
        <v>81.982405083761108</v>
      </c>
      <c r="I57" s="157">
        <v>80.93898389960242</v>
      </c>
      <c r="J57" s="157">
        <v>82.546378714363541</v>
      </c>
      <c r="K57" s="157">
        <v>85.678042151980279</v>
      </c>
      <c r="L57" s="157">
        <v>90.060517488033696</v>
      </c>
      <c r="M57" s="216">
        <v>95.354504888992238</v>
      </c>
      <c r="N57" s="157">
        <v>101.22573017028502</v>
      </c>
      <c r="O57" s="157">
        <v>107.44619176631414</v>
      </c>
      <c r="P57" s="216">
        <v>120.41323917535036</v>
      </c>
      <c r="Q57" s="157"/>
      <c r="R57" s="157"/>
      <c r="S57" s="157"/>
      <c r="T57" s="157"/>
      <c r="U57" s="157"/>
      <c r="V57" s="157"/>
      <c r="W57" s="157"/>
      <c r="X57" s="157"/>
      <c r="Y57" s="157"/>
      <c r="Z57" s="157"/>
    </row>
    <row r="58" spans="2:26" x14ac:dyDescent="0.25">
      <c r="B58" s="4">
        <f>EDATE(B$8,COUNT(B$8:B57))</f>
        <v>47584</v>
      </c>
      <c r="C58" s="154">
        <v>3.6846424531180588</v>
      </c>
      <c r="E58" s="157">
        <v>83.783869108655466</v>
      </c>
      <c r="F58" s="157">
        <v>92.529811136029721</v>
      </c>
      <c r="G58" s="157">
        <v>86.622522586560621</v>
      </c>
      <c r="H58" s="157">
        <v>81.978917856089055</v>
      </c>
      <c r="I58" s="157">
        <v>80.941049989566523</v>
      </c>
      <c r="J58" s="157">
        <v>82.552062807017407</v>
      </c>
      <c r="K58" s="157">
        <v>85.687044523437123</v>
      </c>
      <c r="L58" s="157">
        <v>90.072083149185488</v>
      </c>
      <c r="M58" s="216">
        <v>95.367722048706014</v>
      </c>
      <c r="N58" s="157">
        <v>101.2400560561564</v>
      </c>
      <c r="O58" s="157">
        <v>107.46121217093322</v>
      </c>
      <c r="P58" s="216">
        <v>120.42920127076296</v>
      </c>
      <c r="Q58" s="157"/>
      <c r="R58" s="157"/>
      <c r="S58" s="157"/>
      <c r="T58" s="157"/>
      <c r="U58" s="157"/>
      <c r="V58" s="157"/>
      <c r="W58" s="157"/>
      <c r="X58" s="157"/>
      <c r="Y58" s="157"/>
      <c r="Z58" s="157"/>
    </row>
    <row r="59" spans="2:26" x14ac:dyDescent="0.25">
      <c r="B59" s="4">
        <f>EDATE(B$8,COUNT(B$8:B58))</f>
        <v>47614</v>
      </c>
      <c r="C59" s="154">
        <v>3.6852076240346712</v>
      </c>
      <c r="E59" s="157">
        <v>83.78190022703987</v>
      </c>
      <c r="F59" s="157">
        <v>92.53222542755924</v>
      </c>
      <c r="G59" s="157">
        <v>86.624915506548845</v>
      </c>
      <c r="H59" s="157">
        <v>81.980437773642947</v>
      </c>
      <c r="I59" s="157">
        <v>80.940622089769235</v>
      </c>
      <c r="J59" s="157">
        <v>82.550546207158533</v>
      </c>
      <c r="K59" s="157">
        <v>85.684579774170189</v>
      </c>
      <c r="L59" s="157">
        <v>90.068940125063662</v>
      </c>
      <c r="M59" s="216">
        <v>95.364035894219541</v>
      </c>
      <c r="N59" s="157">
        <v>101.23611505960316</v>
      </c>
      <c r="O59" s="157">
        <v>107.45714962662267</v>
      </c>
      <c r="P59" s="216">
        <v>120.42538707326771</v>
      </c>
      <c r="Q59" s="157"/>
      <c r="R59" s="157"/>
      <c r="S59" s="157"/>
      <c r="T59" s="157"/>
      <c r="U59" s="157"/>
      <c r="V59" s="157"/>
      <c r="W59" s="157"/>
      <c r="X59" s="157"/>
      <c r="Y59" s="157"/>
      <c r="Z59" s="157"/>
    </row>
    <row r="60" spans="2:26" x14ac:dyDescent="0.25">
      <c r="B60" s="4">
        <f>EDATE(B$8,COUNT(B$8:B59))</f>
        <v>47645</v>
      </c>
      <c r="C60" s="154">
        <v>3.6850192208905397</v>
      </c>
      <c r="E60" s="157">
        <v>83.780824148013309</v>
      </c>
      <c r="F60" s="157">
        <v>92.533714279118982</v>
      </c>
      <c r="G60" s="157">
        <v>86.62644268573365</v>
      </c>
      <c r="H60" s="157">
        <v>81.981433130975617</v>
      </c>
      <c r="I60" s="157">
        <v>80.940426250426697</v>
      </c>
      <c r="J60" s="157">
        <v>82.549724696859556</v>
      </c>
      <c r="K60" s="157">
        <v>85.683225250362312</v>
      </c>
      <c r="L60" s="157">
        <v>90.067219250440672</v>
      </c>
      <c r="M60" s="216">
        <v>95.3619899800984</v>
      </c>
      <c r="N60" s="157">
        <v>101.23394216597571</v>
      </c>
      <c r="O60" s="157">
        <v>107.45492948446254</v>
      </c>
      <c r="P60" s="216">
        <v>120.42344676326069</v>
      </c>
      <c r="Q60" s="157"/>
      <c r="R60" s="157"/>
      <c r="S60" s="157"/>
      <c r="T60" s="157"/>
      <c r="U60" s="157"/>
      <c r="V60" s="157"/>
      <c r="W60" s="157"/>
      <c r="X60" s="157"/>
      <c r="Y60" s="157"/>
      <c r="Z60" s="157"/>
    </row>
    <row r="61" spans="2:26" x14ac:dyDescent="0.25">
      <c r="B61" s="4">
        <f>EDATE(B$8,COUNT(B$8:B60))</f>
        <v>47675</v>
      </c>
      <c r="C61" s="154">
        <v>3.68483083058549</v>
      </c>
      <c r="E61" s="157">
        <v>83.784371665536071</v>
      </c>
      <c r="F61" s="157">
        <v>92.530657534977351</v>
      </c>
      <c r="G61" s="157">
        <v>86.623796675350874</v>
      </c>
      <c r="H61" s="157">
        <v>81.979943889783812</v>
      </c>
      <c r="I61" s="157">
        <v>80.941484324630053</v>
      </c>
      <c r="J61" s="157">
        <v>82.552509052643458</v>
      </c>
      <c r="K61" s="157">
        <v>85.687610186190383</v>
      </c>
      <c r="L61" s="157">
        <v>90.07286083638887</v>
      </c>
      <c r="M61" s="216">
        <v>95.368401074003316</v>
      </c>
      <c r="N61" s="157">
        <v>101.24091036030475</v>
      </c>
      <c r="O61" s="157">
        <v>107.4622613268825</v>
      </c>
      <c r="P61" s="216">
        <v>120.43142426714959</v>
      </c>
      <c r="Q61" s="157"/>
      <c r="R61" s="157"/>
      <c r="S61" s="157"/>
      <c r="T61" s="157"/>
      <c r="U61" s="157"/>
      <c r="V61" s="157"/>
      <c r="W61" s="157"/>
      <c r="X61" s="157"/>
      <c r="Y61" s="157"/>
      <c r="Z61" s="157"/>
    </row>
    <row r="62" spans="2:26" x14ac:dyDescent="0.25">
      <c r="B62" s="4">
        <f>EDATE(B$8,COUNT(B$8:B61))</f>
        <v>47706</v>
      </c>
      <c r="C62" s="154">
        <v>3.6852076240349132</v>
      </c>
      <c r="E62" s="157">
        <v>83.782182274527557</v>
      </c>
      <c r="F62" s="157">
        <v>92.533288254038666</v>
      </c>
      <c r="G62" s="157">
        <v>86.626389863780972</v>
      </c>
      <c r="H62" s="157">
        <v>81.981583262254063</v>
      </c>
      <c r="I62" s="157">
        <v>80.940996838994522</v>
      </c>
      <c r="J62" s="157">
        <v>82.550821100716703</v>
      </c>
      <c r="K62" s="157">
        <v>85.684871706664254</v>
      </c>
      <c r="L62" s="157">
        <v>90.069366724871045</v>
      </c>
      <c r="M62" s="216">
        <v>95.36431079715662</v>
      </c>
      <c r="N62" s="157">
        <v>101.23653208895405</v>
      </c>
      <c r="O62" s="157">
        <v>107.45774231442091</v>
      </c>
      <c r="P62" s="216">
        <v>120.42713752744572</v>
      </c>
      <c r="Q62" s="157"/>
      <c r="R62" s="157"/>
      <c r="S62" s="157"/>
      <c r="T62" s="157"/>
      <c r="U62" s="157"/>
      <c r="V62" s="157"/>
      <c r="W62" s="157"/>
      <c r="X62" s="157"/>
      <c r="Y62" s="157"/>
      <c r="Z62" s="157"/>
    </row>
    <row r="63" spans="2:26" x14ac:dyDescent="0.25">
      <c r="B63" s="4">
        <f>EDATE(B$8,COUNT(B$8:B62))</f>
        <v>47737</v>
      </c>
      <c r="C63" s="154">
        <v>3.6850192208907897</v>
      </c>
      <c r="E63" s="157">
        <v>83.781069151965312</v>
      </c>
      <c r="F63" s="157">
        <v>92.534828434929636</v>
      </c>
      <c r="G63" s="157">
        <v>86.627969744975658</v>
      </c>
      <c r="H63" s="157">
        <v>81.982613032621458</v>
      </c>
      <c r="I63" s="157">
        <v>80.940794306947268</v>
      </c>
      <c r="J63" s="157">
        <v>82.549971284249665</v>
      </c>
      <c r="K63" s="157">
        <v>85.683470447311848</v>
      </c>
      <c r="L63" s="157">
        <v>90.067586440872219</v>
      </c>
      <c r="M63" s="216">
        <v>95.362194290592001</v>
      </c>
      <c r="N63" s="157">
        <v>101.23428420559193</v>
      </c>
      <c r="O63" s="157">
        <v>107.45544554412392</v>
      </c>
      <c r="P63" s="216">
        <v>120.42513020402762</v>
      </c>
      <c r="Q63" s="157"/>
      <c r="R63" s="157"/>
      <c r="S63" s="157"/>
      <c r="T63" s="157"/>
      <c r="U63" s="157"/>
      <c r="V63" s="157"/>
      <c r="W63" s="157"/>
      <c r="X63" s="157"/>
      <c r="Y63" s="157"/>
      <c r="Z63" s="157"/>
    </row>
    <row r="64" spans="2:26" x14ac:dyDescent="0.25">
      <c r="B64" s="4">
        <f>EDATE(B$8,COUNT(B$8:B63))</f>
        <v>47767</v>
      </c>
      <c r="C64" s="154">
        <v>3.6852076240346712</v>
      </c>
      <c r="E64" s="157">
        <v>83.784616474890527</v>
      </c>
      <c r="F64" s="157">
        <v>92.531771721412781</v>
      </c>
      <c r="G64" s="157">
        <v>86.625323612941116</v>
      </c>
      <c r="H64" s="157">
        <v>81.981123519347761</v>
      </c>
      <c r="I64" s="157">
        <v>80.941852192414416</v>
      </c>
      <c r="J64" s="157">
        <v>82.552755564750015</v>
      </c>
      <c r="K64" s="157">
        <v>85.687855455621275</v>
      </c>
      <c r="L64" s="157">
        <v>90.073228222603205</v>
      </c>
      <c r="M64" s="216">
        <v>95.36860550860348</v>
      </c>
      <c r="N64" s="157">
        <v>101.24125258059857</v>
      </c>
      <c r="O64" s="157">
        <v>107.46277759513134</v>
      </c>
      <c r="P64" s="216">
        <v>120.43310801945977</v>
      </c>
      <c r="Q64" s="157"/>
      <c r="R64" s="157"/>
      <c r="S64" s="157"/>
      <c r="T64" s="157"/>
      <c r="U64" s="157"/>
      <c r="V64" s="157"/>
      <c r="W64" s="157"/>
      <c r="X64" s="157"/>
      <c r="Y64" s="157"/>
      <c r="Z64" s="157"/>
    </row>
    <row r="65" spans="2:26" x14ac:dyDescent="0.25">
      <c r="B65" s="4">
        <f>EDATE(B$8,COUNT(B$8:B64))</f>
        <v>47798</v>
      </c>
      <c r="C65" s="154">
        <v>3.6850192208905397</v>
      </c>
      <c r="E65" s="157">
        <v>83.780219206764428</v>
      </c>
      <c r="F65" s="157">
        <v>92.485892517837641</v>
      </c>
      <c r="G65" s="157">
        <v>86.591910881801269</v>
      </c>
      <c r="H65" s="157">
        <v>81.960557601315514</v>
      </c>
      <c r="I65" s="157">
        <v>80.933250827701386</v>
      </c>
      <c r="J65" s="157">
        <v>82.548001964256386</v>
      </c>
      <c r="K65" s="157">
        <v>85.684099573674132</v>
      </c>
      <c r="L65" s="157">
        <v>90.067837346742067</v>
      </c>
      <c r="M65" s="216">
        <v>95.358678322885964</v>
      </c>
      <c r="N65" s="157">
        <v>101.22675308868428</v>
      </c>
      <c r="O65" s="157">
        <v>107.44326764851515</v>
      </c>
      <c r="P65" s="216">
        <v>120.40455105837167</v>
      </c>
      <c r="Q65" s="157"/>
      <c r="R65" s="157"/>
      <c r="S65" s="157"/>
      <c r="T65" s="157"/>
      <c r="U65" s="157"/>
      <c r="V65" s="157"/>
      <c r="W65" s="157"/>
      <c r="X65" s="157"/>
      <c r="Y65" s="157"/>
      <c r="Z65" s="157"/>
    </row>
    <row r="66" spans="2:26" x14ac:dyDescent="0.25">
      <c r="B66" s="4">
        <f>EDATE(B$8,COUNT(B$8:B65))</f>
        <v>47828</v>
      </c>
      <c r="C66" s="154">
        <v>3.68483083058549</v>
      </c>
      <c r="E66" s="157">
        <v>83.67562762302282</v>
      </c>
      <c r="F66" s="157">
        <v>91.131367753646117</v>
      </c>
      <c r="G66" s="157">
        <v>85.598259851912999</v>
      </c>
      <c r="H66" s="157">
        <v>81.353194833380229</v>
      </c>
      <c r="I66" s="157">
        <v>80.696721099563703</v>
      </c>
      <c r="J66" s="157">
        <v>82.43079061120423</v>
      </c>
      <c r="K66" s="157">
        <v>85.601475621144218</v>
      </c>
      <c r="L66" s="157">
        <v>89.941525625618965</v>
      </c>
      <c r="M66" s="216">
        <v>95.107052225966299</v>
      </c>
      <c r="N66" s="157">
        <v>100.84446019679049</v>
      </c>
      <c r="O66" s="157">
        <v>106.91631790357854</v>
      </c>
      <c r="P66" s="216">
        <v>119.60567423092705</v>
      </c>
      <c r="Q66" s="157"/>
      <c r="R66" s="157"/>
      <c r="S66" s="157"/>
      <c r="T66" s="157"/>
      <c r="U66" s="157"/>
      <c r="V66" s="157"/>
      <c r="W66" s="157"/>
      <c r="X66" s="157"/>
      <c r="Y66" s="157"/>
      <c r="Z66" s="157"/>
    </row>
    <row r="67" spans="2:26" x14ac:dyDescent="0.25">
      <c r="B67" s="4">
        <f>EDATE(B$8,COUNT(B$8:B66))</f>
        <v>47859</v>
      </c>
      <c r="C67" s="154">
        <v>3.6853960400184698</v>
      </c>
      <c r="E67" s="157">
        <v>83.482515046078632</v>
      </c>
      <c r="F67" s="157">
        <v>89.681773254945512</v>
      </c>
      <c r="G67" s="157">
        <v>84.555802361217459</v>
      </c>
      <c r="H67" s="157">
        <v>80.724975111023696</v>
      </c>
      <c r="I67" s="157">
        <v>80.422496032343147</v>
      </c>
      <c r="J67" s="157">
        <v>82.244631579183576</v>
      </c>
      <c r="K67" s="157">
        <v>85.411404267335328</v>
      </c>
      <c r="L67" s="157">
        <v>89.670558353282274</v>
      </c>
      <c r="M67" s="216">
        <v>94.675767494401626</v>
      </c>
      <c r="N67" s="157">
        <v>100.25327656939933</v>
      </c>
      <c r="O67" s="157">
        <v>106.15528885354193</v>
      </c>
      <c r="P67" s="216">
        <v>118.528719025028</v>
      </c>
      <c r="Q67" s="157"/>
      <c r="R67" s="157"/>
      <c r="S67" s="157"/>
      <c r="T67" s="157"/>
      <c r="U67" s="157"/>
      <c r="V67" s="157"/>
      <c r="W67" s="157"/>
      <c r="X67" s="157"/>
      <c r="Y67" s="157"/>
      <c r="Z67" s="157"/>
    </row>
    <row r="68" spans="2:26" x14ac:dyDescent="0.25">
      <c r="B68" s="4">
        <f>EDATE(B$8,COUNT(B$8:B67))</f>
        <v>47890</v>
      </c>
      <c r="C68" s="154">
        <v>3.8191001201384189</v>
      </c>
      <c r="E68" s="157">
        <v>82.474271991281668</v>
      </c>
      <c r="F68" s="157">
        <v>89.158734245912001</v>
      </c>
      <c r="G68" s="157">
        <v>84.31584545211814</v>
      </c>
      <c r="H68" s="157">
        <v>80.534803321715515</v>
      </c>
      <c r="I68" s="157">
        <v>79.894344156829874</v>
      </c>
      <c r="J68" s="157">
        <v>81.407169884933751</v>
      </c>
      <c r="K68" s="157">
        <v>84.21431593529239</v>
      </c>
      <c r="L68" s="157">
        <v>88.126272116459333</v>
      </c>
      <c r="M68" s="216">
        <v>92.8053769899484</v>
      </c>
      <c r="N68" s="157">
        <v>98.111300346479467</v>
      </c>
      <c r="O68" s="157">
        <v>103.79249834953468</v>
      </c>
      <c r="P68" s="216">
        <v>115.80353581996982</v>
      </c>
      <c r="Q68" s="157"/>
      <c r="R68" s="157"/>
      <c r="S68" s="157"/>
      <c r="T68" s="157"/>
      <c r="U68" s="157"/>
      <c r="V68" s="157"/>
      <c r="W68" s="157"/>
      <c r="X68" s="157"/>
      <c r="Y68" s="157"/>
      <c r="Z68" s="157"/>
    </row>
    <row r="69" spans="2:26" x14ac:dyDescent="0.25">
      <c r="B69" s="4">
        <f>EDATE(B$8,COUNT(B$8:B68))</f>
        <v>47918</v>
      </c>
      <c r="C69" s="154">
        <v>3.8492358994833831</v>
      </c>
      <c r="E69" s="157">
        <v>82.469554013968548</v>
      </c>
      <c r="F69" s="157">
        <v>89.163259472121325</v>
      </c>
      <c r="G69" s="157">
        <v>84.320018419970864</v>
      </c>
      <c r="H69" s="157">
        <v>80.537214637583048</v>
      </c>
      <c r="I69" s="157">
        <v>79.892860966048872</v>
      </c>
      <c r="J69" s="157">
        <v>81.403382749184274</v>
      </c>
      <c r="K69" s="157">
        <v>84.208406122871196</v>
      </c>
      <c r="L69" s="157">
        <v>88.118699512554883</v>
      </c>
      <c r="M69" s="216">
        <v>92.796499178594701</v>
      </c>
      <c r="N69" s="157">
        <v>98.101602901940225</v>
      </c>
      <c r="O69" s="157">
        <v>103.78228875943472</v>
      </c>
      <c r="P69" s="216">
        <v>115.7932693982243</v>
      </c>
      <c r="Q69" s="157"/>
      <c r="R69" s="157"/>
      <c r="S69" s="157"/>
      <c r="T69" s="157"/>
      <c r="U69" s="157"/>
      <c r="V69" s="157"/>
      <c r="W69" s="157"/>
      <c r="X69" s="157"/>
      <c r="Y69" s="157"/>
      <c r="Z69" s="157"/>
    </row>
    <row r="70" spans="2:26" x14ac:dyDescent="0.25">
      <c r="B70" s="4">
        <f>EDATE(B$8,COUNT(B$8:B69))</f>
        <v>47949</v>
      </c>
      <c r="C70" s="154">
        <v>3.8488248246530077</v>
      </c>
      <c r="E70" s="157">
        <v>82.476288759186986</v>
      </c>
      <c r="F70" s="157">
        <v>89.157027901936999</v>
      </c>
      <c r="G70" s="157">
        <v>84.314469316542372</v>
      </c>
      <c r="H70" s="157">
        <v>80.534192084560942</v>
      </c>
      <c r="I70" s="157">
        <v>79.894958890087267</v>
      </c>
      <c r="J70" s="157">
        <v>81.408721174799155</v>
      </c>
      <c r="K70" s="157">
        <v>84.216777819890325</v>
      </c>
      <c r="L70" s="157">
        <v>88.129503891595121</v>
      </c>
      <c r="M70" s="216">
        <v>92.808864624286571</v>
      </c>
      <c r="N70" s="157">
        <v>98.115077218479328</v>
      </c>
      <c r="O70" s="157">
        <v>103.79645722066959</v>
      </c>
      <c r="P70" s="216">
        <v>115.80856631688638</v>
      </c>
      <c r="Q70" s="157"/>
      <c r="R70" s="157"/>
      <c r="S70" s="157"/>
      <c r="T70" s="157"/>
      <c r="U70" s="157"/>
      <c r="V70" s="157"/>
      <c r="W70" s="157"/>
      <c r="X70" s="157"/>
      <c r="Y70" s="157"/>
      <c r="Z70" s="157"/>
    </row>
    <row r="71" spans="2:26" x14ac:dyDescent="0.25">
      <c r="B71" s="4">
        <f>EDATE(B$8,COUNT(B$8:B70))</f>
        <v>47979</v>
      </c>
      <c r="C71" s="154">
        <v>3.8494414588454906</v>
      </c>
      <c r="E71" s="157">
        <v>82.474625246603452</v>
      </c>
      <c r="F71" s="157">
        <v>89.158694478536574</v>
      </c>
      <c r="G71" s="157">
        <v>84.316068168627623</v>
      </c>
      <c r="H71" s="157">
        <v>80.535173520420983</v>
      </c>
      <c r="I71" s="157">
        <v>79.894428816490134</v>
      </c>
      <c r="J71" s="157">
        <v>81.407364009199028</v>
      </c>
      <c r="K71" s="157">
        <v>84.214673917695038</v>
      </c>
      <c r="L71" s="157">
        <v>88.126833137838375</v>
      </c>
      <c r="M71" s="216">
        <v>92.805639012987285</v>
      </c>
      <c r="N71" s="157">
        <v>98.111543727014947</v>
      </c>
      <c r="O71" s="157">
        <v>103.79273174461179</v>
      </c>
      <c r="P71" s="216">
        <v>115.80515200552028</v>
      </c>
      <c r="Q71" s="157"/>
      <c r="R71" s="157"/>
      <c r="S71" s="157"/>
      <c r="T71" s="157"/>
      <c r="U71" s="157"/>
      <c r="V71" s="157"/>
      <c r="W71" s="157"/>
      <c r="X71" s="157"/>
      <c r="Y71" s="157"/>
      <c r="Z71" s="157"/>
    </row>
    <row r="72" spans="2:26" x14ac:dyDescent="0.25">
      <c r="B72" s="4">
        <f>EDATE(B$8,COUNT(B$8:B71))</f>
        <v>48010</v>
      </c>
      <c r="C72" s="154">
        <v>3.8490303547531468</v>
      </c>
      <c r="E72" s="157">
        <v>82.474651469627219</v>
      </c>
      <c r="F72" s="157">
        <v>89.158771405038095</v>
      </c>
      <c r="G72" s="157">
        <v>84.31622037331168</v>
      </c>
      <c r="H72" s="157">
        <v>80.535340524928117</v>
      </c>
      <c r="I72" s="157">
        <v>79.894426989651336</v>
      </c>
      <c r="J72" s="157">
        <v>81.40735233436267</v>
      </c>
      <c r="K72" s="157">
        <v>84.214673526491296</v>
      </c>
      <c r="L72" s="157">
        <v>88.126866525215263</v>
      </c>
      <c r="M72" s="216">
        <v>92.805556100269385</v>
      </c>
      <c r="N72" s="157">
        <v>98.111439638496265</v>
      </c>
      <c r="O72" s="157">
        <v>103.79261431325797</v>
      </c>
      <c r="P72" s="216">
        <v>115.80547867535277</v>
      </c>
      <c r="Q72" s="157"/>
      <c r="R72" s="157"/>
      <c r="S72" s="157"/>
      <c r="T72" s="157"/>
      <c r="U72" s="157"/>
      <c r="V72" s="157"/>
      <c r="W72" s="157"/>
      <c r="X72" s="157"/>
      <c r="Y72" s="157"/>
      <c r="Z72" s="157"/>
    </row>
    <row r="73" spans="2:26" x14ac:dyDescent="0.25">
      <c r="B73" s="4">
        <f>EDATE(B$8,COUNT(B$8:B72))</f>
        <v>48040</v>
      </c>
      <c r="C73" s="154">
        <v>3.8490303547531468</v>
      </c>
      <c r="E73" s="157">
        <v>82.475830277257131</v>
      </c>
      <c r="F73" s="157">
        <v>89.157765545903914</v>
      </c>
      <c r="G73" s="157">
        <v>84.315393502051023</v>
      </c>
      <c r="H73" s="157">
        <v>80.534959971390407</v>
      </c>
      <c r="I73" s="157">
        <v>79.894785989957427</v>
      </c>
      <c r="J73" s="157">
        <v>81.408259441907973</v>
      </c>
      <c r="K73" s="157">
        <v>84.216110567985751</v>
      </c>
      <c r="L73" s="157">
        <v>88.128749097448704</v>
      </c>
      <c r="M73" s="216">
        <v>92.807611368723755</v>
      </c>
      <c r="N73" s="157">
        <v>98.113667849733972</v>
      </c>
      <c r="O73" s="157">
        <v>103.79495059484663</v>
      </c>
      <c r="P73" s="216">
        <v>115.80837533913886</v>
      </c>
      <c r="Q73" s="157"/>
      <c r="R73" s="157"/>
      <c r="S73" s="157"/>
      <c r="T73" s="157"/>
      <c r="U73" s="157"/>
      <c r="V73" s="157"/>
      <c r="W73" s="157"/>
      <c r="X73" s="157"/>
      <c r="Y73" s="157"/>
      <c r="Z73" s="157"/>
    </row>
    <row r="74" spans="2:26" x14ac:dyDescent="0.25">
      <c r="B74" s="4">
        <f>EDATE(B$8,COUNT(B$8:B73))</f>
        <v>48071</v>
      </c>
      <c r="C74" s="154">
        <v>3.8494414588452486</v>
      </c>
      <c r="E74" s="157">
        <v>82.472323276637809</v>
      </c>
      <c r="F74" s="157">
        <v>89.161165812387154</v>
      </c>
      <c r="G74" s="157">
        <v>84.318553642602041</v>
      </c>
      <c r="H74" s="157">
        <v>80.536812293354259</v>
      </c>
      <c r="I74" s="157">
        <v>79.893678231423067</v>
      </c>
      <c r="J74" s="157">
        <v>81.405430310222954</v>
      </c>
      <c r="K74" s="157">
        <v>84.211702337893968</v>
      </c>
      <c r="L74" s="157">
        <v>88.123112774305184</v>
      </c>
      <c r="M74" s="216">
        <v>92.80096846129689</v>
      </c>
      <c r="N74" s="157">
        <v>98.106407595623253</v>
      </c>
      <c r="O74" s="157">
        <v>103.7873041070351</v>
      </c>
      <c r="P74" s="216">
        <v>115.80083098593062</v>
      </c>
      <c r="Q74" s="157"/>
      <c r="R74" s="157"/>
      <c r="S74" s="157"/>
      <c r="T74" s="157"/>
      <c r="U74" s="157"/>
      <c r="V74" s="157"/>
      <c r="W74" s="157"/>
      <c r="X74" s="157"/>
      <c r="Y74" s="157"/>
      <c r="Z74" s="157"/>
    </row>
    <row r="75" spans="2:26" x14ac:dyDescent="0.25">
      <c r="B75" s="4">
        <f>EDATE(B$8,COUNT(B$8:B74))</f>
        <v>48102</v>
      </c>
      <c r="C75" s="154">
        <v>3.8488248246530077</v>
      </c>
      <c r="E75" s="157">
        <v>82.476825144113747</v>
      </c>
      <c r="F75" s="157">
        <v>89.157040912625547</v>
      </c>
      <c r="G75" s="157">
        <v>84.314909129699359</v>
      </c>
      <c r="H75" s="157">
        <v>80.534858352183988</v>
      </c>
      <c r="I75" s="157">
        <v>79.895076819676419</v>
      </c>
      <c r="J75" s="157">
        <v>81.408985283636568</v>
      </c>
      <c r="K75" s="157">
        <v>84.217282996210614</v>
      </c>
      <c r="L75" s="157">
        <v>88.130327352786324</v>
      </c>
      <c r="M75" s="216">
        <v>92.809184968578037</v>
      </c>
      <c r="N75" s="157">
        <v>98.115356090409563</v>
      </c>
      <c r="O75" s="157">
        <v>103.79671033389933</v>
      </c>
      <c r="P75" s="216">
        <v>115.81114787047464</v>
      </c>
      <c r="Q75" s="157"/>
      <c r="R75" s="157"/>
      <c r="S75" s="157"/>
      <c r="T75" s="157"/>
      <c r="U75" s="157"/>
      <c r="V75" s="157"/>
      <c r="W75" s="157"/>
      <c r="X75" s="157"/>
      <c r="Y75" s="157"/>
      <c r="Z75" s="157"/>
    </row>
    <row r="76" spans="2:26" x14ac:dyDescent="0.25">
      <c r="B76" s="4">
        <f>EDATE(B$8,COUNT(B$8:B75))</f>
        <v>48132</v>
      </c>
      <c r="C76" s="154">
        <v>3.8492358994836327</v>
      </c>
      <c r="E76" s="157">
        <v>82.475792851665645</v>
      </c>
      <c r="F76" s="157">
        <v>89.158122259195665</v>
      </c>
      <c r="G76" s="157">
        <v>84.315977771537376</v>
      </c>
      <c r="H76" s="157">
        <v>80.535545993127187</v>
      </c>
      <c r="I76" s="157">
        <v>79.894742484435625</v>
      </c>
      <c r="J76" s="157">
        <v>81.40812649413779</v>
      </c>
      <c r="K76" s="157">
        <v>84.215959203637738</v>
      </c>
      <c r="L76" s="157">
        <v>88.128661722486044</v>
      </c>
      <c r="M76" s="216">
        <v>92.807125443533224</v>
      </c>
      <c r="N76" s="157">
        <v>98.11309460560237</v>
      </c>
      <c r="O76" s="157">
        <v>103.7943224252943</v>
      </c>
      <c r="P76" s="216">
        <v>115.80914142822354</v>
      </c>
      <c r="Q76" s="157"/>
      <c r="R76" s="157"/>
      <c r="S76" s="157"/>
      <c r="T76" s="157"/>
      <c r="U76" s="157"/>
      <c r="V76" s="157"/>
      <c r="W76" s="157"/>
      <c r="X76" s="157"/>
      <c r="Y76" s="157"/>
      <c r="Z76" s="157"/>
    </row>
    <row r="77" spans="2:26" x14ac:dyDescent="0.25">
      <c r="B77" s="4">
        <f>EDATE(B$8,COUNT(B$8:B76))</f>
        <v>48163</v>
      </c>
      <c r="C77" s="154">
        <v>3.8490303547534048</v>
      </c>
      <c r="E77" s="157">
        <v>82.473797375250939</v>
      </c>
      <c r="F77" s="157">
        <v>89.096002748041712</v>
      </c>
      <c r="G77" s="157">
        <v>84.269753814434168</v>
      </c>
      <c r="H77" s="157">
        <v>80.508815115160928</v>
      </c>
      <c r="I77" s="157">
        <v>79.886009333277713</v>
      </c>
      <c r="J77" s="157">
        <v>81.404707629966992</v>
      </c>
      <c r="K77" s="157">
        <v>84.214327288707636</v>
      </c>
      <c r="L77" s="157">
        <v>88.125486642774803</v>
      </c>
      <c r="M77" s="216">
        <v>92.800265602138097</v>
      </c>
      <c r="N77" s="157">
        <v>98.100683877082929</v>
      </c>
      <c r="O77" s="157">
        <v>103.77549801322283</v>
      </c>
      <c r="P77" s="216">
        <v>115.77638200035412</v>
      </c>
      <c r="Q77" s="157"/>
      <c r="R77" s="157"/>
      <c r="S77" s="157"/>
      <c r="T77" s="157"/>
      <c r="U77" s="157"/>
      <c r="V77" s="157"/>
      <c r="W77" s="157"/>
      <c r="X77" s="157"/>
      <c r="Y77" s="157"/>
      <c r="Z77" s="157"/>
    </row>
    <row r="78" spans="2:26" x14ac:dyDescent="0.25">
      <c r="B78" s="4">
        <f>EDATE(B$8,COUNT(B$8:B77))</f>
        <v>48193</v>
      </c>
      <c r="C78" s="154">
        <v>3.8490303547528888</v>
      </c>
      <c r="E78" s="157">
        <v>82.482767937019517</v>
      </c>
      <c r="F78" s="157">
        <v>87.25035990498273</v>
      </c>
      <c r="G78" s="157">
        <v>82.892715183715737</v>
      </c>
      <c r="H78" s="157">
        <v>79.721847458485882</v>
      </c>
      <c r="I78" s="157">
        <v>79.667539875981902</v>
      </c>
      <c r="J78" s="157">
        <v>81.363796583842941</v>
      </c>
      <c r="K78" s="157">
        <v>84.245463766636249</v>
      </c>
      <c r="L78" s="157">
        <v>88.127441453575884</v>
      </c>
      <c r="M78" s="216">
        <v>92.710148898450839</v>
      </c>
      <c r="N78" s="157">
        <v>97.858505655864846</v>
      </c>
      <c r="O78" s="157">
        <v>103.35323652817485</v>
      </c>
      <c r="P78" s="216">
        <v>114.9443327250611</v>
      </c>
      <c r="Q78" s="157"/>
      <c r="R78" s="157"/>
      <c r="S78" s="157"/>
      <c r="T78" s="157"/>
      <c r="U78" s="157"/>
      <c r="V78" s="157"/>
      <c r="W78" s="157"/>
      <c r="X78" s="157"/>
      <c r="Y78" s="157"/>
      <c r="Z78" s="157"/>
    </row>
    <row r="79" spans="2:26" x14ac:dyDescent="0.25">
      <c r="B79" s="4">
        <f>EDATE(B$8,COUNT(B$8:B78))</f>
        <v>48224</v>
      </c>
      <c r="C79" s="154">
        <v>3.8496470328389196</v>
      </c>
      <c r="E79" s="157">
        <v>82.468878621355628</v>
      </c>
      <c r="F79" s="157">
        <v>85.278509711351063</v>
      </c>
      <c r="G79" s="157">
        <v>81.442615685936758</v>
      </c>
      <c r="H79" s="157">
        <v>78.913009615887987</v>
      </c>
      <c r="I79" s="157">
        <v>79.444632317879467</v>
      </c>
      <c r="J79" s="157">
        <v>81.307176576769962</v>
      </c>
      <c r="K79" s="157">
        <v>84.239596480501007</v>
      </c>
      <c r="L79" s="157">
        <v>88.066697718584791</v>
      </c>
      <c r="M79" s="216">
        <v>92.532259096674281</v>
      </c>
      <c r="N79" s="157">
        <v>97.503836683727855</v>
      </c>
      <c r="O79" s="157">
        <v>102.79480838949497</v>
      </c>
      <c r="P79" s="216">
        <v>113.93224250821494</v>
      </c>
      <c r="Q79" s="157"/>
      <c r="R79" s="157"/>
      <c r="S79" s="157"/>
      <c r="T79" s="157"/>
      <c r="U79" s="157"/>
      <c r="V79" s="157"/>
      <c r="W79" s="157"/>
      <c r="X79" s="157"/>
      <c r="Y79" s="157"/>
      <c r="Z79" s="157"/>
    </row>
    <row r="80" spans="2:26" x14ac:dyDescent="0.25">
      <c r="B80" s="4">
        <f>EDATE(B$8,COUNT(B$8:B79))</f>
        <v>48255</v>
      </c>
      <c r="C80" s="154">
        <v>3.9618259320846558</v>
      </c>
      <c r="E80" s="157">
        <v>81.812086261515759</v>
      </c>
      <c r="F80" s="157">
        <v>83.898480450924367</v>
      </c>
      <c r="G80" s="157">
        <v>80.475387289777103</v>
      </c>
      <c r="H80" s="157">
        <v>78.301084871033382</v>
      </c>
      <c r="I80" s="157">
        <v>78.940338388786387</v>
      </c>
      <c r="J80" s="157">
        <v>80.710138034473871</v>
      </c>
      <c r="K80" s="157">
        <v>83.462792837140583</v>
      </c>
      <c r="L80" s="157">
        <v>87.052339067828314</v>
      </c>
      <c r="M80" s="216">
        <v>91.27217867860584</v>
      </c>
      <c r="N80" s="157">
        <v>95.991082921235915</v>
      </c>
      <c r="O80" s="157">
        <v>101.02962855868809</v>
      </c>
      <c r="P80" s="216">
        <v>111.70710198869713</v>
      </c>
      <c r="Q80" s="157"/>
      <c r="R80" s="157"/>
      <c r="S80" s="157"/>
      <c r="T80" s="157"/>
      <c r="U80" s="157"/>
      <c r="V80" s="157"/>
      <c r="W80" s="157"/>
      <c r="X80" s="157"/>
      <c r="Y80" s="157"/>
      <c r="Z80" s="157"/>
    </row>
    <row r="81" spans="2:26" x14ac:dyDescent="0.25">
      <c r="B81" s="4">
        <f>EDATE(B$8,COUNT(B$8:B80))</f>
        <v>48284</v>
      </c>
      <c r="C81" s="154">
        <v>3.9835186411067696</v>
      </c>
      <c r="E81" s="157">
        <v>81.815304695875341</v>
      </c>
      <c r="F81" s="157">
        <v>83.896429926091329</v>
      </c>
      <c r="G81" s="157">
        <v>80.473749948887914</v>
      </c>
      <c r="H81" s="157">
        <v>78.300560021164017</v>
      </c>
      <c r="I81" s="157">
        <v>78.941853919137742</v>
      </c>
      <c r="J81" s="157">
        <v>80.712848989172841</v>
      </c>
      <c r="K81" s="157">
        <v>83.466607779924715</v>
      </c>
      <c r="L81" s="157">
        <v>87.057058003672338</v>
      </c>
      <c r="M81" s="216">
        <v>91.27757465600628</v>
      </c>
      <c r="N81" s="157">
        <v>95.996962406307901</v>
      </c>
      <c r="O81" s="157">
        <v>101.03583801852345</v>
      </c>
      <c r="P81" s="216">
        <v>111.71363683190678</v>
      </c>
      <c r="Q81" s="157"/>
      <c r="R81" s="157"/>
      <c r="S81" s="157"/>
      <c r="T81" s="157"/>
      <c r="U81" s="157"/>
      <c r="V81" s="157"/>
      <c r="W81" s="157"/>
      <c r="X81" s="157"/>
      <c r="Y81" s="157"/>
      <c r="Z81" s="157"/>
    </row>
    <row r="82" spans="2:26" x14ac:dyDescent="0.25">
      <c r="B82" s="4">
        <f>EDATE(B$8,COUNT(B$8:B81))</f>
        <v>48315</v>
      </c>
      <c r="C82" s="154">
        <v>3.9832985060541226</v>
      </c>
      <c r="E82" s="157">
        <v>81.815087362081016</v>
      </c>
      <c r="F82" s="157">
        <v>83.896759843471628</v>
      </c>
      <c r="G82" s="157">
        <v>80.474066098280503</v>
      </c>
      <c r="H82" s="157">
        <v>78.300705501572423</v>
      </c>
      <c r="I82" s="157">
        <v>78.941769992906401</v>
      </c>
      <c r="J82" s="157">
        <v>80.712669684829052</v>
      </c>
      <c r="K82" s="157">
        <v>83.466351654903931</v>
      </c>
      <c r="L82" s="157">
        <v>87.056748146720821</v>
      </c>
      <c r="M82" s="216">
        <v>91.277237758164333</v>
      </c>
      <c r="N82" s="157">
        <v>95.996618034912061</v>
      </c>
      <c r="O82" s="157">
        <v>101.0354982169944</v>
      </c>
      <c r="P82" s="216">
        <v>111.71328682599415</v>
      </c>
      <c r="Q82" s="157"/>
      <c r="R82" s="157"/>
      <c r="S82" s="157"/>
      <c r="T82" s="157"/>
      <c r="U82" s="157"/>
      <c r="V82" s="157"/>
      <c r="W82" s="157"/>
      <c r="X82" s="157"/>
      <c r="Y82" s="157"/>
      <c r="Z82" s="157"/>
    </row>
    <row r="83" spans="2:26" x14ac:dyDescent="0.25">
      <c r="B83" s="4">
        <f>EDATE(B$8,COUNT(B$8:B82))</f>
        <v>48345</v>
      </c>
      <c r="C83" s="154">
        <v>3.9837387923760401</v>
      </c>
      <c r="E83" s="157">
        <v>81.813532063870142</v>
      </c>
      <c r="F83" s="157">
        <v>83.897993231740358</v>
      </c>
      <c r="G83" s="157">
        <v>80.475117750386886</v>
      </c>
      <c r="H83" s="157">
        <v>78.301098520818655</v>
      </c>
      <c r="I83" s="157">
        <v>78.941060925005004</v>
      </c>
      <c r="J83" s="157">
        <v>80.711364377738846</v>
      </c>
      <c r="K83" s="157">
        <v>83.464509987500222</v>
      </c>
      <c r="L83" s="157">
        <v>87.054478909806804</v>
      </c>
      <c r="M83" s="216">
        <v>91.274665012955509</v>
      </c>
      <c r="N83" s="157">
        <v>95.993843542200764</v>
      </c>
      <c r="O83" s="157">
        <v>101.03259829175111</v>
      </c>
      <c r="P83" s="216">
        <v>111.71024460161622</v>
      </c>
      <c r="Q83" s="157"/>
      <c r="R83" s="157"/>
      <c r="S83" s="157"/>
      <c r="T83" s="157"/>
      <c r="U83" s="157"/>
      <c r="V83" s="157"/>
      <c r="W83" s="157"/>
      <c r="X83" s="157"/>
      <c r="Y83" s="157"/>
      <c r="Z83" s="157"/>
    </row>
    <row r="84" spans="2:26" x14ac:dyDescent="0.25">
      <c r="B84" s="4">
        <f>EDATE(B$8,COUNT(B$8:B83))</f>
        <v>48376</v>
      </c>
      <c r="C84" s="154">
        <v>3.9832985060541226</v>
      </c>
      <c r="E84" s="157">
        <v>81.818091074338795</v>
      </c>
      <c r="F84" s="157">
        <v>83.895032603483841</v>
      </c>
      <c r="G84" s="157">
        <v>80.472738221515371</v>
      </c>
      <c r="H84" s="157">
        <v>78.300323281313425</v>
      </c>
      <c r="I84" s="157">
        <v>78.943202897253926</v>
      </c>
      <c r="J84" s="157">
        <v>80.715203633365206</v>
      </c>
      <c r="K84" s="157">
        <v>83.469913207461744</v>
      </c>
      <c r="L84" s="157">
        <v>87.06115995937904</v>
      </c>
      <c r="M84" s="216">
        <v>91.282299193534243</v>
      </c>
      <c r="N84" s="157">
        <v>96.002154804722679</v>
      </c>
      <c r="O84" s="157">
        <v>101.04136874912196</v>
      </c>
      <c r="P84" s="216">
        <v>111.71947203528147</v>
      </c>
      <c r="Q84" s="157"/>
      <c r="R84" s="157"/>
      <c r="S84" s="157"/>
      <c r="T84" s="157"/>
      <c r="U84" s="157"/>
      <c r="V84" s="157"/>
      <c r="W84" s="157"/>
      <c r="X84" s="157"/>
      <c r="Y84" s="157"/>
      <c r="Z84" s="157"/>
    </row>
    <row r="85" spans="2:26" x14ac:dyDescent="0.25">
      <c r="B85" s="4">
        <f>EDATE(B$8,COUNT(B$8:B84))</f>
        <v>48406</v>
      </c>
      <c r="C85" s="154">
        <v>3.9839589598638501</v>
      </c>
      <c r="E85" s="157">
        <v>81.816607550178972</v>
      </c>
      <c r="F85" s="157">
        <v>83.896227487318214</v>
      </c>
      <c r="G85" s="157">
        <v>80.473761023923345</v>
      </c>
      <c r="H85" s="157">
        <v>78.300708433970357</v>
      </c>
      <c r="I85" s="157">
        <v>78.942527997722721</v>
      </c>
      <c r="J85" s="157">
        <v>80.713958787932043</v>
      </c>
      <c r="K85" s="157">
        <v>83.468156805175354</v>
      </c>
      <c r="L85" s="157">
        <v>87.058996726945466</v>
      </c>
      <c r="M85" s="216">
        <v>91.279848583241545</v>
      </c>
      <c r="N85" s="157">
        <v>95.99951440994667</v>
      </c>
      <c r="O85" s="157">
        <v>101.03861147407504</v>
      </c>
      <c r="P85" s="216">
        <v>111.71658023324038</v>
      </c>
      <c r="Q85" s="157"/>
      <c r="R85" s="157"/>
      <c r="S85" s="157"/>
      <c r="T85" s="157"/>
      <c r="U85" s="157"/>
      <c r="V85" s="157"/>
      <c r="W85" s="157"/>
      <c r="X85" s="157"/>
      <c r="Y85" s="157"/>
      <c r="Z85" s="157"/>
    </row>
    <row r="86" spans="2:26" x14ac:dyDescent="0.25">
      <c r="B86" s="4">
        <f>EDATE(B$8,COUNT(B$8:B85))</f>
        <v>48437</v>
      </c>
      <c r="C86" s="154">
        <v>3.9835186411067696</v>
      </c>
      <c r="E86" s="157">
        <v>81.81748859544922</v>
      </c>
      <c r="F86" s="157">
        <v>83.895790811476033</v>
      </c>
      <c r="G86" s="157">
        <v>80.473446607749921</v>
      </c>
      <c r="H86" s="157">
        <v>78.30063651147492</v>
      </c>
      <c r="I86" s="157">
        <v>78.942955033100176</v>
      </c>
      <c r="J86" s="157">
        <v>80.714703410950747</v>
      </c>
      <c r="K86" s="157">
        <v>83.469201989637781</v>
      </c>
      <c r="L86" s="157">
        <v>87.060293963804497</v>
      </c>
      <c r="M86" s="216">
        <v>91.281343212194173</v>
      </c>
      <c r="N86" s="157">
        <v>96.001157643381589</v>
      </c>
      <c r="O86" s="157">
        <v>101.04036240012266</v>
      </c>
      <c r="P86" s="216">
        <v>111.71842766696551</v>
      </c>
      <c r="Q86" s="157"/>
      <c r="R86" s="157"/>
      <c r="S86" s="157"/>
      <c r="T86" s="157"/>
      <c r="U86" s="157"/>
      <c r="V86" s="157"/>
      <c r="W86" s="157"/>
      <c r="X86" s="157"/>
      <c r="Y86" s="157"/>
      <c r="Z86" s="157"/>
    </row>
    <row r="87" spans="2:26" x14ac:dyDescent="0.25">
      <c r="B87" s="4">
        <f>EDATE(B$8,COUNT(B$8:B86))</f>
        <v>48468</v>
      </c>
      <c r="C87" s="154">
        <v>3.9832985060541226</v>
      </c>
      <c r="E87" s="157">
        <v>81.817066077055884</v>
      </c>
      <c r="F87" s="157">
        <v>83.896269611631553</v>
      </c>
      <c r="G87" s="157">
        <v>80.473882999780486</v>
      </c>
      <c r="H87" s="157">
        <v>78.300824116828579</v>
      </c>
      <c r="I87" s="157">
        <v>78.942774520010317</v>
      </c>
      <c r="J87" s="157">
        <v>80.714348862515735</v>
      </c>
      <c r="K87" s="157">
        <v>83.46869888292683</v>
      </c>
      <c r="L87" s="157">
        <v>87.059681221697289</v>
      </c>
      <c r="M87" s="216">
        <v>91.28066851210879</v>
      </c>
      <c r="N87" s="157">
        <v>96.000447123141569</v>
      </c>
      <c r="O87" s="157">
        <v>101.03963790953325</v>
      </c>
      <c r="P87" s="216">
        <v>111.71766280316629</v>
      </c>
      <c r="Q87" s="157"/>
      <c r="R87" s="157"/>
      <c r="S87" s="157"/>
      <c r="T87" s="157"/>
      <c r="U87" s="157"/>
      <c r="V87" s="157"/>
      <c r="W87" s="157"/>
      <c r="X87" s="157"/>
      <c r="Y87" s="157"/>
      <c r="Z87" s="157"/>
    </row>
    <row r="88" spans="2:26" x14ac:dyDescent="0.25">
      <c r="B88" s="4">
        <f>EDATE(B$8,COUNT(B$8:B87))</f>
        <v>48498</v>
      </c>
      <c r="C88" s="154">
        <v>3.9837387923762901</v>
      </c>
      <c r="E88" s="157">
        <v>81.812490223876978</v>
      </c>
      <c r="F88" s="157">
        <v>83.899582654469867</v>
      </c>
      <c r="G88" s="157">
        <v>80.476635030980731</v>
      </c>
      <c r="H88" s="157">
        <v>78.301797569170475</v>
      </c>
      <c r="I88" s="157">
        <v>78.940656497181394</v>
      </c>
      <c r="J88" s="157">
        <v>80.710499857954403</v>
      </c>
      <c r="K88" s="157">
        <v>83.463274597749603</v>
      </c>
      <c r="L88" s="157">
        <v>87.052987862558297</v>
      </c>
      <c r="M88" s="216">
        <v>91.273057085790171</v>
      </c>
      <c r="N88" s="157">
        <v>95.992200735788273</v>
      </c>
      <c r="O88" s="157">
        <v>101.03097820446081</v>
      </c>
      <c r="P88" s="216">
        <v>111.7085559155435</v>
      </c>
      <c r="Q88" s="157"/>
      <c r="R88" s="157"/>
      <c r="S88" s="157"/>
      <c r="T88" s="157"/>
      <c r="U88" s="157"/>
      <c r="V88" s="157"/>
      <c r="W88" s="157"/>
      <c r="X88" s="157"/>
      <c r="Y88" s="157"/>
      <c r="Z88" s="157"/>
    </row>
    <row r="89" spans="2:26" x14ac:dyDescent="0.25">
      <c r="B89" s="4">
        <f>EDATE(B$8,COUNT(B$8:B88))</f>
        <v>48529</v>
      </c>
      <c r="C89" s="154">
        <v>3.9832985060538562</v>
      </c>
      <c r="E89" s="157">
        <v>81.81704679429383</v>
      </c>
      <c r="F89" s="157">
        <v>83.896625175809177</v>
      </c>
      <c r="G89" s="157">
        <v>80.474254808563416</v>
      </c>
      <c r="H89" s="157">
        <v>78.301021463444044</v>
      </c>
      <c r="I89" s="157">
        <v>78.942795500723165</v>
      </c>
      <c r="J89" s="157">
        <v>80.714334390394512</v>
      </c>
      <c r="K89" s="157">
        <v>83.468671508458087</v>
      </c>
      <c r="L89" s="157">
        <v>87.059663267548231</v>
      </c>
      <c r="M89" s="216">
        <v>91.280691625000642</v>
      </c>
      <c r="N89" s="157">
        <v>96.00051252137753</v>
      </c>
      <c r="O89" s="157">
        <v>101.03974928604021</v>
      </c>
      <c r="P89" s="216">
        <v>111.7177740540529</v>
      </c>
      <c r="Q89" s="157"/>
      <c r="R89" s="157"/>
      <c r="S89" s="157"/>
      <c r="T89" s="157"/>
      <c r="U89" s="157"/>
      <c r="V89" s="157"/>
      <c r="W89" s="157"/>
      <c r="X89" s="157"/>
      <c r="Y89" s="157"/>
      <c r="Z89" s="157"/>
    </row>
    <row r="90" spans="2:26" x14ac:dyDescent="0.25">
      <c r="B90" s="4">
        <f>EDATE(B$8,COUNT(B$8:B89))</f>
        <v>48559</v>
      </c>
      <c r="C90" s="154">
        <v>3.9841791435702398</v>
      </c>
      <c r="E90" s="157">
        <v>82.033619280983231</v>
      </c>
      <c r="F90" s="157">
        <v>83.807551779623907</v>
      </c>
      <c r="G90" s="157">
        <v>80.544862116830501</v>
      </c>
      <c r="H90" s="157">
        <v>78.521830154462336</v>
      </c>
      <c r="I90" s="157">
        <v>79.223526764039718</v>
      </c>
      <c r="J90" s="157">
        <v>80.96076796020732</v>
      </c>
      <c r="K90" s="157">
        <v>83.635516614179835</v>
      </c>
      <c r="L90" s="157">
        <v>87.112623700482544</v>
      </c>
      <c r="M90" s="216">
        <v>91.200878000745547</v>
      </c>
      <c r="N90" s="157">
        <v>95.777844123005053</v>
      </c>
      <c r="O90" s="157">
        <v>100.67313438954201</v>
      </c>
      <c r="P90" s="216">
        <v>111.07075503944645</v>
      </c>
      <c r="Q90" s="157"/>
      <c r="R90" s="157"/>
      <c r="S90" s="157"/>
      <c r="T90" s="157"/>
      <c r="U90" s="157"/>
      <c r="V90" s="157"/>
      <c r="W90" s="157"/>
      <c r="X90" s="157"/>
      <c r="Y90" s="157"/>
      <c r="Z90" s="157"/>
    </row>
    <row r="91" spans="2:26" x14ac:dyDescent="0.25">
      <c r="B91" s="4">
        <f>EDATE(B$8,COUNT(B$8:B90))</f>
        <v>48590</v>
      </c>
      <c r="C91" s="154">
        <v>3.9837387923765402</v>
      </c>
      <c r="E91" s="157">
        <v>82.22710394839919</v>
      </c>
      <c r="F91" s="157">
        <v>83.73177618739949</v>
      </c>
      <c r="G91" s="157">
        <v>80.622715313748827</v>
      </c>
      <c r="H91" s="157">
        <v>78.73986463464621</v>
      </c>
      <c r="I91" s="157">
        <v>79.487774185043548</v>
      </c>
      <c r="J91" s="157">
        <v>81.185462427374034</v>
      </c>
      <c r="K91" s="157">
        <v>83.77861981109325</v>
      </c>
      <c r="L91" s="157">
        <v>87.14320295077583</v>
      </c>
      <c r="M91" s="216">
        <v>91.102603344442414</v>
      </c>
      <c r="N91" s="157">
        <v>95.542053210148154</v>
      </c>
      <c r="O91" s="157">
        <v>100.29923815705766</v>
      </c>
      <c r="P91" s="216">
        <v>110.42802268436293</v>
      </c>
      <c r="Q91" s="157"/>
      <c r="R91" s="157"/>
      <c r="S91" s="157"/>
      <c r="T91" s="157"/>
      <c r="U91" s="157"/>
      <c r="V91" s="157"/>
      <c r="W91" s="157"/>
      <c r="X91" s="157"/>
      <c r="Y91" s="157"/>
      <c r="Z91" s="157"/>
    </row>
    <row r="92" spans="2:26" x14ac:dyDescent="0.25">
      <c r="B92" s="4">
        <f>EDATE(B$8,COUNT(B$8:B91))</f>
        <v>48621</v>
      </c>
      <c r="C92" s="154">
        <v>4.0932607414713633</v>
      </c>
      <c r="E92" s="157">
        <v>81.825837837062593</v>
      </c>
      <c r="F92" s="157">
        <v>84.066575964240826</v>
      </c>
      <c r="G92" s="157">
        <v>81.03658163702741</v>
      </c>
      <c r="H92" s="157">
        <v>79.081076219478547</v>
      </c>
      <c r="I92" s="157">
        <v>79.488851875861116</v>
      </c>
      <c r="J92" s="157">
        <v>80.920655332284483</v>
      </c>
      <c r="K92" s="157">
        <v>83.216158845739272</v>
      </c>
      <c r="L92" s="157">
        <v>86.30010824270407</v>
      </c>
      <c r="M92" s="216">
        <v>89.990821723052974</v>
      </c>
      <c r="N92" s="157">
        <v>94.18791555645808</v>
      </c>
      <c r="O92" s="157">
        <v>98.7379995549923</v>
      </c>
      <c r="P92" s="216">
        <v>108.49529633049981</v>
      </c>
      <c r="Q92" s="157"/>
      <c r="R92" s="157"/>
      <c r="S92" s="157"/>
      <c r="T92" s="157"/>
      <c r="U92" s="157"/>
      <c r="V92" s="157"/>
      <c r="W92" s="157"/>
      <c r="X92" s="157"/>
      <c r="Y92" s="157"/>
      <c r="Z92" s="157"/>
    </row>
    <row r="93" spans="2:26" x14ac:dyDescent="0.25">
      <c r="B93" s="4">
        <f>EDATE(B$8,COUNT(B$8:B92))</f>
        <v>48649</v>
      </c>
      <c r="C93" s="154">
        <v>4.0987477598369653</v>
      </c>
      <c r="E93" s="157">
        <v>81.814213803682151</v>
      </c>
      <c r="F93" s="157">
        <v>84.077279941880349</v>
      </c>
      <c r="G93" s="157">
        <v>81.050069459221618</v>
      </c>
      <c r="H93" s="157">
        <v>79.092549072738507</v>
      </c>
      <c r="I93" s="157">
        <v>79.489886128119636</v>
      </c>
      <c r="J93" s="157">
        <v>80.913335916174219</v>
      </c>
      <c r="K93" s="157">
        <v>83.199357350503632</v>
      </c>
      <c r="L93" s="157">
        <v>86.274228577096395</v>
      </c>
      <c r="M93" s="216">
        <v>89.956217348104104</v>
      </c>
      <c r="N93" s="157">
        <v>94.145436918765881</v>
      </c>
      <c r="O93" s="157">
        <v>98.688787202298585</v>
      </c>
      <c r="P93" s="216">
        <v>108.43410513157035</v>
      </c>
      <c r="Q93" s="157"/>
      <c r="R93" s="157"/>
      <c r="S93" s="157"/>
      <c r="T93" s="157"/>
      <c r="U93" s="157"/>
      <c r="V93" s="157"/>
      <c r="W93" s="157"/>
      <c r="X93" s="157"/>
      <c r="Y93" s="157"/>
      <c r="Z93" s="157"/>
    </row>
    <row r="94" spans="2:26" x14ac:dyDescent="0.25">
      <c r="B94" s="4">
        <f>EDATE(B$8,COUNT(B$8:B93))</f>
        <v>48680</v>
      </c>
      <c r="C94" s="154">
        <v>4.0978157845615648</v>
      </c>
      <c r="E94" s="157">
        <v>81.816672783956207</v>
      </c>
      <c r="F94" s="157">
        <v>84.075895381939517</v>
      </c>
      <c r="G94" s="157">
        <v>81.04902040839508</v>
      </c>
      <c r="H94" s="157">
        <v>79.092288695115641</v>
      </c>
      <c r="I94" s="157">
        <v>79.491051366860574</v>
      </c>
      <c r="J94" s="157">
        <v>80.915395044775693</v>
      </c>
      <c r="K94" s="157">
        <v>83.202291998265636</v>
      </c>
      <c r="L94" s="157">
        <v>86.277938425882581</v>
      </c>
      <c r="M94" s="216">
        <v>89.960537153465566</v>
      </c>
      <c r="N94" s="157">
        <v>94.150241025321307</v>
      </c>
      <c r="O94" s="157">
        <v>98.693957984984664</v>
      </c>
      <c r="P94" s="216">
        <v>108.43978859788859</v>
      </c>
      <c r="Q94" s="157"/>
      <c r="R94" s="157"/>
      <c r="S94" s="157"/>
      <c r="T94" s="157"/>
      <c r="U94" s="157"/>
      <c r="V94" s="157"/>
      <c r="W94" s="157"/>
      <c r="X94" s="157"/>
      <c r="Y94" s="157"/>
      <c r="Z94" s="157"/>
    </row>
    <row r="95" spans="2:26" x14ac:dyDescent="0.25">
      <c r="B95" s="4">
        <f>EDATE(B$8,COUNT(B$8:B94))</f>
        <v>48710</v>
      </c>
      <c r="C95" s="154">
        <v>4.0980487518968198</v>
      </c>
      <c r="E95" s="157">
        <v>81.81802248953835</v>
      </c>
      <c r="F95" s="157">
        <v>84.075306494833953</v>
      </c>
      <c r="G95" s="157">
        <v>81.0486244400429</v>
      </c>
      <c r="H95" s="157">
        <v>79.09226712033913</v>
      </c>
      <c r="I95" s="157">
        <v>79.49172612605156</v>
      </c>
      <c r="J95" s="157">
        <v>80.916532776873311</v>
      </c>
      <c r="K95" s="157">
        <v>83.203892777685994</v>
      </c>
      <c r="L95" s="157">
        <v>86.279960613635339</v>
      </c>
      <c r="M95" s="216">
        <v>89.962893396796503</v>
      </c>
      <c r="N95" s="157">
        <v>94.152876980086731</v>
      </c>
      <c r="O95" s="157">
        <v>98.69681678039872</v>
      </c>
      <c r="P95" s="216">
        <v>108.44299404138688</v>
      </c>
      <c r="Q95" s="157"/>
      <c r="R95" s="157"/>
      <c r="S95" s="157"/>
      <c r="T95" s="157"/>
      <c r="U95" s="157"/>
      <c r="V95" s="157"/>
      <c r="W95" s="157"/>
      <c r="X95" s="157"/>
      <c r="Y95" s="157"/>
      <c r="Z95" s="157"/>
    </row>
    <row r="96" spans="2:26" x14ac:dyDescent="0.25">
      <c r="B96" s="4">
        <f>EDATE(B$8,COUNT(B$8:B95))</f>
        <v>48741</v>
      </c>
      <c r="C96" s="154">
        <v>4.0978157845612984</v>
      </c>
      <c r="E96" s="157">
        <v>81.817684690443897</v>
      </c>
      <c r="F96" s="157">
        <v>84.075992039979383</v>
      </c>
      <c r="G96" s="157">
        <v>81.049285531137912</v>
      </c>
      <c r="H96" s="157">
        <v>79.092650838875798</v>
      </c>
      <c r="I96" s="157">
        <v>79.491663196371334</v>
      </c>
      <c r="J96" s="157">
        <v>80.916264722495413</v>
      </c>
      <c r="K96" s="157">
        <v>83.20345206381468</v>
      </c>
      <c r="L96" s="157">
        <v>86.279396796816044</v>
      </c>
      <c r="M96" s="216">
        <v>89.962252984106811</v>
      </c>
      <c r="N96" s="157">
        <v>94.152209673771353</v>
      </c>
      <c r="O96" s="157">
        <v>98.69615812709047</v>
      </c>
      <c r="P96" s="216">
        <v>108.44243852579574</v>
      </c>
      <c r="Q96" s="157"/>
      <c r="R96" s="157"/>
      <c r="S96" s="157"/>
      <c r="T96" s="157"/>
      <c r="U96" s="157"/>
      <c r="V96" s="157"/>
      <c r="W96" s="157"/>
      <c r="X96" s="157"/>
      <c r="Y96" s="157"/>
      <c r="Z96" s="157"/>
    </row>
    <row r="97" spans="2:26" x14ac:dyDescent="0.25">
      <c r="B97" s="4">
        <f>EDATE(B$8,COUNT(B$8:B96))</f>
        <v>48771</v>
      </c>
      <c r="C97" s="154">
        <v>4.0985147395335986</v>
      </c>
      <c r="E97" s="157">
        <v>81.813547841493829</v>
      </c>
      <c r="F97" s="157">
        <v>84.079380383098211</v>
      </c>
      <c r="G97" s="157">
        <v>81.052160824723416</v>
      </c>
      <c r="H97" s="157">
        <v>79.093837352163973</v>
      </c>
      <c r="I97" s="157">
        <v>79.489916425587481</v>
      </c>
      <c r="J97" s="157">
        <v>80.912840959655881</v>
      </c>
      <c r="K97" s="157">
        <v>83.198445658949197</v>
      </c>
      <c r="L97" s="157">
        <v>86.273057102834414</v>
      </c>
      <c r="M97" s="216">
        <v>89.954890788284672</v>
      </c>
      <c r="N97" s="157">
        <v>94.144118466769086</v>
      </c>
      <c r="O97" s="157">
        <v>98.687580967425305</v>
      </c>
      <c r="P97" s="216">
        <v>108.43339027509602</v>
      </c>
      <c r="Q97" s="157"/>
      <c r="R97" s="157"/>
      <c r="S97" s="157"/>
      <c r="T97" s="157"/>
      <c r="U97" s="157"/>
      <c r="V97" s="157"/>
      <c r="W97" s="157"/>
      <c r="X97" s="157"/>
      <c r="Y97" s="157"/>
      <c r="Z97" s="157"/>
    </row>
    <row r="98" spans="2:26" x14ac:dyDescent="0.25">
      <c r="B98" s="4">
        <f>EDATE(B$8,COUNT(B$8:B97))</f>
        <v>48802</v>
      </c>
      <c r="C98" s="154">
        <v>4.0980487518970783</v>
      </c>
      <c r="E98" s="157">
        <v>81.816557512479747</v>
      </c>
      <c r="F98" s="157">
        <v>84.077599114202414</v>
      </c>
      <c r="G98" s="157">
        <v>81.05078202056346</v>
      </c>
      <c r="H98" s="157">
        <v>79.093453916962176</v>
      </c>
      <c r="I98" s="157">
        <v>79.491320575819699</v>
      </c>
      <c r="J98" s="157">
        <v>80.915351101991888</v>
      </c>
      <c r="K98" s="157">
        <v>83.202034563592292</v>
      </c>
      <c r="L98" s="157">
        <v>86.277592193045137</v>
      </c>
      <c r="M98" s="216">
        <v>89.960181308471306</v>
      </c>
      <c r="N98" s="157">
        <v>94.149993939325171</v>
      </c>
      <c r="O98" s="157">
        <v>98.693890823045237</v>
      </c>
      <c r="P98" s="216">
        <v>108.44027970740839</v>
      </c>
      <c r="Q98" s="157"/>
      <c r="R98" s="157"/>
      <c r="S98" s="157"/>
      <c r="T98" s="157"/>
      <c r="U98" s="157"/>
      <c r="V98" s="157"/>
      <c r="W98" s="157"/>
      <c r="X98" s="157"/>
      <c r="Y98" s="157"/>
      <c r="Z98" s="157"/>
    </row>
    <row r="99" spans="2:26" x14ac:dyDescent="0.25">
      <c r="B99" s="4">
        <f>EDATE(B$8,COUNT(B$8:B98))</f>
        <v>48833</v>
      </c>
      <c r="C99" s="154">
        <v>4.0978157845612984</v>
      </c>
      <c r="E99" s="157">
        <v>81.815597073923144</v>
      </c>
      <c r="F99" s="157">
        <v>84.078723762707781</v>
      </c>
      <c r="G99" s="157">
        <v>81.051803117121509</v>
      </c>
      <c r="H99" s="157">
        <v>79.093967512126795</v>
      </c>
      <c r="I99" s="157">
        <v>79.490982228255376</v>
      </c>
      <c r="J99" s="157">
        <v>80.914567678038452</v>
      </c>
      <c r="K99" s="157">
        <v>83.20084830977008</v>
      </c>
      <c r="L99" s="157">
        <v>86.276086045819468</v>
      </c>
      <c r="M99" s="216">
        <v>89.958440864623299</v>
      </c>
      <c r="N99" s="157">
        <v>94.148111444324002</v>
      </c>
      <c r="O99" s="157">
        <v>98.691936512190637</v>
      </c>
      <c r="P99" s="216">
        <v>108.43833760254959</v>
      </c>
      <c r="Q99" s="157"/>
      <c r="R99" s="157"/>
      <c r="S99" s="157"/>
      <c r="T99" s="157"/>
      <c r="U99" s="157"/>
      <c r="V99" s="157"/>
      <c r="W99" s="157"/>
      <c r="X99" s="157"/>
      <c r="Y99" s="157"/>
      <c r="Z99" s="157"/>
    </row>
    <row r="100" spans="2:26" x14ac:dyDescent="0.25">
      <c r="B100" s="4">
        <f>EDATE(B$8,COUNT(B$8:B99))</f>
        <v>48863</v>
      </c>
      <c r="C100" s="154">
        <v>4.0982817368870883</v>
      </c>
      <c r="E100" s="157">
        <v>81.813482826142163</v>
      </c>
      <c r="F100" s="157">
        <v>84.080650010898026</v>
      </c>
      <c r="G100" s="157">
        <v>81.053476709740764</v>
      </c>
      <c r="H100" s="157">
        <v>79.09471169061375</v>
      </c>
      <c r="I100" s="157">
        <v>79.490128958569116</v>
      </c>
      <c r="J100" s="157">
        <v>80.912825323580336</v>
      </c>
      <c r="K100" s="157">
        <v>83.198276664904668</v>
      </c>
      <c r="L100" s="157">
        <v>86.272827287516407</v>
      </c>
      <c r="M100" s="216">
        <v>89.954660027818122</v>
      </c>
      <c r="N100" s="157">
        <v>94.143973527366938</v>
      </c>
      <c r="O100" s="157">
        <v>98.687574051085321</v>
      </c>
      <c r="P100" s="216">
        <v>108.4338058125653</v>
      </c>
      <c r="Q100" s="157"/>
      <c r="R100" s="157"/>
      <c r="S100" s="157"/>
      <c r="T100" s="157"/>
      <c r="U100" s="157"/>
      <c r="V100" s="157"/>
      <c r="W100" s="157"/>
      <c r="X100" s="157"/>
      <c r="Y100" s="157"/>
      <c r="Z100" s="157"/>
    </row>
    <row r="101" spans="2:26" x14ac:dyDescent="0.25">
      <c r="B101" s="4">
        <f>EDATE(B$8,COUNT(B$8:B100))</f>
        <v>48894</v>
      </c>
      <c r="C101" s="154">
        <v>4.0978157845618313</v>
      </c>
      <c r="E101" s="157">
        <v>81.828945751634095</v>
      </c>
      <c r="F101" s="157">
        <v>83.993421432187759</v>
      </c>
      <c r="G101" s="157">
        <v>80.997688804667206</v>
      </c>
      <c r="H101" s="157">
        <v>79.073067365319517</v>
      </c>
      <c r="I101" s="157">
        <v>79.496400469119507</v>
      </c>
      <c r="J101" s="157">
        <v>80.926607780032953</v>
      </c>
      <c r="K101" s="157">
        <v>83.213849965229812</v>
      </c>
      <c r="L101" s="157">
        <v>86.284623109187478</v>
      </c>
      <c r="M101" s="216">
        <v>89.958543462146835</v>
      </c>
      <c r="N101" s="157">
        <v>94.136427496938992</v>
      </c>
      <c r="O101" s="157">
        <v>98.666565234617266</v>
      </c>
      <c r="P101" s="216">
        <v>108.38265226996815</v>
      </c>
      <c r="Q101" s="157"/>
      <c r="R101" s="157"/>
      <c r="S101" s="157"/>
      <c r="T101" s="157"/>
      <c r="U101" s="157"/>
      <c r="V101" s="157"/>
      <c r="W101" s="157"/>
      <c r="X101" s="157"/>
      <c r="Y101" s="157"/>
      <c r="Z101" s="157"/>
    </row>
    <row r="102" spans="2:26" x14ac:dyDescent="0.25">
      <c r="B102" s="4">
        <f>EDATE(B$8,COUNT(B$8:B101))</f>
        <v>48924</v>
      </c>
      <c r="C102" s="154">
        <v>4.0987477598372006</v>
      </c>
      <c r="E102" s="157">
        <v>81.997507016420343</v>
      </c>
      <c r="F102" s="157">
        <v>82.814880033082531</v>
      </c>
      <c r="G102" s="157">
        <v>80.25433105999555</v>
      </c>
      <c r="H102" s="157">
        <v>78.790360901798451</v>
      </c>
      <c r="I102" s="157">
        <v>79.569016372640775</v>
      </c>
      <c r="J102" s="157">
        <v>81.081766758821871</v>
      </c>
      <c r="K102" s="157">
        <v>83.371923483997364</v>
      </c>
      <c r="L102" s="157">
        <v>86.370626914438091</v>
      </c>
      <c r="M102" s="216">
        <v>89.918779650172084</v>
      </c>
      <c r="N102" s="157">
        <v>93.925602462396668</v>
      </c>
      <c r="O102" s="157">
        <v>98.25946959773448</v>
      </c>
      <c r="P102" s="216">
        <v>107.54427892349163</v>
      </c>
      <c r="Q102" s="157"/>
      <c r="R102" s="157"/>
      <c r="S102" s="157"/>
      <c r="T102" s="157"/>
      <c r="U102" s="157"/>
      <c r="V102" s="157"/>
      <c r="W102" s="157"/>
      <c r="X102" s="157"/>
      <c r="Y102" s="157"/>
      <c r="Z102" s="157"/>
    </row>
    <row r="103" spans="2:26" x14ac:dyDescent="0.25">
      <c r="B103" s="4">
        <f>EDATE(B$8,COUNT(B$8:B102))</f>
        <v>48955</v>
      </c>
      <c r="C103" s="154">
        <v>4.0980487518970783</v>
      </c>
      <c r="E103" s="157">
        <v>82.177186401919741</v>
      </c>
      <c r="F103" s="157">
        <v>81.581109615742136</v>
      </c>
      <c r="G103" s="157">
        <v>79.489666084011986</v>
      </c>
      <c r="H103" s="157">
        <v>78.516152450774371</v>
      </c>
      <c r="I103" s="157">
        <v>79.660911192847138</v>
      </c>
      <c r="J103" s="157">
        <v>81.251706972242772</v>
      </c>
      <c r="K103" s="157">
        <v>83.53469817384881</v>
      </c>
      <c r="L103" s="157">
        <v>86.447737475639912</v>
      </c>
      <c r="M103" s="216">
        <v>89.854933203333132</v>
      </c>
      <c r="N103" s="157">
        <v>93.674850862616196</v>
      </c>
      <c r="O103" s="157">
        <v>97.796544999018437</v>
      </c>
      <c r="P103" s="216">
        <v>106.6189691469035</v>
      </c>
      <c r="Q103" s="157"/>
      <c r="R103" s="157"/>
      <c r="S103" s="157"/>
      <c r="T103" s="157"/>
      <c r="U103" s="157"/>
      <c r="V103" s="157"/>
      <c r="W103" s="157"/>
      <c r="X103" s="157"/>
      <c r="Y103" s="157"/>
      <c r="Z103" s="157"/>
    </row>
    <row r="104" spans="2:26" x14ac:dyDescent="0.25">
      <c r="B104" s="4">
        <f>EDATE(B$8,COUNT(B$8:B103))</f>
        <v>48986</v>
      </c>
      <c r="C104" s="154">
        <v>4.2021461897234769</v>
      </c>
      <c r="E104" s="157">
        <v>81.908147019369309</v>
      </c>
      <c r="F104" s="157">
        <v>80.535333509313389</v>
      </c>
      <c r="G104" s="157">
        <v>78.864137921796456</v>
      </c>
      <c r="H104" s="157">
        <v>78.234459977488086</v>
      </c>
      <c r="I104" s="157">
        <v>79.506575909940892</v>
      </c>
      <c r="J104" s="157">
        <v>81.034018216353459</v>
      </c>
      <c r="K104" s="157">
        <v>83.17806215066895</v>
      </c>
      <c r="L104" s="157">
        <v>85.880698261080312</v>
      </c>
      <c r="M104" s="216">
        <v>89.050148526524353</v>
      </c>
      <c r="N104" s="157">
        <v>92.598555653794605</v>
      </c>
      <c r="O104" s="157">
        <v>96.450965585693865</v>
      </c>
      <c r="P104" s="216">
        <v>104.72122850591994</v>
      </c>
      <c r="Q104" s="157"/>
      <c r="R104" s="157"/>
      <c r="S104" s="157"/>
      <c r="T104" s="157"/>
      <c r="U104" s="157"/>
      <c r="V104" s="157"/>
      <c r="W104" s="157"/>
      <c r="X104" s="157"/>
      <c r="Y104" s="157"/>
      <c r="Z104" s="157"/>
    </row>
    <row r="105" spans="2:26" x14ac:dyDescent="0.25">
      <c r="B105" s="4">
        <f>EDATE(B$8,COUNT(B$8:B104))</f>
        <v>49014</v>
      </c>
      <c r="C105" s="154">
        <v>4.203371346242319</v>
      </c>
      <c r="E105" s="157">
        <v>81.904966905238737</v>
      </c>
      <c r="F105" s="157">
        <v>80.537188853037776</v>
      </c>
      <c r="G105" s="157">
        <v>78.865332238196146</v>
      </c>
      <c r="H105" s="157">
        <v>78.23439362527624</v>
      </c>
      <c r="I105" s="157">
        <v>79.504890345913523</v>
      </c>
      <c r="J105" s="157">
        <v>81.031352616390549</v>
      </c>
      <c r="K105" s="157">
        <v>83.1744795661361</v>
      </c>
      <c r="L105" s="157">
        <v>85.876328624889013</v>
      </c>
      <c r="M105" s="216">
        <v>89.045272006030729</v>
      </c>
      <c r="N105" s="157">
        <v>92.593300893588449</v>
      </c>
      <c r="O105" s="157">
        <v>96.445472434604426</v>
      </c>
      <c r="P105" s="216">
        <v>104.71505301075581</v>
      </c>
      <c r="Q105" s="157"/>
      <c r="R105" s="157"/>
      <c r="S105" s="157"/>
      <c r="T105" s="157"/>
      <c r="U105" s="157"/>
      <c r="V105" s="157"/>
      <c r="W105" s="157"/>
      <c r="X105" s="157"/>
      <c r="Y105" s="157"/>
      <c r="Z105" s="157"/>
    </row>
    <row r="106" spans="2:26" x14ac:dyDescent="0.25">
      <c r="B106" s="4">
        <f>EDATE(B$8,COUNT(B$8:B105))</f>
        <v>49045</v>
      </c>
      <c r="C106" s="154">
        <v>4.2031262768524318</v>
      </c>
      <c r="E106" s="157">
        <v>81.903882315407103</v>
      </c>
      <c r="F106" s="157">
        <v>80.538110014443561</v>
      </c>
      <c r="G106" s="157">
        <v>78.865893565603514</v>
      </c>
      <c r="H106" s="157">
        <v>78.234420245953089</v>
      </c>
      <c r="I106" s="157">
        <v>79.50441633162913</v>
      </c>
      <c r="J106" s="157">
        <v>81.030515325868052</v>
      </c>
      <c r="K106" s="157">
        <v>83.173313097296102</v>
      </c>
      <c r="L106" s="157">
        <v>85.874891024332896</v>
      </c>
      <c r="M106" s="216">
        <v>89.043754795257385</v>
      </c>
      <c r="N106" s="157">
        <v>92.591739675639602</v>
      </c>
      <c r="O106" s="157">
        <v>96.443922645834462</v>
      </c>
      <c r="P106" s="216">
        <v>104.71312337228996</v>
      </c>
      <c r="Q106" s="157"/>
      <c r="R106" s="157"/>
      <c r="S106" s="157"/>
      <c r="T106" s="157"/>
      <c r="U106" s="157"/>
      <c r="V106" s="157"/>
      <c r="W106" s="157"/>
      <c r="X106" s="157"/>
      <c r="Y106" s="157"/>
      <c r="Z106" s="157"/>
    </row>
    <row r="107" spans="2:26" x14ac:dyDescent="0.25">
      <c r="B107" s="4">
        <f>EDATE(B$8,COUNT(B$8:B106))</f>
        <v>49075</v>
      </c>
      <c r="C107" s="154">
        <v>4.2028812265071096</v>
      </c>
      <c r="E107" s="157">
        <v>81.906901153241449</v>
      </c>
      <c r="F107" s="157">
        <v>80.537187040954024</v>
      </c>
      <c r="G107" s="157">
        <v>78.865206351680129</v>
      </c>
      <c r="H107" s="157">
        <v>78.234624980545817</v>
      </c>
      <c r="I107" s="157">
        <v>79.506308653640374</v>
      </c>
      <c r="J107" s="157">
        <v>81.033253973176883</v>
      </c>
      <c r="K107" s="157">
        <v>83.17687497830012</v>
      </c>
      <c r="L107" s="157">
        <v>85.879192776011152</v>
      </c>
      <c r="M107" s="216">
        <v>89.048810219496573</v>
      </c>
      <c r="N107" s="157">
        <v>92.597401870486649</v>
      </c>
      <c r="O107" s="157">
        <v>96.450081249427058</v>
      </c>
      <c r="P107" s="216">
        <v>104.71950153598723</v>
      </c>
      <c r="Q107" s="157"/>
      <c r="R107" s="157"/>
      <c r="S107" s="157"/>
      <c r="T107" s="157"/>
      <c r="U107" s="157"/>
      <c r="V107" s="157"/>
      <c r="W107" s="157"/>
      <c r="X107" s="157"/>
      <c r="Y107" s="157"/>
      <c r="Z107" s="157"/>
    </row>
    <row r="108" spans="2:26" x14ac:dyDescent="0.25">
      <c r="B108" s="4">
        <f>EDATE(B$8,COUNT(B$8:B107))</f>
        <v>49106</v>
      </c>
      <c r="C108" s="154">
        <v>4.2026361952051339</v>
      </c>
      <c r="E108" s="157">
        <v>81.905871945211487</v>
      </c>
      <c r="F108" s="157">
        <v>80.538127419333122</v>
      </c>
      <c r="G108" s="157">
        <v>78.865774219545841</v>
      </c>
      <c r="H108" s="157">
        <v>78.234661304393299</v>
      </c>
      <c r="I108" s="157">
        <v>79.505881894211285</v>
      </c>
      <c r="J108" s="157">
        <v>81.032475903839369</v>
      </c>
      <c r="K108" s="157">
        <v>83.175780883389265</v>
      </c>
      <c r="L108" s="157">
        <v>85.877840908656097</v>
      </c>
      <c r="M108" s="216">
        <v>89.047404451681103</v>
      </c>
      <c r="N108" s="157">
        <v>92.595974030609881</v>
      </c>
      <c r="O108" s="157">
        <v>96.448685702678233</v>
      </c>
      <c r="P108" s="216">
        <v>104.71771172054854</v>
      </c>
      <c r="Q108" s="157"/>
      <c r="R108" s="157"/>
      <c r="S108" s="157"/>
      <c r="T108" s="157"/>
      <c r="U108" s="157"/>
      <c r="V108" s="157"/>
      <c r="W108" s="157"/>
      <c r="X108" s="157"/>
      <c r="Y108" s="157"/>
      <c r="Z108" s="157"/>
    </row>
    <row r="109" spans="2:26" x14ac:dyDescent="0.25">
      <c r="B109" s="4">
        <f>EDATE(B$8,COUNT(B$8:B108))</f>
        <v>49136</v>
      </c>
      <c r="C109" s="154">
        <v>4.2031262768519317</v>
      </c>
      <c r="E109" s="157">
        <v>81.903694240456986</v>
      </c>
      <c r="F109" s="157">
        <v>80.539543740827142</v>
      </c>
      <c r="G109" s="157">
        <v>78.866670404202495</v>
      </c>
      <c r="H109" s="157">
        <v>78.23464131615772</v>
      </c>
      <c r="I109" s="157">
        <v>79.504779065686733</v>
      </c>
      <c r="J109" s="157">
        <v>81.03068716679212</v>
      </c>
      <c r="K109" s="157">
        <v>83.173355733699097</v>
      </c>
      <c r="L109" s="157">
        <v>85.874875248760787</v>
      </c>
      <c r="M109" s="216">
        <v>89.044138237209594</v>
      </c>
      <c r="N109" s="157">
        <v>92.592491595156758</v>
      </c>
      <c r="O109" s="157">
        <v>96.445086767256029</v>
      </c>
      <c r="P109" s="216">
        <v>104.7135714648511</v>
      </c>
      <c r="Q109" s="157"/>
      <c r="R109" s="157"/>
      <c r="S109" s="157"/>
      <c r="T109" s="157"/>
      <c r="U109" s="157"/>
      <c r="V109" s="157"/>
      <c r="W109" s="157"/>
      <c r="X109" s="157"/>
      <c r="Y109" s="157"/>
      <c r="Z109" s="157"/>
    </row>
    <row r="110" spans="2:26" x14ac:dyDescent="0.25">
      <c r="B110" s="4">
        <f>EDATE(B$8,COUNT(B$8:B109))</f>
        <v>49167</v>
      </c>
      <c r="C110" s="154">
        <v>4.2028812265073672</v>
      </c>
      <c r="E110" s="157">
        <v>81.905752557597339</v>
      </c>
      <c r="F110" s="157">
        <v>80.539070663538098</v>
      </c>
      <c r="G110" s="157">
        <v>78.86628484553114</v>
      </c>
      <c r="H110" s="157">
        <v>78.234807086086306</v>
      </c>
      <c r="I110" s="157">
        <v>79.506123543262802</v>
      </c>
      <c r="J110" s="157">
        <v>81.032593071522768</v>
      </c>
      <c r="K110" s="157">
        <v>83.17581418959216</v>
      </c>
      <c r="L110" s="157">
        <v>85.877836872789956</v>
      </c>
      <c r="M110" s="216">
        <v>89.047664798782506</v>
      </c>
      <c r="N110" s="157">
        <v>92.596478084637653</v>
      </c>
      <c r="O110" s="157">
        <v>96.449462093023911</v>
      </c>
      <c r="P110" s="216">
        <v>104.71801650334298</v>
      </c>
      <c r="Q110" s="157"/>
      <c r="R110" s="157"/>
      <c r="S110" s="157"/>
      <c r="T110" s="157"/>
      <c r="U110" s="157"/>
      <c r="V110" s="157"/>
      <c r="W110" s="157"/>
      <c r="X110" s="157"/>
      <c r="Y110" s="157"/>
      <c r="Z110" s="157"/>
    </row>
    <row r="111" spans="2:26" x14ac:dyDescent="0.25">
      <c r="B111" s="4">
        <f>EDATE(B$8,COUNT(B$8:B110))</f>
        <v>49198</v>
      </c>
      <c r="C111" s="154">
        <v>4.202636195204601</v>
      </c>
      <c r="E111" s="157">
        <v>81.906144722030646</v>
      </c>
      <c r="F111" s="157">
        <v>80.539352222010422</v>
      </c>
      <c r="G111" s="157">
        <v>78.866409602759887</v>
      </c>
      <c r="H111" s="157">
        <v>78.234901799773411</v>
      </c>
      <c r="I111" s="157">
        <v>79.506509824545873</v>
      </c>
      <c r="J111" s="157">
        <v>81.033049032265737</v>
      </c>
      <c r="K111" s="157">
        <v>83.176354548975155</v>
      </c>
      <c r="L111" s="157">
        <v>85.878469869820393</v>
      </c>
      <c r="M111" s="216">
        <v>89.048525793884409</v>
      </c>
      <c r="N111" s="157">
        <v>92.597536209932144</v>
      </c>
      <c r="O111" s="157">
        <v>96.450714389863123</v>
      </c>
      <c r="P111" s="216">
        <v>104.7190922716581</v>
      </c>
      <c r="Q111" s="157"/>
      <c r="R111" s="157"/>
      <c r="S111" s="157"/>
      <c r="T111" s="157"/>
      <c r="U111" s="157"/>
      <c r="V111" s="157"/>
      <c r="W111" s="157"/>
      <c r="X111" s="157"/>
      <c r="Y111" s="157"/>
      <c r="Z111" s="157"/>
    </row>
    <row r="112" spans="2:26" x14ac:dyDescent="0.25">
      <c r="B112" s="4">
        <f>EDATE(B$8,COUNT(B$8:B111))</f>
        <v>49228</v>
      </c>
      <c r="C112" s="154">
        <v>4.2028812265073672</v>
      </c>
      <c r="E112" s="157">
        <v>81.905374899206549</v>
      </c>
      <c r="F112" s="157">
        <v>80.540145256213776</v>
      </c>
      <c r="G112" s="157">
        <v>78.866882351375537</v>
      </c>
      <c r="H112" s="157">
        <v>78.234944389980484</v>
      </c>
      <c r="I112" s="157">
        <v>79.506222469231773</v>
      </c>
      <c r="J112" s="157">
        <v>81.032489914721921</v>
      </c>
      <c r="K112" s="157">
        <v>83.175554114221768</v>
      </c>
      <c r="L112" s="157">
        <v>85.877475893219454</v>
      </c>
      <c r="M112" s="216">
        <v>89.047520156175295</v>
      </c>
      <c r="N112" s="157">
        <v>92.596540293614694</v>
      </c>
      <c r="O112" s="157">
        <v>96.449771909072297</v>
      </c>
      <c r="P112" s="216">
        <v>104.71780924013134</v>
      </c>
      <c r="Q112" s="157"/>
      <c r="R112" s="157"/>
      <c r="S112" s="157"/>
      <c r="T112" s="157"/>
      <c r="U112" s="157"/>
      <c r="V112" s="157"/>
      <c r="W112" s="157"/>
      <c r="X112" s="157"/>
      <c r="Y112" s="157"/>
      <c r="Z112" s="157"/>
    </row>
    <row r="113" spans="2:26" x14ac:dyDescent="0.25">
      <c r="B113" s="4">
        <f>EDATE(B$8,COUNT(B$8:B112))</f>
        <v>49259</v>
      </c>
      <c r="C113" s="154">
        <v>4.202636195204601</v>
      </c>
      <c r="E113" s="157">
        <v>81.900816480326156</v>
      </c>
      <c r="F113" s="157">
        <v>80.541358610702488</v>
      </c>
      <c r="G113" s="157">
        <v>78.861036058962156</v>
      </c>
      <c r="H113" s="157">
        <v>78.224453581354283</v>
      </c>
      <c r="I113" s="157">
        <v>79.496639772111095</v>
      </c>
      <c r="J113" s="157">
        <v>81.026068695441538</v>
      </c>
      <c r="K113" s="157">
        <v>83.173960573946147</v>
      </c>
      <c r="L113" s="157">
        <v>85.88195942430977</v>
      </c>
      <c r="M113" s="216">
        <v>89.05876652778079</v>
      </c>
      <c r="N113" s="157">
        <v>92.614975691348349</v>
      </c>
      <c r="O113" s="157">
        <v>96.475459737481501</v>
      </c>
      <c r="P113" s="216">
        <v>104.7572690244406</v>
      </c>
      <c r="Q113" s="157"/>
      <c r="R113" s="157"/>
      <c r="S113" s="157"/>
      <c r="T113" s="157"/>
      <c r="U113" s="157"/>
      <c r="V113" s="157"/>
      <c r="W113" s="157"/>
      <c r="X113" s="157"/>
      <c r="Y113" s="157"/>
      <c r="Z113" s="157"/>
    </row>
    <row r="114" spans="2:26" x14ac:dyDescent="0.25">
      <c r="B114" s="4">
        <f>EDATE(B$8,COUNT(B$8:B113))</f>
        <v>49289</v>
      </c>
      <c r="C114" s="154">
        <v>4.2036164346790228</v>
      </c>
      <c r="E114" s="157">
        <v>81.819781645017329</v>
      </c>
      <c r="F114" s="157">
        <v>80.556882610558461</v>
      </c>
      <c r="G114" s="157">
        <v>78.778233016286393</v>
      </c>
      <c r="H114" s="157">
        <v>78.073292532960181</v>
      </c>
      <c r="I114" s="157">
        <v>79.349209640652859</v>
      </c>
      <c r="J114" s="157">
        <v>80.919323475657407</v>
      </c>
      <c r="K114" s="157">
        <v>83.131068936272754</v>
      </c>
      <c r="L114" s="157">
        <v>85.920400802459667</v>
      </c>
      <c r="M114" s="216">
        <v>89.18641738968374</v>
      </c>
      <c r="N114" s="157">
        <v>92.838598479197017</v>
      </c>
      <c r="O114" s="157">
        <v>96.796321136981803</v>
      </c>
      <c r="P114" s="216">
        <v>105.27119244248544</v>
      </c>
      <c r="Q114" s="157"/>
      <c r="R114" s="157"/>
      <c r="S114" s="157"/>
      <c r="T114" s="157"/>
      <c r="U114" s="157"/>
      <c r="V114" s="157"/>
      <c r="W114" s="157"/>
      <c r="X114" s="157"/>
      <c r="Y114" s="157"/>
      <c r="Z114" s="157"/>
    </row>
    <row r="115" spans="2:26" x14ac:dyDescent="0.25">
      <c r="B115" s="4">
        <f>EDATE(B$8,COUNT(B$8:B114))</f>
        <v>49320</v>
      </c>
      <c r="C115" s="154">
        <v>4.2063524952216467</v>
      </c>
      <c r="E115" s="157">
        <v>81.747692038809731</v>
      </c>
      <c r="F115" s="157">
        <v>80.559721140237315</v>
      </c>
      <c r="G115" s="157">
        <v>78.674899607529426</v>
      </c>
      <c r="H115" s="157">
        <v>77.90123793943323</v>
      </c>
      <c r="I115" s="157">
        <v>79.193735023056419</v>
      </c>
      <c r="J115" s="157">
        <v>80.81596437047024</v>
      </c>
      <c r="K115" s="157">
        <v>83.104895516425358</v>
      </c>
      <c r="L115" s="157">
        <v>85.989492762915617</v>
      </c>
      <c r="M115" s="216">
        <v>89.357799895992386</v>
      </c>
      <c r="N115" s="157">
        <v>93.118695951211436</v>
      </c>
      <c r="O115" s="157">
        <v>97.185541895149868</v>
      </c>
      <c r="P115" s="216">
        <v>105.87547774028931</v>
      </c>
      <c r="Q115" s="157"/>
      <c r="R115" s="157"/>
      <c r="S115" s="157"/>
      <c r="T115" s="157"/>
      <c r="U115" s="157"/>
      <c r="V115" s="157"/>
      <c r="W115" s="157"/>
      <c r="X115" s="157"/>
      <c r="Y115" s="157"/>
      <c r="Z115" s="157"/>
    </row>
    <row r="116" spans="2:26" x14ac:dyDescent="0.25">
      <c r="B116" s="4">
        <f>EDATE(B$8,COUNT(B$8:B115))</f>
        <v>49351</v>
      </c>
      <c r="C116" s="154">
        <v>4.3058800747978347</v>
      </c>
      <c r="E116" s="157">
        <v>81.194817531488567</v>
      </c>
      <c r="F116" s="157">
        <v>80.800584688902731</v>
      </c>
      <c r="G116" s="157">
        <v>78.744984634080922</v>
      </c>
      <c r="H116" s="157">
        <v>77.728256449617319</v>
      </c>
      <c r="I116" s="157">
        <v>78.763046293645587</v>
      </c>
      <c r="J116" s="157">
        <v>80.30022698165152</v>
      </c>
      <c r="K116" s="157">
        <v>82.50864498107903</v>
      </c>
      <c r="L116" s="157">
        <v>85.373067659161563</v>
      </c>
      <c r="M116" s="216">
        <v>88.735219364360816</v>
      </c>
      <c r="N116" s="157">
        <v>92.544386470892491</v>
      </c>
      <c r="O116" s="157">
        <v>96.659929571487041</v>
      </c>
      <c r="P116" s="216">
        <v>105.51879631242036</v>
      </c>
      <c r="Q116" s="157"/>
      <c r="R116" s="157"/>
      <c r="S116" s="157"/>
      <c r="T116" s="157"/>
      <c r="U116" s="157"/>
      <c r="V116" s="157"/>
      <c r="W116" s="157"/>
      <c r="X116" s="157"/>
      <c r="Y116" s="157"/>
      <c r="Z116" s="157"/>
    </row>
    <row r="117" spans="2:26" x14ac:dyDescent="0.25">
      <c r="B117" s="4">
        <f>EDATE(B$8,COUNT(B$8:B116))</f>
        <v>49379</v>
      </c>
      <c r="C117" s="154">
        <v>4.3110108893908778</v>
      </c>
      <c r="E117" s="157">
        <v>81.191650754857861</v>
      </c>
      <c r="F117" s="157">
        <v>80.803109405090879</v>
      </c>
      <c r="G117" s="157">
        <v>78.746090692882831</v>
      </c>
      <c r="H117" s="157">
        <v>77.728199206902531</v>
      </c>
      <c r="I117" s="157">
        <v>78.761541832852117</v>
      </c>
      <c r="J117" s="157">
        <v>80.297647532934917</v>
      </c>
      <c r="K117" s="157">
        <v>82.505084501816754</v>
      </c>
      <c r="L117" s="157">
        <v>85.368689882522915</v>
      </c>
      <c r="M117" s="216">
        <v>88.730309402327748</v>
      </c>
      <c r="N117" s="157">
        <v>92.539097043431099</v>
      </c>
      <c r="O117" s="157">
        <v>96.654399371671815</v>
      </c>
      <c r="P117" s="216">
        <v>105.51288277004547</v>
      </c>
      <c r="Q117" s="157"/>
      <c r="R117" s="157"/>
      <c r="S117" s="157"/>
      <c r="T117" s="157"/>
      <c r="U117" s="157"/>
      <c r="V117" s="157"/>
      <c r="W117" s="157"/>
      <c r="X117" s="157"/>
      <c r="Y117" s="157"/>
      <c r="Z117" s="157"/>
    </row>
    <row r="118" spans="2:26" x14ac:dyDescent="0.25">
      <c r="B118" s="4">
        <f>EDATE(B$8,COUNT(B$8:B117))</f>
        <v>49410</v>
      </c>
      <c r="C118" s="154">
        <v>4.3104953643075099</v>
      </c>
      <c r="E118" s="157">
        <v>81.191947310230589</v>
      </c>
      <c r="F118" s="157">
        <v>80.803854808080089</v>
      </c>
      <c r="G118" s="157">
        <v>78.745832699613899</v>
      </c>
      <c r="H118" s="157">
        <v>77.728006945891721</v>
      </c>
      <c r="I118" s="157">
        <v>78.761906207475207</v>
      </c>
      <c r="J118" s="157">
        <v>80.298056599789575</v>
      </c>
      <c r="K118" s="157">
        <v>82.505578598955893</v>
      </c>
      <c r="L118" s="157">
        <v>85.369301901847606</v>
      </c>
      <c r="M118" s="216">
        <v>88.731145321473988</v>
      </c>
      <c r="N118" s="157">
        <v>92.540133486621755</v>
      </c>
      <c r="O118" s="157">
        <v>96.655620941632179</v>
      </c>
      <c r="P118" s="216">
        <v>105.51422295862611</v>
      </c>
      <c r="Q118" s="157"/>
      <c r="R118" s="157"/>
      <c r="S118" s="157"/>
      <c r="T118" s="157"/>
      <c r="U118" s="157"/>
      <c r="V118" s="157"/>
      <c r="W118" s="157"/>
      <c r="X118" s="157"/>
      <c r="Y118" s="157"/>
      <c r="Z118" s="157"/>
    </row>
    <row r="119" spans="2:26" x14ac:dyDescent="0.25">
      <c r="B119" s="4">
        <f>EDATE(B$8,COUNT(B$8:B118))</f>
        <v>49440</v>
      </c>
      <c r="C119" s="154">
        <v>4.3104953643075099</v>
      </c>
      <c r="E119" s="157">
        <v>81.193396089868102</v>
      </c>
      <c r="F119" s="157">
        <v>80.803988121513072</v>
      </c>
      <c r="G119" s="157">
        <v>78.745124036142585</v>
      </c>
      <c r="H119" s="157">
        <v>77.72777377004779</v>
      </c>
      <c r="I119" s="157">
        <v>78.762887512597828</v>
      </c>
      <c r="J119" s="157">
        <v>80.299456275525756</v>
      </c>
      <c r="K119" s="157">
        <v>82.507418151364291</v>
      </c>
      <c r="L119" s="157">
        <v>85.37156970514431</v>
      </c>
      <c r="M119" s="216">
        <v>88.733885162658297</v>
      </c>
      <c r="N119" s="157">
        <v>92.543263424983877</v>
      </c>
      <c r="O119" s="157">
        <v>96.659074362387997</v>
      </c>
      <c r="P119" s="216">
        <v>105.51796025762856</v>
      </c>
      <c r="Q119" s="157"/>
      <c r="R119" s="157"/>
      <c r="S119" s="157"/>
      <c r="T119" s="157"/>
      <c r="U119" s="157"/>
      <c r="V119" s="157"/>
      <c r="W119" s="157"/>
      <c r="X119" s="157"/>
      <c r="Y119" s="157"/>
      <c r="Z119" s="157"/>
    </row>
    <row r="120" spans="2:26" x14ac:dyDescent="0.25">
      <c r="B120" s="4">
        <f>EDATE(B$8,COUNT(B$8:B119))</f>
        <v>49471</v>
      </c>
      <c r="C120" s="154">
        <v>4.3102376325800051</v>
      </c>
      <c r="E120" s="157">
        <v>81.193736524843985</v>
      </c>
      <c r="F120" s="157">
        <v>80.804740306773766</v>
      </c>
      <c r="G120" s="157">
        <v>78.744844219455075</v>
      </c>
      <c r="H120" s="157">
        <v>77.727573956329564</v>
      </c>
      <c r="I120" s="157">
        <v>78.763282091272487</v>
      </c>
      <c r="J120" s="157">
        <v>80.299908041007114</v>
      </c>
      <c r="K120" s="157">
        <v>82.507968241873158</v>
      </c>
      <c r="L120" s="157">
        <v>85.372250782869855</v>
      </c>
      <c r="M120" s="216">
        <v>88.734805000396236</v>
      </c>
      <c r="N120" s="157">
        <v>92.54439601225279</v>
      </c>
      <c r="O120" s="157">
        <v>96.660402285561673</v>
      </c>
      <c r="P120" s="216">
        <v>105.51941554335649</v>
      </c>
      <c r="Q120" s="157"/>
      <c r="R120" s="157"/>
      <c r="S120" s="157"/>
      <c r="T120" s="157"/>
      <c r="U120" s="157"/>
      <c r="V120" s="157"/>
      <c r="W120" s="157"/>
      <c r="X120" s="157"/>
      <c r="Y120" s="157"/>
      <c r="Z120" s="157"/>
    </row>
    <row r="121" spans="2:26" x14ac:dyDescent="0.25">
      <c r="B121" s="4">
        <f>EDATE(B$8,COUNT(B$8:B120))</f>
        <v>49501</v>
      </c>
      <c r="C121" s="154">
        <v>4.3104953643072514</v>
      </c>
      <c r="E121" s="157">
        <v>81.19283790872727</v>
      </c>
      <c r="F121" s="157">
        <v>80.806120568007387</v>
      </c>
      <c r="G121" s="157">
        <v>78.745053694151039</v>
      </c>
      <c r="H121" s="157">
        <v>77.727424126939354</v>
      </c>
      <c r="I121" s="157">
        <v>78.763006398727313</v>
      </c>
      <c r="J121" s="157">
        <v>80.29928943997723</v>
      </c>
      <c r="K121" s="157">
        <v>82.507066621096484</v>
      </c>
      <c r="L121" s="157">
        <v>85.371145198795077</v>
      </c>
      <c r="M121" s="216">
        <v>88.733666017760825</v>
      </c>
      <c r="N121" s="157">
        <v>92.543260897551761</v>
      </c>
      <c r="O121" s="157">
        <v>96.659308769350588</v>
      </c>
      <c r="P121" s="216">
        <v>105.51826918081197</v>
      </c>
      <c r="Q121" s="157"/>
      <c r="R121" s="157"/>
      <c r="S121" s="157"/>
      <c r="T121" s="157"/>
      <c r="U121" s="157"/>
      <c r="V121" s="157"/>
      <c r="W121" s="157"/>
      <c r="X121" s="157"/>
      <c r="Y121" s="157"/>
      <c r="Z121" s="157"/>
    </row>
    <row r="122" spans="2:26" x14ac:dyDescent="0.25">
      <c r="B122" s="4">
        <f>EDATE(B$8,COUNT(B$8:B121))</f>
        <v>49532</v>
      </c>
      <c r="C122" s="154">
        <v>4.3110108893908778</v>
      </c>
      <c r="E122" s="157">
        <v>81.193054371899947</v>
      </c>
      <c r="F122" s="157">
        <v>80.806998804525222</v>
      </c>
      <c r="G122" s="157">
        <v>78.744812870747509</v>
      </c>
      <c r="H122" s="157">
        <v>77.727216573252022</v>
      </c>
      <c r="I122" s="157">
        <v>78.763348246649016</v>
      </c>
      <c r="J122" s="157">
        <v>80.299644808409781</v>
      </c>
      <c r="K122" s="157">
        <v>82.507481764765572</v>
      </c>
      <c r="L122" s="157">
        <v>85.371660463378589</v>
      </c>
      <c r="M122" s="216">
        <v>88.734404116385718</v>
      </c>
      <c r="N122" s="157">
        <v>92.544201449421678</v>
      </c>
      <c r="O122" s="157">
        <v>96.660439732612033</v>
      </c>
      <c r="P122" s="216">
        <v>105.51951471122419</v>
      </c>
      <c r="Q122" s="157"/>
      <c r="R122" s="157"/>
      <c r="S122" s="157"/>
      <c r="T122" s="157"/>
      <c r="U122" s="157"/>
      <c r="V122" s="157"/>
      <c r="W122" s="157"/>
      <c r="X122" s="157"/>
      <c r="Y122" s="157"/>
      <c r="Z122" s="157"/>
    </row>
    <row r="123" spans="2:26" x14ac:dyDescent="0.25">
      <c r="B123" s="4">
        <f>EDATE(B$8,COUNT(B$8:B122))</f>
        <v>49563</v>
      </c>
      <c r="C123" s="154">
        <v>4.3107531165773594</v>
      </c>
      <c r="E123" s="157">
        <v>81.191816061237247</v>
      </c>
      <c r="F123" s="157">
        <v>80.808529991841766</v>
      </c>
      <c r="G123" s="157">
        <v>78.745159943798427</v>
      </c>
      <c r="H123" s="157">
        <v>77.727084952167601</v>
      </c>
      <c r="I123" s="157">
        <v>78.762883966295007</v>
      </c>
      <c r="J123" s="157">
        <v>80.298728520647316</v>
      </c>
      <c r="K123" s="157">
        <v>82.506178450846946</v>
      </c>
      <c r="L123" s="157">
        <v>85.370059943531416</v>
      </c>
      <c r="M123" s="216">
        <v>88.732692555211486</v>
      </c>
      <c r="N123" s="157">
        <v>92.542432491859358</v>
      </c>
      <c r="O123" s="157">
        <v>96.658666450665592</v>
      </c>
      <c r="P123" s="216">
        <v>105.51763607746472</v>
      </c>
      <c r="Q123" s="157"/>
      <c r="R123" s="157"/>
      <c r="S123" s="157"/>
      <c r="T123" s="157"/>
      <c r="U123" s="157"/>
      <c r="V123" s="157"/>
      <c r="W123" s="157"/>
      <c r="X123" s="157"/>
      <c r="Y123" s="157"/>
      <c r="Z123" s="157"/>
    </row>
    <row r="124" spans="2:26" x14ac:dyDescent="0.25">
      <c r="B124" s="4">
        <f>EDATE(B$8,COUNT(B$8:B123))</f>
        <v>49593</v>
      </c>
      <c r="C124" s="154">
        <v>4.3104953643075099</v>
      </c>
      <c r="E124" s="157">
        <v>81.19503706007977</v>
      </c>
      <c r="F124" s="157">
        <v>80.807722171241352</v>
      </c>
      <c r="G124" s="157">
        <v>78.743758325998442</v>
      </c>
      <c r="H124" s="157">
        <v>77.726789078888658</v>
      </c>
      <c r="I124" s="157">
        <v>78.764813202980392</v>
      </c>
      <c r="J124" s="157">
        <v>80.301650224827924</v>
      </c>
      <c r="K124" s="157">
        <v>82.51008627851931</v>
      </c>
      <c r="L124" s="157">
        <v>85.37487285431439</v>
      </c>
      <c r="M124" s="216">
        <v>88.73836062228267</v>
      </c>
      <c r="N124" s="157">
        <v>92.548781696550364</v>
      </c>
      <c r="O124" s="157">
        <v>96.665551592149342</v>
      </c>
      <c r="P124" s="216">
        <v>105.52505761106185</v>
      </c>
      <c r="Q124" s="157"/>
      <c r="R124" s="157"/>
      <c r="S124" s="157"/>
      <c r="T124" s="157"/>
      <c r="U124" s="157"/>
      <c r="V124" s="157"/>
      <c r="W124" s="157"/>
      <c r="X124" s="157"/>
      <c r="Y124" s="157"/>
      <c r="Z124" s="157"/>
    </row>
    <row r="125" spans="2:26" x14ac:dyDescent="0.25">
      <c r="B125" s="4">
        <f>EDATE(B$8,COUNT(B$8:B124))</f>
        <v>49624</v>
      </c>
      <c r="C125" s="154">
        <v>4.3107531165771098</v>
      </c>
      <c r="E125" s="157">
        <v>81.209116584408832</v>
      </c>
      <c r="F125" s="157">
        <v>80.900063049183146</v>
      </c>
      <c r="G125" s="157">
        <v>78.819709613125355</v>
      </c>
      <c r="H125" s="157">
        <v>77.782645837326854</v>
      </c>
      <c r="I125" s="157">
        <v>78.796854362829578</v>
      </c>
      <c r="J125" s="157">
        <v>80.321159125192054</v>
      </c>
      <c r="K125" s="157">
        <v>82.518178802515195</v>
      </c>
      <c r="L125" s="157">
        <v>85.373211383830011</v>
      </c>
      <c r="M125" s="216">
        <v>88.729135810559569</v>
      </c>
      <c r="N125" s="157">
        <v>92.534139454321348</v>
      </c>
      <c r="O125" s="157">
        <v>96.647321965674777</v>
      </c>
      <c r="P125" s="216">
        <v>105.50351477500767</v>
      </c>
      <c r="Q125" s="157"/>
      <c r="R125" s="157"/>
      <c r="S125" s="157"/>
      <c r="T125" s="157"/>
      <c r="U125" s="157"/>
      <c r="V125" s="157"/>
      <c r="W125" s="157"/>
      <c r="X125" s="157"/>
      <c r="Y125" s="157"/>
      <c r="Z125" s="157"/>
    </row>
    <row r="126" spans="2:26" x14ac:dyDescent="0.25">
      <c r="B126" s="4">
        <f>EDATE(B$8,COUNT(B$8:B125))</f>
        <v>49654</v>
      </c>
      <c r="C126" s="154">
        <v>4.3107531165773594</v>
      </c>
      <c r="E126" s="157">
        <v>81.404490609932907</v>
      </c>
      <c r="F126" s="157">
        <v>82.162191420693503</v>
      </c>
      <c r="G126" s="157">
        <v>79.866665516653427</v>
      </c>
      <c r="H126" s="157">
        <v>78.550515417097472</v>
      </c>
      <c r="I126" s="157">
        <v>79.232117146547751</v>
      </c>
      <c r="J126" s="157">
        <v>80.587355950192119</v>
      </c>
      <c r="K126" s="157">
        <v>82.631399790002618</v>
      </c>
      <c r="L126" s="157">
        <v>85.356278049106507</v>
      </c>
      <c r="M126" s="216">
        <v>88.610718617232223</v>
      </c>
      <c r="N126" s="157">
        <v>92.343129759357367</v>
      </c>
      <c r="O126" s="157">
        <v>96.408147475679613</v>
      </c>
      <c r="P126" s="216">
        <v>105.22223092398035</v>
      </c>
      <c r="Q126" s="157"/>
      <c r="R126" s="157"/>
      <c r="S126" s="157"/>
      <c r="T126" s="157"/>
      <c r="U126" s="157"/>
      <c r="V126" s="157"/>
      <c r="W126" s="157"/>
      <c r="X126" s="157"/>
      <c r="Y126" s="157"/>
      <c r="Z126" s="157"/>
    </row>
    <row r="127" spans="2:26" x14ac:dyDescent="0.25">
      <c r="B127" s="4">
        <f>EDATE(B$8,COUNT(B$8:B126))</f>
        <v>49685</v>
      </c>
      <c r="C127" s="154">
        <v>4.3104953643072514</v>
      </c>
      <c r="E127" s="157">
        <v>81.587794073837173</v>
      </c>
      <c r="F127" s="157">
        <v>83.5345932628166</v>
      </c>
      <c r="G127" s="157">
        <v>80.994964804355902</v>
      </c>
      <c r="H127" s="157">
        <v>79.36334345728811</v>
      </c>
      <c r="I127" s="157">
        <v>79.67488894907973</v>
      </c>
      <c r="J127" s="157">
        <v>80.84640992032908</v>
      </c>
      <c r="K127" s="157">
        <v>82.727469326104526</v>
      </c>
      <c r="L127" s="157">
        <v>85.316473898163821</v>
      </c>
      <c r="M127" s="216">
        <v>88.466743588559595</v>
      </c>
      <c r="N127" s="157">
        <v>92.125986720951431</v>
      </c>
      <c r="O127" s="157">
        <v>96.143430882131923</v>
      </c>
      <c r="P127" s="216">
        <v>104.91840059525759</v>
      </c>
      <c r="Q127" s="157"/>
      <c r="R127" s="157"/>
      <c r="S127" s="157"/>
      <c r="T127" s="157"/>
      <c r="U127" s="157"/>
      <c r="V127" s="157"/>
      <c r="W127" s="157"/>
      <c r="X127" s="157"/>
      <c r="Y127" s="157"/>
      <c r="Z127" s="157"/>
    </row>
    <row r="128" spans="2:26" x14ac:dyDescent="0.25"/>
  </sheetData>
  <sheetProtection algorithmName="SHA-512" hashValue="7BOw53eMSXtOK1SdsO4DWI7ZBrtJqnljp7J48ch0FFI39ipYNVHwxyAm8LnYa8bD19z7zdR5pSL5IW9x6ZRWjg==" saltValue="L4Dx5W57qMxBr8vNqTKudw==" spinCount="100000"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F6CD73-CFCD-49DA-A613-70CF733496FB}">
  <sheetPr codeName="Sheet8">
    <tabColor theme="8"/>
  </sheetPr>
  <dimension ref="A1:T104"/>
  <sheetViews>
    <sheetView showGridLines="0" workbookViewId="0">
      <selection activeCell="L37" sqref="L37"/>
    </sheetView>
  </sheetViews>
  <sheetFormatPr defaultColWidth="0" defaultRowHeight="15" zeroHeight="1" x14ac:dyDescent="0.25"/>
  <cols>
    <col min="1" max="1" width="2.85546875" hidden="1" customWidth="1"/>
    <col min="2" max="2" width="20.85546875" style="14" hidden="1" customWidth="1"/>
    <col min="3" max="4" width="20.85546875" style="26" hidden="1" customWidth="1"/>
    <col min="5" max="5" width="20.85546875" style="25" hidden="1" customWidth="1"/>
    <col min="6" max="6" width="20.85546875" style="14" hidden="1" customWidth="1"/>
    <col min="7" max="7" width="2.85546875" hidden="1" customWidth="1"/>
    <col min="8" max="8" width="20.85546875" hidden="1" customWidth="1"/>
    <col min="9" max="9" width="20.85546875" style="26" hidden="1" customWidth="1"/>
    <col min="10" max="11" width="2.85546875" hidden="1" customWidth="1"/>
    <col min="12" max="12" width="20.85546875" style="14" hidden="1" customWidth="1"/>
    <col min="13" max="14" width="20.85546875" style="26" hidden="1" customWidth="1"/>
    <col min="15" max="15" width="20.85546875" style="25" hidden="1" customWidth="1"/>
    <col min="16" max="16" width="20.85546875" style="14" hidden="1" customWidth="1"/>
    <col min="17" max="17" width="2.85546875" hidden="1" customWidth="1"/>
    <col min="18" max="18" width="20.85546875" hidden="1" customWidth="1"/>
    <col min="19" max="19" width="20.85546875" style="26" hidden="1" customWidth="1"/>
    <col min="20" max="20" width="2.85546875" hidden="1" customWidth="1"/>
    <col min="21" max="16384" width="9.140625" hidden="1"/>
  </cols>
  <sheetData>
    <row r="1" spans="2:19" x14ac:dyDescent="0.25">
      <c r="K1" s="20"/>
    </row>
    <row r="2" spans="2:19" x14ac:dyDescent="0.25">
      <c r="B2" s="35"/>
      <c r="C2" s="33"/>
      <c r="D2" s="33"/>
      <c r="E2" s="34"/>
      <c r="F2" s="32"/>
      <c r="H2" s="44" t="s">
        <v>44</v>
      </c>
      <c r="I2" s="45"/>
      <c r="K2" s="20"/>
      <c r="L2" s="35"/>
      <c r="M2" s="33"/>
      <c r="N2" s="33"/>
      <c r="O2" s="34"/>
      <c r="P2" s="32"/>
      <c r="R2" s="44" t="s">
        <v>44</v>
      </c>
      <c r="S2" s="45"/>
    </row>
    <row r="3" spans="2:19" x14ac:dyDescent="0.25">
      <c r="B3" s="29"/>
      <c r="C3" s="30" t="s">
        <v>6</v>
      </c>
      <c r="D3" s="30"/>
      <c r="E3" s="31" t="s">
        <v>22</v>
      </c>
      <c r="F3" s="29"/>
      <c r="H3" s="46" t="s">
        <v>45</v>
      </c>
      <c r="I3" s="47" t="s">
        <v>58</v>
      </c>
      <c r="K3" s="20"/>
      <c r="L3" s="29"/>
      <c r="M3" s="30" t="s">
        <v>6</v>
      </c>
      <c r="N3" s="30"/>
      <c r="O3" s="31" t="s">
        <v>22</v>
      </c>
      <c r="P3" s="29"/>
      <c r="R3" s="46" t="s">
        <v>45</v>
      </c>
      <c r="S3" s="47" t="s">
        <v>58</v>
      </c>
    </row>
    <row r="4" spans="2:19" x14ac:dyDescent="0.25">
      <c r="B4" s="160"/>
      <c r="C4" s="161">
        <v>0.06</v>
      </c>
      <c r="D4" s="198"/>
      <c r="E4" s="162">
        <v>46429</v>
      </c>
      <c r="F4" s="160"/>
      <c r="G4" s="163"/>
      <c r="H4" s="164">
        <v>796.94267797378677</v>
      </c>
      <c r="I4" s="165">
        <v>79.879195367547808</v>
      </c>
      <c r="J4" s="163"/>
      <c r="K4" s="166"/>
      <c r="L4" s="160"/>
      <c r="M4" s="161">
        <v>0.06</v>
      </c>
      <c r="N4" s="198"/>
      <c r="O4" s="162">
        <v>46429</v>
      </c>
      <c r="P4" s="160"/>
      <c r="Q4" s="163"/>
      <c r="R4" s="164">
        <v>9327.5994950989243</v>
      </c>
      <c r="S4" s="165">
        <v>9.440926762531654E-2</v>
      </c>
    </row>
    <row r="5" spans="2:19" x14ac:dyDescent="0.25">
      <c r="B5" s="160"/>
      <c r="C5" s="161">
        <v>0.06</v>
      </c>
      <c r="D5" s="198"/>
      <c r="E5" s="162">
        <v>46794</v>
      </c>
      <c r="F5" s="160"/>
      <c r="G5" s="163"/>
      <c r="H5" s="164">
        <v>49.69416385073297</v>
      </c>
      <c r="I5" s="165">
        <v>2.6777238045805349</v>
      </c>
      <c r="J5" s="163"/>
      <c r="K5" s="166"/>
      <c r="L5" s="160"/>
      <c r="M5" s="161">
        <v>0.06</v>
      </c>
      <c r="N5" s="198"/>
      <c r="O5" s="162">
        <v>46794</v>
      </c>
      <c r="P5" s="160"/>
      <c r="Q5" s="163"/>
      <c r="R5" s="164">
        <v>353.19514094766765</v>
      </c>
      <c r="S5" s="165">
        <v>4.3023288767728526E-2</v>
      </c>
    </row>
    <row r="6" spans="2:19" x14ac:dyDescent="0.25">
      <c r="B6" s="160"/>
      <c r="C6" s="161">
        <v>0.06</v>
      </c>
      <c r="D6" s="198"/>
      <c r="E6" s="162">
        <v>47160</v>
      </c>
      <c r="F6" s="160"/>
      <c r="G6" s="163"/>
      <c r="H6" s="164">
        <v>13.267721103964563</v>
      </c>
      <c r="I6" s="165">
        <v>0.51220518446777774</v>
      </c>
      <c r="J6" s="163"/>
      <c r="K6" s="166"/>
      <c r="L6" s="160"/>
      <c r="M6" s="161">
        <v>0.06</v>
      </c>
      <c r="N6" s="198"/>
      <c r="O6" s="162">
        <v>47160</v>
      </c>
      <c r="P6" s="160"/>
      <c r="Q6" s="163"/>
      <c r="R6" s="164">
        <v>-31.242321097293647</v>
      </c>
      <c r="S6" s="165">
        <v>-1.0105181831496184E-2</v>
      </c>
    </row>
    <row r="7" spans="2:19" x14ac:dyDescent="0.25">
      <c r="B7" s="160"/>
      <c r="C7" s="161">
        <v>0.05</v>
      </c>
      <c r="D7" s="198"/>
      <c r="E7" s="162">
        <v>46429</v>
      </c>
      <c r="F7" s="160"/>
      <c r="G7" s="163"/>
      <c r="H7" s="164">
        <v>216.44095319229098</v>
      </c>
      <c r="I7" s="165">
        <v>20.377199981093053</v>
      </c>
      <c r="J7" s="163"/>
      <c r="K7" s="166"/>
      <c r="L7" s="160"/>
      <c r="M7" s="161">
        <v>0.05</v>
      </c>
      <c r="N7" s="198"/>
      <c r="O7" s="162">
        <v>46429</v>
      </c>
      <c r="P7" s="160"/>
      <c r="Q7" s="163"/>
      <c r="R7" s="164">
        <v>1022.9852114920625</v>
      </c>
      <c r="S7" s="165">
        <v>7.716721183080423E-2</v>
      </c>
    </row>
    <row r="8" spans="2:19" x14ac:dyDescent="0.25">
      <c r="B8" s="160"/>
      <c r="C8" s="161">
        <v>0.05</v>
      </c>
      <c r="D8" s="198"/>
      <c r="E8" s="162">
        <v>46794</v>
      </c>
      <c r="F8" s="160"/>
      <c r="G8" s="163"/>
      <c r="H8" s="164">
        <v>17.976011931848522</v>
      </c>
      <c r="I8" s="165">
        <v>0.88914289006595615</v>
      </c>
      <c r="J8" s="163"/>
      <c r="K8" s="166"/>
      <c r="L8" s="160"/>
      <c r="M8" s="161">
        <v>0.05</v>
      </c>
      <c r="N8" s="198"/>
      <c r="O8" s="162">
        <v>46794</v>
      </c>
      <c r="P8" s="160"/>
      <c r="Q8" s="163"/>
      <c r="R8" s="164">
        <v>94.22812188312713</v>
      </c>
      <c r="S8" s="165">
        <v>4.0525774629994391E-2</v>
      </c>
    </row>
    <row r="9" spans="2:19" x14ac:dyDescent="0.25">
      <c r="B9" s="160"/>
      <c r="C9" s="161">
        <v>0.05</v>
      </c>
      <c r="D9" s="198"/>
      <c r="E9" s="162">
        <v>47160</v>
      </c>
      <c r="F9" s="160"/>
      <c r="G9" s="163"/>
      <c r="H9" s="164">
        <v>13.459890454986429</v>
      </c>
      <c r="I9" s="165">
        <v>0.45480169289721001</v>
      </c>
      <c r="J9" s="163"/>
      <c r="K9" s="166"/>
      <c r="L9" s="160"/>
      <c r="M9" s="161">
        <v>0.05</v>
      </c>
      <c r="N9" s="198"/>
      <c r="O9" s="162">
        <v>47160</v>
      </c>
      <c r="P9" s="160"/>
      <c r="Q9" s="163"/>
      <c r="R9" s="164">
        <v>-13.69239142306416</v>
      </c>
      <c r="S9" s="165">
        <v>-1.2495589886694363E-2</v>
      </c>
    </row>
    <row r="10" spans="2:19" x14ac:dyDescent="0.25">
      <c r="B10" s="160"/>
      <c r="C10" s="161">
        <v>0.04</v>
      </c>
      <c r="D10" s="198"/>
      <c r="E10" s="162">
        <v>46429</v>
      </c>
      <c r="F10" s="160"/>
      <c r="G10" s="163"/>
      <c r="H10" s="164">
        <v>27.855189705711929</v>
      </c>
      <c r="I10" s="165">
        <v>1.5819752131975662</v>
      </c>
      <c r="J10" s="163"/>
      <c r="K10" s="166"/>
      <c r="L10" s="160"/>
      <c r="M10" s="161">
        <v>0.04</v>
      </c>
      <c r="N10" s="198"/>
      <c r="O10" s="162">
        <v>46429</v>
      </c>
      <c r="P10" s="160"/>
      <c r="Q10" s="163"/>
      <c r="R10" s="164">
        <v>27.692104424810655</v>
      </c>
      <c r="S10" s="165">
        <v>5.5788923172061217E-2</v>
      </c>
    </row>
    <row r="11" spans="2:19" x14ac:dyDescent="0.25">
      <c r="B11" s="160"/>
      <c r="C11" s="161">
        <v>0.04</v>
      </c>
      <c r="D11" s="198"/>
      <c r="E11" s="162">
        <v>46794</v>
      </c>
      <c r="F11" s="160"/>
      <c r="G11" s="163"/>
      <c r="H11" s="164">
        <v>7.7611663960847599</v>
      </c>
      <c r="I11" s="165">
        <v>0.2777288978219612</v>
      </c>
      <c r="J11" s="163"/>
      <c r="K11" s="166"/>
      <c r="L11" s="160"/>
      <c r="M11" s="161">
        <v>0.04</v>
      </c>
      <c r="N11" s="198"/>
      <c r="O11" s="162">
        <v>46794</v>
      </c>
      <c r="P11" s="160"/>
      <c r="Q11" s="163"/>
      <c r="R11" s="164">
        <v>-3.0915483915120667E-2</v>
      </c>
      <c r="S11" s="165">
        <v>-9.1254577247554245E-5</v>
      </c>
    </row>
    <row r="12" spans="2:19" x14ac:dyDescent="0.25">
      <c r="B12" s="160"/>
      <c r="C12" s="161">
        <v>0.04</v>
      </c>
      <c r="D12" s="198"/>
      <c r="E12" s="162">
        <v>47160</v>
      </c>
      <c r="F12" s="160"/>
      <c r="G12" s="163"/>
      <c r="H12" s="164">
        <v>8.6026374862867296</v>
      </c>
      <c r="I12" s="165">
        <v>0.21096747592695034</v>
      </c>
      <c r="J12" s="163"/>
      <c r="K12" s="166"/>
      <c r="L12" s="160"/>
      <c r="M12" s="161">
        <v>0.04</v>
      </c>
      <c r="N12" s="198"/>
      <c r="O12" s="162">
        <v>47160</v>
      </c>
      <c r="P12" s="160"/>
      <c r="Q12" s="163"/>
      <c r="R12" s="164">
        <v>-5.8458003917767281</v>
      </c>
      <c r="S12" s="165">
        <v>-2.3159001275506151E-2</v>
      </c>
    </row>
    <row r="13" spans="2:19" x14ac:dyDescent="0.25">
      <c r="B13" s="160"/>
      <c r="C13" s="161">
        <v>0.03</v>
      </c>
      <c r="D13" s="198"/>
      <c r="E13" s="162">
        <v>46429</v>
      </c>
      <c r="F13" s="160"/>
      <c r="G13" s="163"/>
      <c r="H13" s="164">
        <v>27.982763366688097</v>
      </c>
      <c r="I13" s="165">
        <v>0.1102292143539978</v>
      </c>
      <c r="J13" s="163"/>
      <c r="K13" s="166"/>
      <c r="L13" s="160"/>
      <c r="M13" s="161">
        <v>0.03</v>
      </c>
      <c r="N13" s="198"/>
      <c r="O13" s="162">
        <v>46429</v>
      </c>
      <c r="P13" s="160"/>
      <c r="Q13" s="163"/>
      <c r="R13" s="164">
        <v>19.165276438855841</v>
      </c>
      <c r="S13" s="165">
        <v>0.46198773830883882</v>
      </c>
    </row>
    <row r="14" spans="2:19" x14ac:dyDescent="0.25">
      <c r="B14" s="160"/>
      <c r="C14" s="161">
        <v>0.03</v>
      </c>
      <c r="D14" s="198"/>
      <c r="E14" s="162">
        <v>46794</v>
      </c>
      <c r="F14" s="160"/>
      <c r="G14" s="163"/>
      <c r="H14" s="164">
        <v>22.604346739944265</v>
      </c>
      <c r="I14" s="165">
        <v>0.14954367181826198</v>
      </c>
      <c r="J14" s="163"/>
      <c r="K14" s="166"/>
      <c r="L14" s="160"/>
      <c r="M14" s="161">
        <v>0.03</v>
      </c>
      <c r="N14" s="198"/>
      <c r="O14" s="162">
        <v>46794</v>
      </c>
      <c r="P14" s="160"/>
      <c r="Q14" s="163"/>
      <c r="R14" s="164">
        <v>3.0204526215031202</v>
      </c>
      <c r="S14" s="165">
        <v>5.267932135309529E-2</v>
      </c>
    </row>
    <row r="15" spans="2:19" x14ac:dyDescent="0.25">
      <c r="B15" s="160"/>
      <c r="C15" s="161">
        <v>0.03</v>
      </c>
      <c r="D15" s="198"/>
      <c r="E15" s="162">
        <v>47160</v>
      </c>
      <c r="F15" s="160"/>
      <c r="G15" s="163"/>
      <c r="H15" s="164">
        <v>8.2623946155541219</v>
      </c>
      <c r="I15" s="165">
        <v>5.8874159576356652E-2</v>
      </c>
      <c r="J15" s="163"/>
      <c r="K15" s="166"/>
      <c r="L15" s="160"/>
      <c r="M15" s="161">
        <v>0.03</v>
      </c>
      <c r="N15" s="198"/>
      <c r="O15" s="162">
        <v>47160</v>
      </c>
      <c r="P15" s="160"/>
      <c r="Q15" s="163"/>
      <c r="R15" s="164">
        <v>3.7505834562277292</v>
      </c>
      <c r="S15" s="165">
        <v>6.2108564732305242E-2</v>
      </c>
    </row>
    <row r="16" spans="2:19" x14ac:dyDescent="0.25">
      <c r="B16" s="160"/>
      <c r="C16" s="161">
        <v>0.02</v>
      </c>
      <c r="D16" s="198"/>
      <c r="E16" s="162">
        <v>46429</v>
      </c>
      <c r="F16" s="160"/>
      <c r="G16" s="163"/>
      <c r="H16" s="164">
        <v>163.25900817095373</v>
      </c>
      <c r="I16" s="165">
        <v>6.7203729349312014E-2</v>
      </c>
      <c r="J16" s="163"/>
      <c r="K16" s="166"/>
      <c r="L16" s="160"/>
      <c r="M16" s="161">
        <v>0.02</v>
      </c>
      <c r="N16" s="198"/>
      <c r="O16" s="162">
        <v>46429</v>
      </c>
      <c r="P16" s="160"/>
      <c r="Q16" s="163"/>
      <c r="R16" s="164">
        <v>75.639760944590009</v>
      </c>
      <c r="S16" s="165">
        <v>3.5152125948639239</v>
      </c>
    </row>
    <row r="17" spans="2:19" x14ac:dyDescent="0.25">
      <c r="B17" s="160"/>
      <c r="C17" s="161">
        <v>0.02</v>
      </c>
      <c r="D17" s="198"/>
      <c r="E17" s="162">
        <v>46794</v>
      </c>
      <c r="F17" s="160"/>
      <c r="G17" s="163"/>
      <c r="H17" s="164">
        <v>35.047623014603225</v>
      </c>
      <c r="I17" s="165">
        <v>4.3720911703461554E-2</v>
      </c>
      <c r="J17" s="163"/>
      <c r="K17" s="166"/>
      <c r="L17" s="160"/>
      <c r="M17" s="161">
        <v>0.02</v>
      </c>
      <c r="N17" s="198"/>
      <c r="O17" s="162">
        <v>46794</v>
      </c>
      <c r="P17" s="160"/>
      <c r="Q17" s="163"/>
      <c r="R17" s="164">
        <v>12.30917133761899</v>
      </c>
      <c r="S17" s="165">
        <v>0.38682726611955115</v>
      </c>
    </row>
    <row r="18" spans="2:19" x14ac:dyDescent="0.25">
      <c r="B18" s="160"/>
      <c r="C18" s="161">
        <v>0.02</v>
      </c>
      <c r="D18" s="198"/>
      <c r="E18" s="162">
        <v>47160</v>
      </c>
      <c r="F18" s="160"/>
      <c r="G18" s="163"/>
      <c r="H18" s="164">
        <v>15.162511210420185</v>
      </c>
      <c r="I18" s="165">
        <v>2.5630131505599649E-2</v>
      </c>
      <c r="J18" s="163"/>
      <c r="K18" s="166"/>
      <c r="L18" s="160"/>
      <c r="M18" s="161">
        <v>0.02</v>
      </c>
      <c r="N18" s="198"/>
      <c r="O18" s="162">
        <v>47160</v>
      </c>
      <c r="P18" s="160"/>
      <c r="Q18" s="163"/>
      <c r="R18" s="164">
        <v>3.668014115781348</v>
      </c>
      <c r="S18" s="165">
        <v>0.1086708135306374</v>
      </c>
    </row>
    <row r="19" spans="2:19" x14ac:dyDescent="0.25">
      <c r="B19" s="160"/>
      <c r="C19" s="161"/>
      <c r="D19" s="198"/>
      <c r="E19" s="162"/>
      <c r="F19" s="160"/>
      <c r="G19" s="163"/>
      <c r="H19" s="164"/>
      <c r="I19" s="165"/>
      <c r="J19" s="163"/>
      <c r="K19" s="166"/>
      <c r="L19" s="160"/>
      <c r="M19" s="161"/>
      <c r="N19" s="198"/>
      <c r="O19" s="162"/>
      <c r="P19" s="160"/>
      <c r="Q19" s="163"/>
      <c r="R19" s="164"/>
      <c r="S19" s="165"/>
    </row>
    <row r="20" spans="2:19" x14ac:dyDescent="0.25">
      <c r="B20" s="160"/>
      <c r="C20" s="161"/>
      <c r="D20" s="198"/>
      <c r="E20" s="162"/>
      <c r="F20" s="160"/>
      <c r="G20" s="163"/>
      <c r="H20" s="164"/>
      <c r="I20" s="165"/>
      <c r="J20" s="163"/>
      <c r="K20" s="166"/>
      <c r="L20" s="160"/>
      <c r="M20" s="161"/>
      <c r="N20" s="198"/>
      <c r="O20" s="162"/>
      <c r="P20" s="160"/>
      <c r="Q20" s="163"/>
      <c r="R20" s="164"/>
      <c r="S20" s="165"/>
    </row>
    <row r="21" spans="2:19" x14ac:dyDescent="0.25">
      <c r="B21" s="160"/>
      <c r="C21" s="161"/>
      <c r="D21" s="198"/>
      <c r="E21" s="162"/>
      <c r="F21" s="160"/>
      <c r="G21" s="163"/>
      <c r="H21" s="164"/>
      <c r="I21" s="165"/>
      <c r="J21" s="163"/>
      <c r="K21" s="166"/>
      <c r="L21" s="160"/>
      <c r="M21" s="161"/>
      <c r="N21" s="198"/>
      <c r="O21" s="162"/>
      <c r="P21" s="160"/>
      <c r="Q21" s="163"/>
      <c r="R21" s="164"/>
      <c r="S21" s="165"/>
    </row>
    <row r="22" spans="2:19" x14ac:dyDescent="0.25">
      <c r="B22" s="160"/>
      <c r="C22" s="161"/>
      <c r="D22" s="198"/>
      <c r="E22" s="162"/>
      <c r="F22" s="160"/>
      <c r="G22" s="163"/>
      <c r="H22" s="164"/>
      <c r="I22" s="165"/>
      <c r="J22" s="163"/>
      <c r="K22" s="166"/>
      <c r="L22" s="160"/>
      <c r="M22" s="161"/>
      <c r="N22" s="198"/>
      <c r="O22" s="162"/>
      <c r="P22" s="160"/>
      <c r="Q22" s="163"/>
      <c r="R22" s="164"/>
      <c r="S22" s="165"/>
    </row>
    <row r="23" spans="2:19" x14ac:dyDescent="0.25">
      <c r="B23" s="160"/>
      <c r="C23" s="161"/>
      <c r="D23" s="198"/>
      <c r="E23" s="162"/>
      <c r="F23" s="160"/>
      <c r="G23" s="163"/>
      <c r="H23" s="164"/>
      <c r="I23" s="165"/>
      <c r="J23" s="163"/>
      <c r="K23" s="166"/>
      <c r="L23" s="160"/>
      <c r="M23" s="161"/>
      <c r="N23" s="198"/>
      <c r="O23" s="162"/>
      <c r="P23" s="160"/>
      <c r="Q23" s="163"/>
      <c r="R23" s="164"/>
      <c r="S23" s="165"/>
    </row>
    <row r="24" spans="2:19" x14ac:dyDescent="0.25">
      <c r="B24" s="160"/>
      <c r="C24" s="161"/>
      <c r="D24" s="198"/>
      <c r="E24" s="162"/>
      <c r="F24" s="160"/>
      <c r="G24" s="163"/>
      <c r="H24" s="164"/>
      <c r="I24" s="165"/>
      <c r="J24" s="163"/>
      <c r="K24" s="166"/>
      <c r="L24" s="160"/>
      <c r="M24" s="161"/>
      <c r="N24" s="198"/>
      <c r="O24" s="162"/>
      <c r="P24" s="160"/>
      <c r="Q24" s="163"/>
      <c r="R24" s="164"/>
      <c r="S24" s="165"/>
    </row>
    <row r="25" spans="2:19" x14ac:dyDescent="0.25">
      <c r="B25" s="160"/>
      <c r="C25" s="161"/>
      <c r="D25" s="198"/>
      <c r="E25" s="162"/>
      <c r="F25" s="160"/>
      <c r="G25" s="163"/>
      <c r="H25" s="164"/>
      <c r="I25" s="165"/>
      <c r="J25" s="163"/>
      <c r="K25" s="166"/>
      <c r="L25" s="160"/>
      <c r="M25" s="161"/>
      <c r="N25" s="161"/>
      <c r="O25" s="162"/>
      <c r="P25" s="160"/>
      <c r="Q25" s="163"/>
      <c r="R25" s="164"/>
      <c r="S25" s="165"/>
    </row>
    <row r="26" spans="2:19" x14ac:dyDescent="0.25">
      <c r="B26" s="160"/>
      <c r="C26" s="161"/>
      <c r="D26" s="198"/>
      <c r="E26" s="162"/>
      <c r="F26" s="160"/>
      <c r="G26" s="163"/>
      <c r="H26" s="164"/>
      <c r="I26" s="165"/>
      <c r="J26" s="163"/>
      <c r="K26" s="166"/>
      <c r="L26" s="160"/>
      <c r="M26" s="161"/>
      <c r="N26" s="161"/>
      <c r="O26" s="162"/>
      <c r="P26" s="160"/>
      <c r="Q26" s="163"/>
      <c r="R26" s="164"/>
      <c r="S26" s="165"/>
    </row>
    <row r="27" spans="2:19" x14ac:dyDescent="0.25">
      <c r="B27" s="160"/>
      <c r="C27" s="161"/>
      <c r="D27" s="198"/>
      <c r="E27" s="162"/>
      <c r="F27" s="160"/>
      <c r="G27" s="163"/>
      <c r="H27" s="164"/>
      <c r="I27" s="165"/>
      <c r="J27" s="163"/>
      <c r="K27" s="166"/>
      <c r="L27" s="160"/>
      <c r="M27" s="161"/>
      <c r="N27" s="161"/>
      <c r="O27" s="162"/>
      <c r="P27" s="160"/>
      <c r="Q27" s="163"/>
      <c r="R27" s="164"/>
      <c r="S27" s="165"/>
    </row>
    <row r="28" spans="2:19" x14ac:dyDescent="0.25">
      <c r="B28" s="160"/>
      <c r="C28" s="161"/>
      <c r="D28" s="198"/>
      <c r="E28" s="162"/>
      <c r="F28" s="160"/>
      <c r="G28" s="163"/>
      <c r="H28" s="164"/>
      <c r="I28" s="165"/>
      <c r="J28" s="163"/>
      <c r="K28" s="166"/>
      <c r="L28" s="160"/>
      <c r="M28" s="161"/>
      <c r="N28" s="161"/>
      <c r="O28" s="162"/>
      <c r="P28" s="160"/>
      <c r="Q28" s="163"/>
      <c r="R28" s="164"/>
      <c r="S28" s="165"/>
    </row>
    <row r="29" spans="2:19" x14ac:dyDescent="0.25">
      <c r="B29" s="160"/>
      <c r="C29" s="161"/>
      <c r="D29" s="198"/>
      <c r="E29" s="162"/>
      <c r="F29" s="160"/>
      <c r="G29" s="163"/>
      <c r="H29" s="164"/>
      <c r="I29" s="165"/>
      <c r="J29" s="163"/>
      <c r="K29" s="166"/>
      <c r="L29" s="160"/>
      <c r="M29" s="161"/>
      <c r="N29" s="161"/>
      <c r="O29" s="162"/>
      <c r="P29" s="160"/>
      <c r="Q29" s="163"/>
      <c r="R29" s="164"/>
      <c r="S29" s="165"/>
    </row>
    <row r="30" spans="2:19" x14ac:dyDescent="0.25">
      <c r="B30" s="160"/>
      <c r="C30" s="161"/>
      <c r="D30" s="198"/>
      <c r="E30" s="162"/>
      <c r="F30" s="160"/>
      <c r="G30" s="163"/>
      <c r="H30" s="164"/>
      <c r="I30" s="165"/>
      <c r="J30" s="163"/>
      <c r="K30" s="166"/>
      <c r="L30" s="160"/>
      <c r="M30" s="161"/>
      <c r="N30" s="161"/>
      <c r="O30" s="162"/>
      <c r="P30" s="160"/>
      <c r="Q30" s="163"/>
      <c r="R30" s="164"/>
      <c r="S30" s="165"/>
    </row>
    <row r="31" spans="2:19" x14ac:dyDescent="0.25">
      <c r="B31" s="160"/>
      <c r="C31" s="161"/>
      <c r="D31" s="198"/>
      <c r="E31" s="162"/>
      <c r="F31" s="160"/>
      <c r="G31" s="163"/>
      <c r="H31" s="164"/>
      <c r="I31" s="165"/>
      <c r="J31" s="163"/>
      <c r="K31" s="166"/>
      <c r="L31" s="160"/>
      <c r="M31" s="161"/>
      <c r="N31" s="161"/>
      <c r="O31" s="162"/>
      <c r="P31" s="160"/>
      <c r="Q31" s="163"/>
      <c r="R31" s="164"/>
      <c r="S31" s="165"/>
    </row>
    <row r="32" spans="2:19" x14ac:dyDescent="0.25">
      <c r="B32" s="160"/>
      <c r="C32" s="161"/>
      <c r="D32" s="198"/>
      <c r="E32" s="162"/>
      <c r="F32" s="160"/>
      <c r="G32" s="163"/>
      <c r="H32" s="164"/>
      <c r="I32" s="165"/>
      <c r="J32" s="163"/>
      <c r="K32" s="166"/>
      <c r="L32" s="160"/>
      <c r="M32" s="161"/>
      <c r="N32" s="161"/>
      <c r="O32" s="162"/>
      <c r="P32" s="160"/>
      <c r="Q32" s="163"/>
      <c r="R32" s="164"/>
      <c r="S32" s="165"/>
    </row>
    <row r="33" spans="2:19" x14ac:dyDescent="0.25">
      <c r="B33" s="160"/>
      <c r="C33" s="161"/>
      <c r="D33" s="198"/>
      <c r="E33" s="162"/>
      <c r="F33" s="160"/>
      <c r="G33" s="163"/>
      <c r="H33" s="164"/>
      <c r="I33" s="165"/>
      <c r="J33" s="163"/>
      <c r="K33" s="166"/>
      <c r="L33" s="160"/>
      <c r="M33" s="161"/>
      <c r="N33" s="161"/>
      <c r="O33" s="162"/>
      <c r="P33" s="160"/>
      <c r="Q33" s="163"/>
      <c r="R33" s="164"/>
      <c r="S33" s="165"/>
    </row>
    <row r="34" spans="2:19" x14ac:dyDescent="0.25">
      <c r="B34" s="160"/>
      <c r="C34" s="161"/>
      <c r="D34" s="198"/>
      <c r="E34" s="162"/>
      <c r="F34" s="160"/>
      <c r="G34" s="163"/>
      <c r="H34" s="164"/>
      <c r="I34" s="165"/>
      <c r="J34" s="163"/>
      <c r="K34" s="166"/>
      <c r="L34" s="160"/>
      <c r="M34" s="161"/>
      <c r="N34" s="161"/>
      <c r="O34" s="162"/>
      <c r="P34" s="160"/>
      <c r="Q34" s="163"/>
      <c r="R34" s="164"/>
      <c r="S34" s="165"/>
    </row>
    <row r="35" spans="2:19" x14ac:dyDescent="0.25">
      <c r="B35" s="160"/>
      <c r="C35" s="161"/>
      <c r="D35" s="198"/>
      <c r="E35" s="162"/>
      <c r="F35" s="160"/>
      <c r="G35" s="163"/>
      <c r="H35" s="164"/>
      <c r="I35" s="165"/>
      <c r="J35" s="163"/>
      <c r="K35" s="166"/>
      <c r="L35" s="160"/>
      <c r="M35" s="161"/>
      <c r="N35" s="161"/>
      <c r="O35" s="162"/>
      <c r="P35" s="160"/>
      <c r="Q35" s="163"/>
      <c r="R35" s="164"/>
      <c r="S35" s="165"/>
    </row>
    <row r="36" spans="2:19" x14ac:dyDescent="0.25">
      <c r="B36" s="160"/>
      <c r="C36" s="161"/>
      <c r="D36" s="198"/>
      <c r="E36" s="162"/>
      <c r="F36" s="160"/>
      <c r="G36" s="163"/>
      <c r="H36" s="164"/>
      <c r="I36" s="165"/>
      <c r="J36" s="163"/>
      <c r="K36" s="166"/>
      <c r="L36" s="160"/>
      <c r="M36" s="161"/>
      <c r="N36" s="161"/>
      <c r="O36" s="162"/>
      <c r="P36" s="160"/>
      <c r="Q36" s="163"/>
      <c r="R36" s="164"/>
      <c r="S36" s="165"/>
    </row>
    <row r="37" spans="2:19" x14ac:dyDescent="0.25">
      <c r="B37" s="160"/>
      <c r="C37" s="161"/>
      <c r="D37" s="198"/>
      <c r="E37" s="162"/>
      <c r="F37" s="160"/>
      <c r="G37" s="163"/>
      <c r="H37" s="164"/>
      <c r="I37" s="165"/>
      <c r="J37" s="163"/>
      <c r="K37" s="166"/>
      <c r="L37" s="160"/>
      <c r="M37" s="161"/>
      <c r="N37" s="161"/>
      <c r="O37" s="162"/>
      <c r="P37" s="160"/>
      <c r="Q37" s="163"/>
      <c r="R37" s="164"/>
      <c r="S37" s="165"/>
    </row>
    <row r="38" spans="2:19" x14ac:dyDescent="0.25">
      <c r="B38" s="160"/>
      <c r="C38" s="161"/>
      <c r="D38" s="198"/>
      <c r="E38" s="162"/>
      <c r="F38" s="160"/>
      <c r="G38" s="163"/>
      <c r="H38" s="164"/>
      <c r="I38" s="165"/>
      <c r="J38" s="163"/>
      <c r="K38" s="166"/>
      <c r="L38" s="160"/>
      <c r="M38" s="161"/>
      <c r="N38" s="161"/>
      <c r="O38" s="162"/>
      <c r="P38" s="160"/>
      <c r="Q38" s="163"/>
      <c r="R38" s="164"/>
      <c r="S38" s="165"/>
    </row>
    <row r="39" spans="2:19" x14ac:dyDescent="0.25">
      <c r="B39" s="160"/>
      <c r="C39" s="161"/>
      <c r="D39" s="161"/>
      <c r="E39" s="162"/>
      <c r="F39" s="160"/>
      <c r="G39" s="163"/>
      <c r="H39" s="164"/>
      <c r="I39" s="165"/>
      <c r="J39" s="163"/>
      <c r="K39" s="166"/>
      <c r="L39" s="160"/>
      <c r="M39" s="161"/>
      <c r="N39" s="161"/>
      <c r="O39" s="162"/>
      <c r="P39" s="160"/>
      <c r="Q39" s="163"/>
      <c r="R39" s="164"/>
      <c r="S39" s="165"/>
    </row>
    <row r="40" spans="2:19" x14ac:dyDescent="0.25">
      <c r="B40" s="160"/>
      <c r="C40" s="161"/>
      <c r="D40" s="161"/>
      <c r="E40" s="162"/>
      <c r="F40" s="160"/>
      <c r="G40" s="163"/>
      <c r="H40" s="164"/>
      <c r="I40" s="165"/>
      <c r="J40" s="163"/>
      <c r="K40" s="166"/>
      <c r="L40" s="160"/>
      <c r="M40" s="161"/>
      <c r="N40" s="161"/>
      <c r="O40" s="162"/>
      <c r="P40" s="160"/>
      <c r="Q40" s="163"/>
      <c r="R40" s="164"/>
      <c r="S40" s="165"/>
    </row>
    <row r="41" spans="2:19" x14ac:dyDescent="0.25">
      <c r="B41" s="160"/>
      <c r="C41" s="161"/>
      <c r="D41" s="161"/>
      <c r="E41" s="162"/>
      <c r="F41" s="160"/>
      <c r="G41" s="163"/>
      <c r="H41" s="164"/>
      <c r="I41" s="165"/>
      <c r="J41" s="163"/>
      <c r="K41" s="166"/>
      <c r="L41" s="160"/>
      <c r="M41" s="161"/>
      <c r="N41" s="161"/>
      <c r="O41" s="162"/>
      <c r="P41" s="160"/>
      <c r="Q41" s="163"/>
      <c r="R41" s="164"/>
      <c r="S41" s="165"/>
    </row>
    <row r="42" spans="2:19" x14ac:dyDescent="0.25">
      <c r="B42" s="160"/>
      <c r="C42" s="161"/>
      <c r="D42" s="161"/>
      <c r="E42" s="162"/>
      <c r="F42" s="160"/>
      <c r="G42" s="163"/>
      <c r="H42" s="164"/>
      <c r="I42" s="165"/>
      <c r="J42" s="163"/>
      <c r="K42" s="166"/>
      <c r="L42" s="160"/>
      <c r="M42" s="161"/>
      <c r="N42" s="161"/>
      <c r="O42" s="162"/>
      <c r="P42" s="160"/>
      <c r="Q42" s="163"/>
      <c r="R42" s="164"/>
      <c r="S42" s="165"/>
    </row>
    <row r="43" spans="2:19" x14ac:dyDescent="0.25">
      <c r="B43" s="160"/>
      <c r="C43" s="161"/>
      <c r="D43" s="161"/>
      <c r="E43" s="162"/>
      <c r="F43" s="160"/>
      <c r="G43" s="163"/>
      <c r="H43" s="164"/>
      <c r="I43" s="165"/>
      <c r="J43" s="163"/>
      <c r="K43" s="166"/>
      <c r="L43" s="160"/>
      <c r="M43" s="161"/>
      <c r="N43" s="161"/>
      <c r="O43" s="162"/>
      <c r="P43" s="160"/>
      <c r="Q43" s="163"/>
      <c r="R43" s="164"/>
      <c r="S43" s="165"/>
    </row>
    <row r="44" spans="2:19" x14ac:dyDescent="0.25">
      <c r="B44" s="160"/>
      <c r="C44" s="161"/>
      <c r="D44" s="161"/>
      <c r="E44" s="162"/>
      <c r="F44" s="160"/>
      <c r="G44" s="163"/>
      <c r="H44" s="164"/>
      <c r="I44" s="165"/>
      <c r="J44" s="163"/>
      <c r="K44" s="166"/>
      <c r="L44" s="160"/>
      <c r="M44" s="161"/>
      <c r="N44" s="161"/>
      <c r="O44" s="162"/>
      <c r="P44" s="160"/>
      <c r="Q44" s="163"/>
      <c r="R44" s="164"/>
      <c r="S44" s="165"/>
    </row>
    <row r="45" spans="2:19" x14ac:dyDescent="0.25">
      <c r="B45" s="160"/>
      <c r="C45" s="161"/>
      <c r="D45" s="161"/>
      <c r="E45" s="162"/>
      <c r="F45" s="160"/>
      <c r="G45" s="163"/>
      <c r="H45" s="164"/>
      <c r="I45" s="165"/>
      <c r="J45" s="163"/>
      <c r="K45" s="166"/>
      <c r="L45" s="160"/>
      <c r="M45" s="161"/>
      <c r="N45" s="161"/>
      <c r="O45" s="162"/>
      <c r="P45" s="160"/>
      <c r="Q45" s="163"/>
      <c r="R45" s="164"/>
      <c r="S45" s="165"/>
    </row>
    <row r="46" spans="2:19" x14ac:dyDescent="0.25">
      <c r="B46" s="160"/>
      <c r="C46" s="161"/>
      <c r="D46" s="161"/>
      <c r="E46" s="162"/>
      <c r="F46" s="160"/>
      <c r="G46" s="163"/>
      <c r="H46" s="164"/>
      <c r="I46" s="165"/>
      <c r="J46" s="163"/>
      <c r="K46" s="166"/>
      <c r="L46" s="160"/>
      <c r="M46" s="161"/>
      <c r="N46" s="161"/>
      <c r="O46" s="162"/>
      <c r="P46" s="160"/>
      <c r="Q46" s="163"/>
      <c r="R46" s="164"/>
      <c r="S46" s="165"/>
    </row>
    <row r="47" spans="2:19" x14ac:dyDescent="0.25">
      <c r="B47" s="160"/>
      <c r="C47" s="161"/>
      <c r="D47" s="161"/>
      <c r="E47" s="162"/>
      <c r="F47" s="160"/>
      <c r="G47" s="163"/>
      <c r="H47" s="164"/>
      <c r="I47" s="165"/>
      <c r="J47" s="163"/>
      <c r="K47" s="166"/>
      <c r="L47" s="160"/>
      <c r="M47" s="161"/>
      <c r="N47" s="161"/>
      <c r="O47" s="162"/>
      <c r="P47" s="160"/>
      <c r="Q47" s="163"/>
      <c r="R47" s="164"/>
      <c r="S47" s="165"/>
    </row>
    <row r="48" spans="2:19" x14ac:dyDescent="0.25">
      <c r="B48" s="160"/>
      <c r="C48" s="161"/>
      <c r="D48" s="161"/>
      <c r="E48" s="162"/>
      <c r="F48" s="160"/>
      <c r="G48" s="163"/>
      <c r="H48" s="164"/>
      <c r="I48" s="165"/>
      <c r="J48" s="163"/>
      <c r="K48" s="166"/>
      <c r="L48" s="160"/>
      <c r="M48" s="161"/>
      <c r="N48" s="161"/>
      <c r="O48" s="162"/>
      <c r="P48" s="160"/>
      <c r="Q48" s="163"/>
      <c r="R48" s="164"/>
      <c r="S48" s="165"/>
    </row>
    <row r="49" spans="2:19" x14ac:dyDescent="0.25">
      <c r="B49" s="160"/>
      <c r="C49" s="161"/>
      <c r="D49" s="161"/>
      <c r="E49" s="162"/>
      <c r="F49" s="160"/>
      <c r="G49" s="163"/>
      <c r="H49" s="164"/>
      <c r="I49" s="165"/>
      <c r="J49" s="163"/>
      <c r="K49" s="166"/>
      <c r="L49" s="160"/>
      <c r="M49" s="161"/>
      <c r="N49" s="161"/>
      <c r="O49" s="162"/>
      <c r="P49" s="160"/>
      <c r="Q49" s="163"/>
      <c r="R49" s="164"/>
      <c r="S49" s="165"/>
    </row>
    <row r="50" spans="2:19" x14ac:dyDescent="0.25">
      <c r="B50" s="160"/>
      <c r="C50" s="161"/>
      <c r="D50" s="161"/>
      <c r="E50" s="162"/>
      <c r="F50" s="160"/>
      <c r="G50" s="163"/>
      <c r="H50" s="164"/>
      <c r="I50" s="165"/>
      <c r="J50" s="163"/>
      <c r="K50" s="166"/>
      <c r="L50" s="160"/>
      <c r="M50" s="161"/>
      <c r="N50" s="161"/>
      <c r="O50" s="162"/>
      <c r="P50" s="160"/>
      <c r="Q50" s="163"/>
      <c r="R50" s="164"/>
      <c r="S50" s="165"/>
    </row>
    <row r="51" spans="2:19" x14ac:dyDescent="0.25">
      <c r="B51" s="160"/>
      <c r="C51" s="161"/>
      <c r="D51" s="161"/>
      <c r="E51" s="162"/>
      <c r="F51" s="160"/>
      <c r="G51" s="163"/>
      <c r="H51" s="164"/>
      <c r="I51" s="165"/>
      <c r="J51" s="163"/>
      <c r="K51" s="166"/>
      <c r="L51" s="160"/>
      <c r="M51" s="161"/>
      <c r="N51" s="161"/>
      <c r="O51" s="162"/>
      <c r="P51" s="160"/>
      <c r="Q51" s="163"/>
      <c r="R51" s="164"/>
      <c r="S51" s="165"/>
    </row>
    <row r="52" spans="2:19" x14ac:dyDescent="0.25">
      <c r="B52" s="160"/>
      <c r="C52" s="161"/>
      <c r="D52" s="161"/>
      <c r="E52" s="162"/>
      <c r="F52" s="160"/>
      <c r="G52" s="163"/>
      <c r="H52" s="164"/>
      <c r="I52" s="165"/>
      <c r="J52" s="163"/>
      <c r="K52" s="166"/>
      <c r="L52" s="160"/>
      <c r="M52" s="161"/>
      <c r="N52" s="161"/>
      <c r="O52" s="162"/>
      <c r="P52" s="160"/>
      <c r="Q52" s="163"/>
      <c r="R52" s="164"/>
      <c r="S52" s="165"/>
    </row>
    <row r="53" spans="2:19" x14ac:dyDescent="0.25">
      <c r="B53" s="160"/>
      <c r="C53" s="161"/>
      <c r="D53" s="161"/>
      <c r="E53" s="162"/>
      <c r="F53" s="160"/>
      <c r="G53" s="163"/>
      <c r="H53" s="164"/>
      <c r="I53" s="165"/>
      <c r="J53" s="163"/>
      <c r="K53" s="166"/>
      <c r="L53" s="160"/>
      <c r="M53" s="161"/>
      <c r="N53" s="161"/>
      <c r="O53" s="162"/>
      <c r="P53" s="160"/>
      <c r="Q53" s="163"/>
      <c r="R53" s="164"/>
      <c r="S53" s="165"/>
    </row>
    <row r="54" spans="2:19" x14ac:dyDescent="0.25">
      <c r="B54" s="160"/>
      <c r="C54" s="161"/>
      <c r="D54" s="161"/>
      <c r="E54" s="162"/>
      <c r="F54" s="160"/>
      <c r="G54" s="163"/>
      <c r="H54" s="164"/>
      <c r="I54" s="165"/>
      <c r="J54" s="163"/>
      <c r="K54" s="166"/>
      <c r="L54" s="160"/>
      <c r="M54" s="161"/>
      <c r="N54" s="161"/>
      <c r="O54" s="162"/>
      <c r="P54" s="160"/>
      <c r="Q54" s="163"/>
      <c r="R54" s="164"/>
      <c r="S54" s="165"/>
    </row>
    <row r="55" spans="2:19" x14ac:dyDescent="0.25">
      <c r="B55" s="160"/>
      <c r="C55" s="161"/>
      <c r="D55" s="161"/>
      <c r="E55" s="162"/>
      <c r="F55" s="160"/>
      <c r="G55" s="163"/>
      <c r="H55" s="164"/>
      <c r="I55" s="165"/>
      <c r="J55" s="163"/>
      <c r="K55" s="166"/>
      <c r="L55" s="160"/>
      <c r="M55" s="161"/>
      <c r="N55" s="161"/>
      <c r="O55" s="162"/>
      <c r="P55" s="160"/>
      <c r="Q55" s="163"/>
      <c r="R55" s="164"/>
      <c r="S55" s="165"/>
    </row>
    <row r="56" spans="2:19" x14ac:dyDescent="0.25">
      <c r="B56" s="160"/>
      <c r="C56" s="161"/>
      <c r="D56" s="161"/>
      <c r="E56" s="162"/>
      <c r="F56" s="160"/>
      <c r="G56" s="163"/>
      <c r="H56" s="164"/>
      <c r="I56" s="165"/>
      <c r="J56" s="163"/>
      <c r="K56" s="166"/>
      <c r="L56" s="160"/>
      <c r="M56" s="161"/>
      <c r="N56" s="161"/>
      <c r="O56" s="162"/>
      <c r="P56" s="160"/>
      <c r="Q56" s="163"/>
      <c r="R56" s="164"/>
      <c r="S56" s="165"/>
    </row>
    <row r="57" spans="2:19" x14ac:dyDescent="0.25">
      <c r="B57" s="160"/>
      <c r="C57" s="161"/>
      <c r="D57" s="161"/>
      <c r="E57" s="162"/>
      <c r="F57" s="160"/>
      <c r="G57" s="163"/>
      <c r="H57" s="164"/>
      <c r="I57" s="165"/>
      <c r="J57" s="163"/>
      <c r="K57" s="166"/>
      <c r="L57" s="160"/>
      <c r="M57" s="161"/>
      <c r="N57" s="161"/>
      <c r="O57" s="162"/>
      <c r="P57" s="160"/>
      <c r="Q57" s="163"/>
      <c r="R57" s="164"/>
      <c r="S57" s="165"/>
    </row>
    <row r="58" spans="2:19" x14ac:dyDescent="0.25">
      <c r="B58" s="160"/>
      <c r="C58" s="161"/>
      <c r="D58" s="161"/>
      <c r="E58" s="162"/>
      <c r="F58" s="160"/>
      <c r="G58" s="163"/>
      <c r="H58" s="164"/>
      <c r="I58" s="165"/>
      <c r="J58" s="163"/>
      <c r="K58" s="166"/>
      <c r="L58" s="160"/>
      <c r="M58" s="161"/>
      <c r="N58" s="161"/>
      <c r="O58" s="162"/>
      <c r="P58" s="160"/>
      <c r="Q58" s="163"/>
      <c r="R58" s="164"/>
      <c r="S58" s="165"/>
    </row>
    <row r="59" spans="2:19" x14ac:dyDescent="0.25">
      <c r="B59" s="160"/>
      <c r="C59" s="161"/>
      <c r="D59" s="161"/>
      <c r="E59" s="162"/>
      <c r="F59" s="160"/>
      <c r="G59" s="163"/>
      <c r="H59" s="164"/>
      <c r="I59" s="165"/>
      <c r="J59" s="163"/>
      <c r="K59" s="166"/>
      <c r="L59" s="160"/>
      <c r="M59" s="161"/>
      <c r="N59" s="161"/>
      <c r="O59" s="162"/>
      <c r="P59" s="160"/>
      <c r="Q59" s="163"/>
      <c r="R59" s="164"/>
      <c r="S59" s="165"/>
    </row>
    <row r="60" spans="2:19" x14ac:dyDescent="0.25">
      <c r="B60" s="160"/>
      <c r="C60" s="161"/>
      <c r="D60" s="161"/>
      <c r="E60" s="162"/>
      <c r="F60" s="160"/>
      <c r="G60" s="163"/>
      <c r="H60" s="164"/>
      <c r="I60" s="165"/>
      <c r="J60" s="163"/>
      <c r="K60" s="166"/>
      <c r="L60" s="160"/>
      <c r="M60" s="161"/>
      <c r="N60" s="161"/>
      <c r="O60" s="162"/>
      <c r="P60" s="160"/>
      <c r="Q60" s="163"/>
      <c r="R60" s="164"/>
      <c r="S60" s="165"/>
    </row>
    <row r="61" spans="2:19" x14ac:dyDescent="0.25">
      <c r="B61" s="160"/>
      <c r="C61" s="161"/>
      <c r="D61" s="161"/>
      <c r="E61" s="162"/>
      <c r="F61" s="160"/>
      <c r="G61" s="163"/>
      <c r="H61" s="164"/>
      <c r="I61" s="165"/>
      <c r="J61" s="163"/>
      <c r="K61" s="166"/>
      <c r="L61" s="160"/>
      <c r="M61" s="161"/>
      <c r="N61" s="161"/>
      <c r="O61" s="162"/>
      <c r="P61" s="160"/>
      <c r="Q61" s="163"/>
      <c r="R61" s="164"/>
      <c r="S61" s="165"/>
    </row>
    <row r="62" spans="2:19" x14ac:dyDescent="0.25">
      <c r="B62" s="160"/>
      <c r="C62" s="161"/>
      <c r="D62" s="161"/>
      <c r="E62" s="162"/>
      <c r="F62" s="160"/>
      <c r="G62" s="163"/>
      <c r="H62" s="164"/>
      <c r="I62" s="165"/>
      <c r="J62" s="163"/>
      <c r="K62" s="166"/>
      <c r="L62" s="160"/>
      <c r="M62" s="161"/>
      <c r="N62" s="161"/>
      <c r="O62" s="162"/>
      <c r="P62" s="160"/>
      <c r="Q62" s="163"/>
      <c r="R62" s="164"/>
      <c r="S62" s="165"/>
    </row>
    <row r="63" spans="2:19" x14ac:dyDescent="0.25">
      <c r="B63" s="160"/>
      <c r="C63" s="161"/>
      <c r="D63" s="161"/>
      <c r="E63" s="162"/>
      <c r="F63" s="160"/>
      <c r="G63" s="163"/>
      <c r="H63" s="164"/>
      <c r="I63" s="165"/>
      <c r="J63" s="163"/>
      <c r="K63" s="166"/>
      <c r="L63" s="160"/>
      <c r="M63" s="161"/>
      <c r="N63" s="161"/>
      <c r="O63" s="162"/>
      <c r="P63" s="160"/>
      <c r="Q63" s="163"/>
      <c r="R63" s="164"/>
      <c r="S63" s="165"/>
    </row>
    <row r="64" spans="2:19" x14ac:dyDescent="0.25">
      <c r="B64" s="160"/>
      <c r="C64" s="161"/>
      <c r="D64" s="161"/>
      <c r="E64" s="162"/>
      <c r="F64" s="160"/>
      <c r="G64" s="163"/>
      <c r="H64" s="164"/>
      <c r="I64" s="165"/>
      <c r="J64" s="163"/>
      <c r="K64" s="166"/>
      <c r="L64" s="160"/>
      <c r="M64" s="161"/>
      <c r="N64" s="161"/>
      <c r="O64" s="162"/>
      <c r="P64" s="160"/>
      <c r="Q64" s="163"/>
      <c r="R64" s="164"/>
      <c r="S64" s="165"/>
    </row>
    <row r="65" spans="2:19" x14ac:dyDescent="0.25">
      <c r="B65" s="160"/>
      <c r="C65" s="161"/>
      <c r="D65" s="161"/>
      <c r="E65" s="162"/>
      <c r="F65" s="160"/>
      <c r="G65" s="163"/>
      <c r="H65" s="164"/>
      <c r="I65" s="165"/>
      <c r="J65" s="163"/>
      <c r="K65" s="166"/>
      <c r="L65" s="160"/>
      <c r="M65" s="161"/>
      <c r="N65" s="161"/>
      <c r="O65" s="162"/>
      <c r="P65" s="160"/>
      <c r="Q65" s="163"/>
      <c r="R65" s="164"/>
      <c r="S65" s="165"/>
    </row>
    <row r="66" spans="2:19" x14ac:dyDescent="0.25">
      <c r="B66" s="160"/>
      <c r="C66" s="161"/>
      <c r="D66" s="161"/>
      <c r="E66" s="162"/>
      <c r="F66" s="160"/>
      <c r="G66" s="163"/>
      <c r="H66" s="164"/>
      <c r="I66" s="165"/>
      <c r="J66" s="163"/>
      <c r="K66" s="166"/>
      <c r="L66" s="160"/>
      <c r="M66" s="161"/>
      <c r="N66" s="161"/>
      <c r="O66" s="162"/>
      <c r="P66" s="160"/>
      <c r="Q66" s="163"/>
      <c r="R66" s="164"/>
      <c r="S66" s="165"/>
    </row>
    <row r="67" spans="2:19" x14ac:dyDescent="0.25">
      <c r="B67" s="160"/>
      <c r="C67" s="161"/>
      <c r="D67" s="161"/>
      <c r="E67" s="162"/>
      <c r="F67" s="160"/>
      <c r="G67" s="163"/>
      <c r="H67" s="164"/>
      <c r="I67" s="165"/>
      <c r="J67" s="163"/>
      <c r="K67" s="166"/>
      <c r="L67" s="160"/>
      <c r="M67" s="161"/>
      <c r="N67" s="161"/>
      <c r="O67" s="162"/>
      <c r="P67" s="160"/>
      <c r="Q67" s="163"/>
      <c r="R67" s="164"/>
      <c r="S67" s="165"/>
    </row>
    <row r="68" spans="2:19" x14ac:dyDescent="0.25">
      <c r="B68" s="160"/>
      <c r="C68" s="161"/>
      <c r="D68" s="161"/>
      <c r="E68" s="162"/>
      <c r="F68" s="160"/>
      <c r="G68" s="163"/>
      <c r="H68" s="164"/>
      <c r="I68" s="165"/>
      <c r="J68" s="163"/>
      <c r="K68" s="166"/>
      <c r="L68" s="160"/>
      <c r="M68" s="161"/>
      <c r="N68" s="161"/>
      <c r="O68" s="162"/>
      <c r="P68" s="160"/>
      <c r="Q68" s="163"/>
      <c r="R68" s="164"/>
      <c r="S68" s="165"/>
    </row>
    <row r="69" spans="2:19" x14ac:dyDescent="0.25">
      <c r="B69" s="160"/>
      <c r="C69" s="161"/>
      <c r="D69" s="161"/>
      <c r="E69" s="162"/>
      <c r="F69" s="160"/>
      <c r="G69" s="163"/>
      <c r="H69" s="164"/>
      <c r="I69" s="165"/>
      <c r="J69" s="163"/>
      <c r="K69" s="166"/>
      <c r="L69" s="160"/>
      <c r="M69" s="161"/>
      <c r="N69" s="161"/>
      <c r="O69" s="162"/>
      <c r="P69" s="160"/>
      <c r="Q69" s="163"/>
      <c r="R69" s="164"/>
      <c r="S69" s="165"/>
    </row>
    <row r="70" spans="2:19" x14ac:dyDescent="0.25">
      <c r="B70" s="160"/>
      <c r="C70" s="161"/>
      <c r="D70" s="161"/>
      <c r="E70" s="162"/>
      <c r="F70" s="160"/>
      <c r="G70" s="163"/>
      <c r="H70" s="164"/>
      <c r="I70" s="165"/>
      <c r="J70" s="163"/>
      <c r="K70" s="166"/>
      <c r="L70" s="160"/>
      <c r="M70" s="161"/>
      <c r="N70" s="161"/>
      <c r="O70" s="162"/>
      <c r="P70" s="160"/>
      <c r="Q70" s="163"/>
      <c r="R70" s="164"/>
      <c r="S70" s="165"/>
    </row>
    <row r="71" spans="2:19" x14ac:dyDescent="0.25">
      <c r="B71" s="160"/>
      <c r="C71" s="161"/>
      <c r="D71" s="161"/>
      <c r="E71" s="162"/>
      <c r="F71" s="160"/>
      <c r="G71" s="163"/>
      <c r="H71" s="164"/>
      <c r="I71" s="165"/>
      <c r="J71" s="163"/>
      <c r="K71" s="166"/>
      <c r="L71" s="160"/>
      <c r="M71" s="161"/>
      <c r="N71" s="161"/>
      <c r="O71" s="162"/>
      <c r="P71" s="160"/>
      <c r="Q71" s="163"/>
      <c r="R71" s="164"/>
      <c r="S71" s="165"/>
    </row>
    <row r="72" spans="2:19" x14ac:dyDescent="0.25">
      <c r="B72" s="160"/>
      <c r="C72" s="161"/>
      <c r="D72" s="161"/>
      <c r="E72" s="162"/>
      <c r="F72" s="160"/>
      <c r="G72" s="163"/>
      <c r="H72" s="164"/>
      <c r="I72" s="165"/>
      <c r="J72" s="163"/>
      <c r="K72" s="166"/>
      <c r="L72" s="160"/>
      <c r="M72" s="161"/>
      <c r="N72" s="161"/>
      <c r="O72" s="162"/>
      <c r="P72" s="160"/>
      <c r="Q72" s="163"/>
      <c r="R72" s="164"/>
      <c r="S72" s="165"/>
    </row>
    <row r="73" spans="2:19" x14ac:dyDescent="0.25">
      <c r="B73" s="160"/>
      <c r="C73" s="161"/>
      <c r="D73" s="161"/>
      <c r="E73" s="162"/>
      <c r="F73" s="160"/>
      <c r="G73" s="163"/>
      <c r="H73" s="164"/>
      <c r="I73" s="165"/>
      <c r="J73" s="163"/>
      <c r="K73" s="166"/>
      <c r="L73" s="160"/>
      <c r="M73" s="161"/>
      <c r="N73" s="161"/>
      <c r="O73" s="162"/>
      <c r="P73" s="160"/>
      <c r="Q73" s="163"/>
      <c r="R73" s="164"/>
      <c r="S73" s="165"/>
    </row>
    <row r="74" spans="2:19" x14ac:dyDescent="0.25">
      <c r="B74" s="160"/>
      <c r="C74" s="161"/>
      <c r="D74" s="161"/>
      <c r="E74" s="162"/>
      <c r="F74" s="160"/>
      <c r="G74" s="163"/>
      <c r="H74" s="164"/>
      <c r="I74" s="165"/>
      <c r="J74" s="163"/>
      <c r="K74" s="166"/>
      <c r="L74" s="160"/>
      <c r="M74" s="161"/>
      <c r="N74" s="161"/>
      <c r="O74" s="162"/>
      <c r="P74" s="160"/>
      <c r="Q74" s="163"/>
      <c r="R74" s="164"/>
      <c r="S74" s="165"/>
    </row>
    <row r="75" spans="2:19" x14ac:dyDescent="0.25">
      <c r="B75" s="160"/>
      <c r="C75" s="161"/>
      <c r="D75" s="161"/>
      <c r="E75" s="162"/>
      <c r="F75" s="160"/>
      <c r="G75" s="163"/>
      <c r="H75" s="164"/>
      <c r="I75" s="165"/>
      <c r="J75" s="163"/>
      <c r="K75" s="166"/>
      <c r="L75" s="160"/>
      <c r="M75" s="161"/>
      <c r="N75" s="161"/>
      <c r="O75" s="162"/>
      <c r="P75" s="160"/>
      <c r="Q75" s="163"/>
      <c r="R75" s="164"/>
      <c r="S75" s="165"/>
    </row>
    <row r="76" spans="2:19" x14ac:dyDescent="0.25">
      <c r="B76" s="160"/>
      <c r="C76" s="161"/>
      <c r="D76" s="161"/>
      <c r="E76" s="162"/>
      <c r="F76" s="160"/>
      <c r="G76" s="163"/>
      <c r="H76" s="164"/>
      <c r="I76" s="165"/>
      <c r="J76" s="163"/>
      <c r="K76" s="166"/>
      <c r="L76" s="160"/>
      <c r="M76" s="161"/>
      <c r="N76" s="161"/>
      <c r="O76" s="162"/>
      <c r="P76" s="160"/>
      <c r="Q76" s="163"/>
      <c r="R76" s="164"/>
      <c r="S76" s="165"/>
    </row>
    <row r="77" spans="2:19" x14ac:dyDescent="0.25">
      <c r="B77" s="160"/>
      <c r="C77" s="161"/>
      <c r="D77" s="161"/>
      <c r="E77" s="162"/>
      <c r="F77" s="160"/>
      <c r="G77" s="163"/>
      <c r="H77" s="164"/>
      <c r="I77" s="165"/>
      <c r="J77" s="163"/>
      <c r="K77" s="166"/>
      <c r="L77" s="160"/>
      <c r="M77" s="161"/>
      <c r="N77" s="161"/>
      <c r="O77" s="162"/>
      <c r="P77" s="160"/>
      <c r="Q77" s="163"/>
      <c r="R77" s="164"/>
      <c r="S77" s="165"/>
    </row>
    <row r="78" spans="2:19" x14ac:dyDescent="0.25">
      <c r="B78" s="160"/>
      <c r="C78" s="161"/>
      <c r="D78" s="161"/>
      <c r="E78" s="162"/>
      <c r="F78" s="160"/>
      <c r="G78" s="163"/>
      <c r="H78" s="164"/>
      <c r="I78" s="165"/>
      <c r="J78" s="163"/>
      <c r="K78" s="166"/>
      <c r="L78" s="160"/>
      <c r="M78" s="161"/>
      <c r="N78" s="161"/>
      <c r="O78" s="162"/>
      <c r="P78" s="160"/>
      <c r="Q78" s="163"/>
      <c r="R78" s="164"/>
      <c r="S78" s="165"/>
    </row>
    <row r="79" spans="2:19" x14ac:dyDescent="0.25">
      <c r="B79" s="160"/>
      <c r="C79" s="161"/>
      <c r="D79" s="161"/>
      <c r="E79" s="162"/>
      <c r="F79" s="160"/>
      <c r="G79" s="163"/>
      <c r="H79" s="164"/>
      <c r="I79" s="165"/>
      <c r="J79" s="163"/>
      <c r="K79" s="166"/>
      <c r="L79" s="160"/>
      <c r="M79" s="161"/>
      <c r="N79" s="161"/>
      <c r="O79" s="162"/>
      <c r="P79" s="160"/>
      <c r="Q79" s="163"/>
      <c r="R79" s="164"/>
      <c r="S79" s="165"/>
    </row>
    <row r="80" spans="2:19" x14ac:dyDescent="0.25">
      <c r="B80" s="160"/>
      <c r="C80" s="161"/>
      <c r="D80" s="161"/>
      <c r="E80" s="162"/>
      <c r="F80" s="160"/>
      <c r="G80" s="163"/>
      <c r="H80" s="164"/>
      <c r="I80" s="165"/>
      <c r="J80" s="163"/>
      <c r="K80" s="166"/>
      <c r="L80" s="160"/>
      <c r="M80" s="161"/>
      <c r="N80" s="161"/>
      <c r="O80" s="162"/>
      <c r="P80" s="160"/>
      <c r="Q80" s="163"/>
      <c r="R80" s="164"/>
      <c r="S80" s="165"/>
    </row>
    <row r="81" spans="2:19" x14ac:dyDescent="0.25">
      <c r="B81" s="160"/>
      <c r="C81" s="161"/>
      <c r="D81" s="161"/>
      <c r="E81" s="162"/>
      <c r="F81" s="160"/>
      <c r="G81" s="163"/>
      <c r="H81" s="164"/>
      <c r="I81" s="165"/>
      <c r="J81" s="163"/>
      <c r="K81" s="166"/>
      <c r="L81" s="160"/>
      <c r="M81" s="161"/>
      <c r="N81" s="161"/>
      <c r="O81" s="162"/>
      <c r="P81" s="160"/>
      <c r="Q81" s="163"/>
      <c r="R81" s="164"/>
      <c r="S81" s="165"/>
    </row>
    <row r="82" spans="2:19" x14ac:dyDescent="0.25">
      <c r="B82" s="160"/>
      <c r="C82" s="161"/>
      <c r="D82" s="161"/>
      <c r="E82" s="162"/>
      <c r="F82" s="160"/>
      <c r="G82" s="163"/>
      <c r="H82" s="164"/>
      <c r="I82" s="165"/>
      <c r="J82" s="163"/>
      <c r="K82" s="166"/>
      <c r="L82" s="160"/>
      <c r="M82" s="161"/>
      <c r="N82" s="161"/>
      <c r="O82" s="162"/>
      <c r="P82" s="160"/>
      <c r="Q82" s="163"/>
      <c r="R82" s="164"/>
      <c r="S82" s="165"/>
    </row>
    <row r="83" spans="2:19" x14ac:dyDescent="0.25">
      <c r="B83" s="160"/>
      <c r="C83" s="161"/>
      <c r="D83" s="161"/>
      <c r="E83" s="162"/>
      <c r="F83" s="160"/>
      <c r="G83" s="163"/>
      <c r="H83" s="164"/>
      <c r="I83" s="165"/>
      <c r="J83" s="163"/>
      <c r="K83" s="166"/>
      <c r="L83" s="160"/>
      <c r="M83" s="161"/>
      <c r="N83" s="161"/>
      <c r="O83" s="162"/>
      <c r="P83" s="160"/>
      <c r="Q83" s="163"/>
      <c r="R83" s="164"/>
      <c r="S83" s="165"/>
    </row>
    <row r="84" spans="2:19" x14ac:dyDescent="0.25">
      <c r="B84" s="160"/>
      <c r="C84" s="161"/>
      <c r="D84" s="161"/>
      <c r="E84" s="162"/>
      <c r="F84" s="160"/>
      <c r="G84" s="163"/>
      <c r="H84" s="164"/>
      <c r="I84" s="165"/>
      <c r="J84" s="163"/>
      <c r="K84" s="166"/>
      <c r="L84" s="160"/>
      <c r="M84" s="161"/>
      <c r="N84" s="161"/>
      <c r="O84" s="162"/>
      <c r="P84" s="160"/>
      <c r="Q84" s="163"/>
      <c r="R84" s="164"/>
      <c r="S84" s="165"/>
    </row>
    <row r="85" spans="2:19" x14ac:dyDescent="0.25">
      <c r="B85" s="160"/>
      <c r="C85" s="161"/>
      <c r="D85" s="161"/>
      <c r="E85" s="162"/>
      <c r="F85" s="160"/>
      <c r="G85" s="163"/>
      <c r="H85" s="164"/>
      <c r="I85" s="165"/>
      <c r="J85" s="163"/>
      <c r="K85" s="166"/>
      <c r="L85" s="160"/>
      <c r="M85" s="161"/>
      <c r="N85" s="161"/>
      <c r="O85" s="162"/>
      <c r="P85" s="160"/>
      <c r="Q85" s="163"/>
      <c r="R85" s="164"/>
      <c r="S85" s="165"/>
    </row>
    <row r="86" spans="2:19" x14ac:dyDescent="0.25">
      <c r="B86" s="160"/>
      <c r="C86" s="161"/>
      <c r="D86" s="161"/>
      <c r="E86" s="162"/>
      <c r="F86" s="160"/>
      <c r="G86" s="163"/>
      <c r="H86" s="164"/>
      <c r="I86" s="165"/>
      <c r="J86" s="163"/>
      <c r="K86" s="166"/>
      <c r="L86" s="160"/>
      <c r="M86" s="161"/>
      <c r="N86" s="161"/>
      <c r="O86" s="162"/>
      <c r="P86" s="160"/>
      <c r="Q86" s="163"/>
      <c r="R86" s="164"/>
      <c r="S86" s="165"/>
    </row>
    <row r="87" spans="2:19" x14ac:dyDescent="0.25">
      <c r="B87" s="160"/>
      <c r="C87" s="161"/>
      <c r="D87" s="161"/>
      <c r="E87" s="162"/>
      <c r="F87" s="160"/>
      <c r="G87" s="163"/>
      <c r="H87" s="164"/>
      <c r="I87" s="165"/>
      <c r="J87" s="163"/>
      <c r="K87" s="166"/>
      <c r="L87" s="160"/>
      <c r="M87" s="161"/>
      <c r="N87" s="161"/>
      <c r="O87" s="162"/>
      <c r="P87" s="160"/>
      <c r="Q87" s="163"/>
      <c r="R87" s="164"/>
      <c r="S87" s="165"/>
    </row>
    <row r="88" spans="2:19" x14ac:dyDescent="0.25">
      <c r="B88" s="160"/>
      <c r="C88" s="161"/>
      <c r="D88" s="161"/>
      <c r="E88" s="162"/>
      <c r="F88" s="160"/>
      <c r="G88" s="163"/>
      <c r="H88" s="164"/>
      <c r="I88" s="165"/>
      <c r="J88" s="163"/>
      <c r="K88" s="166"/>
      <c r="L88" s="160"/>
      <c r="M88" s="161"/>
      <c r="N88" s="161"/>
      <c r="O88" s="162"/>
      <c r="P88" s="160"/>
      <c r="Q88" s="163"/>
      <c r="R88" s="164"/>
      <c r="S88" s="165"/>
    </row>
    <row r="89" spans="2:19" x14ac:dyDescent="0.25">
      <c r="B89" s="160"/>
      <c r="C89" s="161"/>
      <c r="D89" s="161"/>
      <c r="E89" s="162"/>
      <c r="F89" s="160"/>
      <c r="G89" s="163"/>
      <c r="H89" s="164"/>
      <c r="I89" s="165"/>
      <c r="J89" s="163"/>
      <c r="K89" s="166"/>
      <c r="L89" s="160"/>
      <c r="M89" s="161"/>
      <c r="N89" s="161"/>
      <c r="O89" s="162"/>
      <c r="P89" s="160"/>
      <c r="Q89" s="163"/>
      <c r="R89" s="164"/>
      <c r="S89" s="165"/>
    </row>
    <row r="90" spans="2:19" x14ac:dyDescent="0.25">
      <c r="B90" s="160"/>
      <c r="C90" s="161"/>
      <c r="D90" s="161"/>
      <c r="E90" s="162"/>
      <c r="F90" s="160"/>
      <c r="G90" s="163"/>
      <c r="H90" s="164"/>
      <c r="I90" s="165"/>
      <c r="J90" s="163"/>
      <c r="K90" s="166"/>
      <c r="L90" s="160"/>
      <c r="M90" s="161"/>
      <c r="N90" s="161"/>
      <c r="O90" s="162"/>
      <c r="P90" s="160"/>
      <c r="Q90" s="163"/>
      <c r="R90" s="164"/>
      <c r="S90" s="165"/>
    </row>
    <row r="91" spans="2:19" x14ac:dyDescent="0.25">
      <c r="B91" s="160"/>
      <c r="C91" s="161"/>
      <c r="D91" s="161"/>
      <c r="E91" s="162"/>
      <c r="F91" s="160"/>
      <c r="G91" s="163"/>
      <c r="H91" s="164"/>
      <c r="I91" s="165"/>
      <c r="J91" s="163"/>
      <c r="K91" s="166"/>
      <c r="L91" s="160"/>
      <c r="M91" s="161"/>
      <c r="N91" s="161"/>
      <c r="O91" s="162"/>
      <c r="P91" s="160"/>
      <c r="Q91" s="163"/>
      <c r="R91" s="164"/>
      <c r="S91" s="165"/>
    </row>
    <row r="92" spans="2:19" x14ac:dyDescent="0.25">
      <c r="B92" s="160"/>
      <c r="C92" s="161"/>
      <c r="D92" s="161"/>
      <c r="E92" s="162"/>
      <c r="F92" s="160"/>
      <c r="G92" s="163"/>
      <c r="H92" s="164"/>
      <c r="I92" s="165"/>
      <c r="J92" s="163"/>
      <c r="K92" s="166"/>
      <c r="L92" s="160"/>
      <c r="M92" s="161"/>
      <c r="N92" s="161"/>
      <c r="O92" s="162"/>
      <c r="P92" s="160"/>
      <c r="Q92" s="163"/>
      <c r="R92" s="164"/>
      <c r="S92" s="165"/>
    </row>
    <row r="93" spans="2:19" x14ac:dyDescent="0.25">
      <c r="B93" s="160"/>
      <c r="C93" s="161"/>
      <c r="D93" s="161"/>
      <c r="E93" s="162"/>
      <c r="F93" s="160"/>
      <c r="G93" s="163"/>
      <c r="H93" s="164"/>
      <c r="I93" s="165"/>
      <c r="J93" s="163"/>
      <c r="K93" s="166"/>
      <c r="L93" s="160"/>
      <c r="M93" s="161"/>
      <c r="N93" s="161"/>
      <c r="O93" s="162"/>
      <c r="P93" s="160"/>
      <c r="Q93" s="163"/>
      <c r="R93" s="164"/>
      <c r="S93" s="165"/>
    </row>
    <row r="94" spans="2:19" x14ac:dyDescent="0.25">
      <c r="B94" s="160"/>
      <c r="C94" s="161"/>
      <c r="D94" s="161"/>
      <c r="E94" s="162"/>
      <c r="F94" s="160"/>
      <c r="G94" s="163"/>
      <c r="H94" s="164"/>
      <c r="I94" s="165"/>
      <c r="J94" s="163"/>
      <c r="K94" s="166"/>
      <c r="L94" s="160"/>
      <c r="M94" s="161"/>
      <c r="N94" s="161"/>
      <c r="O94" s="162"/>
      <c r="P94" s="160"/>
      <c r="Q94" s="163"/>
      <c r="R94" s="164"/>
      <c r="S94" s="165"/>
    </row>
    <row r="95" spans="2:19" x14ac:dyDescent="0.25">
      <c r="B95" s="160"/>
      <c r="C95" s="161"/>
      <c r="D95" s="161"/>
      <c r="E95" s="162"/>
      <c r="F95" s="160"/>
      <c r="G95" s="163"/>
      <c r="H95" s="164"/>
      <c r="I95" s="165"/>
      <c r="J95" s="163"/>
      <c r="K95" s="166"/>
      <c r="L95" s="160"/>
      <c r="M95" s="161"/>
      <c r="N95" s="161"/>
      <c r="O95" s="162"/>
      <c r="P95" s="160"/>
      <c r="Q95" s="163"/>
      <c r="R95" s="164"/>
      <c r="S95" s="165"/>
    </row>
    <row r="96" spans="2:19" x14ac:dyDescent="0.25">
      <c r="B96" s="160"/>
      <c r="C96" s="161"/>
      <c r="D96" s="161"/>
      <c r="E96" s="162"/>
      <c r="F96" s="160"/>
      <c r="G96" s="163"/>
      <c r="H96" s="164"/>
      <c r="I96" s="165"/>
      <c r="J96" s="163"/>
      <c r="K96" s="166"/>
      <c r="L96" s="160"/>
      <c r="M96" s="161"/>
      <c r="N96" s="161"/>
      <c r="O96" s="162"/>
      <c r="P96" s="160"/>
      <c r="Q96" s="163"/>
      <c r="R96" s="164"/>
      <c r="S96" s="165"/>
    </row>
    <row r="97" spans="2:19" x14ac:dyDescent="0.25">
      <c r="B97" s="160"/>
      <c r="C97" s="161"/>
      <c r="D97" s="161"/>
      <c r="E97" s="162"/>
      <c r="F97" s="160"/>
      <c r="G97" s="163"/>
      <c r="H97" s="164"/>
      <c r="I97" s="165"/>
      <c r="J97" s="163"/>
      <c r="K97" s="166"/>
      <c r="L97" s="160"/>
      <c r="M97" s="161"/>
      <c r="N97" s="161"/>
      <c r="O97" s="162"/>
      <c r="P97" s="160"/>
      <c r="Q97" s="163"/>
      <c r="R97" s="164"/>
      <c r="S97" s="165"/>
    </row>
    <row r="98" spans="2:19" x14ac:dyDescent="0.25">
      <c r="B98" s="160"/>
      <c r="C98" s="161"/>
      <c r="D98" s="161"/>
      <c r="E98" s="162"/>
      <c r="F98" s="160"/>
      <c r="G98" s="163"/>
      <c r="H98" s="164"/>
      <c r="I98" s="165"/>
      <c r="J98" s="163"/>
      <c r="K98" s="166"/>
      <c r="L98" s="160"/>
      <c r="M98" s="161"/>
      <c r="N98" s="161"/>
      <c r="O98" s="162"/>
      <c r="P98" s="160"/>
      <c r="Q98" s="163"/>
      <c r="R98" s="164"/>
      <c r="S98" s="165"/>
    </row>
    <row r="99" spans="2:19" x14ac:dyDescent="0.25">
      <c r="B99" s="160"/>
      <c r="C99" s="161"/>
      <c r="D99" s="161"/>
      <c r="E99" s="162"/>
      <c r="F99" s="160"/>
      <c r="G99" s="163"/>
      <c r="H99" s="164"/>
      <c r="I99" s="165"/>
      <c r="J99" s="163"/>
      <c r="K99" s="166"/>
      <c r="L99" s="160"/>
      <c r="M99" s="161"/>
      <c r="N99" s="161"/>
      <c r="O99" s="162"/>
      <c r="P99" s="160"/>
      <c r="Q99" s="163"/>
      <c r="R99" s="164"/>
      <c r="S99" s="165"/>
    </row>
    <row r="100" spans="2:19" x14ac:dyDescent="0.25">
      <c r="B100" s="160"/>
      <c r="C100" s="161"/>
      <c r="D100" s="161"/>
      <c r="E100" s="162"/>
      <c r="F100" s="160"/>
      <c r="G100" s="163"/>
      <c r="H100" s="164"/>
      <c r="I100" s="165"/>
      <c r="J100" s="163"/>
      <c r="K100" s="166"/>
      <c r="L100" s="160"/>
      <c r="M100" s="161"/>
      <c r="N100" s="161"/>
      <c r="O100" s="162"/>
      <c r="P100" s="160"/>
      <c r="Q100" s="163"/>
      <c r="R100" s="164"/>
      <c r="S100" s="165"/>
    </row>
    <row r="101" spans="2:19" x14ac:dyDescent="0.25">
      <c r="B101" s="160"/>
      <c r="C101" s="161"/>
      <c r="D101" s="161"/>
      <c r="E101" s="162"/>
      <c r="F101" s="160"/>
      <c r="G101" s="163"/>
      <c r="H101" s="164"/>
      <c r="I101" s="165"/>
      <c r="J101" s="163"/>
      <c r="K101" s="166"/>
      <c r="L101" s="160"/>
      <c r="M101" s="161"/>
      <c r="N101" s="161"/>
      <c r="O101" s="162"/>
      <c r="P101" s="160"/>
      <c r="Q101" s="163"/>
      <c r="R101" s="164"/>
      <c r="S101" s="165"/>
    </row>
    <row r="102" spans="2:19" x14ac:dyDescent="0.25">
      <c r="B102" s="160"/>
      <c r="C102" s="161"/>
      <c r="D102" s="161"/>
      <c r="E102" s="162"/>
      <c r="F102" s="160"/>
      <c r="G102" s="163"/>
      <c r="H102" s="164"/>
      <c r="I102" s="165"/>
      <c r="J102" s="163"/>
      <c r="K102" s="166"/>
      <c r="L102" s="160"/>
      <c r="M102" s="161"/>
      <c r="N102" s="161"/>
      <c r="O102" s="162"/>
      <c r="P102" s="160"/>
      <c r="Q102" s="163"/>
      <c r="R102" s="164"/>
      <c r="S102" s="165"/>
    </row>
    <row r="103" spans="2:19" x14ac:dyDescent="0.25">
      <c r="B103" s="160"/>
      <c r="C103" s="161"/>
      <c r="D103" s="161"/>
      <c r="E103" s="162"/>
      <c r="F103" s="160"/>
      <c r="G103" s="163"/>
      <c r="H103" s="167"/>
      <c r="I103" s="168"/>
      <c r="J103" s="163"/>
      <c r="K103" s="166"/>
      <c r="L103" s="160"/>
      <c r="M103" s="161"/>
      <c r="N103" s="161"/>
      <c r="O103" s="162"/>
      <c r="P103" s="160"/>
      <c r="Q103" s="163"/>
      <c r="R103" s="167"/>
      <c r="S103" s="168"/>
    </row>
    <row r="104" spans="2:19" x14ac:dyDescent="0.25">
      <c r="K104" s="20"/>
    </row>
  </sheetData>
  <sheetProtection algorithmName="SHA-512" hashValue="DRUQ4AB1EcF/NnkZ99g//Mj/YmANYIIpo4IiRug0Hp0Fz5a3o19ImEDX8F/dQYYkQWR/P4O5C4VLdUcWX/JJFw==" saltValue="CVLtsfdZHfKBtac3jKbwnQ==" spinCount="100000"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2D0753-0A8F-4E76-B6BA-D0D67A7CABC2}">
  <sheetPr codeName="Sheet1">
    <tabColor theme="6"/>
  </sheetPr>
  <dimension ref="A1:CT125"/>
  <sheetViews>
    <sheetView showGridLines="0" workbookViewId="0">
      <selection activeCell="F11" sqref="F11:F14"/>
    </sheetView>
  </sheetViews>
  <sheetFormatPr defaultColWidth="0" defaultRowHeight="15" zeroHeight="1" x14ac:dyDescent="0.25"/>
  <cols>
    <col min="1" max="1" width="2.85546875" hidden="1" customWidth="1"/>
    <col min="2" max="6" width="14.28515625" hidden="1" customWidth="1"/>
    <col min="7" max="8" width="2.85546875" hidden="1" customWidth="1"/>
    <col min="9" max="9" width="19.28515625" style="3" hidden="1" customWidth="1"/>
    <col min="10" max="13" width="12.85546875" style="3" hidden="1" customWidth="1"/>
    <col min="14" max="14" width="18.7109375" style="3" hidden="1" customWidth="1"/>
    <col min="15" max="17" width="14.28515625" style="3" hidden="1" customWidth="1"/>
    <col min="18" max="18" width="9.85546875" style="3" hidden="1" customWidth="1"/>
    <col min="19" max="19" width="2.85546875" style="3" hidden="1" customWidth="1"/>
    <col min="20" max="21" width="18.7109375" style="21" hidden="1" customWidth="1"/>
    <col min="22" max="22" width="2.85546875" style="3" hidden="1" customWidth="1"/>
    <col min="23" max="24" width="18.7109375" style="21" hidden="1" customWidth="1"/>
    <col min="25" max="25" width="2.85546875" style="21" hidden="1" customWidth="1"/>
    <col min="26" max="26" width="2.85546875" hidden="1" customWidth="1"/>
    <col min="27" max="27" width="19.28515625" style="3" hidden="1" customWidth="1"/>
    <col min="28" max="31" width="12.85546875" style="3" hidden="1" customWidth="1"/>
    <col min="32" max="32" width="18.7109375" style="3" hidden="1" customWidth="1"/>
    <col min="33" max="35" width="14.28515625" style="3" hidden="1" customWidth="1"/>
    <col min="36" max="36" width="9.85546875" style="3" hidden="1" customWidth="1"/>
    <col min="37" max="37" width="2.85546875" style="3" hidden="1" customWidth="1"/>
    <col min="38" max="39" width="18.7109375" style="21" hidden="1" customWidth="1"/>
    <col min="40" max="40" width="2.85546875" style="3" hidden="1" customWidth="1"/>
    <col min="41" max="42" width="18.7109375" style="21" hidden="1" customWidth="1"/>
    <col min="43" max="43" width="2.85546875" style="21" hidden="1" customWidth="1"/>
    <col min="44" max="44" width="2.85546875" hidden="1" customWidth="1"/>
    <col min="45" max="45" width="19.28515625" style="3" hidden="1" customWidth="1"/>
    <col min="46" max="49" width="12.85546875" style="3" hidden="1" customWidth="1"/>
    <col min="50" max="50" width="18.7109375" style="3" hidden="1" customWidth="1"/>
    <col min="51" max="53" width="14.28515625" style="3" hidden="1" customWidth="1"/>
    <col min="54" max="54" width="9.85546875" style="3" hidden="1" customWidth="1"/>
    <col min="55" max="55" width="2.85546875" style="3" hidden="1" customWidth="1"/>
    <col min="56" max="57" width="18.7109375" style="21" hidden="1" customWidth="1"/>
    <col min="58" max="58" width="2.85546875" style="3" hidden="1" customWidth="1"/>
    <col min="59" max="60" width="18.7109375" style="21" hidden="1" customWidth="1"/>
    <col min="61" max="61" width="2.85546875" style="21" hidden="1" customWidth="1"/>
    <col min="62" max="62" width="2.85546875" hidden="1" customWidth="1"/>
    <col min="63" max="63" width="19.28515625" style="3" hidden="1" customWidth="1"/>
    <col min="64" max="67" width="12.85546875" style="3" hidden="1" customWidth="1"/>
    <col min="68" max="68" width="18.7109375" style="3" hidden="1" customWidth="1"/>
    <col min="69" max="71" width="14.28515625" style="3" hidden="1" customWidth="1"/>
    <col min="72" max="72" width="9.85546875" style="3" hidden="1" customWidth="1"/>
    <col min="73" max="73" width="2.85546875" style="3" hidden="1" customWidth="1"/>
    <col min="74" max="75" width="18.7109375" style="21" hidden="1" customWidth="1"/>
    <col min="76" max="76" width="2.85546875" style="3" hidden="1" customWidth="1"/>
    <col min="77" max="78" width="18.7109375" style="21" hidden="1" customWidth="1"/>
    <col min="79" max="79" width="2.85546875" style="21" hidden="1" customWidth="1"/>
    <col min="80" max="80" width="2.85546875" hidden="1" customWidth="1"/>
    <col min="81" max="81" width="19.28515625" style="3" hidden="1" customWidth="1"/>
    <col min="82" max="85" width="12.85546875" style="3" hidden="1" customWidth="1"/>
    <col min="86" max="86" width="18.7109375" style="3" hidden="1" customWidth="1"/>
    <col min="87" max="89" width="14.28515625" style="3" hidden="1" customWidth="1"/>
    <col min="90" max="90" width="9.85546875" style="3" hidden="1" customWidth="1"/>
    <col min="91" max="91" width="2.85546875" style="3" hidden="1" customWidth="1"/>
    <col min="92" max="93" width="18.7109375" style="21" hidden="1" customWidth="1"/>
    <col min="94" max="94" width="2.85546875" style="3" hidden="1" customWidth="1"/>
    <col min="95" max="96" width="18.7109375" style="21" hidden="1" customWidth="1"/>
    <col min="97" max="97" width="2.85546875" hidden="1" customWidth="1"/>
    <col min="98" max="98" width="0" hidden="1" customWidth="1"/>
    <col min="99" max="16384" width="9.140625" hidden="1"/>
  </cols>
  <sheetData>
    <row r="1" spans="2:96" x14ac:dyDescent="0.25">
      <c r="G1" s="28"/>
      <c r="I1" s="6"/>
      <c r="J1" s="6"/>
      <c r="P1" s="17"/>
      <c r="T1" s="15"/>
      <c r="U1" s="15"/>
      <c r="W1" s="15"/>
      <c r="X1" s="15"/>
      <c r="Y1" s="15"/>
      <c r="Z1" s="20"/>
      <c r="AA1" s="6"/>
      <c r="AB1" s="71"/>
      <c r="AC1" s="4"/>
      <c r="AD1" s="72"/>
      <c r="AE1" s="73"/>
      <c r="AF1" s="15"/>
      <c r="AG1" s="16"/>
      <c r="AH1" s="16"/>
      <c r="AI1" s="16"/>
      <c r="AJ1" s="5"/>
      <c r="AL1" s="15"/>
      <c r="AQ1" s="15"/>
      <c r="AR1" s="20"/>
      <c r="AS1" s="6"/>
      <c r="AT1" s="6"/>
      <c r="AZ1" s="17"/>
      <c r="BD1" s="15"/>
      <c r="BI1" s="15"/>
      <c r="BJ1" s="20"/>
      <c r="BK1" s="6"/>
      <c r="BL1" s="6"/>
      <c r="BR1" s="17"/>
      <c r="BV1" s="15"/>
      <c r="CA1" s="15"/>
      <c r="CB1" s="20"/>
      <c r="CC1" s="6"/>
      <c r="CD1" s="6"/>
      <c r="CJ1" s="17"/>
      <c r="CN1" s="15"/>
    </row>
    <row r="2" spans="2:96" x14ac:dyDescent="0.25">
      <c r="B2" s="27" t="s">
        <v>42</v>
      </c>
      <c r="C2" s="11"/>
      <c r="D2" s="11"/>
      <c r="E2" s="11"/>
      <c r="F2" s="11"/>
      <c r="G2" s="77"/>
      <c r="I2" s="27" t="s">
        <v>41</v>
      </c>
      <c r="J2" s="37"/>
      <c r="K2" s="37"/>
      <c r="L2" s="37"/>
      <c r="M2" s="37"/>
      <c r="N2" s="37"/>
      <c r="O2" s="37"/>
      <c r="P2" s="37"/>
      <c r="Q2" s="37"/>
      <c r="R2" s="37"/>
      <c r="S2" s="37"/>
      <c r="T2" s="38"/>
      <c r="U2" s="38"/>
      <c r="V2" s="37"/>
      <c r="W2" s="38"/>
      <c r="X2" s="38"/>
      <c r="Y2" s="15"/>
      <c r="Z2" s="20"/>
      <c r="AA2" s="27" t="str">
        <f>"GRID PRICING "&amp;TEXT('Adjustment Surface'!B15,"0.00%")</f>
        <v>GRID PRICING 3.00%</v>
      </c>
      <c r="AB2" s="39"/>
      <c r="AC2" s="39"/>
      <c r="AD2" s="40"/>
      <c r="AE2" s="41"/>
      <c r="AF2" s="38"/>
      <c r="AG2" s="42"/>
      <c r="AH2" s="43"/>
      <c r="AI2" s="43"/>
      <c r="AJ2" s="41"/>
      <c r="AK2" s="37"/>
      <c r="AL2" s="38"/>
      <c r="AM2" s="38"/>
      <c r="AN2" s="37"/>
      <c r="AO2" s="38"/>
      <c r="AP2" s="38"/>
      <c r="AQ2" s="15"/>
      <c r="AR2" s="20"/>
      <c r="AS2" s="27" t="str">
        <f>"GRID PRICING "&amp;TEXT('Adjustment Surface'!B16,"0.00%")</f>
        <v>GRID PRICING 4.00%</v>
      </c>
      <c r="AT2" s="37"/>
      <c r="AU2" s="37"/>
      <c r="AV2" s="37"/>
      <c r="AW2" s="37"/>
      <c r="AX2" s="37"/>
      <c r="AY2" s="37"/>
      <c r="AZ2" s="37"/>
      <c r="BA2" s="37"/>
      <c r="BB2" s="37"/>
      <c r="BC2" s="37"/>
      <c r="BD2" s="38"/>
      <c r="BE2" s="38"/>
      <c r="BF2" s="37"/>
      <c r="BG2" s="38"/>
      <c r="BH2" s="38"/>
      <c r="BI2" s="15"/>
      <c r="BJ2" s="20"/>
      <c r="BK2" s="27" t="str">
        <f>"GRID PRICING "&amp;TEXT('Adjustment Surface'!B17,"0.00%")</f>
        <v>GRID PRICING 5.00%</v>
      </c>
      <c r="BL2" s="37"/>
      <c r="BM2" s="37"/>
      <c r="BN2" s="37"/>
      <c r="BO2" s="37"/>
      <c r="BP2" s="37"/>
      <c r="BQ2" s="37"/>
      <c r="BR2" s="37"/>
      <c r="BS2" s="37"/>
      <c r="BT2" s="37"/>
      <c r="BU2" s="37"/>
      <c r="BV2" s="38"/>
      <c r="BW2" s="38"/>
      <c r="BX2" s="37"/>
      <c r="BY2" s="38"/>
      <c r="BZ2" s="38"/>
      <c r="CA2" s="15"/>
      <c r="CB2" s="20"/>
      <c r="CC2" s="27" t="str">
        <f>"GRID PRICING "&amp;TEXT('Adjustment Surface'!B18,"0.00%")</f>
        <v>GRID PRICING 6.00%</v>
      </c>
      <c r="CD2" s="37"/>
      <c r="CE2" s="37"/>
      <c r="CF2" s="37"/>
      <c r="CG2" s="37"/>
      <c r="CH2" s="37"/>
      <c r="CI2" s="37"/>
      <c r="CJ2" s="37"/>
      <c r="CK2" s="37"/>
      <c r="CL2" s="37"/>
      <c r="CM2" s="37"/>
      <c r="CN2" s="38"/>
      <c r="CO2" s="38"/>
      <c r="CP2" s="37"/>
      <c r="CQ2" s="38"/>
      <c r="CR2" s="38"/>
    </row>
    <row r="3" spans="2:96" x14ac:dyDescent="0.25">
      <c r="B3" s="12" t="s">
        <v>6</v>
      </c>
      <c r="C3" s="4">
        <f>C10</f>
        <v>46429</v>
      </c>
      <c r="D3" s="4">
        <f t="shared" ref="D3:F3" si="0">D10</f>
        <v>46794</v>
      </c>
      <c r="E3" s="4">
        <f t="shared" si="0"/>
        <v>47160</v>
      </c>
      <c r="F3" s="4">
        <f t="shared" si="0"/>
        <v>47525</v>
      </c>
      <c r="G3" s="78"/>
      <c r="I3" s="7" t="s">
        <v>0</v>
      </c>
      <c r="J3" s="7" t="s">
        <v>1</v>
      </c>
      <c r="K3" s="7" t="s">
        <v>2</v>
      </c>
      <c r="L3" s="7" t="s">
        <v>3</v>
      </c>
      <c r="M3" s="7" t="s">
        <v>4</v>
      </c>
      <c r="N3" s="7" t="s">
        <v>5</v>
      </c>
      <c r="O3" s="7" t="s">
        <v>6</v>
      </c>
      <c r="P3" s="7" t="s">
        <v>7</v>
      </c>
      <c r="Q3" s="7" t="s">
        <v>8</v>
      </c>
      <c r="R3" s="7" t="s">
        <v>13</v>
      </c>
      <c r="S3" s="8"/>
      <c r="T3" s="18" t="str">
        <f>IF('Adjustment Surface'!C2='Data Validation'!$A$2,'Data Validation'!$B$2,IF('Adjustment Surface'!C2='Data Validation'!$A$3,'Data Validation'!$B$3,"Unknown Option Type"))</f>
        <v>Caplet</v>
      </c>
      <c r="U3" s="18" t="s">
        <v>11</v>
      </c>
      <c r="V3" s="8"/>
      <c r="W3" s="18" t="s">
        <v>10</v>
      </c>
      <c r="X3" s="18" t="s">
        <v>12</v>
      </c>
      <c r="Y3" s="19"/>
      <c r="Z3" s="20"/>
      <c r="AA3" s="7" t="s">
        <v>0</v>
      </c>
      <c r="AB3" s="7" t="s">
        <v>1</v>
      </c>
      <c r="AC3" s="7" t="s">
        <v>2</v>
      </c>
      <c r="AD3" s="7" t="s">
        <v>3</v>
      </c>
      <c r="AE3" s="7" t="s">
        <v>4</v>
      </c>
      <c r="AF3" s="7" t="s">
        <v>5</v>
      </c>
      <c r="AG3" s="7" t="s">
        <v>6</v>
      </c>
      <c r="AH3" s="7" t="s">
        <v>7</v>
      </c>
      <c r="AI3" s="7" t="s">
        <v>8</v>
      </c>
      <c r="AJ3" s="7" t="s">
        <v>13</v>
      </c>
      <c r="AK3" s="8"/>
      <c r="AL3" s="18" t="str">
        <f>IF('Adjustment Surface'!$C$2='Data Validation'!$A$2,'Data Validation'!$B$2,IF('Adjustment Surface'!$C$2='Data Validation'!$A$3,'Data Validation'!$B$3,"Unknown Option Type"))</f>
        <v>Caplet</v>
      </c>
      <c r="AM3" s="18" t="s">
        <v>11</v>
      </c>
      <c r="AN3" s="8"/>
      <c r="AO3" s="18" t="s">
        <v>10</v>
      </c>
      <c r="AP3" s="18" t="s">
        <v>12</v>
      </c>
      <c r="AQ3" s="19"/>
      <c r="AR3" s="20"/>
      <c r="AS3" s="7" t="s">
        <v>0</v>
      </c>
      <c r="AT3" s="7" t="s">
        <v>1</v>
      </c>
      <c r="AU3" s="7" t="s">
        <v>2</v>
      </c>
      <c r="AV3" s="7" t="s">
        <v>3</v>
      </c>
      <c r="AW3" s="7" t="s">
        <v>4</v>
      </c>
      <c r="AX3" s="7" t="s">
        <v>5</v>
      </c>
      <c r="AY3" s="7" t="s">
        <v>6</v>
      </c>
      <c r="AZ3" s="7" t="s">
        <v>7</v>
      </c>
      <c r="BA3" s="7" t="s">
        <v>8</v>
      </c>
      <c r="BB3" s="7" t="s">
        <v>13</v>
      </c>
      <c r="BC3" s="8"/>
      <c r="BD3" s="18" t="str">
        <f>IF('Adjustment Surface'!$C$2='Data Validation'!$A$2,'Data Validation'!$B$2,IF('Adjustment Surface'!$C$2='Data Validation'!$A$3,'Data Validation'!$B$3,"Unknown Option Type"))</f>
        <v>Caplet</v>
      </c>
      <c r="BE3" s="18" t="s">
        <v>11</v>
      </c>
      <c r="BF3" s="8"/>
      <c r="BG3" s="18" t="s">
        <v>10</v>
      </c>
      <c r="BH3" s="18" t="s">
        <v>12</v>
      </c>
      <c r="BI3" s="19"/>
      <c r="BJ3" s="20"/>
      <c r="BK3" s="7" t="s">
        <v>0</v>
      </c>
      <c r="BL3" s="7" t="s">
        <v>1</v>
      </c>
      <c r="BM3" s="7" t="s">
        <v>2</v>
      </c>
      <c r="BN3" s="7" t="s">
        <v>3</v>
      </c>
      <c r="BO3" s="7" t="s">
        <v>4</v>
      </c>
      <c r="BP3" s="7" t="s">
        <v>5</v>
      </c>
      <c r="BQ3" s="7" t="s">
        <v>6</v>
      </c>
      <c r="BR3" s="7" t="s">
        <v>7</v>
      </c>
      <c r="BS3" s="7" t="s">
        <v>8</v>
      </c>
      <c r="BT3" s="7" t="s">
        <v>13</v>
      </c>
      <c r="BU3" s="8"/>
      <c r="BV3" s="18" t="str">
        <f>IF('Adjustment Surface'!$C$2='Data Validation'!$A$2,'Data Validation'!$B$2,IF('Adjustment Surface'!$C$2='Data Validation'!$A$3,'Data Validation'!$B$3,"Unknown Option Type"))</f>
        <v>Caplet</v>
      </c>
      <c r="BW3" s="18" t="s">
        <v>11</v>
      </c>
      <c r="BX3" s="8"/>
      <c r="BY3" s="18" t="s">
        <v>10</v>
      </c>
      <c r="BZ3" s="18" t="s">
        <v>12</v>
      </c>
      <c r="CA3" s="19"/>
      <c r="CB3" s="20"/>
      <c r="CC3" s="7" t="s">
        <v>0</v>
      </c>
      <c r="CD3" s="7" t="s">
        <v>1</v>
      </c>
      <c r="CE3" s="7" t="s">
        <v>2</v>
      </c>
      <c r="CF3" s="7" t="s">
        <v>3</v>
      </c>
      <c r="CG3" s="7" t="s">
        <v>4</v>
      </c>
      <c r="CH3" s="7" t="s">
        <v>5</v>
      </c>
      <c r="CI3" s="7" t="s">
        <v>6</v>
      </c>
      <c r="CJ3" s="7" t="s">
        <v>7</v>
      </c>
      <c r="CK3" s="7" t="s">
        <v>8</v>
      </c>
      <c r="CL3" s="7" t="s">
        <v>13</v>
      </c>
      <c r="CM3" s="8"/>
      <c r="CN3" s="18" t="str">
        <f>IF('Adjustment Surface'!$C$2='Data Validation'!$A$2,'Data Validation'!$B$2,IF('Adjustment Surface'!$C$2='Data Validation'!$A$3,'Data Validation'!$B$3,"Unknown Option Type"))</f>
        <v>Caplet</v>
      </c>
      <c r="CO3" s="18" t="s">
        <v>11</v>
      </c>
      <c r="CP3" s="8"/>
      <c r="CQ3" s="18" t="s">
        <v>10</v>
      </c>
      <c r="CR3" s="18" t="s">
        <v>12</v>
      </c>
    </row>
    <row r="4" spans="2:96" x14ac:dyDescent="0.25">
      <c r="B4" s="16">
        <f>B11</f>
        <v>0.03</v>
      </c>
      <c r="C4" s="21">
        <f>INDEX(AM4:AM124,MATCH(INDEX(AC4:AC124,MATCH('Adjustment Surface'!C14,AC4:AC124,1)),AC4:AC124,0))+((((IF('Adjustment Surface'!$C$2='Data Validation'!$A$2,INDEX(AH4:AH124,MATCH(INDEX(AC4:AC124,MATCH('Adjustment Surface'!C14,AC4:AC124,1)),AB4:AB124,1)),IF('Adjustment Surface'!$C$2='Data Validation'!$A$3,INDEX(AG4:AG124,MATCH(INDEX(AC4:AC124,MATCH('Adjustment Surface'!C14,AC4:AC124,1)),AB4:AB124,1)),"Unknown Option Type"))-IF('Adjustment Surface'!$C$2='Data Validation'!$A$2,INDEX(AG4:AG124,MATCH(INDEX(AC4:AC124,MATCH('Adjustment Surface'!C14,AC4:AC124,1)),AB4:AB124,1)),IF('Adjustment Surface'!$C$2='Data Validation'!$A$3,INDEX(AH4:AH124,MATCH(INDEX(AC4:AC124,MATCH('Adjustment Surface'!C14,AC4:AC124,1)),AB4:AB124,1)),"Unknown Option Type")))*(NORMDIST((IF('Adjustment Surface'!$C$2='Data Validation'!$A$2,INDEX(AH4:AH124,MATCH(INDEX(AC4:AC124,MATCH('Adjustment Surface'!C14,AC4:AC124,1)),AB4:AB124,1)),IF('Adjustment Surface'!$C$2='Data Validation'!$A$3,INDEX(AG4:AG124,MATCH(INDEX(AC4:AC124,MATCH('Adjustment Surface'!C14,AC4:AC124,1)),AB4:AB124,1)),"Unknown Option Type"))-IF('Adjustment Surface'!$C$2='Data Validation'!$A$2,INDEX(AG4:AG124,MATCH(INDEX(AC4:AC124,MATCH('Adjustment Surface'!C14,AC4:AC124,1)),AB4:AB124,1)),IF('Adjustment Surface'!$C$2='Data Validation'!$A$3,INDEX(AH4:AH124,MATCH(INDEX(AC4:AC124,MATCH('Adjustment Surface'!C14,AC4:AC124,1)),AB4:AB124,1)),"Unknown Option Type")))/(INDEX(AI4:AI124,MATCH(INDEX(AC4:AC124,MATCH('Adjustment Surface'!C14,AC4:AC124,1)),AB4:AB124,1))*SQRT(((('Adjustment Surface'!C14-INDEX(AC4:AC124,MATCH('Adjustment Surface'!C14,AC4:AC124,1)))/360)+INDEX(AE4:AE124,MATCH(INDEX(AC4:AC124,MATCH('Adjustment Surface'!C14,AC4:AC124,1)),AC4:AC124,0))))),0,1,TRUE)))+((INDEX(AI4:AI124,MATCH(INDEX(AC4:AC124,MATCH('Adjustment Surface'!C14,AC4:AC124,1)),AB4:AB124,1))*SQRT(((('Adjustment Surface'!C14-INDEX(AC4:AC124,MATCH('Adjustment Surface'!C14,AC4:AC124,1)))/360)+INDEX(AE4:AE124,MATCH(INDEX(AC4:AC124,MATCH('Adjustment Surface'!C14,AC4:AC124,1)),AC4:AC124,0)))))*(NORMDIST((IF('Adjustment Surface'!$C$2='Data Validation'!$A$2,INDEX(AH4:AH124,MATCH(INDEX(AC4:AC124,MATCH('Adjustment Surface'!C14,AC4:AC124,1)),AB4:AB124,1)),IF('Adjustment Surface'!$C$2='Data Validation'!$A$3,INDEX(AG4:AG124,MATCH(INDEX(AC4:AC124,MATCH('Adjustment Surface'!C14,AC4:AC124,1)),AB4:AB124,1)),"Unknown Option Type"))-IF('Adjustment Surface'!$C$2='Data Validation'!$A$2,INDEX(AG4:AG124,MATCH(INDEX(AC4:AC124,MATCH('Adjustment Surface'!C14,AC4:AC124,1)),AB4:AB124,1)),IF('Adjustment Surface'!$C$2='Data Validation'!$A$3,INDEX(AH4:AH124,MATCH(INDEX(AC4:AC124,MATCH('Adjustment Surface'!C14,AC4:AC124,1)),AB4:AB124,1)),"Unknown Option Type")))/(INDEX(AI4:AI124,MATCH(INDEX(AC4:AC124,MATCH('Adjustment Surface'!C14,AC4:AC124,1)),AB4:AB124,1))*SQRT(((('Adjustment Surface'!C14-INDEX(AC4:AC124,MATCH('Adjustment Surface'!C14,AC4:AC124,1)))/360)+INDEX(AE4:AE124,MATCH(INDEX(AC4:AC124,MATCH('Adjustment Surface'!C14,AC4:AC124,1)),AC4:AC124,0))))),0,1,FALSE))))*(1/((1+INDEX(AH4:AH124,MATCH(INDEX(AC4:AC124,MATCH('Adjustment Surface'!C14,AC4:AC124,1)),AB4:AB124,1)))^(('Adjustment Surface'!C14-AB4)/360)))*(('Adjustment Surface'!C14-INDEX(AC4:AC124,MATCH('Adjustment Surface'!C14,AC4:AC124,1)))/360)*INDEX(AF4:AF124,MATCH(INDEX(AC4:AC124,MATCH('Adjustment Surface'!C14,AC4:AC124,1)),AB4:AB124,1)))</f>
        <v>124523.8354512543</v>
      </c>
      <c r="D4" s="21">
        <f>INDEX(AM4:AM124,MATCH(INDEX(AC4:AC124,MATCH('Adjustment Surface'!D14,AC4:AC124,1)),AC4:AC124,0))+((((IF('Adjustment Surface'!$C$2='Data Validation'!$A$2,INDEX(AH4:AH124,MATCH(INDEX(AC4:AC124,MATCH('Adjustment Surface'!D14,AC4:AC124,1)),AB4:AB124,1)),IF('Adjustment Surface'!$C$2='Data Validation'!$A$3,INDEX(AG4:AG124,MATCH(INDEX(AC4:AC124,MATCH('Adjustment Surface'!D14,AC4:AC124,1)),AB4:AB124,1)),"Unknown Option Type"))-IF('Adjustment Surface'!$C$2='Data Validation'!$A$2,INDEX(AG4:AG124,MATCH(INDEX(AC4:AC124,MATCH('Adjustment Surface'!D14,AC4:AC124,1)),AB4:AB124,1)),IF('Adjustment Surface'!$C$2='Data Validation'!$A$3,INDEX(AH4:AH124,MATCH(INDEX(AC4:AC124,MATCH('Adjustment Surface'!D14,AC4:AC124,1)),AB4:AB124,1)),"Unknown Option Type")))*(NORMDIST((IF('Adjustment Surface'!$C$2='Data Validation'!$A$2,INDEX(AH4:AH124,MATCH(INDEX(AC4:AC124,MATCH('Adjustment Surface'!D14,AC4:AC124,1)),AB4:AB124,1)),IF('Adjustment Surface'!$C$2='Data Validation'!$A$3,INDEX(AG4:AG124,MATCH(INDEX(AC4:AC124,MATCH('Adjustment Surface'!D14,AC4:AC124,1)),AB4:AB124,1)),"Unknown Option Type"))-IF('Adjustment Surface'!$C$2='Data Validation'!$A$2,INDEX(AG4:AG124,MATCH(INDEX(AC4:AC124,MATCH('Adjustment Surface'!D14,AC4:AC124,1)),AB4:AB124,1)),IF('Adjustment Surface'!$C$2='Data Validation'!$A$3,INDEX(AH4:AH124,MATCH(INDEX(AC4:AC124,MATCH('Adjustment Surface'!D14,AC4:AC124,1)),AB4:AB124,1)),"Unknown Option Type")))/(INDEX(AI4:AI124,MATCH(INDEX(AC4:AC124,MATCH('Adjustment Surface'!D14,AC4:AC124,1)),AB4:AB124,1))*SQRT(((('Adjustment Surface'!D14-INDEX(AC4:AC124,MATCH('Adjustment Surface'!D14,AC4:AC124,1)))/360)+INDEX(AE4:AE124,MATCH(INDEX(AC4:AC124,MATCH('Adjustment Surface'!D14,AC4:AC124,1)),AC4:AC124,0))))),0,1,TRUE)))+((INDEX(AI4:AI124,MATCH(INDEX(AC4:AC124,MATCH('Adjustment Surface'!D14,AC4:AC124,1)),AB4:AB124,1))*SQRT(((('Adjustment Surface'!D14-INDEX(AC4:AC124,MATCH('Adjustment Surface'!D14,AC4:AC124,1)))/360)+INDEX(AE4:AE124,MATCH(INDEX(AC4:AC124,MATCH('Adjustment Surface'!D14,AC4:AC124,1)),AC4:AC124,0)))))*(NORMDIST((IF('Adjustment Surface'!$C$2='Data Validation'!$A$2,INDEX(AH4:AH124,MATCH(INDEX(AC4:AC124,MATCH('Adjustment Surface'!D14,AC4:AC124,1)),AB4:AB124,1)),IF('Adjustment Surface'!$C$2='Data Validation'!$A$3,INDEX(AG4:AG124,MATCH(INDEX(AC4:AC124,MATCH('Adjustment Surface'!D14,AC4:AC124,1)),AB4:AB124,1)),"Unknown Option Type"))-IF('Adjustment Surface'!$C$2='Data Validation'!$A$2,INDEX(AG4:AG124,MATCH(INDEX(AC4:AC124,MATCH('Adjustment Surface'!D14,AC4:AC124,1)),AB4:AB124,1)),IF('Adjustment Surface'!$C$2='Data Validation'!$A$3,INDEX(AH4:AH124,MATCH(INDEX(AC4:AC124,MATCH('Adjustment Surface'!D14,AC4:AC124,1)),AB4:AB124,1)),"Unknown Option Type")))/(INDEX(AI4:AI124,MATCH(INDEX(AC4:AC124,MATCH('Adjustment Surface'!D14,AC4:AC124,1)),AB4:AB124,1))*SQRT(((('Adjustment Surface'!D14-INDEX(AC4:AC124,MATCH('Adjustment Surface'!D14,AC4:AC124,1)))/360)+INDEX(AE4:AE124,MATCH(INDEX(AC4:AC124,MATCH('Adjustment Surface'!D14,AC4:AC124,1)),AC4:AC124,0))))),0,1,FALSE))))*(1/((1+INDEX(AH4:AH124,MATCH(INDEX(AC4:AC124,MATCH('Adjustment Surface'!D14,AC4:AC124,1)),AB4:AB124,1)))^(('Adjustment Surface'!D14-AB4)/360)))*(('Adjustment Surface'!D14-INDEX(AC4:AC124,MATCH('Adjustment Surface'!D14,AC4:AC124,1)))/360)*INDEX(AF4:AF124,MATCH(INDEX(AC4:AC124,MATCH('Adjustment Surface'!D14,AC4:AC124,1)),AB4:AB124,1)))</f>
        <v>242922.48032299263</v>
      </c>
      <c r="E4" s="21">
        <f>INDEX(AM4:AM124,MATCH(INDEX(AC4:AC124,MATCH('Adjustment Surface'!E14,AC4:AC124,1)),AC4:AC124,0))+((((IF('Adjustment Surface'!$C$2='Data Validation'!$A$2,INDEX(AH4:AH124,MATCH(INDEX(AC4:AC124,MATCH('Adjustment Surface'!E14,AC4:AC124,1)),AB4:AB124,1)),IF('Adjustment Surface'!$C$2='Data Validation'!$A$3,INDEX(AG4:AG124,MATCH(INDEX(AC4:AC124,MATCH('Adjustment Surface'!E14,AC4:AC124,1)),AB4:AB124,1)),"Unknown Option Type"))-IF('Adjustment Surface'!$C$2='Data Validation'!$A$2,INDEX(AG4:AG124,MATCH(INDEX(AC4:AC124,MATCH('Adjustment Surface'!E14,AC4:AC124,1)),AB4:AB124,1)),IF('Adjustment Surface'!$C$2='Data Validation'!$A$3,INDEX(AH4:AH124,MATCH(INDEX(AC4:AC124,MATCH('Adjustment Surface'!E14,AC4:AC124,1)),AB4:AB124,1)),"Unknown Option Type")))*(NORMDIST((IF('Adjustment Surface'!$C$2='Data Validation'!$A$2,INDEX(AH4:AH124,MATCH(INDEX(AC4:AC124,MATCH('Adjustment Surface'!E14,AC4:AC124,1)),AB4:AB124,1)),IF('Adjustment Surface'!$C$2='Data Validation'!$A$3,INDEX(AG4:AG124,MATCH(INDEX(AC4:AC124,MATCH('Adjustment Surface'!E14,AC4:AC124,1)),AB4:AB124,1)),"Unknown Option Type"))-IF('Adjustment Surface'!$C$2='Data Validation'!$A$2,INDEX(AG4:AG124,MATCH(INDEX(AC4:AC124,MATCH('Adjustment Surface'!E14,AC4:AC124,1)),AB4:AB124,1)),IF('Adjustment Surface'!$C$2='Data Validation'!$A$3,INDEX(AH4:AH124,MATCH(INDEX(AC4:AC124,MATCH('Adjustment Surface'!E14,AC4:AC124,1)),AB4:AB124,1)),"Unknown Option Type")))/(INDEX(AI4:AI124,MATCH(INDEX(AC4:AC124,MATCH('Adjustment Surface'!E14,AC4:AC124,1)),AB4:AB124,1))*SQRT(((('Adjustment Surface'!E14-INDEX(AC4:AC124,MATCH('Adjustment Surface'!E14,AC4:AC124,1)))/360)+INDEX(AE4:AE124,MATCH(INDEX(AC4:AC124,MATCH('Adjustment Surface'!E14,AC4:AC124,1)),AC4:AC124,0))))),0,1,TRUE)))+((INDEX(AI4:AI124,MATCH(INDEX(AC4:AC124,MATCH('Adjustment Surface'!E14,AC4:AC124,1)),AB4:AB124,1))*SQRT(((('Adjustment Surface'!E14-INDEX(AC4:AC124,MATCH('Adjustment Surface'!E14,AC4:AC124,1)))/360)+INDEX(AE4:AE124,MATCH(INDEX(AC4:AC124,MATCH('Adjustment Surface'!E14,AC4:AC124,1)),AC4:AC124,0)))))*(NORMDIST((IF('Adjustment Surface'!$C$2='Data Validation'!$A$2,INDEX(AH4:AH124,MATCH(INDEX(AC4:AC124,MATCH('Adjustment Surface'!E14,AC4:AC124,1)),AB4:AB124,1)),IF('Adjustment Surface'!$C$2='Data Validation'!$A$3,INDEX(AG4:AG124,MATCH(INDEX(AC4:AC124,MATCH('Adjustment Surface'!E14,AC4:AC124,1)),AB4:AB124,1)),"Unknown Option Type"))-IF('Adjustment Surface'!$C$2='Data Validation'!$A$2,INDEX(AG4:AG124,MATCH(INDEX(AC4:AC124,MATCH('Adjustment Surface'!E14,AC4:AC124,1)),AB4:AB124,1)),IF('Adjustment Surface'!$C$2='Data Validation'!$A$3,INDEX(AH4:AH124,MATCH(INDEX(AC4:AC124,MATCH('Adjustment Surface'!E14,AC4:AC124,1)),AB4:AB124,1)),"Unknown Option Type")))/(INDEX(AI4:AI124,MATCH(INDEX(AC4:AC124,MATCH('Adjustment Surface'!E14,AC4:AC124,1)),AB4:AB124,1))*SQRT(((('Adjustment Surface'!E14-INDEX(AC4:AC124,MATCH('Adjustment Surface'!E14,AC4:AC124,1)))/360)+INDEX(AE4:AE124,MATCH(INDEX(AC4:AC124,MATCH('Adjustment Surface'!E14,AC4:AC124,1)),AC4:AC124,0))))),0,1,FALSE))))*(1/((1+INDEX(AH4:AH124,MATCH(INDEX(AC4:AC124,MATCH('Adjustment Surface'!E14,AC4:AC124,1)),AB4:AB124,1)))^(('Adjustment Surface'!E14-AB4)/360)))*(('Adjustment Surface'!E14-INDEX(AC4:AC124,MATCH('Adjustment Surface'!E14,AC4:AC124,1)))/360)*INDEX(AF4:AF124,MATCH(INDEX(AC4:AC124,MATCH('Adjustment Surface'!E14,AC4:AC124,1)),AB4:AB124,1)))</f>
        <v>410813.68929045857</v>
      </c>
      <c r="F4" s="21">
        <f>INDEX(AM4:AM124,MATCH(INDEX(AC4:AC124,MATCH('Adjustment Surface'!F14,AC4:AC124,1)),AC4:AC124,0))+((((IF('Adjustment Surface'!$C$2='Data Validation'!$A$2,INDEX(AH4:AH124,MATCH(INDEX(AC4:AC124,MATCH('Adjustment Surface'!F14,AC4:AC124,1)),AB4:AB124,1)),IF('Adjustment Surface'!$C$2='Data Validation'!$A$3,INDEX(AG4:AG124,MATCH(INDEX(AC4:AC124,MATCH('Adjustment Surface'!F14,AC4:AC124,1)),AB4:AB124,1)),"Unknown Option Type"))-IF('Adjustment Surface'!$C$2='Data Validation'!$A$2,INDEX(AG4:AG124,MATCH(INDEX(AC4:AC124,MATCH('Adjustment Surface'!F14,AC4:AC124,1)),AB4:AB124,1)),IF('Adjustment Surface'!$C$2='Data Validation'!$A$3,INDEX(AH4:AH124,MATCH(INDEX(AC4:AC124,MATCH('Adjustment Surface'!F14,AC4:AC124,1)),AB4:AB124,1)),"Unknown Option Type")))*(NORMDIST((IF('Adjustment Surface'!$C$2='Data Validation'!$A$2,INDEX(AH4:AH124,MATCH(INDEX(AC4:AC124,MATCH('Adjustment Surface'!F14,AC4:AC124,1)),AB4:AB124,1)),IF('Adjustment Surface'!$C$2='Data Validation'!$A$3,INDEX(AG4:AG124,MATCH(INDEX(AC4:AC124,MATCH('Adjustment Surface'!F14,AC4:AC124,1)),AB4:AB124,1)),"Unknown Option Type"))-IF('Adjustment Surface'!$C$2='Data Validation'!$A$2,INDEX(AG4:AG124,MATCH(INDEX(AC4:AC124,MATCH('Adjustment Surface'!F14,AC4:AC124,1)),AB4:AB124,1)),IF('Adjustment Surface'!$C$2='Data Validation'!$A$3,INDEX(AH4:AH124,MATCH(INDEX(AC4:AC124,MATCH('Adjustment Surface'!F14,AC4:AC124,1)),AB4:AB124,1)),"Unknown Option Type")))/(INDEX(AI4:AI124,MATCH(INDEX(AC4:AC124,MATCH('Adjustment Surface'!F14,AC4:AC124,1)),AB4:AB124,1))*SQRT(((('Adjustment Surface'!F14-INDEX(AC4:AC124,MATCH('Adjustment Surface'!F14,AC4:AC124,1)))/360)+INDEX(AE4:AE124,MATCH(INDEX(AC4:AC124,MATCH('Adjustment Surface'!F14,AC4:AC124,1)),AC4:AC124,0))))),0,1,TRUE)))+((INDEX(AI4:AI124,MATCH(INDEX(AC4:AC124,MATCH('Adjustment Surface'!F14,AC4:AC124,1)),AB4:AB124,1))*SQRT(((('Adjustment Surface'!F14-INDEX(AC4:AC124,MATCH('Adjustment Surface'!F14,AC4:AC124,1)))/360)+INDEX(AE4:AE124,MATCH(INDEX(AC4:AC124,MATCH('Adjustment Surface'!F14,AC4:AC124,1)),AC4:AC124,0)))))*(NORMDIST((IF('Adjustment Surface'!$C$2='Data Validation'!$A$2,INDEX(AH4:AH124,MATCH(INDEX(AC4:AC124,MATCH('Adjustment Surface'!F14,AC4:AC124,1)),AB4:AB124,1)),IF('Adjustment Surface'!$C$2='Data Validation'!$A$3,INDEX(AG4:AG124,MATCH(INDEX(AC4:AC124,MATCH('Adjustment Surface'!F14,AC4:AC124,1)),AB4:AB124,1)),"Unknown Option Type"))-IF('Adjustment Surface'!$C$2='Data Validation'!$A$2,INDEX(AG4:AG124,MATCH(INDEX(AC4:AC124,MATCH('Adjustment Surface'!F14,AC4:AC124,1)),AB4:AB124,1)),IF('Adjustment Surface'!$C$2='Data Validation'!$A$3,INDEX(AH4:AH124,MATCH(INDEX(AC4:AC124,MATCH('Adjustment Surface'!F14,AC4:AC124,1)),AB4:AB124,1)),"Unknown Option Type")))/(INDEX(AI4:AI124,MATCH(INDEX(AC4:AC124,MATCH('Adjustment Surface'!F14,AC4:AC124,1)),AB4:AB124,1))*SQRT(((('Adjustment Surface'!F14-INDEX(AC4:AC124,MATCH('Adjustment Surface'!F14,AC4:AC124,1)))/360)+INDEX(AE4:AE124,MATCH(INDEX(AC4:AC124,MATCH('Adjustment Surface'!F14,AC4:AC124,1)),AC4:AC124,0))))),0,1,FALSE))))*(1/((1+INDEX(AH4:AH124,MATCH(INDEX(AC4:AC124,MATCH('Adjustment Surface'!F14,AC4:AC124,1)),AB4:AB124,1)))^(('Adjustment Surface'!F14-AB4)/360)))*(('Adjustment Surface'!F14-INDEX(AC4:AC124,MATCH('Adjustment Surface'!F14,AC4:AC124,1)))/360)*INDEX(AF4:AF124,MATCH(INDEX(AC4:AC124,MATCH('Adjustment Surface'!F14,AC4:AC124,1)),AB4:AB124,1)))</f>
        <v>615786.65952512412</v>
      </c>
      <c r="G4" s="76"/>
      <c r="I4" s="3" cm="1">
        <f t="array" ref="I4:I39">_xlfn.SEQUENCE(COUNT(J4:J124))</f>
        <v>1</v>
      </c>
      <c r="J4" s="4">
        <f>'Adjustment Surface'!C5</f>
        <v>46064</v>
      </c>
      <c r="K4" s="4">
        <f>'Adjustment Surface'!C6</f>
        <v>46092</v>
      </c>
      <c r="L4" s="3">
        <f>IF(I4="","",K4-J4)</f>
        <v>28</v>
      </c>
      <c r="M4" s="5">
        <f>IF(I4="","",(K4-'Rate &amp; Vol Update'!$C$2)/360)</f>
        <v>7.7777777777777779E-2</v>
      </c>
      <c r="N4" s="15">
        <f>IF(I4="","",IF('Adjustment Surface'!C$3='Data Validation'!$C$2,'Adjustment Surface'!C$4,INDEX(Schedules!$E$3:$E$123,MATCH('Bachelier Model'!J4,Schedules!$B$3:$B$123,0))))</f>
        <v>25000000</v>
      </c>
      <c r="O4" s="16">
        <f>IF(I4="","",IF('Adjustment Surface'!C$9='Data Validation'!$D$2,'Adjustment Surface'!C$10,INDEX(Schedules!$H$3:$H$123,MATCH('Bachelier Model'!J4,Schedules!$B$3:$B$123,0))))</f>
        <v>0.02</v>
      </c>
      <c r="P4" s="16" cm="1">
        <f t="array" ref="P4">IF(I4="","",FORECAST(J4,INDEX('Rate &amp; Vol Update'!$C$6:$C$127,MATCH(INDEX('Rate &amp; Vol Update'!$B$6:$B$127,MATCH(J4,'Rate &amp; Vol Update'!$B$6:$B$127,1)),'Rate &amp; Vol Update'!$B$6:$B$127,0)+IF('Adjustment Surface'!C$11='Data Validation'!$E$3,-1,0)):INDEX('Rate &amp; Vol Update'!$C$6:$C$127,MATCH(INDEX('Rate &amp; Vol Update'!$B$6:$B$127,MATCH(J4,'Rate &amp; Vol Update'!$B$6:$B$127,1)+1),'Rate &amp; Vol Update'!$B$6:$B$127,0)+IF('Adjustment Surface'!C$11='Data Validation'!$E$3,-1,0)),INDEX('Rate &amp; Vol Update'!$B$6:$B$127,MATCH(J4,'Rate &amp; Vol Update'!$B$6:$B$127,1)):INDEX('Rate &amp; Vol Update'!$B$6:$B$127,MATCH(J4,'Rate &amp; Vol Update'!$B$6:$B$127,1)+1))/100)</f>
        <v>3.659640073776245E-2</v>
      </c>
      <c r="Q4" s="16" cm="1">
        <f t="array" ref="Q4">IF(I4="","",IF(J4&lt;'Rate &amp; Vol Update'!$C$2,0.001%,(1/((INDEX('Rate &amp; Vol Update'!$E$6:$Z$6,1,MATCH(O4,'Rate &amp; Vol Update'!$E$6:$Z$6,1)+1)-INDEX('Rate &amp; Vol Update'!$E$6:$Z$6,1,MATCH(O4,'Rate &amp; Vol Update'!$E$6:$Z$6,1)))*(INDEX('Rate &amp; Vol Update'!$B$8:$B$127,MATCH(J4,'Rate &amp; Vol Update'!$B$8:$B$127,1)+1)-INDEX('Rate &amp; Vol Update'!$B$8:$B$127,MATCH(J4,'Rate &amp; Vol Update'!$B$8:$B$127,1))))*(INDEX('Rate &amp; Vol Update'!$E$8:$Z$127,MATCH(INDEX('Rate &amp; Vol Update'!$B$8:$B$127,MATCH(J4,'Rate &amp; Vol Update'!$B$8:$B$127,1)),'Rate &amp; Vol Update'!$B$8:$B$127,0),MATCH(INDEX('Rate &amp; Vol Update'!$E$6:$Z$6,1,MATCH(O4,'Rate &amp; Vol Update'!$E$6:$Z$6,1)),'Rate &amp; Vol Update'!$E$6:$Z$6,0))*(INDEX('Rate &amp; Vol Update'!$E$6:$Z$6,1,MATCH(O4,'Rate &amp; Vol Update'!$E$6:$Z$6,1)+1)-O4)*(INDEX('Rate &amp; Vol Update'!$B$8:$B$127,MATCH(J4,'Rate &amp; Vol Update'!$B$8:$B$127,1)+1)-J4)+INDEX('Rate &amp; Vol Update'!$E$8:$Z$127,MATCH(INDEX('Rate &amp; Vol Update'!$B$8:$B$127,MATCH(J4,'Rate &amp; Vol Update'!$B$8:$B$127,1)),'Rate &amp; Vol Update'!$B$8:$B$127,0),MATCH(INDEX('Rate &amp; Vol Update'!$E$6:$Z$6,1,MATCH(O4,'Rate &amp; Vol Update'!$E$6:$Z$6,1)+1),'Rate &amp; Vol Update'!$E$6:$Z$6,0))*(O4-INDEX('Rate &amp; Vol Update'!$E$6:$Z$6,1,MATCH(O4,'Rate &amp; Vol Update'!$E$6:$Z$6,1)))*(INDEX('Rate &amp; Vol Update'!$B$8:$B$127,MATCH(J4,'Rate &amp; Vol Update'!$B$8:$B$127,1)+1)-J4)+INDEX('Rate &amp; Vol Update'!$E$8:$Z$127,MATCH(INDEX('Rate &amp; Vol Update'!$B$8:$B$127,MATCH(J4,'Rate &amp; Vol Update'!$B$8:$B$127,1)+1),'Rate &amp; Vol Update'!$B$8:$B$127,0),MATCH(INDEX('Rate &amp; Vol Update'!$E$6:$Z$6,1,MATCH(O4,'Rate &amp; Vol Update'!$E$6:$Z$6,1)),'Rate &amp; Vol Update'!$E$6:$Z$6,0))*(INDEX('Rate &amp; Vol Update'!$E$6:$Z$6,1,MATCH(O4,'Rate &amp; Vol Update'!$E$6:$Z$6,1)+1)-O4)*(J4-INDEX('Rate &amp; Vol Update'!$B$8:$B$127,MATCH(J4,'Rate &amp; Vol Update'!$B$8:$B$127,1)))+INDEX('Rate &amp; Vol Update'!$E$8:$Z$127,MATCH(INDEX('Rate &amp; Vol Update'!$B$8:$B$127,MATCH(J4,'Rate &amp; Vol Update'!$B$8:$B$127,1)+1),'Rate &amp; Vol Update'!$B$8:$B$127,0),MATCH(INDEX('Rate &amp; Vol Update'!$E$6:$Z$6,1,MATCH(O4,'Rate &amp; Vol Update'!$E$6:$Z$6,1)+1),'Rate &amp; Vol Update'!$E$6:$Z$6,0))*(O4-INDEX('Rate &amp; Vol Update'!$E$6:$Z$6,1,MATCH(O4,'Rate &amp; Vol Update'!$E$6:$Z$6,1)))*(J4-INDEX('Rate &amp; Vol Update'!$B$8:$B$127,MATCH(J4,'Rate &amp; Vol Update'!$B$8:$B$127,1)))))*0.01%))</f>
        <v>9.2692249662922957E-3</v>
      </c>
      <c r="R4" s="5">
        <f>IF(I4="","",1/((1+P4)^((K4-'Rate &amp; Vol Update'!$C$2)/360)))</f>
        <v>0.99720836408151126</v>
      </c>
      <c r="T4" s="15">
        <f>IF(I4="","",IF(J4&lt;'Rate &amp; Vol Update'!$C$2,MAX(0,P4-O4)*(L4/360)*N4,(((IF('Adjustment Surface'!C$2='Data Validation'!$A$2,P4,IF('Adjustment Surface'!C$2='Data Validation'!$A$3,O4,"Unknown Option Type"))-IF('Adjustment Surface'!C$2='Data Validation'!$A$2,O4,IF('Adjustment Surface'!C$2='Data Validation'!$A$3,P4,"Unknown Option Type")))*(NORMDIST((IF('Adjustment Surface'!C$2='Data Validation'!$A$2,P4,IF('Adjustment Surface'!C$2='Data Validation'!$A$3,O4,"Unknown Option Type"))-IF('Adjustment Surface'!C$2='Data Validation'!$A$2,O4,IF('Adjustment Surface'!C$2='Data Validation'!$A$3,P4,"Unknown Option Type")))/(Q4*SQRT(M4)),0,1,TRUE)))+((Q4*SQRT(M4))*(NORMDIST((IF('Adjustment Surface'!C$2='Data Validation'!$A$2,P4,IF('Adjustment Surface'!C$2='Data Validation'!$A$3,O4,"Unknown Option Type"))-IF('Adjustment Surface'!C$2='Data Validation'!$A$2,O4,IF('Adjustment Surface'!C$2='Data Validation'!$A$3,P4,"Unknown Option Type")))/(Q4*SQRT(M4)),0,1,FALSE))))*R4*(L4/360)*N4))</f>
        <v>32180.690945999999</v>
      </c>
      <c r="U4" s="15">
        <f>IF(I4="","",SUM(T$4:T4))</f>
        <v>32180.690945999999</v>
      </c>
      <c r="W4" s="15">
        <f>IF(I4="","",IF(J4&lt;'Rate &amp; Vol Update'!$C$2,0,((((((IF('Adjustment Surface'!C$2='Data Validation'!$A$2,P4,IF('Adjustment Surface'!C$2='Data Validation'!$A$3,O4,"Unknown Option Type"))-IF('Adjustment Surface'!C$2='Data Validation'!$A$2,O4,IF('Adjustment Surface'!C$2='Data Validation'!$A$3,P4,"Unknown Option Type")))*(NORMDIST((IF('Adjustment Surface'!C$2='Data Validation'!$A$2,P4,IF('Adjustment Surface'!C$2='Data Validation'!$A$3,O4,"Unknown Option Type"))-IF('Adjustment Surface'!C$2='Data Validation'!$A$2,O4,IF('Adjustment Surface'!C$2='Data Validation'!$A$3,P4,"Unknown Option Type")))/((Q4+0.01%)*SQRT(M4)),0,1,TRUE)))+(((Q4+0.01%)*SQRT(M4))*(NORMDIST((IF('Adjustment Surface'!C$2='Data Validation'!$A$2,P4,IF('Adjustment Surface'!C$2='Data Validation'!$A$3,O4,"Unknown Option Type"))-IF('Adjustment Surface'!C$2='Data Validation'!$A$2,O4,IF('Adjustment Surface'!C$2='Data Validation'!$A$3,P4,"Unknown Option Type")))/((Q4+0.01%)*SQRT(M4)),0,1,FALSE))))*R4*(L4/360))-(T4/N4))*N4)*R4))</f>
        <v>3.0283725047968512E-8</v>
      </c>
      <c r="X4" s="15">
        <f>IF(I4="","",SUM(W$4:W4))</f>
        <v>3.0283725047968512E-8</v>
      </c>
      <c r="Y4" s="15"/>
      <c r="Z4" s="20"/>
      <c r="AA4" s="3" cm="1">
        <f t="array" ref="AA4:AA51">_xlfn.SEQUENCE(COUNT(AB4:AB124))</f>
        <v>1</v>
      </c>
      <c r="AB4" s="4">
        <f>'Adjustment Surface'!$C$5</f>
        <v>46064</v>
      </c>
      <c r="AC4" s="4">
        <f>'Adjustment Surface'!$C$6</f>
        <v>46092</v>
      </c>
      <c r="AD4" s="3">
        <f>IF(AA4="","",AC4-AB4)</f>
        <v>28</v>
      </c>
      <c r="AE4" s="5">
        <f>IF(AA4="","",(AC4-'Rate &amp; Vol Update'!$C$2)/360)</f>
        <v>7.7777777777777779E-2</v>
      </c>
      <c r="AF4" s="15">
        <f>IF(AA4="","",IF('Adjustment Surface'!$C$3='Data Validation'!$C$2,'Adjustment Surface'!$C$4,INDEX(Schedules!$E$3:$E$123,MATCH('Bachelier Model'!AB4,Schedules!$B$3:$B$123,0))))</f>
        <v>25000000</v>
      </c>
      <c r="AG4" s="16">
        <f>IF(AA4="","",'Adjustment Surface'!B$15)</f>
        <v>0.03</v>
      </c>
      <c r="AH4" s="16" cm="1">
        <f t="array" ref="AH4">IF(AA4="","",FORECAST(AB4,INDEX('Rate &amp; Vol Update'!$C$6:$C$127,MATCH(INDEX('Rate &amp; Vol Update'!$B$6:$B$127,MATCH(AB4,'Rate &amp; Vol Update'!$B$6:$B$127,1)),'Rate &amp; Vol Update'!$B$6:$B$127,0)+IF('Adjustment Surface'!$C$11='Data Validation'!$E$3,-1,0)):INDEX('Rate &amp; Vol Update'!$C$6:$C$127,MATCH(INDEX('Rate &amp; Vol Update'!$B$6:$B$127,MATCH(AB4,'Rate &amp; Vol Update'!$B$6:$B$127,1)+1),'Rate &amp; Vol Update'!$B$6:$B$127,0)+IF('Adjustment Surface'!$C$11='Data Validation'!$E$3,-1,0)),INDEX('Rate &amp; Vol Update'!$B$6:$B$127,MATCH(AB4,'Rate &amp; Vol Update'!$B$6:$B$127,1)):INDEX('Rate &amp; Vol Update'!$B$6:$B$127,MATCH(AB4,'Rate &amp; Vol Update'!$B$6:$B$127,1)+1))/100)</f>
        <v>3.659640073776245E-2</v>
      </c>
      <c r="AI4" s="16" cm="1">
        <f t="array" ref="AI4">IF(AA4="","",IF(AB4&lt;'Rate &amp; Vol Update'!$C$2,0.001%,(1/((INDEX('Rate &amp; Vol Update'!$E$6:$Z$6,1,MATCH(AG4,'Rate &amp; Vol Update'!$E$6:$Z$6,1)+1)-INDEX('Rate &amp; Vol Update'!$E$6:$Z$6,1,MATCH(AG4,'Rate &amp; Vol Update'!$E$6:$Z$6,1)))*(INDEX('Rate &amp; Vol Update'!$B$8:$B$127,MATCH(AB4,'Rate &amp; Vol Update'!$B$8:$B$127,1)+1)-INDEX('Rate &amp; Vol Update'!$B$8:$B$127,MATCH(AB4,'Rate &amp; Vol Update'!$B$8:$B$127,1))))*(INDEX('Rate &amp; Vol Update'!$E$8:$Z$127,MATCH(INDEX('Rate &amp; Vol Update'!$B$8:$B$127,MATCH(AB4,'Rate &amp; Vol Update'!$B$8:$B$127,1)),'Rate &amp; Vol Update'!$B$8:$B$127,0),MATCH(INDEX('Rate &amp; Vol Update'!$E$6:$Z$6,1,MATCH(AG4,'Rate &amp; Vol Update'!$E$6:$Z$6,1)),'Rate &amp; Vol Update'!$E$6:$Z$6,0))*(INDEX('Rate &amp; Vol Update'!$E$6:$Z$6,1,MATCH(AG4,'Rate &amp; Vol Update'!$E$6:$Z$6,1)+1)-AG4)*(INDEX('Rate &amp; Vol Update'!$B$8:$B$127,MATCH(AB4,'Rate &amp; Vol Update'!$B$8:$B$127,1)+1)-AB4)+INDEX('Rate &amp; Vol Update'!$E$8:$Z$127,MATCH(INDEX('Rate &amp; Vol Update'!$B$8:$B$127,MATCH(AB4,'Rate &amp; Vol Update'!$B$8:$B$127,1)),'Rate &amp; Vol Update'!$B$8:$B$127,0),MATCH(INDEX('Rate &amp; Vol Update'!$E$6:$Z$6,1,MATCH(AG4,'Rate &amp; Vol Update'!$E$6:$Z$6,1)+1),'Rate &amp; Vol Update'!$E$6:$Z$6,0))*(AG4-INDEX('Rate &amp; Vol Update'!$E$6:$Z$6,1,MATCH(AG4,'Rate &amp; Vol Update'!$E$6:$Z$6,1)))*(INDEX('Rate &amp; Vol Update'!$B$8:$B$127,MATCH(AB4,'Rate &amp; Vol Update'!$B$8:$B$127,1)+1)-AB4)+INDEX('Rate &amp; Vol Update'!$E$8:$Z$127,MATCH(INDEX('Rate &amp; Vol Update'!$B$8:$B$127,MATCH(AB4,'Rate &amp; Vol Update'!$B$8:$B$127,1)+1),'Rate &amp; Vol Update'!$B$8:$B$127,0),MATCH(INDEX('Rate &amp; Vol Update'!$E$6:$Z$6,1,MATCH(AG4,'Rate &amp; Vol Update'!$E$6:$Z$6,1)),'Rate &amp; Vol Update'!$E$6:$Z$6,0))*(INDEX('Rate &amp; Vol Update'!$E$6:$Z$6,1,MATCH(AG4,'Rate &amp; Vol Update'!$E$6:$Z$6,1)+1)-AG4)*(AB4-INDEX('Rate &amp; Vol Update'!$B$8:$B$127,MATCH(AB4,'Rate &amp; Vol Update'!$B$8:$B$127,1)))+INDEX('Rate &amp; Vol Update'!$E$8:$Z$127,MATCH(INDEX('Rate &amp; Vol Update'!$B$8:$B$127,MATCH(AB4,'Rate &amp; Vol Update'!$B$8:$B$127,1)+1),'Rate &amp; Vol Update'!$B$8:$B$127,0),MATCH(INDEX('Rate &amp; Vol Update'!$E$6:$Z$6,1,MATCH(AG4,'Rate &amp; Vol Update'!$E$6:$Z$6,1)+1),'Rate &amp; Vol Update'!$E$6:$Z$6,0))*(AG4-INDEX('Rate &amp; Vol Update'!$E$6:$Z$6,1,MATCH(AG4,'Rate &amp; Vol Update'!$E$6:$Z$6,1)))*(AB4-INDEX('Rate &amp; Vol Update'!$B$8:$B$127,MATCH(AB4,'Rate &amp; Vol Update'!$B$8:$B$127,1)))))*0.01%))</f>
        <v>7.205741616091472E-3</v>
      </c>
      <c r="AJ4" s="5">
        <f>IF(AA4="","",1/((1+AH4)^((AC4-'Rate &amp; Vol Update'!$C$2)/360)))</f>
        <v>0.99720836408151126</v>
      </c>
      <c r="AL4" s="15">
        <f>IF(AA4="","",IF(AB4&lt;'Rate &amp; Vol Update'!$C$2,MAX(0,AH4-AG4)*(AD4/360)*AF4,(((IF('Adjustment Surface'!$C$2='Data Validation'!$A$2,AH4,IF('Adjustment Surface'!$C$2='Data Validation'!$A$3,AG4,"Unknown Option Type"))-IF('Adjustment Surface'!$C$2='Data Validation'!$A$2,AG4,IF('Adjustment Surface'!$C$2='Data Validation'!$A$3,AH4,"Unknown Option Type")))*(NORMDIST((IF('Adjustment Surface'!$C$2='Data Validation'!$A$2,AH4,IF('Adjustment Surface'!$C$2='Data Validation'!$A$3,AG4,"Unknown Option Type"))-IF('Adjustment Surface'!$C$2='Data Validation'!$A$2,AG4,IF('Adjustment Surface'!$C$2='Data Validation'!$A$3,AH4,"Unknown Option Type")))/(AI4*SQRT(AE4)),0,1,TRUE)))+((AI4*SQRT(AE4))*(NORMDIST((IF('Adjustment Surface'!$C$2='Data Validation'!$A$2,AH4,IF('Adjustment Surface'!$C$2='Data Validation'!$A$3,AG4,"Unknown Option Type"))-IF('Adjustment Surface'!$C$2='Data Validation'!$A$2,AG4,IF('Adjustment Surface'!$C$2='Data Validation'!$A$3,AH4,"Unknown Option Type")))/(AI4*SQRT(AE4)),0,1,FALSE))))*AJ4*(AD4/360)*AF4))</f>
        <v>12791.058306715107</v>
      </c>
      <c r="AM4" s="15">
        <f>IF(AA4="","",SUM(AL$4:AL4))</f>
        <v>12791.058306715107</v>
      </c>
      <c r="AO4" s="15">
        <f>IF(AA4="","",IF(AB4&lt;'Rate &amp; Vol Update'!$C$2,0,((((((IF('Adjustment Surface'!$C$2='Data Validation'!$A$2,AH4,IF('Adjustment Surface'!$C$2='Data Validation'!$A$3,AG4,"Unknown Option Type"))-IF('Adjustment Surface'!$C$2='Data Validation'!$A$2,AG4,IF('Adjustment Surface'!$C$2='Data Validation'!$A$3,AH4,"Unknown Option Type")))*(NORMDIST((IF('Adjustment Surface'!$C$2='Data Validation'!$A$2,AH4,IF('Adjustment Surface'!$C$2='Data Validation'!$A$3,AG4,"Unknown Option Type"))-IF('Adjustment Surface'!$C$2='Data Validation'!$A$2,AG4,IF('Adjustment Surface'!$C$2='Data Validation'!$A$3,AH4,"Unknown Option Type")))/((AI4+0.01%)*SQRT(AE4)),0,1,TRUE)))+(((AI4+0.01%)*SQRT(AE4))*(NORMDIST((IF('Adjustment Surface'!$C$2='Data Validation'!$A$2,AH4,IF('Adjustment Surface'!$C$2='Data Validation'!$A$3,AG4,"Unknown Option Type"))-IF('Adjustment Surface'!$C$2='Data Validation'!$A$2,AG4,IF('Adjustment Surface'!$C$2='Data Validation'!$A$3,AH4,"Unknown Option Type")))/((AI4+0.01%)*SQRT(AE4)),0,1,FALSE))))*AJ4*(AD4/360))-(AL4/AF4))*AF4)*AJ4))</f>
        <v>0.10603364892162545</v>
      </c>
      <c r="AP4" s="15">
        <f>IF(AA4="","",SUM(AO$4:AO4))</f>
        <v>0.10603364892162545</v>
      </c>
      <c r="AQ4" s="15"/>
      <c r="AR4" s="20"/>
      <c r="AS4" s="3" cm="1">
        <f t="array" ref="AS4:AS51">_xlfn.SEQUENCE(COUNT(AT4:AT124))</f>
        <v>1</v>
      </c>
      <c r="AT4" s="4">
        <f>'Adjustment Surface'!$C$5</f>
        <v>46064</v>
      </c>
      <c r="AU4" s="4">
        <f>'Adjustment Surface'!$C$6</f>
        <v>46092</v>
      </c>
      <c r="AV4" s="3">
        <f>IF(AS4="","",AU4-AT4)</f>
        <v>28</v>
      </c>
      <c r="AW4" s="5">
        <f>IF(AS4="","",(AU4-'Rate &amp; Vol Update'!$C$2)/360)</f>
        <v>7.7777777777777779E-2</v>
      </c>
      <c r="AX4" s="15">
        <f>IF(AS4="","",IF('Adjustment Surface'!$C$3='Data Validation'!$C$2,'Adjustment Surface'!$C$4,INDEX(Schedules!$E$3:$E$123,MATCH('Bachelier Model'!AT4,Schedules!$B$3:$B$123,0))))</f>
        <v>25000000</v>
      </c>
      <c r="AY4" s="16">
        <f>IF(AS4="","",'Adjustment Surface'!B$16)</f>
        <v>0.04</v>
      </c>
      <c r="AZ4" s="16" cm="1">
        <f t="array" ref="AZ4">IF(AS4="","",FORECAST(AT4,INDEX('Rate &amp; Vol Update'!$C$6:$C$127,MATCH(INDEX('Rate &amp; Vol Update'!$B$6:$B$127,MATCH(AT4,'Rate &amp; Vol Update'!$B$6:$B$127,1)),'Rate &amp; Vol Update'!$B$6:$B$127,0)+IF('Adjustment Surface'!$C$11='Data Validation'!$E$3,-1,0)):INDEX('Rate &amp; Vol Update'!$C$6:$C$127,MATCH(INDEX('Rate &amp; Vol Update'!$B$6:$B$127,MATCH(AT4,'Rate &amp; Vol Update'!$B$6:$B$127,1)+1),'Rate &amp; Vol Update'!$B$6:$B$127,0)+IF('Adjustment Surface'!$C$11='Data Validation'!$E$3,-1,0)),INDEX('Rate &amp; Vol Update'!$B$6:$B$127,MATCH(AT4,'Rate &amp; Vol Update'!$B$6:$B$127,1)):INDEX('Rate &amp; Vol Update'!$B$6:$B$127,MATCH(AT4,'Rate &amp; Vol Update'!$B$6:$B$127,1)+1))/100)</f>
        <v>3.659640073776245E-2</v>
      </c>
      <c r="BA4" s="16" cm="1">
        <f t="array" ref="BA4">IF(AS4="","",IF(AT4&lt;'Rate &amp; Vol Update'!$C$2,0.001%,(1/((INDEX('Rate &amp; Vol Update'!$E$6:$Z$6,1,MATCH(AY4,'Rate &amp; Vol Update'!$E$6:$Z$6,1)+1)-INDEX('Rate &amp; Vol Update'!$E$6:$Z$6,1,MATCH(AY4,'Rate &amp; Vol Update'!$E$6:$Z$6,1)))*(INDEX('Rate &amp; Vol Update'!$B$8:$B$127,MATCH(AT4,'Rate &amp; Vol Update'!$B$8:$B$127,1)+1)-INDEX('Rate &amp; Vol Update'!$B$8:$B$127,MATCH(AT4,'Rate &amp; Vol Update'!$B$8:$B$127,1))))*(INDEX('Rate &amp; Vol Update'!$E$8:$Z$127,MATCH(INDEX('Rate &amp; Vol Update'!$B$8:$B$127,MATCH(AT4,'Rate &amp; Vol Update'!$B$8:$B$127,1)),'Rate &amp; Vol Update'!$B$8:$B$127,0),MATCH(INDEX('Rate &amp; Vol Update'!$E$6:$Z$6,1,MATCH(AY4,'Rate &amp; Vol Update'!$E$6:$Z$6,1)),'Rate &amp; Vol Update'!$E$6:$Z$6,0))*(INDEX('Rate &amp; Vol Update'!$E$6:$Z$6,1,MATCH(AY4,'Rate &amp; Vol Update'!$E$6:$Z$6,1)+1)-AY4)*(INDEX('Rate &amp; Vol Update'!$B$8:$B$127,MATCH(AT4,'Rate &amp; Vol Update'!$B$8:$B$127,1)+1)-AT4)+INDEX('Rate &amp; Vol Update'!$E$8:$Z$127,MATCH(INDEX('Rate &amp; Vol Update'!$B$8:$B$127,MATCH(AT4,'Rate &amp; Vol Update'!$B$8:$B$127,1)),'Rate &amp; Vol Update'!$B$8:$B$127,0),MATCH(INDEX('Rate &amp; Vol Update'!$E$6:$Z$6,1,MATCH(AY4,'Rate &amp; Vol Update'!$E$6:$Z$6,1)+1),'Rate &amp; Vol Update'!$E$6:$Z$6,0))*(AY4-INDEX('Rate &amp; Vol Update'!$E$6:$Z$6,1,MATCH(AY4,'Rate &amp; Vol Update'!$E$6:$Z$6,1)))*(INDEX('Rate &amp; Vol Update'!$B$8:$B$127,MATCH(AT4,'Rate &amp; Vol Update'!$B$8:$B$127,1)+1)-AT4)+INDEX('Rate &amp; Vol Update'!$E$8:$Z$127,MATCH(INDEX('Rate &amp; Vol Update'!$B$8:$B$127,MATCH(AT4,'Rate &amp; Vol Update'!$B$8:$B$127,1)+1),'Rate &amp; Vol Update'!$B$8:$B$127,0),MATCH(INDEX('Rate &amp; Vol Update'!$E$6:$Z$6,1,MATCH(AY4,'Rate &amp; Vol Update'!$E$6:$Z$6,1)),'Rate &amp; Vol Update'!$E$6:$Z$6,0))*(INDEX('Rate &amp; Vol Update'!$E$6:$Z$6,1,MATCH(AY4,'Rate &amp; Vol Update'!$E$6:$Z$6,1)+1)-AY4)*(AT4-INDEX('Rate &amp; Vol Update'!$B$8:$B$127,MATCH(AT4,'Rate &amp; Vol Update'!$B$8:$B$127,1)))+INDEX('Rate &amp; Vol Update'!$E$8:$Z$127,MATCH(INDEX('Rate &amp; Vol Update'!$B$8:$B$127,MATCH(AT4,'Rate &amp; Vol Update'!$B$8:$B$127,1)+1),'Rate &amp; Vol Update'!$B$8:$B$127,0),MATCH(INDEX('Rate &amp; Vol Update'!$E$6:$Z$6,1,MATCH(AY4,'Rate &amp; Vol Update'!$E$6:$Z$6,1)+1),'Rate &amp; Vol Update'!$E$6:$Z$6,0))*(AY4-INDEX('Rate &amp; Vol Update'!$E$6:$Z$6,1,MATCH(AY4,'Rate &amp; Vol Update'!$E$6:$Z$6,1)))*(AT4-INDEX('Rate &amp; Vol Update'!$B$8:$B$127,MATCH(AT4,'Rate &amp; Vol Update'!$B$8:$B$127,1)))))*0.01%))</f>
        <v>6.0822484536136425E-3</v>
      </c>
      <c r="BB4" s="5">
        <f>IF(AS4="","",1/((1+AZ4)^((AU4-'Rate &amp; Vol Update'!$C$2)/360)))</f>
        <v>0.99720836408151126</v>
      </c>
      <c r="BD4" s="15">
        <f>IF(AS4="","",IF(AT4&lt;'Rate &amp; Vol Update'!$C$2,MAX(0,AZ4-AY4)*(AV4/360)*AX4,(((IF('Adjustment Surface'!$C$2='Data Validation'!$A$2,AZ4,IF('Adjustment Surface'!$C$2='Data Validation'!$A$3,AY4,"Unknown Option Type"))-IF('Adjustment Surface'!$C$2='Data Validation'!$A$2,AY4,IF('Adjustment Surface'!$C$2='Data Validation'!$A$3,AZ4,"Unknown Option Type")))*(NORMDIST((IF('Adjustment Surface'!$C$2='Data Validation'!$A$2,AZ4,IF('Adjustment Surface'!$C$2='Data Validation'!$A$3,AY4,"Unknown Option Type"))-IF('Adjustment Surface'!$C$2='Data Validation'!$A$2,AY4,IF('Adjustment Surface'!$C$2='Data Validation'!$A$3,AZ4,"Unknown Option Type")))/(BA4*SQRT(AW4)),0,1,TRUE)))+((BA4*SQRT(AW4))*(NORMDIST((IF('Adjustment Surface'!$C$2='Data Validation'!$A$2,AZ4,IF('Adjustment Surface'!$C$2='Data Validation'!$A$3,AY4,"Unknown Option Type"))-IF('Adjustment Surface'!$C$2='Data Validation'!$A$2,AY4,IF('Adjustment Surface'!$C$2='Data Validation'!$A$3,AZ4,"Unknown Option Type")))/(BA4*SQRT(AW4)),0,1,FALSE))))*BB4*(AV4/360)*AX4))</f>
        <v>27.441395837817385</v>
      </c>
      <c r="BE4" s="15">
        <f>IF(AS4="","",SUM(BD$4:BD4))</f>
        <v>27.441395837817385</v>
      </c>
      <c r="BG4" s="15">
        <f>IF(AS4="","",IF(AT4&lt;'Rate &amp; Vol Update'!$C$2,0,((((((IF('Adjustment Surface'!$C$2='Data Validation'!$A$2,AZ4,IF('Adjustment Surface'!$C$2='Data Validation'!$A$3,AY4,"Unknown Option Type"))-IF('Adjustment Surface'!$C$2='Data Validation'!$A$2,AY4,IF('Adjustment Surface'!$C$2='Data Validation'!$A$3,AZ4,"Unknown Option Type")))*(NORMDIST((IF('Adjustment Surface'!$C$2='Data Validation'!$A$2,AZ4,IF('Adjustment Surface'!$C$2='Data Validation'!$A$3,AY4,"Unknown Option Type"))-IF('Adjustment Surface'!$C$2='Data Validation'!$A$2,AY4,IF('Adjustment Surface'!$C$2='Data Validation'!$A$3,AZ4,"Unknown Option Type")))/((BA4+0.01%)*SQRT(AW4)),0,1,TRUE)))+(((BA4+0.01%)*SQRT(AW4))*(NORMDIST((IF('Adjustment Surface'!$C$2='Data Validation'!$A$2,AZ4,IF('Adjustment Surface'!$C$2='Data Validation'!$A$3,AY4,"Unknown Option Type"))-IF('Adjustment Surface'!$C$2='Data Validation'!$A$2,AY4,IF('Adjustment Surface'!$C$2='Data Validation'!$A$3,AZ4,"Unknown Option Type")))/((BA4+0.01%)*SQRT(AW4)),0,1,FALSE))))*BB4*(AV4/360))-(BD4/AX4))*AX4)*BB4))</f>
        <v>2.9692643839549224</v>
      </c>
      <c r="BH4" s="15">
        <f>IF(AS4="","",SUM(BG$4:BG4))</f>
        <v>2.9692643839549224</v>
      </c>
      <c r="BI4" s="15"/>
      <c r="BJ4" s="20"/>
      <c r="BK4" s="3" cm="1">
        <f t="array" ref="BK4:BK51">_xlfn.SEQUENCE(COUNT(BL4:BL124))</f>
        <v>1</v>
      </c>
      <c r="BL4" s="4">
        <f>'Adjustment Surface'!$C$5</f>
        <v>46064</v>
      </c>
      <c r="BM4" s="4">
        <f>'Adjustment Surface'!$C$6</f>
        <v>46092</v>
      </c>
      <c r="BN4" s="3">
        <f>IF(BK4="","",BM4-BL4)</f>
        <v>28</v>
      </c>
      <c r="BO4" s="5">
        <f>IF(BK4="","",(BM4-'Rate &amp; Vol Update'!$C$2)/360)</f>
        <v>7.7777777777777779E-2</v>
      </c>
      <c r="BP4" s="15">
        <f>IF(BK4="","",IF('Adjustment Surface'!$C$3='Data Validation'!$C$2,'Adjustment Surface'!$C$4,INDEX(Schedules!$E$3:$E$123,MATCH('Bachelier Model'!BL4,Schedules!$B$3:$B$123,0))))</f>
        <v>25000000</v>
      </c>
      <c r="BQ4" s="16">
        <f>IF(BK4="","",'Adjustment Surface'!B$17)</f>
        <v>0.05</v>
      </c>
      <c r="BR4" s="16" cm="1">
        <f t="array" ref="BR4">IF(BK4="","",FORECAST(BL4,INDEX('Rate &amp; Vol Update'!$C$6:$C$127,MATCH(INDEX('Rate &amp; Vol Update'!$B$6:$B$127,MATCH(BL4,'Rate &amp; Vol Update'!$B$6:$B$127,1)),'Rate &amp; Vol Update'!$B$6:$B$127,0)+IF('Adjustment Surface'!$C$11='Data Validation'!$E$3,-1,0)):INDEX('Rate &amp; Vol Update'!$C$6:$C$127,MATCH(INDEX('Rate &amp; Vol Update'!$B$6:$B$127,MATCH(BL4,'Rate &amp; Vol Update'!$B$6:$B$127,1)+1),'Rate &amp; Vol Update'!$B$6:$B$127,0)+IF('Adjustment Surface'!$C$11='Data Validation'!$E$3,-1,0)),INDEX('Rate &amp; Vol Update'!$B$6:$B$127,MATCH(BL4,'Rate &amp; Vol Update'!$B$6:$B$127,1)):INDEX('Rate &amp; Vol Update'!$B$6:$B$127,MATCH(BL4,'Rate &amp; Vol Update'!$B$6:$B$127,1)+1))/100)</f>
        <v>3.659640073776245E-2</v>
      </c>
      <c r="BS4" s="16" cm="1">
        <f t="array" ref="BS4">IF(BK4="","",IF(BL4&lt;'Rate &amp; Vol Update'!$C$2,0.001%,(1/((INDEX('Rate &amp; Vol Update'!$E$6:$Z$6,1,MATCH(BQ4,'Rate &amp; Vol Update'!$E$6:$Z$6,1)+1)-INDEX('Rate &amp; Vol Update'!$E$6:$Z$6,1,MATCH(BQ4,'Rate &amp; Vol Update'!$E$6:$Z$6,1)))*(INDEX('Rate &amp; Vol Update'!$B$8:$B$127,MATCH(BL4,'Rate &amp; Vol Update'!$B$8:$B$127,1)+1)-INDEX('Rate &amp; Vol Update'!$B$8:$B$127,MATCH(BL4,'Rate &amp; Vol Update'!$B$8:$B$127,1))))*(INDEX('Rate &amp; Vol Update'!$E$8:$Z$127,MATCH(INDEX('Rate &amp; Vol Update'!$B$8:$B$127,MATCH(BL4,'Rate &amp; Vol Update'!$B$8:$B$127,1)),'Rate &amp; Vol Update'!$B$8:$B$127,0),MATCH(INDEX('Rate &amp; Vol Update'!$E$6:$Z$6,1,MATCH(BQ4,'Rate &amp; Vol Update'!$E$6:$Z$6,1)),'Rate &amp; Vol Update'!$E$6:$Z$6,0))*(INDEX('Rate &amp; Vol Update'!$E$6:$Z$6,1,MATCH(BQ4,'Rate &amp; Vol Update'!$E$6:$Z$6,1)+1)-BQ4)*(INDEX('Rate &amp; Vol Update'!$B$8:$B$127,MATCH(BL4,'Rate &amp; Vol Update'!$B$8:$B$127,1)+1)-BL4)+INDEX('Rate &amp; Vol Update'!$E$8:$Z$127,MATCH(INDEX('Rate &amp; Vol Update'!$B$8:$B$127,MATCH(BL4,'Rate &amp; Vol Update'!$B$8:$B$127,1)),'Rate &amp; Vol Update'!$B$8:$B$127,0),MATCH(INDEX('Rate &amp; Vol Update'!$E$6:$Z$6,1,MATCH(BQ4,'Rate &amp; Vol Update'!$E$6:$Z$6,1)+1),'Rate &amp; Vol Update'!$E$6:$Z$6,0))*(BQ4-INDEX('Rate &amp; Vol Update'!$E$6:$Z$6,1,MATCH(BQ4,'Rate &amp; Vol Update'!$E$6:$Z$6,1)))*(INDEX('Rate &amp; Vol Update'!$B$8:$B$127,MATCH(BL4,'Rate &amp; Vol Update'!$B$8:$B$127,1)+1)-BL4)+INDEX('Rate &amp; Vol Update'!$E$8:$Z$127,MATCH(INDEX('Rate &amp; Vol Update'!$B$8:$B$127,MATCH(BL4,'Rate &amp; Vol Update'!$B$8:$B$127,1)+1),'Rate &amp; Vol Update'!$B$8:$B$127,0),MATCH(INDEX('Rate &amp; Vol Update'!$E$6:$Z$6,1,MATCH(BQ4,'Rate &amp; Vol Update'!$E$6:$Z$6,1)),'Rate &amp; Vol Update'!$E$6:$Z$6,0))*(INDEX('Rate &amp; Vol Update'!$E$6:$Z$6,1,MATCH(BQ4,'Rate &amp; Vol Update'!$E$6:$Z$6,1)+1)-BQ4)*(BL4-INDEX('Rate &amp; Vol Update'!$B$8:$B$127,MATCH(BL4,'Rate &amp; Vol Update'!$B$8:$B$127,1)))+INDEX('Rate &amp; Vol Update'!$E$8:$Z$127,MATCH(INDEX('Rate &amp; Vol Update'!$B$8:$B$127,MATCH(BL4,'Rate &amp; Vol Update'!$B$8:$B$127,1)+1),'Rate &amp; Vol Update'!$B$8:$B$127,0),MATCH(INDEX('Rate &amp; Vol Update'!$E$6:$Z$6,1,MATCH(BQ4,'Rate &amp; Vol Update'!$E$6:$Z$6,1)+1),'Rate &amp; Vol Update'!$E$6:$Z$6,0))*(BQ4-INDEX('Rate &amp; Vol Update'!$E$6:$Z$6,1,MATCH(BQ4,'Rate &amp; Vol Update'!$E$6:$Z$6,1)))*(BL4-INDEX('Rate &amp; Vol Update'!$B$8:$B$127,MATCH(BL4,'Rate &amp; Vol Update'!$B$8:$B$127,1)))))*0.01%))</f>
        <v>7.6784348211655839E-3</v>
      </c>
      <c r="BT4" s="5">
        <f>IF(BK4="","",1/((1+BR4)^((BM4-'Rate &amp; Vol Update'!$C$2)/360)))</f>
        <v>0.99720836408151126</v>
      </c>
      <c r="BV4" s="15">
        <f>IF(BK4="","",IF(BL4&lt;'Rate &amp; Vol Update'!$C$2,MAX(0,BR4-BQ4)*(BN4/360)*BP4,(((IF('Adjustment Surface'!$C$2='Data Validation'!$A$2,BR4,IF('Adjustment Surface'!$C$2='Data Validation'!$A$3,BQ4,"Unknown Option Type"))-IF('Adjustment Surface'!$C$2='Data Validation'!$A$2,BQ4,IF('Adjustment Surface'!$C$2='Data Validation'!$A$3,BR4,"Unknown Option Type")))*(NORMDIST((IF('Adjustment Surface'!$C$2='Data Validation'!$A$2,BR4,IF('Adjustment Surface'!$C$2='Data Validation'!$A$3,BQ4,"Unknown Option Type"))-IF('Adjustment Surface'!$C$2='Data Validation'!$A$2,BQ4,IF('Adjustment Surface'!$C$2='Data Validation'!$A$3,BR4,"Unknown Option Type")))/(BS4*SQRT(BO4)),0,1,TRUE)))+((BS4*SQRT(BO4))*(NORMDIST((IF('Adjustment Surface'!$C$2='Data Validation'!$A$2,BR4,IF('Adjustment Surface'!$C$2='Data Validation'!$A$3,BQ4,"Unknown Option Type"))-IF('Adjustment Surface'!$C$2='Data Validation'!$A$2,BQ4,IF('Adjustment Surface'!$C$2='Data Validation'!$A$3,BR4,"Unknown Option Type")))/(BS4*SQRT(BO4)),0,1,FALSE))))*BT4*(BN4/360)*BP4))</f>
        <v>1.2248133582826409E-7</v>
      </c>
      <c r="BW4" s="15">
        <f>IF(BK4="","",SUM(BV$4:BV4))</f>
        <v>1.2248133582826409E-7</v>
      </c>
      <c r="BY4" s="15">
        <f>IF(BK4="","",IF(BL4&lt;'Rate &amp; Vol Update'!$C$2,0,((((((IF('Adjustment Surface'!$C$2='Data Validation'!$A$2,BR4,IF('Adjustment Surface'!$C$2='Data Validation'!$A$3,BQ4,"Unknown Option Type"))-IF('Adjustment Surface'!$C$2='Data Validation'!$A$2,BQ4,IF('Adjustment Surface'!$C$2='Data Validation'!$A$3,BR4,"Unknown Option Type")))*(NORMDIST((IF('Adjustment Surface'!$C$2='Data Validation'!$A$2,BR4,IF('Adjustment Surface'!$C$2='Data Validation'!$A$3,BQ4,"Unknown Option Type"))-IF('Adjustment Surface'!$C$2='Data Validation'!$A$2,BQ4,IF('Adjustment Surface'!$C$2='Data Validation'!$A$3,BR4,"Unknown Option Type")))/((BS4+0.01%)*SQRT(BO4)),0,1,TRUE)))+(((BS4+0.01%)*SQRT(BO4))*(NORMDIST((IF('Adjustment Surface'!$C$2='Data Validation'!$A$2,BR4,IF('Adjustment Surface'!$C$2='Data Validation'!$A$3,BQ4,"Unknown Option Type"))-IF('Adjustment Surface'!$C$2='Data Validation'!$A$2,BQ4,IF('Adjustment Surface'!$C$2='Data Validation'!$A$3,BR4,"Unknown Option Type")))/((BS4+0.01%)*SQRT(BO4)),0,1,FALSE))))*BT4*(BN4/360))-(BV4/BP4))*BP4)*BT4))</f>
        <v>8.6937618115491829E-8</v>
      </c>
      <c r="BZ4" s="15">
        <f>IF(BK4="","",SUM(BY$4:BY4))</f>
        <v>8.6937618115491829E-8</v>
      </c>
      <c r="CA4" s="15"/>
      <c r="CB4" s="20"/>
      <c r="CC4" s="3" cm="1">
        <f t="array" ref="CC4:CC51">_xlfn.SEQUENCE(COUNT(CD4:CD124))</f>
        <v>1</v>
      </c>
      <c r="CD4" s="4">
        <f>'Adjustment Surface'!$C$5</f>
        <v>46064</v>
      </c>
      <c r="CE4" s="4">
        <f>'Adjustment Surface'!$C$6</f>
        <v>46092</v>
      </c>
      <c r="CF4" s="3">
        <f>IF(CC4="","",CE4-CD4)</f>
        <v>28</v>
      </c>
      <c r="CG4" s="5">
        <f>IF(CC4="","",(CE4-'Rate &amp; Vol Update'!$C$2)/360)</f>
        <v>7.7777777777777779E-2</v>
      </c>
      <c r="CH4" s="15">
        <f>IF(CC4="","",IF('Adjustment Surface'!$C$3='Data Validation'!$C$2,'Adjustment Surface'!$C$4,INDEX(Schedules!$E$3:$E$123,MATCH('Bachelier Model'!CD4,Schedules!$B$3:$B$123,0))))</f>
        <v>25000000</v>
      </c>
      <c r="CI4" s="16">
        <f>IF(CC4="","",'Adjustment Surface'!B$18)</f>
        <v>0.06</v>
      </c>
      <c r="CJ4" s="16" cm="1">
        <f t="array" ref="CJ4">IF(CC4="","",FORECAST(CD4,INDEX('Rate &amp; Vol Update'!$C$6:$C$127,MATCH(INDEX('Rate &amp; Vol Update'!$B$6:$B$127,MATCH(CD4,'Rate &amp; Vol Update'!$B$6:$B$127,1)),'Rate &amp; Vol Update'!$B$6:$B$127,0)+IF('Adjustment Surface'!$C$11='Data Validation'!$E$3,-1,0)):INDEX('Rate &amp; Vol Update'!$C$6:$C$127,MATCH(INDEX('Rate &amp; Vol Update'!$B$6:$B$127,MATCH(CD4,'Rate &amp; Vol Update'!$B$6:$B$127,1)+1),'Rate &amp; Vol Update'!$B$6:$B$127,0)+IF('Adjustment Surface'!$C$11='Data Validation'!$E$3,-1,0)),INDEX('Rate &amp; Vol Update'!$B$6:$B$127,MATCH(CD4,'Rate &amp; Vol Update'!$B$6:$B$127,1)):INDEX('Rate &amp; Vol Update'!$B$6:$B$127,MATCH(CD4,'Rate &amp; Vol Update'!$B$6:$B$127,1)+1))/100)</f>
        <v>3.659640073776245E-2</v>
      </c>
      <c r="CK4" s="16" cm="1">
        <f t="array" ref="CK4">IF(CC4="","",IF(CD4&lt;'Rate &amp; Vol Update'!$C$2,0.001%,(1/((INDEX('Rate &amp; Vol Update'!$E$6:$Z$6,1,MATCH(CI4,'Rate &amp; Vol Update'!$E$6:$Z$6,1)+1)-INDEX('Rate &amp; Vol Update'!$E$6:$Z$6,1,MATCH(CI4,'Rate &amp; Vol Update'!$E$6:$Z$6,1)))*(INDEX('Rate &amp; Vol Update'!$B$8:$B$127,MATCH(CD4,'Rate &amp; Vol Update'!$B$8:$B$127,1)+1)-INDEX('Rate &amp; Vol Update'!$B$8:$B$127,MATCH(CD4,'Rate &amp; Vol Update'!$B$8:$B$127,1))))*(INDEX('Rate &amp; Vol Update'!$E$8:$Z$127,MATCH(INDEX('Rate &amp; Vol Update'!$B$8:$B$127,MATCH(CD4,'Rate &amp; Vol Update'!$B$8:$B$127,1)),'Rate &amp; Vol Update'!$B$8:$B$127,0),MATCH(INDEX('Rate &amp; Vol Update'!$E$6:$Z$6,1,MATCH(CI4,'Rate &amp; Vol Update'!$E$6:$Z$6,1)),'Rate &amp; Vol Update'!$E$6:$Z$6,0))*(INDEX('Rate &amp; Vol Update'!$E$6:$Z$6,1,MATCH(CI4,'Rate &amp; Vol Update'!$E$6:$Z$6,1)+1)-CI4)*(INDEX('Rate &amp; Vol Update'!$B$8:$B$127,MATCH(CD4,'Rate &amp; Vol Update'!$B$8:$B$127,1)+1)-CD4)+INDEX('Rate &amp; Vol Update'!$E$8:$Z$127,MATCH(INDEX('Rate &amp; Vol Update'!$B$8:$B$127,MATCH(CD4,'Rate &amp; Vol Update'!$B$8:$B$127,1)),'Rate &amp; Vol Update'!$B$8:$B$127,0),MATCH(INDEX('Rate &amp; Vol Update'!$E$6:$Z$6,1,MATCH(CI4,'Rate &amp; Vol Update'!$E$6:$Z$6,1)+1),'Rate &amp; Vol Update'!$E$6:$Z$6,0))*(CI4-INDEX('Rate &amp; Vol Update'!$E$6:$Z$6,1,MATCH(CI4,'Rate &amp; Vol Update'!$E$6:$Z$6,1)))*(INDEX('Rate &amp; Vol Update'!$B$8:$B$127,MATCH(CD4,'Rate &amp; Vol Update'!$B$8:$B$127,1)+1)-CD4)+INDEX('Rate &amp; Vol Update'!$E$8:$Z$127,MATCH(INDEX('Rate &amp; Vol Update'!$B$8:$B$127,MATCH(CD4,'Rate &amp; Vol Update'!$B$8:$B$127,1)+1),'Rate &amp; Vol Update'!$B$8:$B$127,0),MATCH(INDEX('Rate &amp; Vol Update'!$E$6:$Z$6,1,MATCH(CI4,'Rate &amp; Vol Update'!$E$6:$Z$6,1)),'Rate &amp; Vol Update'!$E$6:$Z$6,0))*(INDEX('Rate &amp; Vol Update'!$E$6:$Z$6,1,MATCH(CI4,'Rate &amp; Vol Update'!$E$6:$Z$6,1)+1)-CI4)*(CD4-INDEX('Rate &amp; Vol Update'!$B$8:$B$127,MATCH(CD4,'Rate &amp; Vol Update'!$B$8:$B$127,1)))+INDEX('Rate &amp; Vol Update'!$E$8:$Z$127,MATCH(INDEX('Rate &amp; Vol Update'!$B$8:$B$127,MATCH(CD4,'Rate &amp; Vol Update'!$B$8:$B$127,1)+1),'Rate &amp; Vol Update'!$B$8:$B$127,0),MATCH(INDEX('Rate &amp; Vol Update'!$E$6:$Z$6,1,MATCH(CI4,'Rate &amp; Vol Update'!$E$6:$Z$6,1)+1),'Rate &amp; Vol Update'!$E$6:$Z$6,0))*(CI4-INDEX('Rate &amp; Vol Update'!$E$6:$Z$6,1,MATCH(CI4,'Rate &amp; Vol Update'!$E$6:$Z$6,1)))*(CD4-INDEX('Rate &amp; Vol Update'!$B$8:$B$127,MATCH(CD4,'Rate &amp; Vol Update'!$B$8:$B$127,1)))))*0.01%))</f>
        <v>9.9748169719167581E-3</v>
      </c>
      <c r="CL4" s="5">
        <f>IF(CC4="","",1/((1+CJ4)^((CE4-'Rate &amp; Vol Update'!$C$2)/360)))</f>
        <v>0.99720836408151126</v>
      </c>
      <c r="CN4" s="15">
        <f>IF(CC4="","",IF(CD4&lt;'Rate &amp; Vol Update'!$C$2,MAX(0,CJ4-CI4)*(CF4/360)*CH4,(((IF('Adjustment Surface'!$C$2='Data Validation'!$A$2,CJ4,IF('Adjustment Surface'!$C$2='Data Validation'!$A$3,CI4,"Unknown Option Type"))-IF('Adjustment Surface'!$C$2='Data Validation'!$A$2,CI4,IF('Adjustment Surface'!$C$2='Data Validation'!$A$3,CJ4,"Unknown Option Type")))*(NORMDIST((IF('Adjustment Surface'!$C$2='Data Validation'!$A$2,CJ4,IF('Adjustment Surface'!$C$2='Data Validation'!$A$3,CI4,"Unknown Option Type"))-IF('Adjustment Surface'!$C$2='Data Validation'!$A$2,CI4,IF('Adjustment Surface'!$C$2='Data Validation'!$A$3,CJ4,"Unknown Option Type")))/(CK4*SQRT(CG4)),0,1,TRUE)))+((CK4*SQRT(CG4))*(NORMDIST((IF('Adjustment Surface'!$C$2='Data Validation'!$A$2,CJ4,IF('Adjustment Surface'!$C$2='Data Validation'!$A$3,CI4,"Unknown Option Type"))-IF('Adjustment Surface'!$C$2='Data Validation'!$A$2,CI4,IF('Adjustment Surface'!$C$2='Data Validation'!$A$3,CJ4,"Unknown Option Type")))/(CK4*SQRT(CG4)),0,1,FALSE))))*CL4*(CF4/360)*CH4))</f>
        <v>1.2475181782589511E-14</v>
      </c>
      <c r="CO4" s="15">
        <f>IF(CC4="","",SUM(CN$4:CN4))</f>
        <v>1.2475181782589511E-14</v>
      </c>
      <c r="CQ4" s="15">
        <f>IF(CC4="","",IF(CD4&lt;'Rate &amp; Vol Update'!$C$2,0,((((((IF('Adjustment Surface'!$C$2='Data Validation'!$A$2,CJ4,IF('Adjustment Surface'!$C$2='Data Validation'!$A$3,CI4,"Unknown Option Type"))-IF('Adjustment Surface'!$C$2='Data Validation'!$A$2,CI4,IF('Adjustment Surface'!$C$2='Data Validation'!$A$3,CJ4,"Unknown Option Type")))*(NORMDIST((IF('Adjustment Surface'!$C$2='Data Validation'!$A$2,CJ4,IF('Adjustment Surface'!$C$2='Data Validation'!$A$3,CI4,"Unknown Option Type"))-IF('Adjustment Surface'!$C$2='Data Validation'!$A$2,CI4,IF('Adjustment Surface'!$C$2='Data Validation'!$A$3,CJ4,"Unknown Option Type")))/((CK4+0.01%)*SQRT(CG4)),0,1,TRUE)))+(((CK4+0.01%)*SQRT(CG4))*(NORMDIST((IF('Adjustment Surface'!$C$2='Data Validation'!$A$2,CJ4,IF('Adjustment Surface'!$C$2='Data Validation'!$A$3,CI4,"Unknown Option Type"))-IF('Adjustment Surface'!$C$2='Data Validation'!$A$2,CI4,IF('Adjustment Surface'!$C$2='Data Validation'!$A$3,CJ4,"Unknown Option Type")))/((CK4+0.01%)*SQRT(CG4)),0,1,FALSE))))*CL4*(CF4/360))-(CN4/CH4))*CH4)*CL4))</f>
        <v>1.3327623475998406E-14</v>
      </c>
      <c r="CR4" s="15">
        <f>IF(CC4="","",SUM(CQ$4:CQ4))</f>
        <v>1.3327623475998406E-14</v>
      </c>
    </row>
    <row r="5" spans="2:96" x14ac:dyDescent="0.25">
      <c r="B5" s="16">
        <f>B12</f>
        <v>0.04</v>
      </c>
      <c r="C5" s="21">
        <f>INDEX(BE4:BE124,MATCH(INDEX(AU4:AU124,MATCH('Adjustment Surface'!C14,AU4:AU124,1)),AU4:AU124,0))+((((IF('Adjustment Surface'!$C$2='Data Validation'!$A$2,INDEX(AZ4:AZ124,MATCH(INDEX(AU4:AU124,MATCH('Adjustment Surface'!C14,AU4:AU124,1)),AT4:AT124,1)),IF('Adjustment Surface'!$C$2='Data Validation'!$A$3,INDEX(AY4:AY124,MATCH(INDEX(AU4:AU124,MATCH('Adjustment Surface'!C14,AU4:AU124,1)),AT4:AT124,1)),"Unknown Option Type"))-IF('Adjustment Surface'!$C$2='Data Validation'!$A$2,INDEX(AY4:AY124,MATCH(INDEX(AU4:AU124,MATCH('Adjustment Surface'!C14,AU4:AU124,1)),AT4:AT124,1)),IF('Adjustment Surface'!$C$2='Data Validation'!$A$3,INDEX(AZ4:AZ124,MATCH(INDEX(AU4:AU124,MATCH('Adjustment Surface'!C14,AU4:AU124,1)),AT4:AT124,1)),"Unknown Option Type")))*(NORMDIST((IF('Adjustment Surface'!$C$2='Data Validation'!$A$2,INDEX(AZ4:AZ124,MATCH(INDEX(AU4:AU124,MATCH('Adjustment Surface'!C14,AU4:AU124,1)),AT4:AT124,1)),IF('Adjustment Surface'!$C$2='Data Validation'!$A$3,INDEX(AY4:AY124,MATCH(INDEX(AU4:AU124,MATCH('Adjustment Surface'!C14,AU4:AU124,1)),AT4:AT124,1)),"Unknown Option Type"))-IF('Adjustment Surface'!$C$2='Data Validation'!$A$2,INDEX(AY4:AY124,MATCH(INDEX(AU4:AU124,MATCH('Adjustment Surface'!C14,AU4:AU124,1)),AT4:AT124,1)),IF('Adjustment Surface'!$C$2='Data Validation'!$A$3,INDEX(AZ4:AZ124,MATCH(INDEX(AU4:AU124,MATCH('Adjustment Surface'!C14,AU4:AU124,1)),AT4:AT124,1)),"Unknown Option Type")))/(INDEX(BA4:BA124,MATCH(INDEX(AU4:AU124,MATCH('Adjustment Surface'!C14,AU4:AU124,1)),AT4:AT124,1))*SQRT(((('Adjustment Surface'!C14-INDEX(AU4:AU124,MATCH('Adjustment Surface'!C14,AU4:AU124,1)))/360)+INDEX(AW4:AW124,MATCH(INDEX(AU4:AU124,MATCH('Adjustment Surface'!C14,AU4:AU124,1)),AU4:AU124,0))))),0,1,TRUE)))+((INDEX(BA4:BA124,MATCH(INDEX(AU4:AU124,MATCH('Adjustment Surface'!C14,AU4:AU124,1)),AT4:AT124,1))*SQRT(((('Adjustment Surface'!C14-INDEX(AU4:AU124,MATCH('Adjustment Surface'!C14,AU4:AU124,1)))/360)+INDEX(AW4:AW124,MATCH(INDEX(AU4:AU124,MATCH('Adjustment Surface'!C14,AU4:AU124,1)),AU4:AU124,0)))))*(NORMDIST((IF('Adjustment Surface'!$C$2='Data Validation'!$A$2,INDEX(AZ4:AZ124,MATCH(INDEX(AU4:AU124,MATCH('Adjustment Surface'!C14,AU4:AU124,1)),AT4:AT124,1)),IF('Adjustment Surface'!$C$2='Data Validation'!$A$3,INDEX(AY4:AY124,MATCH(INDEX(AU4:AU124,MATCH('Adjustment Surface'!C14,AU4:AU124,1)),AT4:AT124,1)),"Unknown Option Type"))-IF('Adjustment Surface'!$C$2='Data Validation'!$A$2,INDEX(AY4:AY124,MATCH(INDEX(AU4:AU124,MATCH('Adjustment Surface'!C14,AU4:AU124,1)),AT4:AT124,1)),IF('Adjustment Surface'!$C$2='Data Validation'!$A$3,INDEX(AZ4:AZ124,MATCH(INDEX(AU4:AU124,MATCH('Adjustment Surface'!C14,AU4:AU124,1)),AT4:AT124,1)),"Unknown Option Type")))/(INDEX(BA4:BA124,MATCH(INDEX(AU4:AU124,MATCH('Adjustment Surface'!C14,AU4:AU124,1)),AT4:AT124,1))*SQRT(((('Adjustment Surface'!C14-INDEX(AU4:AU124,MATCH('Adjustment Surface'!C14,AU4:AU124,1)))/360)+INDEX(AW4:AW124,MATCH(INDEX(AU4:AU124,MATCH('Adjustment Surface'!C14,AU4:AU124,1)),AU4:AU124,0))))),0,1,FALSE))))*(1/((1+INDEX(AZ4:AZ124,MATCH(INDEX(AU4:AU124,MATCH('Adjustment Surface'!C14,AU4:AU124,1)),AT4:AT124,1)))^(('Adjustment Surface'!C14-AT4)/360)))*(('Adjustment Surface'!C14-INDEX(AU4:AU124,MATCH('Adjustment Surface'!C14,AU4:AU124,1)))/360)*INDEX(AX4:AX124,MATCH(INDEX(AU4:AU124,MATCH('Adjustment Surface'!C14,AU4:AU124,1)),AT4:AT124,1)))</f>
        <v>5325.380319487309</v>
      </c>
      <c r="D5" s="21">
        <f>INDEX(BE4:BE124,MATCH(INDEX(AU4:AU124,MATCH('Adjustment Surface'!D14,AU4:AU124,1)),AU4:AU124,0))+((((IF('Adjustment Surface'!$C$2='Data Validation'!$A$2,INDEX(AZ4:AZ124,MATCH(INDEX(AU4:AU124,MATCH('Adjustment Surface'!D14,AU4:AU124,1)),AT4:AT124,1)),IF('Adjustment Surface'!$C$2='Data Validation'!$A$3,INDEX(AY4:AY124,MATCH(INDEX(AU4:AU124,MATCH('Adjustment Surface'!D14,AU4:AU124,1)),AT4:AT124,1)),"Unknown Option Type"))-IF('Adjustment Surface'!$C$2='Data Validation'!$A$2,INDEX(AY4:AY124,MATCH(INDEX(AU4:AU124,MATCH('Adjustment Surface'!D14,AU4:AU124,1)),AT4:AT124,1)),IF('Adjustment Surface'!$C$2='Data Validation'!$A$3,INDEX(AZ4:AZ124,MATCH(INDEX(AU4:AU124,MATCH('Adjustment Surface'!D14,AU4:AU124,1)),AT4:AT124,1)),"Unknown Option Type")))*(NORMDIST((IF('Adjustment Surface'!$C$2='Data Validation'!$A$2,INDEX(AZ4:AZ124,MATCH(INDEX(AU4:AU124,MATCH('Adjustment Surface'!D14,AU4:AU124,1)),AT4:AT124,1)),IF('Adjustment Surface'!$C$2='Data Validation'!$A$3,INDEX(AY4:AY124,MATCH(INDEX(AU4:AU124,MATCH('Adjustment Surface'!D14,AU4:AU124,1)),AT4:AT124,1)),"Unknown Option Type"))-IF('Adjustment Surface'!$C$2='Data Validation'!$A$2,INDEX(AY4:AY124,MATCH(INDEX(AU4:AU124,MATCH('Adjustment Surface'!D14,AU4:AU124,1)),AT4:AT124,1)),IF('Adjustment Surface'!$C$2='Data Validation'!$A$3,INDEX(AZ4:AZ124,MATCH(INDEX(AU4:AU124,MATCH('Adjustment Surface'!D14,AU4:AU124,1)),AT4:AT124,1)),"Unknown Option Type")))/(INDEX(BA4:BA124,MATCH(INDEX(AU4:AU124,MATCH('Adjustment Surface'!D14,AU4:AU124,1)),AT4:AT124,1))*SQRT(((('Adjustment Surface'!D14-INDEX(AU4:AU124,MATCH('Adjustment Surface'!D14,AU4:AU124,1)))/360)+INDEX(AW4:AW124,MATCH(INDEX(AU4:AU124,MATCH('Adjustment Surface'!D14,AU4:AU124,1)),AU4:AU124,0))))),0,1,TRUE)))+((INDEX(BA4:BA124,MATCH(INDEX(AU4:AU124,MATCH('Adjustment Surface'!D14,AU4:AU124,1)),AT4:AT124,1))*SQRT(((('Adjustment Surface'!D14-INDEX(AU4:AU124,MATCH('Adjustment Surface'!D14,AU4:AU124,1)))/360)+INDEX(AW4:AW124,MATCH(INDEX(AU4:AU124,MATCH('Adjustment Surface'!D14,AU4:AU124,1)),AU4:AU124,0)))))*(NORMDIST((IF('Adjustment Surface'!$C$2='Data Validation'!$A$2,INDEX(AZ4:AZ124,MATCH(INDEX(AU4:AU124,MATCH('Adjustment Surface'!D14,AU4:AU124,1)),AT4:AT124,1)),IF('Adjustment Surface'!$C$2='Data Validation'!$A$3,INDEX(AY4:AY124,MATCH(INDEX(AU4:AU124,MATCH('Adjustment Surface'!D14,AU4:AU124,1)),AT4:AT124,1)),"Unknown Option Type"))-IF('Adjustment Surface'!$C$2='Data Validation'!$A$2,INDEX(AY4:AY124,MATCH(INDEX(AU4:AU124,MATCH('Adjustment Surface'!D14,AU4:AU124,1)),AT4:AT124,1)),IF('Adjustment Surface'!$C$2='Data Validation'!$A$3,INDEX(AZ4:AZ124,MATCH(INDEX(AU4:AU124,MATCH('Adjustment Surface'!D14,AU4:AU124,1)),AT4:AT124,1)),"Unknown Option Type")))/(INDEX(BA4:BA124,MATCH(INDEX(AU4:AU124,MATCH('Adjustment Surface'!D14,AU4:AU124,1)),AT4:AT124,1))*SQRT(((('Adjustment Surface'!D14-INDEX(AU4:AU124,MATCH('Adjustment Surface'!D14,AU4:AU124,1)))/360)+INDEX(AW4:AW124,MATCH(INDEX(AU4:AU124,MATCH('Adjustment Surface'!D14,AU4:AU124,1)),AU4:AU124,0))))),0,1,FALSE))))*(1/((1+INDEX(AZ4:AZ124,MATCH(INDEX(AU4:AU124,MATCH('Adjustment Surface'!D14,AU4:AU124,1)),AT4:AT124,1)))^(('Adjustment Surface'!D14-AT4)/360)))*(('Adjustment Surface'!D14-INDEX(AU4:AU124,MATCH('Adjustment Surface'!D14,AU4:AU124,1)))/360)*INDEX(AX4:AX124,MATCH(INDEX(AU4:AU124,MATCH('Adjustment Surface'!D14,AU4:AU124,1)),AT4:AT124,1)))</f>
        <v>30522.906748097321</v>
      </c>
      <c r="E5" s="21">
        <f>INDEX(BE4:BE124,MATCH(INDEX(AU4:AU124,MATCH('Adjustment Surface'!E14,AU4:AU124,1)),AU4:AU124,0))+((((IF('Adjustment Surface'!$C$2='Data Validation'!$A$2,INDEX(AZ4:AZ124,MATCH(INDEX(AU4:AU124,MATCH('Adjustment Surface'!E14,AU4:AU124,1)),AT4:AT124,1)),IF('Adjustment Surface'!$C$2='Data Validation'!$A$3,INDEX(AY4:AY124,MATCH(INDEX(AU4:AU124,MATCH('Adjustment Surface'!E14,AU4:AU124,1)),AT4:AT124,1)),"Unknown Option Type"))-IF('Adjustment Surface'!$C$2='Data Validation'!$A$2,INDEX(AY4:AY124,MATCH(INDEX(AU4:AU124,MATCH('Adjustment Surface'!E14,AU4:AU124,1)),AT4:AT124,1)),IF('Adjustment Surface'!$C$2='Data Validation'!$A$3,INDEX(AZ4:AZ124,MATCH(INDEX(AU4:AU124,MATCH('Adjustment Surface'!E14,AU4:AU124,1)),AT4:AT124,1)),"Unknown Option Type")))*(NORMDIST((IF('Adjustment Surface'!$C$2='Data Validation'!$A$2,INDEX(AZ4:AZ124,MATCH(INDEX(AU4:AU124,MATCH('Adjustment Surface'!E14,AU4:AU124,1)),AT4:AT124,1)),IF('Adjustment Surface'!$C$2='Data Validation'!$A$3,INDEX(AY4:AY124,MATCH(INDEX(AU4:AU124,MATCH('Adjustment Surface'!E14,AU4:AU124,1)),AT4:AT124,1)),"Unknown Option Type"))-IF('Adjustment Surface'!$C$2='Data Validation'!$A$2,INDEX(AY4:AY124,MATCH(INDEX(AU4:AU124,MATCH('Adjustment Surface'!E14,AU4:AU124,1)),AT4:AT124,1)),IF('Adjustment Surface'!$C$2='Data Validation'!$A$3,INDEX(AZ4:AZ124,MATCH(INDEX(AU4:AU124,MATCH('Adjustment Surface'!E14,AU4:AU124,1)),AT4:AT124,1)),"Unknown Option Type")))/(INDEX(BA4:BA124,MATCH(INDEX(AU4:AU124,MATCH('Adjustment Surface'!E14,AU4:AU124,1)),AT4:AT124,1))*SQRT(((('Adjustment Surface'!E14-INDEX(AU4:AU124,MATCH('Adjustment Surface'!E14,AU4:AU124,1)))/360)+INDEX(AW4:AW124,MATCH(INDEX(AU4:AU124,MATCH('Adjustment Surface'!E14,AU4:AU124,1)),AU4:AU124,0))))),0,1,TRUE)))+((INDEX(BA4:BA124,MATCH(INDEX(AU4:AU124,MATCH('Adjustment Surface'!E14,AU4:AU124,1)),AT4:AT124,1))*SQRT(((('Adjustment Surface'!E14-INDEX(AU4:AU124,MATCH('Adjustment Surface'!E14,AU4:AU124,1)))/360)+INDEX(AW4:AW124,MATCH(INDEX(AU4:AU124,MATCH('Adjustment Surface'!E14,AU4:AU124,1)),AU4:AU124,0)))))*(NORMDIST((IF('Adjustment Surface'!$C$2='Data Validation'!$A$2,INDEX(AZ4:AZ124,MATCH(INDEX(AU4:AU124,MATCH('Adjustment Surface'!E14,AU4:AU124,1)),AT4:AT124,1)),IF('Adjustment Surface'!$C$2='Data Validation'!$A$3,INDEX(AY4:AY124,MATCH(INDEX(AU4:AU124,MATCH('Adjustment Surface'!E14,AU4:AU124,1)),AT4:AT124,1)),"Unknown Option Type"))-IF('Adjustment Surface'!$C$2='Data Validation'!$A$2,INDEX(AY4:AY124,MATCH(INDEX(AU4:AU124,MATCH('Adjustment Surface'!E14,AU4:AU124,1)),AT4:AT124,1)),IF('Adjustment Surface'!$C$2='Data Validation'!$A$3,INDEX(AZ4:AZ124,MATCH(INDEX(AU4:AU124,MATCH('Adjustment Surface'!E14,AU4:AU124,1)),AT4:AT124,1)),"Unknown Option Type")))/(INDEX(BA4:BA124,MATCH(INDEX(AU4:AU124,MATCH('Adjustment Surface'!E14,AU4:AU124,1)),AT4:AT124,1))*SQRT(((('Adjustment Surface'!E14-INDEX(AU4:AU124,MATCH('Adjustment Surface'!E14,AU4:AU124,1)))/360)+INDEX(AW4:AW124,MATCH(INDEX(AU4:AU124,MATCH('Adjustment Surface'!E14,AU4:AU124,1)),AU4:AU124,0))))),0,1,FALSE))))*(1/((1+INDEX(AZ4:AZ124,MATCH(INDEX(AU4:AU124,MATCH('Adjustment Surface'!E14,AU4:AU124,1)),AT4:AT124,1)))^(('Adjustment Surface'!E14-AT4)/360)))*(('Adjustment Surface'!E14-INDEX(AU4:AU124,MATCH('Adjustment Surface'!E14,AU4:AU124,1)))/360)*INDEX(AX4:AX124,MATCH(INDEX(AU4:AU124,MATCH('Adjustment Surface'!E14,AU4:AU124,1)),AT4:AT124,1)))</f>
        <v>94346.051621764578</v>
      </c>
      <c r="F5" s="21">
        <f>INDEX(BE4:BE124,MATCH(INDEX(AU4:AU124,MATCH('Adjustment Surface'!F14,AU4:AU124,1)),AU4:AU124,0))+((((IF('Adjustment Surface'!$C$2='Data Validation'!$A$2,INDEX(AZ4:AZ124,MATCH(INDEX(AU4:AU124,MATCH('Adjustment Surface'!F14,AU4:AU124,1)),AT4:AT124,1)),IF('Adjustment Surface'!$C$2='Data Validation'!$A$3,INDEX(AY4:AY124,MATCH(INDEX(AU4:AU124,MATCH('Adjustment Surface'!F14,AU4:AU124,1)),AT4:AT124,1)),"Unknown Option Type"))-IF('Adjustment Surface'!$C$2='Data Validation'!$A$2,INDEX(AY4:AY124,MATCH(INDEX(AU4:AU124,MATCH('Adjustment Surface'!F14,AU4:AU124,1)),AT4:AT124,1)),IF('Adjustment Surface'!$C$2='Data Validation'!$A$3,INDEX(AZ4:AZ124,MATCH(INDEX(AU4:AU124,MATCH('Adjustment Surface'!F14,AU4:AU124,1)),AT4:AT124,1)),"Unknown Option Type")))*(NORMDIST((IF('Adjustment Surface'!$C$2='Data Validation'!$A$2,INDEX(AZ4:AZ124,MATCH(INDEX(AU4:AU124,MATCH('Adjustment Surface'!F14,AU4:AU124,1)),AT4:AT124,1)),IF('Adjustment Surface'!$C$2='Data Validation'!$A$3,INDEX(AY4:AY124,MATCH(INDEX(AU4:AU124,MATCH('Adjustment Surface'!F14,AU4:AU124,1)),AT4:AT124,1)),"Unknown Option Type"))-IF('Adjustment Surface'!$C$2='Data Validation'!$A$2,INDEX(AY4:AY124,MATCH(INDEX(AU4:AU124,MATCH('Adjustment Surface'!F14,AU4:AU124,1)),AT4:AT124,1)),IF('Adjustment Surface'!$C$2='Data Validation'!$A$3,INDEX(AZ4:AZ124,MATCH(INDEX(AU4:AU124,MATCH('Adjustment Surface'!F14,AU4:AU124,1)),AT4:AT124,1)),"Unknown Option Type")))/(INDEX(BA4:BA124,MATCH(INDEX(AU4:AU124,MATCH('Adjustment Surface'!F14,AU4:AU124,1)),AT4:AT124,1))*SQRT(((('Adjustment Surface'!F14-INDEX(AU4:AU124,MATCH('Adjustment Surface'!F14,AU4:AU124,1)))/360)+INDEX(AW4:AW124,MATCH(INDEX(AU4:AU124,MATCH('Adjustment Surface'!F14,AU4:AU124,1)),AU4:AU124,0))))),0,1,TRUE)))+((INDEX(BA4:BA124,MATCH(INDEX(AU4:AU124,MATCH('Adjustment Surface'!F14,AU4:AU124,1)),AT4:AT124,1))*SQRT(((('Adjustment Surface'!F14-INDEX(AU4:AU124,MATCH('Adjustment Surface'!F14,AU4:AU124,1)))/360)+INDEX(AW4:AW124,MATCH(INDEX(AU4:AU124,MATCH('Adjustment Surface'!F14,AU4:AU124,1)),AU4:AU124,0)))))*(NORMDIST((IF('Adjustment Surface'!$C$2='Data Validation'!$A$2,INDEX(AZ4:AZ124,MATCH(INDEX(AU4:AU124,MATCH('Adjustment Surface'!F14,AU4:AU124,1)),AT4:AT124,1)),IF('Adjustment Surface'!$C$2='Data Validation'!$A$3,INDEX(AY4:AY124,MATCH(INDEX(AU4:AU124,MATCH('Adjustment Surface'!F14,AU4:AU124,1)),AT4:AT124,1)),"Unknown Option Type"))-IF('Adjustment Surface'!$C$2='Data Validation'!$A$2,INDEX(AY4:AY124,MATCH(INDEX(AU4:AU124,MATCH('Adjustment Surface'!F14,AU4:AU124,1)),AT4:AT124,1)),IF('Adjustment Surface'!$C$2='Data Validation'!$A$3,INDEX(AZ4:AZ124,MATCH(INDEX(AU4:AU124,MATCH('Adjustment Surface'!F14,AU4:AU124,1)),AT4:AT124,1)),"Unknown Option Type")))/(INDEX(BA4:BA124,MATCH(INDEX(AU4:AU124,MATCH('Adjustment Surface'!F14,AU4:AU124,1)),AT4:AT124,1))*SQRT(((('Adjustment Surface'!F14-INDEX(AU4:AU124,MATCH('Adjustment Surface'!F14,AU4:AU124,1)))/360)+INDEX(AW4:AW124,MATCH(INDEX(AU4:AU124,MATCH('Adjustment Surface'!F14,AU4:AU124,1)),AU4:AU124,0))))),0,1,FALSE))))*(1/((1+INDEX(AZ4:AZ124,MATCH(INDEX(AU4:AU124,MATCH('Adjustment Surface'!F14,AU4:AU124,1)),AT4:AT124,1)))^(('Adjustment Surface'!F14-AT4)/360)))*(('Adjustment Surface'!F14-INDEX(AU4:AU124,MATCH('Adjustment Surface'!F14,AU4:AU124,1)))/360)*INDEX(AX4:AX124,MATCH(INDEX(AU4:AU124,MATCH('Adjustment Surface'!F14,AU4:AU124,1)),AT4:AT124,1)))</f>
        <v>193375.26671352843</v>
      </c>
      <c r="G5" s="76"/>
      <c r="I5" s="3">
        <v>2</v>
      </c>
      <c r="J5" s="4">
        <f>IF(K4='Adjustment Surface'!C$8,"",K4)</f>
        <v>46092</v>
      </c>
      <c r="K5" s="4">
        <f>IF(J5="","",IF(J5&lt;'Adjustment Surface'!C$7,EDATE(J$5,COUNT(J$5:J5)),IF(J5='Adjustment Surface'!C$7,'Adjustment Surface'!C$8,'Adjustment Surface'!C$7)))</f>
        <v>46123</v>
      </c>
      <c r="L5" s="3">
        <f t="shared" ref="L5:L68" si="1">IF(I5="","",K5-J5)</f>
        <v>31</v>
      </c>
      <c r="M5" s="5">
        <f>IF(I5="","",(K5-'Rate &amp; Vol Update'!$C$2)/360)</f>
        <v>0.16388888888888889</v>
      </c>
      <c r="N5" s="15">
        <f>IF(I5="","",IF('Adjustment Surface'!C$3='Data Validation'!$C$2,'Adjustment Surface'!C$4,IF(INDEX(Schedules!$E$3:$E$123,MATCH('Bachelier Model'!J5,Schedules!$B$3:$B$123,0))="",N4,INDEX(Schedules!$E$3:$E$123,MATCH('Bachelier Model'!J5,Schedules!$B$3:$B$123,0)))))</f>
        <v>25000000</v>
      </c>
      <c r="O5" s="16">
        <f>IF(I5="","",IF('Adjustment Surface'!C$9='Data Validation'!$D$2,'Adjustment Surface'!C$10,IF(INDEX(Schedules!$H$3:$H$123,MATCH('Bachelier Model'!J5,Schedules!$B$3:$B$123,0))="",O4,INDEX(Schedules!$H$3:$H$123,MATCH('Bachelier Model'!J5,Schedules!$B$3:$B$123,0)))))</f>
        <v>0.02</v>
      </c>
      <c r="P5" s="16" cm="1">
        <f t="array" ref="P5">IF(I5="","",FORECAST(J5,INDEX('Rate &amp; Vol Update'!$C$6:$C$127,MATCH(INDEX('Rate &amp; Vol Update'!$B$6:$B$127,MATCH(J5,'Rate &amp; Vol Update'!$B$6:$B$127,1)),'Rate &amp; Vol Update'!$B$6:$B$127,0)+IF('Adjustment Surface'!C$11='Data Validation'!$E$3,-1,0)):INDEX('Rate &amp; Vol Update'!$C$6:$C$127,MATCH(INDEX('Rate &amp; Vol Update'!$B$6:$B$127,MATCH(J5,'Rate &amp; Vol Update'!$B$6:$B$127,1)+1),'Rate &amp; Vol Update'!$B$6:$B$127,0)+IF('Adjustment Surface'!C$11='Data Validation'!$E$3,-1,0)),INDEX('Rate &amp; Vol Update'!$B$6:$B$127,MATCH(J5,'Rate &amp; Vol Update'!$B$6:$B$127,1)):INDEX('Rate &amp; Vol Update'!$B$6:$B$127,MATCH(J5,'Rate &amp; Vol Update'!$B$6:$B$127,1)+1))/100)</f>
        <v>3.6488071335794528E-2</v>
      </c>
      <c r="Q5" s="16" cm="1">
        <f t="array" ref="Q5">IF(I5="","",IF(J5&lt;'Rate &amp; Vol Update'!$C$2,0.001%,(1/((INDEX('Rate &amp; Vol Update'!$E$6:$Z$6,1,MATCH(O5,'Rate &amp; Vol Update'!$E$6:$Z$6,1)+1)-INDEX('Rate &amp; Vol Update'!$E$6:$Z$6,1,MATCH(O5,'Rate &amp; Vol Update'!$E$6:$Z$6,1)))*(INDEX('Rate &amp; Vol Update'!$B$8:$B$127,MATCH(J5,'Rate &amp; Vol Update'!$B$8:$B$127,1)+1)-INDEX('Rate &amp; Vol Update'!$B$8:$B$127,MATCH(J5,'Rate &amp; Vol Update'!$B$8:$B$127,1))))*(INDEX('Rate &amp; Vol Update'!$E$8:$Z$127,MATCH(INDEX('Rate &amp; Vol Update'!$B$8:$B$127,MATCH(J5,'Rate &amp; Vol Update'!$B$8:$B$127,1)),'Rate &amp; Vol Update'!$B$8:$B$127,0),MATCH(INDEX('Rate &amp; Vol Update'!$E$6:$Z$6,1,MATCH(O5,'Rate &amp; Vol Update'!$E$6:$Z$6,1)),'Rate &amp; Vol Update'!$E$6:$Z$6,0))*(INDEX('Rate &amp; Vol Update'!$E$6:$Z$6,1,MATCH(O5,'Rate &amp; Vol Update'!$E$6:$Z$6,1)+1)-O5)*(INDEX('Rate &amp; Vol Update'!$B$8:$B$127,MATCH(J5,'Rate &amp; Vol Update'!$B$8:$B$127,1)+1)-J5)+INDEX('Rate &amp; Vol Update'!$E$8:$Z$127,MATCH(INDEX('Rate &amp; Vol Update'!$B$8:$B$127,MATCH(J5,'Rate &amp; Vol Update'!$B$8:$B$127,1)),'Rate &amp; Vol Update'!$B$8:$B$127,0),MATCH(INDEX('Rate &amp; Vol Update'!$E$6:$Z$6,1,MATCH(O5,'Rate &amp; Vol Update'!$E$6:$Z$6,1)+1),'Rate &amp; Vol Update'!$E$6:$Z$6,0))*(O5-INDEX('Rate &amp; Vol Update'!$E$6:$Z$6,1,MATCH(O5,'Rate &amp; Vol Update'!$E$6:$Z$6,1)))*(INDEX('Rate &amp; Vol Update'!$B$8:$B$127,MATCH(J5,'Rate &amp; Vol Update'!$B$8:$B$127,1)+1)-J5)+INDEX('Rate &amp; Vol Update'!$E$8:$Z$127,MATCH(INDEX('Rate &amp; Vol Update'!$B$8:$B$127,MATCH(J5,'Rate &amp; Vol Update'!$B$8:$B$127,1)+1),'Rate &amp; Vol Update'!$B$8:$B$127,0),MATCH(INDEX('Rate &amp; Vol Update'!$E$6:$Z$6,1,MATCH(O5,'Rate &amp; Vol Update'!$E$6:$Z$6,1)),'Rate &amp; Vol Update'!$E$6:$Z$6,0))*(INDEX('Rate &amp; Vol Update'!$E$6:$Z$6,1,MATCH(O5,'Rate &amp; Vol Update'!$E$6:$Z$6,1)+1)-O5)*(J5-INDEX('Rate &amp; Vol Update'!$B$8:$B$127,MATCH(J5,'Rate &amp; Vol Update'!$B$8:$B$127,1)))+INDEX('Rate &amp; Vol Update'!$E$8:$Z$127,MATCH(INDEX('Rate &amp; Vol Update'!$B$8:$B$127,MATCH(J5,'Rate &amp; Vol Update'!$B$8:$B$127,1)+1),'Rate &amp; Vol Update'!$B$8:$B$127,0),MATCH(INDEX('Rate &amp; Vol Update'!$E$6:$Z$6,1,MATCH(O5,'Rate &amp; Vol Update'!$E$6:$Z$6,1)+1),'Rate &amp; Vol Update'!$E$6:$Z$6,0))*(O5-INDEX('Rate &amp; Vol Update'!$E$6:$Z$6,1,MATCH(O5,'Rate &amp; Vol Update'!$E$6:$Z$6,1)))*(J5-INDEX('Rate &amp; Vol Update'!$B$8:$B$127,MATCH(J5,'Rate &amp; Vol Update'!$B$8:$B$127,1)))))*0.01%))</f>
        <v>9.4035918210117701E-3</v>
      </c>
      <c r="R5" s="5">
        <f>IF(I5="","",1/((1+P5)^((K5-'Rate &amp; Vol Update'!$C$2)/360)))</f>
        <v>0.99414374148836593</v>
      </c>
      <c r="T5" s="15">
        <f>IF(I5="","",IF(J5&lt;'Rate &amp; Vol Update'!$C$2,MAX(0,P5-O5)*(L5/360)*N5,(((IF('Adjustment Surface'!C$2='Data Validation'!$A$2,P5,IF('Adjustment Surface'!C$2='Data Validation'!$A$3,O5,"Unknown Option Type"))-IF('Adjustment Surface'!C$2='Data Validation'!$A$2,O5,IF('Adjustment Surface'!C$2='Data Validation'!$A$3,P5,"Unknown Option Type")))*(NORMDIST((IF('Adjustment Surface'!C$2='Data Validation'!$A$2,P5,IF('Adjustment Surface'!C$2='Data Validation'!$A$3,O5,"Unknown Option Type"))-IF('Adjustment Surface'!C$2='Data Validation'!$A$2,O5,IF('Adjustment Surface'!C$2='Data Validation'!$A$3,P5,"Unknown Option Type")))/(Q5*SQRT(M5)),0,1,TRUE)))+((Q5*SQRT(M5))*(NORMDIST((IF('Adjustment Surface'!C$2='Data Validation'!$A$2,P5,IF('Adjustment Surface'!C$2='Data Validation'!$A$3,O5,"Unknown Option Type"))-IF('Adjustment Surface'!C$2='Data Validation'!$A$2,O5,IF('Adjustment Surface'!C$2='Data Validation'!$A$3,P5,"Unknown Option Type")))/(Q5*SQRT(M5)),0,1,FALSE))))*R5*(L5/360)*N5))</f>
        <v>35287.297530501062</v>
      </c>
      <c r="U5" s="15">
        <f>IF(I5="","",SUM(T$4:T5))</f>
        <v>67467.988476501065</v>
      </c>
      <c r="W5" s="15">
        <f>IF(I5="","",IF(J5&lt;'Rate &amp; Vol Update'!$C$2,0,((((((IF('Adjustment Surface'!C$2='Data Validation'!$A$2,P5,IF('Adjustment Surface'!C$2='Data Validation'!$A$3,O5,"Unknown Option Type"))-IF('Adjustment Surface'!C$2='Data Validation'!$A$2,O5,IF('Adjustment Surface'!C$2='Data Validation'!$A$3,P5,"Unknown Option Type")))*(NORMDIST((IF('Adjustment Surface'!C$2='Data Validation'!$A$2,P5,IF('Adjustment Surface'!C$2='Data Validation'!$A$3,O5,"Unknown Option Type"))-IF('Adjustment Surface'!C$2='Data Validation'!$A$2,O5,IF('Adjustment Surface'!C$2='Data Validation'!$A$3,P5,"Unknown Option Type")))/((Q5+0.01%)*SQRT(M5)),0,1,TRUE)))+(((Q5+0.01%)*SQRT(M5))*(NORMDIST((IF('Adjustment Surface'!C$2='Data Validation'!$A$2,P5,IF('Adjustment Surface'!C$2='Data Validation'!$A$3,O5,"Unknown Option Type"))-IF('Adjustment Surface'!C$2='Data Validation'!$A$2,O5,IF('Adjustment Surface'!C$2='Data Validation'!$A$3,P5,"Unknown Option Type")))/((Q5+0.01%)*SQRT(M5)),0,1,FALSE))))*R5*(L5/360))-(T5/N5))*N5)*R5))</f>
        <v>3.2080567065245467E-3</v>
      </c>
      <c r="X5" s="15">
        <f>IF(I5="","",SUM(W$4:W5))</f>
        <v>3.2080869902495947E-3</v>
      </c>
      <c r="Y5" s="15"/>
      <c r="Z5" s="20"/>
      <c r="AA5" s="3">
        <v>2</v>
      </c>
      <c r="AB5" s="4">
        <f>IF(AC4=MAX('Adjustment Surface'!$C$14:$F$14),"",AC4)</f>
        <v>46092</v>
      </c>
      <c r="AC5" s="4">
        <f>IF(AB5="","",IF(AB5&lt;EDATE('Adjustment Surface'!$C$6,DATEDIF('Adjustment Surface'!$C$6,MAX('Adjustment Surface'!$C$14:$F$14),"M")),EDATE(AB$5,COUNT(AB$5:AB5)),IF(AB5=EDATE('Adjustment Surface'!$C$6,DATEDIF('Adjustment Surface'!$C$6,MAX('Adjustment Surface'!$C$14:$F$14),"M")),MAX('Adjustment Surface'!$C$14:$F$14),EDATE('Adjustment Surface'!$C$6,DATEDIF('Adjustment Surface'!$C$6,MAX('Adjustment Surface'!$C$14:$F$14),"M")))))</f>
        <v>46123</v>
      </c>
      <c r="AD5" s="3">
        <f t="shared" ref="AD5:AD68" si="2">IF(AA5="","",AC5-AB5)</f>
        <v>31</v>
      </c>
      <c r="AE5" s="5">
        <f>IF(AA5="","",(AC5-'Rate &amp; Vol Update'!$C$2)/360)</f>
        <v>0.16388888888888889</v>
      </c>
      <c r="AF5" s="15">
        <f>IF(AA5="","",IF('Adjustment Surface'!$C$3='Data Validation'!$C$2,'Adjustment Surface'!$C$4,_xlfn.IFNA(IF(INDEX(Schedules!$E$3:$E$123,MATCH('Bachelier Model'!AB5,Schedules!$B$3:$B$123,0))="",AF4,INDEX(Schedules!$E$3:$E$123,MATCH('Bachelier Model'!AB5,Schedules!$B$3:$B$123,0))),AF4)))</f>
        <v>25000000</v>
      </c>
      <c r="AG5" s="16">
        <f>IF(AA5="","",'Adjustment Surface'!B$15)</f>
        <v>0.03</v>
      </c>
      <c r="AH5" s="16" cm="1">
        <f t="array" ref="AH5">IF(AA5="","",FORECAST(AB5,INDEX('Rate &amp; Vol Update'!$C$6:$C$127,MATCH(INDEX('Rate &amp; Vol Update'!$B$6:$B$127,MATCH(AB5,'Rate &amp; Vol Update'!$B$6:$B$127,1)),'Rate &amp; Vol Update'!$B$6:$B$127,0)+IF('Adjustment Surface'!$C$11='Data Validation'!$E$3,-1,0)):INDEX('Rate &amp; Vol Update'!$C$6:$C$127,MATCH(INDEX('Rate &amp; Vol Update'!$B$6:$B$127,MATCH(AB5,'Rate &amp; Vol Update'!$B$6:$B$127,1)+1),'Rate &amp; Vol Update'!$B$6:$B$127,0)+IF('Adjustment Surface'!$C$11='Data Validation'!$E$3,-1,0)),INDEX('Rate &amp; Vol Update'!$B$6:$B$127,MATCH(AB5,'Rate &amp; Vol Update'!$B$6:$B$127,1)):INDEX('Rate &amp; Vol Update'!$B$6:$B$127,MATCH(AB5,'Rate &amp; Vol Update'!$B$6:$B$127,1)+1))/100)</f>
        <v>3.6488071335794528E-2</v>
      </c>
      <c r="AI5" s="16" cm="1">
        <f t="array" ref="AI5">IF(AA5="","",IF(AB5&lt;'Rate &amp; Vol Update'!$C$2,0.001%,(1/((INDEX('Rate &amp; Vol Update'!$E$6:$Z$6,1,MATCH(AG5,'Rate &amp; Vol Update'!$E$6:$Z$6,1)+1)-INDEX('Rate &amp; Vol Update'!$E$6:$Z$6,1,MATCH(AG5,'Rate &amp; Vol Update'!$E$6:$Z$6,1)))*(INDEX('Rate &amp; Vol Update'!$B$8:$B$127,MATCH(AB5,'Rate &amp; Vol Update'!$B$8:$B$127,1)+1)-INDEX('Rate &amp; Vol Update'!$B$8:$B$127,MATCH(AB5,'Rate &amp; Vol Update'!$B$8:$B$127,1))))*(INDEX('Rate &amp; Vol Update'!$E$8:$Z$127,MATCH(INDEX('Rate &amp; Vol Update'!$B$8:$B$127,MATCH(AB5,'Rate &amp; Vol Update'!$B$8:$B$127,1)),'Rate &amp; Vol Update'!$B$8:$B$127,0),MATCH(INDEX('Rate &amp; Vol Update'!$E$6:$Z$6,1,MATCH(AG5,'Rate &amp; Vol Update'!$E$6:$Z$6,1)),'Rate &amp; Vol Update'!$E$6:$Z$6,0))*(INDEX('Rate &amp; Vol Update'!$E$6:$Z$6,1,MATCH(AG5,'Rate &amp; Vol Update'!$E$6:$Z$6,1)+1)-AG5)*(INDEX('Rate &amp; Vol Update'!$B$8:$B$127,MATCH(AB5,'Rate &amp; Vol Update'!$B$8:$B$127,1)+1)-AB5)+INDEX('Rate &amp; Vol Update'!$E$8:$Z$127,MATCH(INDEX('Rate &amp; Vol Update'!$B$8:$B$127,MATCH(AB5,'Rate &amp; Vol Update'!$B$8:$B$127,1)),'Rate &amp; Vol Update'!$B$8:$B$127,0),MATCH(INDEX('Rate &amp; Vol Update'!$E$6:$Z$6,1,MATCH(AG5,'Rate &amp; Vol Update'!$E$6:$Z$6,1)+1),'Rate &amp; Vol Update'!$E$6:$Z$6,0))*(AG5-INDEX('Rate &amp; Vol Update'!$E$6:$Z$6,1,MATCH(AG5,'Rate &amp; Vol Update'!$E$6:$Z$6,1)))*(INDEX('Rate &amp; Vol Update'!$B$8:$B$127,MATCH(AB5,'Rate &amp; Vol Update'!$B$8:$B$127,1)+1)-AB5)+INDEX('Rate &amp; Vol Update'!$E$8:$Z$127,MATCH(INDEX('Rate &amp; Vol Update'!$B$8:$B$127,MATCH(AB5,'Rate &amp; Vol Update'!$B$8:$B$127,1)+1),'Rate &amp; Vol Update'!$B$8:$B$127,0),MATCH(INDEX('Rate &amp; Vol Update'!$E$6:$Z$6,1,MATCH(AG5,'Rate &amp; Vol Update'!$E$6:$Z$6,1)),'Rate &amp; Vol Update'!$E$6:$Z$6,0))*(INDEX('Rate &amp; Vol Update'!$E$6:$Z$6,1,MATCH(AG5,'Rate &amp; Vol Update'!$E$6:$Z$6,1)+1)-AG5)*(AB5-INDEX('Rate &amp; Vol Update'!$B$8:$B$127,MATCH(AB5,'Rate &amp; Vol Update'!$B$8:$B$127,1)))+INDEX('Rate &amp; Vol Update'!$E$8:$Z$127,MATCH(INDEX('Rate &amp; Vol Update'!$B$8:$B$127,MATCH(AB5,'Rate &amp; Vol Update'!$B$8:$B$127,1)+1),'Rate &amp; Vol Update'!$B$8:$B$127,0),MATCH(INDEX('Rate &amp; Vol Update'!$E$6:$Z$6,1,MATCH(AG5,'Rate &amp; Vol Update'!$E$6:$Z$6,1)+1),'Rate &amp; Vol Update'!$E$6:$Z$6,0))*(AG5-INDEX('Rate &amp; Vol Update'!$E$6:$Z$6,1,MATCH(AG5,'Rate &amp; Vol Update'!$E$6:$Z$6,1)))*(AB5-INDEX('Rate &amp; Vol Update'!$B$8:$B$127,MATCH(AB5,'Rate &amp; Vol Update'!$B$8:$B$127,1)))))*0.01%))</f>
        <v>7.3155792230450104E-3</v>
      </c>
      <c r="AJ5" s="5">
        <f>IF(AA5="","",1/((1+AH5)^((AC5-'Rate &amp; Vol Update'!$C$2)/360)))</f>
        <v>0.99414374148836593</v>
      </c>
      <c r="AL5" s="15">
        <f>IF(AA5="","",IF(AB5&lt;'Rate &amp; Vol Update'!$C$2,MAX(0,AH5-AG5)*(AD5/360)*AF5,(((IF('Adjustment Surface'!$C$2='Data Validation'!$A$2,AH5,IF('Adjustment Surface'!$C$2='Data Validation'!$A$3,AG5,"Unknown Option Type"))-IF('Adjustment Surface'!$C$2='Data Validation'!$A$2,AG5,IF('Adjustment Surface'!$C$2='Data Validation'!$A$3,AH5,"Unknown Option Type")))*(NORMDIST((IF('Adjustment Surface'!$C$2='Data Validation'!$A$2,AH5,IF('Adjustment Surface'!$C$2='Data Validation'!$A$3,AG5,"Unknown Option Type"))-IF('Adjustment Surface'!$C$2='Data Validation'!$A$2,AG5,IF('Adjustment Surface'!$C$2='Data Validation'!$A$3,AH5,"Unknown Option Type")))/(AI5*SQRT(AE5)),0,1,TRUE)))+((AI5*SQRT(AE5))*(NORMDIST((IF('Adjustment Surface'!$C$2='Data Validation'!$A$2,AH5,IF('Adjustment Surface'!$C$2='Data Validation'!$A$3,AG5,"Unknown Option Type"))-IF('Adjustment Surface'!$C$2='Data Validation'!$A$2,AG5,IF('Adjustment Surface'!$C$2='Data Validation'!$A$3,AH5,"Unknown Option Type")))/(AI5*SQRT(AE5)),0,1,FALSE))))*AJ5*(AD5/360)*AF5))</f>
        <v>13917.379627591961</v>
      </c>
      <c r="AM5" s="15">
        <f>IF(AA5="","",SUM(AL$4:AL5))</f>
        <v>26708.437934307069</v>
      </c>
      <c r="AO5" s="15">
        <f>IF(AA5="","",IF(AB5&lt;'Rate &amp; Vol Update'!$C$2,0,((((((IF('Adjustment Surface'!$C$2='Data Validation'!$A$2,AH5,IF('Adjustment Surface'!$C$2='Data Validation'!$A$3,AG5,"Unknown Option Type"))-IF('Adjustment Surface'!$C$2='Data Validation'!$A$2,AG5,IF('Adjustment Surface'!$C$2='Data Validation'!$A$3,AH5,"Unknown Option Type")))*(NORMDIST((IF('Adjustment Surface'!$C$2='Data Validation'!$A$2,AH5,IF('Adjustment Surface'!$C$2='Data Validation'!$A$3,AG5,"Unknown Option Type"))-IF('Adjustment Surface'!$C$2='Data Validation'!$A$2,AG5,IF('Adjustment Surface'!$C$2='Data Validation'!$A$3,AH5,"Unknown Option Type")))/((AI5+0.01%)*SQRT(AE5)),0,1,TRUE)))+(((AI5+0.01%)*SQRT(AE5))*(NORMDIST((IF('Adjustment Surface'!$C$2='Data Validation'!$A$2,AH5,IF('Adjustment Surface'!$C$2='Data Validation'!$A$3,AG5,"Unknown Option Type"))-IF('Adjustment Surface'!$C$2='Data Validation'!$A$2,AG5,IF('Adjustment Surface'!$C$2='Data Validation'!$A$3,AH5,"Unknown Option Type")))/((AI5+0.01%)*SQRT(AE5)),0,1,FALSE))))*AJ5*(AD5/360))-(AL5/AF5))*AF5)*AJ5))</f>
        <v>3.2213718851374855</v>
      </c>
      <c r="AP5" s="15">
        <f>IF(AA5="","",SUM(AO$4:AO5))</f>
        <v>3.3274055340591109</v>
      </c>
      <c r="AQ5" s="15"/>
      <c r="AR5" s="20"/>
      <c r="AS5" s="3">
        <v>2</v>
      </c>
      <c r="AT5" s="4">
        <f>IF(AU4=MAX('Adjustment Surface'!$C$14:$F$14),"",AU4)</f>
        <v>46092</v>
      </c>
      <c r="AU5" s="4">
        <f>IF(AT5="","",IF(AT5&lt;EDATE('Adjustment Surface'!$C$6,DATEDIF('Adjustment Surface'!$C$6,MAX('Adjustment Surface'!$C$14:$F$14),"M")),EDATE(AT$5,COUNT(AT$5:AT5)),IF(AT5=EDATE('Adjustment Surface'!$C$6,DATEDIF('Adjustment Surface'!$C$6,MAX('Adjustment Surface'!$C$14:$F$14),"M")),MAX('Adjustment Surface'!$C$14:$F$14),EDATE('Adjustment Surface'!$C$6,DATEDIF('Adjustment Surface'!$C$6,MAX('Adjustment Surface'!$C$14:$F$14),"M")))))</f>
        <v>46123</v>
      </c>
      <c r="AV5" s="3">
        <f t="shared" ref="AV5:AV68" si="3">IF(AS5="","",AU5-AT5)</f>
        <v>31</v>
      </c>
      <c r="AW5" s="5">
        <f>IF(AS5="","",(AU5-'Rate &amp; Vol Update'!$C$2)/360)</f>
        <v>0.16388888888888889</v>
      </c>
      <c r="AX5" s="15">
        <f>IF(AS5="","",IF('Adjustment Surface'!$C$3='Data Validation'!$C$2,'Adjustment Surface'!$C$4,_xlfn.IFNA(IF(INDEX(Schedules!$E$3:$E$123,MATCH('Bachelier Model'!AT5,Schedules!$B$3:$B$123,0))="",AX4,INDEX(Schedules!$E$3:$E$123,MATCH('Bachelier Model'!AT5,Schedules!$B$3:$B$123,0))),AX4)))</f>
        <v>25000000</v>
      </c>
      <c r="AY5" s="16">
        <f>IF(AS5="","",'Adjustment Surface'!B$16)</f>
        <v>0.04</v>
      </c>
      <c r="AZ5" s="16" cm="1">
        <f t="array" ref="AZ5">IF(AS5="","",FORECAST(AT5,INDEX('Rate &amp; Vol Update'!$C$6:$C$127,MATCH(INDEX('Rate &amp; Vol Update'!$B$6:$B$127,MATCH(AT5,'Rate &amp; Vol Update'!$B$6:$B$127,1)),'Rate &amp; Vol Update'!$B$6:$B$127,0)+IF('Adjustment Surface'!$C$11='Data Validation'!$E$3,-1,0)):INDEX('Rate &amp; Vol Update'!$C$6:$C$127,MATCH(INDEX('Rate &amp; Vol Update'!$B$6:$B$127,MATCH(AT5,'Rate &amp; Vol Update'!$B$6:$B$127,1)+1),'Rate &amp; Vol Update'!$B$6:$B$127,0)+IF('Adjustment Surface'!$C$11='Data Validation'!$E$3,-1,0)),INDEX('Rate &amp; Vol Update'!$B$6:$B$127,MATCH(AT5,'Rate &amp; Vol Update'!$B$6:$B$127,1)):INDEX('Rate &amp; Vol Update'!$B$6:$B$127,MATCH(AT5,'Rate &amp; Vol Update'!$B$6:$B$127,1)+1))/100)</f>
        <v>3.6488071335794528E-2</v>
      </c>
      <c r="BA5" s="16" cm="1">
        <f t="array" ref="BA5">IF(AS5="","",IF(AT5&lt;'Rate &amp; Vol Update'!$C$2,0.001%,(1/((INDEX('Rate &amp; Vol Update'!$E$6:$Z$6,1,MATCH(AY5,'Rate &amp; Vol Update'!$E$6:$Z$6,1)+1)-INDEX('Rate &amp; Vol Update'!$E$6:$Z$6,1,MATCH(AY5,'Rate &amp; Vol Update'!$E$6:$Z$6,1)))*(INDEX('Rate &amp; Vol Update'!$B$8:$B$127,MATCH(AT5,'Rate &amp; Vol Update'!$B$8:$B$127,1)+1)-INDEX('Rate &amp; Vol Update'!$B$8:$B$127,MATCH(AT5,'Rate &amp; Vol Update'!$B$8:$B$127,1))))*(INDEX('Rate &amp; Vol Update'!$E$8:$Z$127,MATCH(INDEX('Rate &amp; Vol Update'!$B$8:$B$127,MATCH(AT5,'Rate &amp; Vol Update'!$B$8:$B$127,1)),'Rate &amp; Vol Update'!$B$8:$B$127,0),MATCH(INDEX('Rate &amp; Vol Update'!$E$6:$Z$6,1,MATCH(AY5,'Rate &amp; Vol Update'!$E$6:$Z$6,1)),'Rate &amp; Vol Update'!$E$6:$Z$6,0))*(INDEX('Rate &amp; Vol Update'!$E$6:$Z$6,1,MATCH(AY5,'Rate &amp; Vol Update'!$E$6:$Z$6,1)+1)-AY5)*(INDEX('Rate &amp; Vol Update'!$B$8:$B$127,MATCH(AT5,'Rate &amp; Vol Update'!$B$8:$B$127,1)+1)-AT5)+INDEX('Rate &amp; Vol Update'!$E$8:$Z$127,MATCH(INDEX('Rate &amp; Vol Update'!$B$8:$B$127,MATCH(AT5,'Rate &amp; Vol Update'!$B$8:$B$127,1)),'Rate &amp; Vol Update'!$B$8:$B$127,0),MATCH(INDEX('Rate &amp; Vol Update'!$E$6:$Z$6,1,MATCH(AY5,'Rate &amp; Vol Update'!$E$6:$Z$6,1)+1),'Rate &amp; Vol Update'!$E$6:$Z$6,0))*(AY5-INDEX('Rate &amp; Vol Update'!$E$6:$Z$6,1,MATCH(AY5,'Rate &amp; Vol Update'!$E$6:$Z$6,1)))*(INDEX('Rate &amp; Vol Update'!$B$8:$B$127,MATCH(AT5,'Rate &amp; Vol Update'!$B$8:$B$127,1)+1)-AT5)+INDEX('Rate &amp; Vol Update'!$E$8:$Z$127,MATCH(INDEX('Rate &amp; Vol Update'!$B$8:$B$127,MATCH(AT5,'Rate &amp; Vol Update'!$B$8:$B$127,1)+1),'Rate &amp; Vol Update'!$B$8:$B$127,0),MATCH(INDEX('Rate &amp; Vol Update'!$E$6:$Z$6,1,MATCH(AY5,'Rate &amp; Vol Update'!$E$6:$Z$6,1)),'Rate &amp; Vol Update'!$E$6:$Z$6,0))*(INDEX('Rate &amp; Vol Update'!$E$6:$Z$6,1,MATCH(AY5,'Rate &amp; Vol Update'!$E$6:$Z$6,1)+1)-AY5)*(AT5-INDEX('Rate &amp; Vol Update'!$B$8:$B$127,MATCH(AT5,'Rate &amp; Vol Update'!$B$8:$B$127,1)))+INDEX('Rate &amp; Vol Update'!$E$8:$Z$127,MATCH(INDEX('Rate &amp; Vol Update'!$B$8:$B$127,MATCH(AT5,'Rate &amp; Vol Update'!$B$8:$B$127,1)+1),'Rate &amp; Vol Update'!$B$8:$B$127,0),MATCH(INDEX('Rate &amp; Vol Update'!$E$6:$Z$6,1,MATCH(AY5,'Rate &amp; Vol Update'!$E$6:$Z$6,1)+1),'Rate &amp; Vol Update'!$E$6:$Z$6,0))*(AY5-INDEX('Rate &amp; Vol Update'!$E$6:$Z$6,1,MATCH(AY5,'Rate &amp; Vol Update'!$E$6:$Z$6,1)))*(AT5-INDEX('Rate &amp; Vol Update'!$B$8:$B$127,MATCH(AT5,'Rate &amp; Vol Update'!$B$8:$B$127,1)))))*0.01%))</f>
        <v>6.0819548932287189E-3</v>
      </c>
      <c r="BB5" s="5">
        <f>IF(AS5="","",1/((1+AZ5)^((AU5-'Rate &amp; Vol Update'!$C$2)/360)))</f>
        <v>0.99414374148836593</v>
      </c>
      <c r="BD5" s="15">
        <f>IF(AS5="","",IF(AT5&lt;'Rate &amp; Vol Update'!$C$2,MAX(0,AZ5-AY5)*(AV5/360)*AX5,(((IF('Adjustment Surface'!$C$2='Data Validation'!$A$2,AZ5,IF('Adjustment Surface'!$C$2='Data Validation'!$A$3,AY5,"Unknown Option Type"))-IF('Adjustment Surface'!$C$2='Data Validation'!$A$2,AY5,IF('Adjustment Surface'!$C$2='Data Validation'!$A$3,AZ5,"Unknown Option Type")))*(NORMDIST((IF('Adjustment Surface'!$C$2='Data Validation'!$A$2,AZ5,IF('Adjustment Surface'!$C$2='Data Validation'!$A$3,AY5,"Unknown Option Type"))-IF('Adjustment Surface'!$C$2='Data Validation'!$A$2,AY5,IF('Adjustment Surface'!$C$2='Data Validation'!$A$3,AZ5,"Unknown Option Type")))/(BA5*SQRT(AW5)),0,1,TRUE)))+((BA5*SQRT(AW5))*(NORMDIST((IF('Adjustment Surface'!$C$2='Data Validation'!$A$2,AZ5,IF('Adjustment Surface'!$C$2='Data Validation'!$A$3,AY5,"Unknown Option Type"))-IF('Adjustment Surface'!$C$2='Data Validation'!$A$2,AY5,IF('Adjustment Surface'!$C$2='Data Validation'!$A$3,AZ5,"Unknown Option Type")))/(BA5*SQRT(AW5)),0,1,FALSE))))*BB5*(AV5/360)*AX5))</f>
        <v>182.27670474963688</v>
      </c>
      <c r="BE5" s="15">
        <f>IF(AS5="","",SUM(BD$4:BD5))</f>
        <v>209.71810058745427</v>
      </c>
      <c r="BG5" s="15">
        <f>IF(AS5="","",IF(AT5&lt;'Rate &amp; Vol Update'!$C$2,0,((((((IF('Adjustment Surface'!$C$2='Data Validation'!$A$2,AZ5,IF('Adjustment Surface'!$C$2='Data Validation'!$A$3,AY5,"Unknown Option Type"))-IF('Adjustment Surface'!$C$2='Data Validation'!$A$2,AY5,IF('Adjustment Surface'!$C$2='Data Validation'!$A$3,AZ5,"Unknown Option Type")))*(NORMDIST((IF('Adjustment Surface'!$C$2='Data Validation'!$A$2,AZ5,IF('Adjustment Surface'!$C$2='Data Validation'!$A$3,AY5,"Unknown Option Type"))-IF('Adjustment Surface'!$C$2='Data Validation'!$A$2,AY5,IF('Adjustment Surface'!$C$2='Data Validation'!$A$3,AZ5,"Unknown Option Type")))/((BA5+0.01%)*SQRT(AW5)),0,1,TRUE)))+(((BA5+0.01%)*SQRT(AW5))*(NORMDIST((IF('Adjustment Surface'!$C$2='Data Validation'!$A$2,AZ5,IF('Adjustment Surface'!$C$2='Data Validation'!$A$3,AY5,"Unknown Option Type"))-IF('Adjustment Surface'!$C$2='Data Validation'!$A$2,AY5,IF('Adjustment Surface'!$C$2='Data Validation'!$A$3,AZ5,"Unknown Option Type")))/((BA5+0.01%)*SQRT(AW5)),0,1,FALSE))))*BB5*(AV5/360))-(BD5/AX5))*AX5)*BB5))</f>
        <v>12.63177012974595</v>
      </c>
      <c r="BH5" s="15">
        <f>IF(AS5="","",SUM(BG$4:BG5))</f>
        <v>15.601034513700872</v>
      </c>
      <c r="BI5" s="15"/>
      <c r="BJ5" s="20"/>
      <c r="BK5" s="3">
        <v>2</v>
      </c>
      <c r="BL5" s="4">
        <f>IF(BM4=MAX('Adjustment Surface'!$C$14:$F$14),"",BM4)</f>
        <v>46092</v>
      </c>
      <c r="BM5" s="4">
        <f>IF(BL5="","",IF(BL5&lt;EDATE('Adjustment Surface'!$C$6,DATEDIF('Adjustment Surface'!$C$6,MAX('Adjustment Surface'!$C$14:$F$14),"M")),EDATE(BL$5,COUNT(BL$5:BL5)),IF(BL5=EDATE('Adjustment Surface'!$C$6,DATEDIF('Adjustment Surface'!$C$6,MAX('Adjustment Surface'!$C$14:$F$14),"M")),MAX('Adjustment Surface'!$C$14:$F$14),EDATE('Adjustment Surface'!$C$6,DATEDIF('Adjustment Surface'!$C$6,MAX('Adjustment Surface'!$C$14:$F$14),"M")))))</f>
        <v>46123</v>
      </c>
      <c r="BN5" s="3">
        <f t="shared" ref="BN5:BN68" si="4">IF(BK5="","",BM5-BL5)</f>
        <v>31</v>
      </c>
      <c r="BO5" s="5">
        <f>IF(BK5="","",(BM5-'Rate &amp; Vol Update'!$C$2)/360)</f>
        <v>0.16388888888888889</v>
      </c>
      <c r="BP5" s="15">
        <f>IF(BK5="","",IF('Adjustment Surface'!$C$3='Data Validation'!$C$2,'Adjustment Surface'!$C$4,_xlfn.IFNA(IF(INDEX(Schedules!$E$3:$E$123,MATCH('Bachelier Model'!BL5,Schedules!$B$3:$B$123,0))="",BP4,INDEX(Schedules!$E$3:$E$123,MATCH('Bachelier Model'!BL5,Schedules!$B$3:$B$123,0))),BP4)))</f>
        <v>25000000</v>
      </c>
      <c r="BQ5" s="16">
        <f>IF(BK5="","",'Adjustment Surface'!B$17)</f>
        <v>0.05</v>
      </c>
      <c r="BR5" s="16" cm="1">
        <f t="array" ref="BR5">IF(BK5="","",FORECAST(BL5,INDEX('Rate &amp; Vol Update'!$C$6:$C$127,MATCH(INDEX('Rate &amp; Vol Update'!$B$6:$B$127,MATCH(BL5,'Rate &amp; Vol Update'!$B$6:$B$127,1)),'Rate &amp; Vol Update'!$B$6:$B$127,0)+IF('Adjustment Surface'!$C$11='Data Validation'!$E$3,-1,0)):INDEX('Rate &amp; Vol Update'!$C$6:$C$127,MATCH(INDEX('Rate &amp; Vol Update'!$B$6:$B$127,MATCH(BL5,'Rate &amp; Vol Update'!$B$6:$B$127,1)+1),'Rate &amp; Vol Update'!$B$6:$B$127,0)+IF('Adjustment Surface'!$C$11='Data Validation'!$E$3,-1,0)),INDEX('Rate &amp; Vol Update'!$B$6:$B$127,MATCH(BL5,'Rate &amp; Vol Update'!$B$6:$B$127,1)):INDEX('Rate &amp; Vol Update'!$B$6:$B$127,MATCH(BL5,'Rate &amp; Vol Update'!$B$6:$B$127,1)+1))/100)</f>
        <v>3.6488071335794528E-2</v>
      </c>
      <c r="BS5" s="16" cm="1">
        <f t="array" ref="BS5">IF(BK5="","",IF(BL5&lt;'Rate &amp; Vol Update'!$C$2,0.001%,(1/((INDEX('Rate &amp; Vol Update'!$E$6:$Z$6,1,MATCH(BQ5,'Rate &amp; Vol Update'!$E$6:$Z$6,1)+1)-INDEX('Rate &amp; Vol Update'!$E$6:$Z$6,1,MATCH(BQ5,'Rate &amp; Vol Update'!$E$6:$Z$6,1)))*(INDEX('Rate &amp; Vol Update'!$B$8:$B$127,MATCH(BL5,'Rate &amp; Vol Update'!$B$8:$B$127,1)+1)-INDEX('Rate &amp; Vol Update'!$B$8:$B$127,MATCH(BL5,'Rate &amp; Vol Update'!$B$8:$B$127,1))))*(INDEX('Rate &amp; Vol Update'!$E$8:$Z$127,MATCH(INDEX('Rate &amp; Vol Update'!$B$8:$B$127,MATCH(BL5,'Rate &amp; Vol Update'!$B$8:$B$127,1)),'Rate &amp; Vol Update'!$B$8:$B$127,0),MATCH(INDEX('Rate &amp; Vol Update'!$E$6:$Z$6,1,MATCH(BQ5,'Rate &amp; Vol Update'!$E$6:$Z$6,1)),'Rate &amp; Vol Update'!$E$6:$Z$6,0))*(INDEX('Rate &amp; Vol Update'!$E$6:$Z$6,1,MATCH(BQ5,'Rate &amp; Vol Update'!$E$6:$Z$6,1)+1)-BQ5)*(INDEX('Rate &amp; Vol Update'!$B$8:$B$127,MATCH(BL5,'Rate &amp; Vol Update'!$B$8:$B$127,1)+1)-BL5)+INDEX('Rate &amp; Vol Update'!$E$8:$Z$127,MATCH(INDEX('Rate &amp; Vol Update'!$B$8:$B$127,MATCH(BL5,'Rate &amp; Vol Update'!$B$8:$B$127,1)),'Rate &amp; Vol Update'!$B$8:$B$127,0),MATCH(INDEX('Rate &amp; Vol Update'!$E$6:$Z$6,1,MATCH(BQ5,'Rate &amp; Vol Update'!$E$6:$Z$6,1)+1),'Rate &amp; Vol Update'!$E$6:$Z$6,0))*(BQ5-INDEX('Rate &amp; Vol Update'!$E$6:$Z$6,1,MATCH(BQ5,'Rate &amp; Vol Update'!$E$6:$Z$6,1)))*(INDEX('Rate &amp; Vol Update'!$B$8:$B$127,MATCH(BL5,'Rate &amp; Vol Update'!$B$8:$B$127,1)+1)-BL5)+INDEX('Rate &amp; Vol Update'!$E$8:$Z$127,MATCH(INDEX('Rate &amp; Vol Update'!$B$8:$B$127,MATCH(BL5,'Rate &amp; Vol Update'!$B$8:$B$127,1)+1),'Rate &amp; Vol Update'!$B$8:$B$127,0),MATCH(INDEX('Rate &amp; Vol Update'!$E$6:$Z$6,1,MATCH(BQ5,'Rate &amp; Vol Update'!$E$6:$Z$6,1)),'Rate &amp; Vol Update'!$E$6:$Z$6,0))*(INDEX('Rate &amp; Vol Update'!$E$6:$Z$6,1,MATCH(BQ5,'Rate &amp; Vol Update'!$E$6:$Z$6,1)+1)-BQ5)*(BL5-INDEX('Rate &amp; Vol Update'!$B$8:$B$127,MATCH(BL5,'Rate &amp; Vol Update'!$B$8:$B$127,1)))+INDEX('Rate &amp; Vol Update'!$E$8:$Z$127,MATCH(INDEX('Rate &amp; Vol Update'!$B$8:$B$127,MATCH(BL5,'Rate &amp; Vol Update'!$B$8:$B$127,1)+1),'Rate &amp; Vol Update'!$B$8:$B$127,0),MATCH(INDEX('Rate &amp; Vol Update'!$E$6:$Z$6,1,MATCH(BQ5,'Rate &amp; Vol Update'!$E$6:$Z$6,1)+1),'Rate &amp; Vol Update'!$E$6:$Z$6,0))*(BQ5-INDEX('Rate &amp; Vol Update'!$E$6:$Z$6,1,MATCH(BQ5,'Rate &amp; Vol Update'!$E$6:$Z$6,1)))*(BL5-INDEX('Rate &amp; Vol Update'!$B$8:$B$127,MATCH(BL5,'Rate &amp; Vol Update'!$B$8:$B$127,1)))))*0.01%))</f>
        <v>7.5471377334451377E-3</v>
      </c>
      <c r="BT5" s="5">
        <f>IF(BK5="","",1/((1+BR5)^((BM5-'Rate &amp; Vol Update'!$C$2)/360)))</f>
        <v>0.99414374148836593</v>
      </c>
      <c r="BV5" s="15">
        <f>IF(BK5="","",IF(BL5&lt;'Rate &amp; Vol Update'!$C$2,MAX(0,BR5-BQ5)*(BN5/360)*BP5,(((IF('Adjustment Surface'!$C$2='Data Validation'!$A$2,BR5,IF('Adjustment Surface'!$C$2='Data Validation'!$A$3,BQ5,"Unknown Option Type"))-IF('Adjustment Surface'!$C$2='Data Validation'!$A$2,BQ5,IF('Adjustment Surface'!$C$2='Data Validation'!$A$3,BR5,"Unknown Option Type")))*(NORMDIST((IF('Adjustment Surface'!$C$2='Data Validation'!$A$2,BR5,IF('Adjustment Surface'!$C$2='Data Validation'!$A$3,BQ5,"Unknown Option Type"))-IF('Adjustment Surface'!$C$2='Data Validation'!$A$2,BQ5,IF('Adjustment Surface'!$C$2='Data Validation'!$A$3,BR5,"Unknown Option Type")))/(BS5*SQRT(BO5)),0,1,TRUE)))+((BS5*SQRT(BO5))*(NORMDIST((IF('Adjustment Surface'!$C$2='Data Validation'!$A$2,BR5,IF('Adjustment Surface'!$C$2='Data Validation'!$A$3,BQ5,"Unknown Option Type"))-IF('Adjustment Surface'!$C$2='Data Validation'!$A$2,BQ5,IF('Adjustment Surface'!$C$2='Data Validation'!$A$3,BR5,"Unknown Option Type")))/(BS5*SQRT(BO5)),0,1,FALSE))))*BT5*(BN5/360)*BP5))</f>
        <v>6.61724673967682E-3</v>
      </c>
      <c r="BW5" s="15">
        <f>IF(BK5="","",SUM(BV$4:BV5))</f>
        <v>6.617369221012648E-3</v>
      </c>
      <c r="BY5" s="15">
        <f>IF(BK5="","",IF(BL5&lt;'Rate &amp; Vol Update'!$C$2,0,((((((IF('Adjustment Surface'!$C$2='Data Validation'!$A$2,BR5,IF('Adjustment Surface'!$C$2='Data Validation'!$A$3,BQ5,"Unknown Option Type"))-IF('Adjustment Surface'!$C$2='Data Validation'!$A$2,BQ5,IF('Adjustment Surface'!$C$2='Data Validation'!$A$3,BR5,"Unknown Option Type")))*(NORMDIST((IF('Adjustment Surface'!$C$2='Data Validation'!$A$2,BR5,IF('Adjustment Surface'!$C$2='Data Validation'!$A$3,BQ5,"Unknown Option Type"))-IF('Adjustment Surface'!$C$2='Data Validation'!$A$2,BQ5,IF('Adjustment Surface'!$C$2='Data Validation'!$A$3,BR5,"Unknown Option Type")))/((BS5+0.01%)*SQRT(BO5)),0,1,TRUE)))+(((BS5+0.01%)*SQRT(BO5))*(NORMDIST((IF('Adjustment Surface'!$C$2='Data Validation'!$A$2,BR5,IF('Adjustment Surface'!$C$2='Data Validation'!$A$3,BQ5,"Unknown Option Type"))-IF('Adjustment Surface'!$C$2='Data Validation'!$A$2,BQ5,IF('Adjustment Surface'!$C$2='Data Validation'!$A$3,BR5,"Unknown Option Type")))/((BS5+0.01%)*SQRT(BO5)),0,1,FALSE))))*BT5*(BN5/360))-(BV5/BP5))*BP5)*BT5))</f>
        <v>2.2174676560447757E-3</v>
      </c>
      <c r="BZ5" s="15">
        <f>IF(BK5="","",SUM(BY$4:BY5))</f>
        <v>2.217554593662891E-3</v>
      </c>
      <c r="CA5" s="15"/>
      <c r="CB5" s="20"/>
      <c r="CC5" s="3">
        <v>2</v>
      </c>
      <c r="CD5" s="4">
        <f>IF(CE4=MAX('Adjustment Surface'!$C$14:$F$14),"",CE4)</f>
        <v>46092</v>
      </c>
      <c r="CE5" s="4">
        <f>IF(CD5="","",IF(CD5&lt;EDATE('Adjustment Surface'!$C$6,DATEDIF('Adjustment Surface'!$C$6,MAX('Adjustment Surface'!$C$14:$F$14),"M")),EDATE(CD$5,COUNT(CD$5:CD5)),IF(CD5=EDATE('Adjustment Surface'!$C$6,DATEDIF('Adjustment Surface'!$C$6,MAX('Adjustment Surface'!$C$14:$F$14),"M")),MAX('Adjustment Surface'!$C$14:$F$14),EDATE('Adjustment Surface'!$C$6,DATEDIF('Adjustment Surface'!$C$6,MAX('Adjustment Surface'!$C$14:$F$14),"M")))))</f>
        <v>46123</v>
      </c>
      <c r="CF5" s="3">
        <f t="shared" ref="CF5:CF68" si="5">IF(CC5="","",CE5-CD5)</f>
        <v>31</v>
      </c>
      <c r="CG5" s="5">
        <f>IF(CC5="","",(CE5-'Rate &amp; Vol Update'!$C$2)/360)</f>
        <v>0.16388888888888889</v>
      </c>
      <c r="CH5" s="15">
        <f>IF(CC5="","",IF('Adjustment Surface'!$C$3='Data Validation'!$C$2,'Adjustment Surface'!$C$4,_xlfn.IFNA(IF(INDEX(Schedules!$E$3:$E$123,MATCH('Bachelier Model'!CD5,Schedules!$B$3:$B$123,0))="",CH4,INDEX(Schedules!$E$3:$E$123,MATCH('Bachelier Model'!CD5,Schedules!$B$3:$B$123,0))),CH4)))</f>
        <v>25000000</v>
      </c>
      <c r="CI5" s="16">
        <f>IF(CC5="","",'Adjustment Surface'!B$18)</f>
        <v>0.06</v>
      </c>
      <c r="CJ5" s="16" cm="1">
        <f t="array" ref="CJ5">IF(CC5="","",FORECAST(CD5,INDEX('Rate &amp; Vol Update'!$C$6:$C$127,MATCH(INDEX('Rate &amp; Vol Update'!$B$6:$B$127,MATCH(CD5,'Rate &amp; Vol Update'!$B$6:$B$127,1)),'Rate &amp; Vol Update'!$B$6:$B$127,0)+IF('Adjustment Surface'!$C$11='Data Validation'!$E$3,-1,0)):INDEX('Rate &amp; Vol Update'!$C$6:$C$127,MATCH(INDEX('Rate &amp; Vol Update'!$B$6:$B$127,MATCH(CD5,'Rate &amp; Vol Update'!$B$6:$B$127,1)+1),'Rate &amp; Vol Update'!$B$6:$B$127,0)+IF('Adjustment Surface'!$C$11='Data Validation'!$E$3,-1,0)),INDEX('Rate &amp; Vol Update'!$B$6:$B$127,MATCH(CD5,'Rate &amp; Vol Update'!$B$6:$B$127,1)):INDEX('Rate &amp; Vol Update'!$B$6:$B$127,MATCH(CD5,'Rate &amp; Vol Update'!$B$6:$B$127,1)+1))/100)</f>
        <v>3.6488071335794528E-2</v>
      </c>
      <c r="CK5" s="16" cm="1">
        <f t="array" ref="CK5">IF(CC5="","",IF(CD5&lt;'Rate &amp; Vol Update'!$C$2,0.001%,(1/((INDEX('Rate &amp; Vol Update'!$E$6:$Z$6,1,MATCH(CI5,'Rate &amp; Vol Update'!$E$6:$Z$6,1)+1)-INDEX('Rate &amp; Vol Update'!$E$6:$Z$6,1,MATCH(CI5,'Rate &amp; Vol Update'!$E$6:$Z$6,1)))*(INDEX('Rate &amp; Vol Update'!$B$8:$B$127,MATCH(CD5,'Rate &amp; Vol Update'!$B$8:$B$127,1)+1)-INDEX('Rate &amp; Vol Update'!$B$8:$B$127,MATCH(CD5,'Rate &amp; Vol Update'!$B$8:$B$127,1))))*(INDEX('Rate &amp; Vol Update'!$E$8:$Z$127,MATCH(INDEX('Rate &amp; Vol Update'!$B$8:$B$127,MATCH(CD5,'Rate &amp; Vol Update'!$B$8:$B$127,1)),'Rate &amp; Vol Update'!$B$8:$B$127,0),MATCH(INDEX('Rate &amp; Vol Update'!$E$6:$Z$6,1,MATCH(CI5,'Rate &amp; Vol Update'!$E$6:$Z$6,1)),'Rate &amp; Vol Update'!$E$6:$Z$6,0))*(INDEX('Rate &amp; Vol Update'!$E$6:$Z$6,1,MATCH(CI5,'Rate &amp; Vol Update'!$E$6:$Z$6,1)+1)-CI5)*(INDEX('Rate &amp; Vol Update'!$B$8:$B$127,MATCH(CD5,'Rate &amp; Vol Update'!$B$8:$B$127,1)+1)-CD5)+INDEX('Rate &amp; Vol Update'!$E$8:$Z$127,MATCH(INDEX('Rate &amp; Vol Update'!$B$8:$B$127,MATCH(CD5,'Rate &amp; Vol Update'!$B$8:$B$127,1)),'Rate &amp; Vol Update'!$B$8:$B$127,0),MATCH(INDEX('Rate &amp; Vol Update'!$E$6:$Z$6,1,MATCH(CI5,'Rate &amp; Vol Update'!$E$6:$Z$6,1)+1),'Rate &amp; Vol Update'!$E$6:$Z$6,0))*(CI5-INDEX('Rate &amp; Vol Update'!$E$6:$Z$6,1,MATCH(CI5,'Rate &amp; Vol Update'!$E$6:$Z$6,1)))*(INDEX('Rate &amp; Vol Update'!$B$8:$B$127,MATCH(CD5,'Rate &amp; Vol Update'!$B$8:$B$127,1)+1)-CD5)+INDEX('Rate &amp; Vol Update'!$E$8:$Z$127,MATCH(INDEX('Rate &amp; Vol Update'!$B$8:$B$127,MATCH(CD5,'Rate &amp; Vol Update'!$B$8:$B$127,1)+1),'Rate &amp; Vol Update'!$B$8:$B$127,0),MATCH(INDEX('Rate &amp; Vol Update'!$E$6:$Z$6,1,MATCH(CI5,'Rate &amp; Vol Update'!$E$6:$Z$6,1)),'Rate &amp; Vol Update'!$E$6:$Z$6,0))*(INDEX('Rate &amp; Vol Update'!$E$6:$Z$6,1,MATCH(CI5,'Rate &amp; Vol Update'!$E$6:$Z$6,1)+1)-CI5)*(CD5-INDEX('Rate &amp; Vol Update'!$B$8:$B$127,MATCH(CD5,'Rate &amp; Vol Update'!$B$8:$B$127,1)))+INDEX('Rate &amp; Vol Update'!$E$8:$Z$127,MATCH(INDEX('Rate &amp; Vol Update'!$B$8:$B$127,MATCH(CD5,'Rate &amp; Vol Update'!$B$8:$B$127,1)+1),'Rate &amp; Vol Update'!$B$8:$B$127,0),MATCH(INDEX('Rate &amp; Vol Update'!$E$6:$Z$6,1,MATCH(CI5,'Rate &amp; Vol Update'!$E$6:$Z$6,1)+1),'Rate &amp; Vol Update'!$E$6:$Z$6,0))*(CI5-INDEX('Rate &amp; Vol Update'!$E$6:$Z$6,1,MATCH(CI5,'Rate &amp; Vol Update'!$E$6:$Z$6,1)))*(CD5-INDEX('Rate &amp; Vol Update'!$B$8:$B$127,MATCH(CD5,'Rate &amp; Vol Update'!$B$8:$B$127,1)))))*0.01%))</f>
        <v>9.8126851068806101E-3</v>
      </c>
      <c r="CL5" s="5">
        <f>IF(CC5="","",1/((1+CJ5)^((CE5-'Rate &amp; Vol Update'!$C$2)/360)))</f>
        <v>0.99414374148836593</v>
      </c>
      <c r="CN5" s="15">
        <f>IF(CC5="","",IF(CD5&lt;'Rate &amp; Vol Update'!$C$2,MAX(0,CJ5-CI5)*(CF5/360)*CH5,(((IF('Adjustment Surface'!$C$2='Data Validation'!$A$2,CJ5,IF('Adjustment Surface'!$C$2='Data Validation'!$A$3,CI5,"Unknown Option Type"))-IF('Adjustment Surface'!$C$2='Data Validation'!$A$2,CI5,IF('Adjustment Surface'!$C$2='Data Validation'!$A$3,CJ5,"Unknown Option Type")))*(NORMDIST((IF('Adjustment Surface'!$C$2='Data Validation'!$A$2,CJ5,IF('Adjustment Surface'!$C$2='Data Validation'!$A$3,CI5,"Unknown Option Type"))-IF('Adjustment Surface'!$C$2='Data Validation'!$A$2,CI5,IF('Adjustment Surface'!$C$2='Data Validation'!$A$3,CJ5,"Unknown Option Type")))/(CK5*SQRT(CG5)),0,1,TRUE)))+((CK5*SQRT(CG5))*(NORMDIST((IF('Adjustment Surface'!$C$2='Data Validation'!$A$2,CJ5,IF('Adjustment Surface'!$C$2='Data Validation'!$A$3,CI5,"Unknown Option Type"))-IF('Adjustment Surface'!$C$2='Data Validation'!$A$2,CI5,IF('Adjustment Surface'!$C$2='Data Validation'!$A$3,CJ5,"Unknown Option Type")))/(CK5*SQRT(CG5)),0,1,FALSE))))*CL5*(CF5/360)*CH5))</f>
        <v>2.2134626627920452E-6</v>
      </c>
      <c r="CO5" s="15">
        <f>IF(CC5="","",SUM(CN$4:CN5))</f>
        <v>2.2134626752672269E-6</v>
      </c>
      <c r="CQ5" s="15">
        <f>IF(CC5="","",IF(CD5&lt;'Rate &amp; Vol Update'!$C$2,0,((((((IF('Adjustment Surface'!$C$2='Data Validation'!$A$2,CJ5,IF('Adjustment Surface'!$C$2='Data Validation'!$A$3,CI5,"Unknown Option Type"))-IF('Adjustment Surface'!$C$2='Data Validation'!$A$2,CI5,IF('Adjustment Surface'!$C$2='Data Validation'!$A$3,CJ5,"Unknown Option Type")))*(NORMDIST((IF('Adjustment Surface'!$C$2='Data Validation'!$A$2,CJ5,IF('Adjustment Surface'!$C$2='Data Validation'!$A$3,CI5,"Unknown Option Type"))-IF('Adjustment Surface'!$C$2='Data Validation'!$A$2,CI5,IF('Adjustment Surface'!$C$2='Data Validation'!$A$3,CJ5,"Unknown Option Type")))/((CK5+0.01%)*SQRT(CG5)),0,1,TRUE)))+(((CK5+0.01%)*SQRT(CG5))*(NORMDIST((IF('Adjustment Surface'!$C$2='Data Validation'!$A$2,CJ5,IF('Adjustment Surface'!$C$2='Data Validation'!$A$3,CI5,"Unknown Option Type"))-IF('Adjustment Surface'!$C$2='Data Validation'!$A$2,CI5,IF('Adjustment Surface'!$C$2='Data Validation'!$A$3,CJ5,"Unknown Option Type")))/((CK5+0.01%)*SQRT(CG5)),0,1,FALSE))))*CL5*(CF5/360))-(CN5/CH5))*CH5)*CL5))</f>
        <v>1.019042165310937E-6</v>
      </c>
      <c r="CR5" s="15">
        <f>IF(CC5="","",SUM(CQ$4:CQ5))</f>
        <v>1.0190421786385604E-6</v>
      </c>
    </row>
    <row r="6" spans="2:96" x14ac:dyDescent="0.25">
      <c r="B6" s="16">
        <f>B13</f>
        <v>0.05</v>
      </c>
      <c r="C6" s="21">
        <f>INDEX(BW4:BW124,MATCH(INDEX(BM4:BM124,MATCH('Adjustment Surface'!C14,BM4:BM124,1)),BM4:BM124,0))+((((IF('Adjustment Surface'!$C$2='Data Validation'!$A$2,INDEX(BR4:BR124,MATCH(INDEX(BM4:BM124,MATCH('Adjustment Surface'!C14,BM4:BM124,1)),BL4:BL124,1)),IF('Adjustment Surface'!$C$2='Data Validation'!$A$3,INDEX(BQ4:BQ124,MATCH(INDEX(BM4:BM124,MATCH('Adjustment Surface'!C14,BM4:BM124,1)),BL4:BL124,1)),"Unknown Option Type"))-IF('Adjustment Surface'!$C$2='Data Validation'!$A$2,INDEX(BQ4:BQ124,MATCH(INDEX(BM4:BM124,MATCH('Adjustment Surface'!C14,BM4:BM124,1)),BL4:BL124,1)),IF('Adjustment Surface'!$C$2='Data Validation'!$A$3,INDEX(BR4:BR124,MATCH(INDEX(BM4:BM124,MATCH('Adjustment Surface'!C14,BM4:BM124,1)),BL4:BL124,1)),"Unknown Option Type")))*(NORMDIST((IF('Adjustment Surface'!$C$2='Data Validation'!$A$2,INDEX(BR4:BR124,MATCH(INDEX(BM4:BM124,MATCH('Adjustment Surface'!C14,BM4:BM124,1)),BL4:BL124,1)),IF('Adjustment Surface'!$C$2='Data Validation'!$A$3,INDEX(BQ4:BQ124,MATCH(INDEX(BM4:BM124,MATCH('Adjustment Surface'!C14,BM4:BM124,1)),BL4:BL124,1)),"Unknown Option Type"))-IF('Adjustment Surface'!$C$2='Data Validation'!$A$2,INDEX(BQ4:BQ124,MATCH(INDEX(BM4:BM124,MATCH('Adjustment Surface'!C14,BM4:BM124,1)),BL4:BL124,1)),IF('Adjustment Surface'!$C$2='Data Validation'!$A$3,INDEX(BR4:BR124,MATCH(INDEX(BM4:BM124,MATCH('Adjustment Surface'!C14,BM4:BM124,1)),BL4:BL124,1)),"Unknown Option Type")))/(INDEX(BS4:BS124,MATCH(INDEX(BM4:BM124,MATCH('Adjustment Surface'!C14,BM4:BM124,1)),BL4:BL124,1))*SQRT(((('Adjustment Surface'!C14-INDEX(BM4:BM124,MATCH('Adjustment Surface'!C14,BM4:BM124,1)))/360)+INDEX(BO4:BO124,MATCH(INDEX(BM4:BM124,MATCH('Adjustment Surface'!C14,BM4:BM124,1)),BM4:BM124,0))))),0,1,TRUE)))+((INDEX(BS4:BS124,MATCH(INDEX(BM4:BM124,MATCH('Adjustment Surface'!C14,BM4:BM124,1)),BL4:BL124,1))*SQRT(((('Adjustment Surface'!C14-INDEX(BM4:BM124,MATCH('Adjustment Surface'!C14,BM4:BM124,1)))/360)+INDEX(BO4:BO124,MATCH(INDEX(BM4:BM124,MATCH('Adjustment Surface'!C14,BM4:BM124,1)),BM4:BM124,0)))))*(NORMDIST((IF('Adjustment Surface'!$C$2='Data Validation'!$A$2,INDEX(BR4:BR124,MATCH(INDEX(BM4:BM124,MATCH('Adjustment Surface'!C14,BM4:BM124,1)),BL4:BL124,1)),IF('Adjustment Surface'!$C$2='Data Validation'!$A$3,INDEX(BQ4:BQ124,MATCH(INDEX(BM4:BM124,MATCH('Adjustment Surface'!C14,BM4:BM124,1)),BL4:BL124,1)),"Unknown Option Type"))-IF('Adjustment Surface'!$C$2='Data Validation'!$A$2,INDEX(BQ4:BQ124,MATCH(INDEX(BM4:BM124,MATCH('Adjustment Surface'!C14,BM4:BM124,1)),BL4:BL124,1)),IF('Adjustment Surface'!$C$2='Data Validation'!$A$3,INDEX(BR4:BR124,MATCH(INDEX(BM4:BM124,MATCH('Adjustment Surface'!C14,BM4:BM124,1)),BL4:BL124,1)),"Unknown Option Type")))/(INDEX(BS4:BS124,MATCH(INDEX(BM4:BM124,MATCH('Adjustment Surface'!C14,BM4:BM124,1)),BL4:BL124,1))*SQRT(((('Adjustment Surface'!C14-INDEX(BM4:BM124,MATCH('Adjustment Surface'!C14,BM4:BM124,1)))/360)+INDEX(BO4:BO124,MATCH(INDEX(BM4:BM124,MATCH('Adjustment Surface'!C14,BM4:BM124,1)),BM4:BM124,0))))),0,1,FALSE))))*(1/((1+INDEX(BR4:BR124,MATCH(INDEX(BM4:BM124,MATCH('Adjustment Surface'!C14,BM4:BM124,1)),BL4:BL124,1)))^(('Adjustment Surface'!C14-BL4)/360)))*(('Adjustment Surface'!C14-INDEX(BM4:BM124,MATCH('Adjustment Surface'!C14,BM4:BM124,1)))/360)*INDEX(BP4:BP124,MATCH(INDEX(BM4:BM124,MATCH('Adjustment Surface'!C14,BM4:BM124,1)),BL4:BL124,1)))</f>
        <v>315.7569833764743</v>
      </c>
      <c r="D6" s="21">
        <f>INDEX(BW4:BW124,MATCH(INDEX(BM4:BM124,MATCH('Adjustment Surface'!D14,BM4:BM124,1)),BM4:BM124,0))+((((IF('Adjustment Surface'!$C$2='Data Validation'!$A$2,INDEX(BR4:BR124,MATCH(INDEX(BM4:BM124,MATCH('Adjustment Surface'!D14,BM4:BM124,1)),BL4:BL124,1)),IF('Adjustment Surface'!$C$2='Data Validation'!$A$3,INDEX(BQ4:BQ124,MATCH(INDEX(BM4:BM124,MATCH('Adjustment Surface'!D14,BM4:BM124,1)),BL4:BL124,1)),"Unknown Option Type"))-IF('Adjustment Surface'!$C$2='Data Validation'!$A$2,INDEX(BQ4:BQ124,MATCH(INDEX(BM4:BM124,MATCH('Adjustment Surface'!D14,BM4:BM124,1)),BL4:BL124,1)),IF('Adjustment Surface'!$C$2='Data Validation'!$A$3,INDEX(BR4:BR124,MATCH(INDEX(BM4:BM124,MATCH('Adjustment Surface'!D14,BM4:BM124,1)),BL4:BL124,1)),"Unknown Option Type")))*(NORMDIST((IF('Adjustment Surface'!$C$2='Data Validation'!$A$2,INDEX(BR4:BR124,MATCH(INDEX(BM4:BM124,MATCH('Adjustment Surface'!D14,BM4:BM124,1)),BL4:BL124,1)),IF('Adjustment Surface'!$C$2='Data Validation'!$A$3,INDEX(BQ4:BQ124,MATCH(INDEX(BM4:BM124,MATCH('Adjustment Surface'!D14,BM4:BM124,1)),BL4:BL124,1)),"Unknown Option Type"))-IF('Adjustment Surface'!$C$2='Data Validation'!$A$2,INDEX(BQ4:BQ124,MATCH(INDEX(BM4:BM124,MATCH('Adjustment Surface'!D14,BM4:BM124,1)),BL4:BL124,1)),IF('Adjustment Surface'!$C$2='Data Validation'!$A$3,INDEX(BR4:BR124,MATCH(INDEX(BM4:BM124,MATCH('Adjustment Surface'!D14,BM4:BM124,1)),BL4:BL124,1)),"Unknown Option Type")))/(INDEX(BS4:BS124,MATCH(INDEX(BM4:BM124,MATCH('Adjustment Surface'!D14,BM4:BM124,1)),BL4:BL124,1))*SQRT(((('Adjustment Surface'!D14-INDEX(BM4:BM124,MATCH('Adjustment Surface'!D14,BM4:BM124,1)))/360)+INDEX(BO4:BO124,MATCH(INDEX(BM4:BM124,MATCH('Adjustment Surface'!D14,BM4:BM124,1)),BM4:BM124,0))))),0,1,TRUE)))+((INDEX(BS4:BS124,MATCH(INDEX(BM4:BM124,MATCH('Adjustment Surface'!D14,BM4:BM124,1)),BL4:BL124,1))*SQRT(((('Adjustment Surface'!D14-INDEX(BM4:BM124,MATCH('Adjustment Surface'!D14,BM4:BM124,1)))/360)+INDEX(BO4:BO124,MATCH(INDEX(BM4:BM124,MATCH('Adjustment Surface'!D14,BM4:BM124,1)),BM4:BM124,0)))))*(NORMDIST((IF('Adjustment Surface'!$C$2='Data Validation'!$A$2,INDEX(BR4:BR124,MATCH(INDEX(BM4:BM124,MATCH('Adjustment Surface'!D14,BM4:BM124,1)),BL4:BL124,1)),IF('Adjustment Surface'!$C$2='Data Validation'!$A$3,INDEX(BQ4:BQ124,MATCH(INDEX(BM4:BM124,MATCH('Adjustment Surface'!D14,BM4:BM124,1)),BL4:BL124,1)),"Unknown Option Type"))-IF('Adjustment Surface'!$C$2='Data Validation'!$A$2,INDEX(BQ4:BQ124,MATCH(INDEX(BM4:BM124,MATCH('Adjustment Surface'!D14,BM4:BM124,1)),BL4:BL124,1)),IF('Adjustment Surface'!$C$2='Data Validation'!$A$3,INDEX(BR4:BR124,MATCH(INDEX(BM4:BM124,MATCH('Adjustment Surface'!D14,BM4:BM124,1)),BL4:BL124,1)),"Unknown Option Type")))/(INDEX(BS4:BS124,MATCH(INDEX(BM4:BM124,MATCH('Adjustment Surface'!D14,BM4:BM124,1)),BL4:BL124,1))*SQRT(((('Adjustment Surface'!D14-INDEX(BM4:BM124,MATCH('Adjustment Surface'!D14,BM4:BM124,1)))/360)+INDEX(BO4:BO124,MATCH(INDEX(BM4:BM124,MATCH('Adjustment Surface'!D14,BM4:BM124,1)),BM4:BM124,0))))),0,1,FALSE))))*(1/((1+INDEX(BR4:BR124,MATCH(INDEX(BM4:BM124,MATCH('Adjustment Surface'!D14,BM4:BM124,1)),BL4:BL124,1)))^(('Adjustment Surface'!D14-BL4)/360)))*(('Adjustment Surface'!D14-INDEX(BM4:BM124,MATCH('Adjustment Surface'!D14,BM4:BM124,1)))/360)*INDEX(BP4:BP124,MATCH(INDEX(BM4:BM124,MATCH('Adjustment Surface'!D14,BM4:BM124,1)),BL4:BL124,1)))</f>
        <v>7278.4330329248241</v>
      </c>
      <c r="E6" s="21">
        <f>INDEX(BW4:BW124,MATCH(INDEX(BM4:BM124,MATCH('Adjustment Surface'!E14,BM4:BM124,1)),BM4:BM124,0))+((((IF('Adjustment Surface'!$C$2='Data Validation'!$A$2,INDEX(BR4:BR124,MATCH(INDEX(BM4:BM124,MATCH('Adjustment Surface'!E14,BM4:BM124,1)),BL4:BL124,1)),IF('Adjustment Surface'!$C$2='Data Validation'!$A$3,INDEX(BQ4:BQ124,MATCH(INDEX(BM4:BM124,MATCH('Adjustment Surface'!E14,BM4:BM124,1)),BL4:BL124,1)),"Unknown Option Type"))-IF('Adjustment Surface'!$C$2='Data Validation'!$A$2,INDEX(BQ4:BQ124,MATCH(INDEX(BM4:BM124,MATCH('Adjustment Surface'!E14,BM4:BM124,1)),BL4:BL124,1)),IF('Adjustment Surface'!$C$2='Data Validation'!$A$3,INDEX(BR4:BR124,MATCH(INDEX(BM4:BM124,MATCH('Adjustment Surface'!E14,BM4:BM124,1)),BL4:BL124,1)),"Unknown Option Type")))*(NORMDIST((IF('Adjustment Surface'!$C$2='Data Validation'!$A$2,INDEX(BR4:BR124,MATCH(INDEX(BM4:BM124,MATCH('Adjustment Surface'!E14,BM4:BM124,1)),BL4:BL124,1)),IF('Adjustment Surface'!$C$2='Data Validation'!$A$3,INDEX(BQ4:BQ124,MATCH(INDEX(BM4:BM124,MATCH('Adjustment Surface'!E14,BM4:BM124,1)),BL4:BL124,1)),"Unknown Option Type"))-IF('Adjustment Surface'!$C$2='Data Validation'!$A$2,INDEX(BQ4:BQ124,MATCH(INDEX(BM4:BM124,MATCH('Adjustment Surface'!E14,BM4:BM124,1)),BL4:BL124,1)),IF('Adjustment Surface'!$C$2='Data Validation'!$A$3,INDEX(BR4:BR124,MATCH(INDEX(BM4:BM124,MATCH('Adjustment Surface'!E14,BM4:BM124,1)),BL4:BL124,1)),"Unknown Option Type")))/(INDEX(BS4:BS124,MATCH(INDEX(BM4:BM124,MATCH('Adjustment Surface'!E14,BM4:BM124,1)),BL4:BL124,1))*SQRT(((('Adjustment Surface'!E14-INDEX(BM4:BM124,MATCH('Adjustment Surface'!E14,BM4:BM124,1)))/360)+INDEX(BO4:BO124,MATCH(INDEX(BM4:BM124,MATCH('Adjustment Surface'!E14,BM4:BM124,1)),BM4:BM124,0))))),0,1,TRUE)))+((INDEX(BS4:BS124,MATCH(INDEX(BM4:BM124,MATCH('Adjustment Surface'!E14,BM4:BM124,1)),BL4:BL124,1))*SQRT(((('Adjustment Surface'!E14-INDEX(BM4:BM124,MATCH('Adjustment Surface'!E14,BM4:BM124,1)))/360)+INDEX(BO4:BO124,MATCH(INDEX(BM4:BM124,MATCH('Adjustment Surface'!E14,BM4:BM124,1)),BM4:BM124,0)))))*(NORMDIST((IF('Adjustment Surface'!$C$2='Data Validation'!$A$2,INDEX(BR4:BR124,MATCH(INDEX(BM4:BM124,MATCH('Adjustment Surface'!E14,BM4:BM124,1)),BL4:BL124,1)),IF('Adjustment Surface'!$C$2='Data Validation'!$A$3,INDEX(BQ4:BQ124,MATCH(INDEX(BM4:BM124,MATCH('Adjustment Surface'!E14,BM4:BM124,1)),BL4:BL124,1)),"Unknown Option Type"))-IF('Adjustment Surface'!$C$2='Data Validation'!$A$2,INDEX(BQ4:BQ124,MATCH(INDEX(BM4:BM124,MATCH('Adjustment Surface'!E14,BM4:BM124,1)),BL4:BL124,1)),IF('Adjustment Surface'!$C$2='Data Validation'!$A$3,INDEX(BR4:BR124,MATCH(INDEX(BM4:BM124,MATCH('Adjustment Surface'!E14,BM4:BM124,1)),BL4:BL124,1)),"Unknown Option Type")))/(INDEX(BS4:BS124,MATCH(INDEX(BM4:BM124,MATCH('Adjustment Surface'!E14,BM4:BM124,1)),BL4:BL124,1))*SQRT(((('Adjustment Surface'!E14-INDEX(BM4:BM124,MATCH('Adjustment Surface'!E14,BM4:BM124,1)))/360)+INDEX(BO4:BO124,MATCH(INDEX(BM4:BM124,MATCH('Adjustment Surface'!E14,BM4:BM124,1)),BM4:BM124,0))))),0,1,FALSE))))*(1/((1+INDEX(BR4:BR124,MATCH(INDEX(BM4:BM124,MATCH('Adjustment Surface'!E14,BM4:BM124,1)),BL4:BL124,1)))^(('Adjustment Surface'!E14-BL4)/360)))*(('Adjustment Surface'!E14-INDEX(BM4:BM124,MATCH('Adjustment Surface'!E14,BM4:BM124,1)))/360)*INDEX(BP4:BP124,MATCH(INDEX(BM4:BM124,MATCH('Adjustment Surface'!E14,BM4:BM124,1)),BL4:BL124,1)))</f>
        <v>33681.566525456517</v>
      </c>
      <c r="F6" s="21">
        <f>INDEX(BW4:BW124,MATCH(INDEX(BM4:BM124,MATCH('Adjustment Surface'!F14,BM4:BM124,1)),BM4:BM124,0))+((((IF('Adjustment Surface'!$C$2='Data Validation'!$A$2,INDEX(BR4:BR124,MATCH(INDEX(BM4:BM124,MATCH('Adjustment Surface'!F14,BM4:BM124,1)),BL4:BL124,1)),IF('Adjustment Surface'!$C$2='Data Validation'!$A$3,INDEX(BQ4:BQ124,MATCH(INDEX(BM4:BM124,MATCH('Adjustment Surface'!F14,BM4:BM124,1)),BL4:BL124,1)),"Unknown Option Type"))-IF('Adjustment Surface'!$C$2='Data Validation'!$A$2,INDEX(BQ4:BQ124,MATCH(INDEX(BM4:BM124,MATCH('Adjustment Surface'!F14,BM4:BM124,1)),BL4:BL124,1)),IF('Adjustment Surface'!$C$2='Data Validation'!$A$3,INDEX(BR4:BR124,MATCH(INDEX(BM4:BM124,MATCH('Adjustment Surface'!F14,BM4:BM124,1)),BL4:BL124,1)),"Unknown Option Type")))*(NORMDIST((IF('Adjustment Surface'!$C$2='Data Validation'!$A$2,INDEX(BR4:BR124,MATCH(INDEX(BM4:BM124,MATCH('Adjustment Surface'!F14,BM4:BM124,1)),BL4:BL124,1)),IF('Adjustment Surface'!$C$2='Data Validation'!$A$3,INDEX(BQ4:BQ124,MATCH(INDEX(BM4:BM124,MATCH('Adjustment Surface'!F14,BM4:BM124,1)),BL4:BL124,1)),"Unknown Option Type"))-IF('Adjustment Surface'!$C$2='Data Validation'!$A$2,INDEX(BQ4:BQ124,MATCH(INDEX(BM4:BM124,MATCH('Adjustment Surface'!F14,BM4:BM124,1)),BL4:BL124,1)),IF('Adjustment Surface'!$C$2='Data Validation'!$A$3,INDEX(BR4:BR124,MATCH(INDEX(BM4:BM124,MATCH('Adjustment Surface'!F14,BM4:BM124,1)),BL4:BL124,1)),"Unknown Option Type")))/(INDEX(BS4:BS124,MATCH(INDEX(BM4:BM124,MATCH('Adjustment Surface'!F14,BM4:BM124,1)),BL4:BL124,1))*SQRT(((('Adjustment Surface'!F14-INDEX(BM4:BM124,MATCH('Adjustment Surface'!F14,BM4:BM124,1)))/360)+INDEX(BO4:BO124,MATCH(INDEX(BM4:BM124,MATCH('Adjustment Surface'!F14,BM4:BM124,1)),BM4:BM124,0))))),0,1,TRUE)))+((INDEX(BS4:BS124,MATCH(INDEX(BM4:BM124,MATCH('Adjustment Surface'!F14,BM4:BM124,1)),BL4:BL124,1))*SQRT(((('Adjustment Surface'!F14-INDEX(BM4:BM124,MATCH('Adjustment Surface'!F14,BM4:BM124,1)))/360)+INDEX(BO4:BO124,MATCH(INDEX(BM4:BM124,MATCH('Adjustment Surface'!F14,BM4:BM124,1)),BM4:BM124,0)))))*(NORMDIST((IF('Adjustment Surface'!$C$2='Data Validation'!$A$2,INDEX(BR4:BR124,MATCH(INDEX(BM4:BM124,MATCH('Adjustment Surface'!F14,BM4:BM124,1)),BL4:BL124,1)),IF('Adjustment Surface'!$C$2='Data Validation'!$A$3,INDEX(BQ4:BQ124,MATCH(INDEX(BM4:BM124,MATCH('Adjustment Surface'!F14,BM4:BM124,1)),BL4:BL124,1)),"Unknown Option Type"))-IF('Adjustment Surface'!$C$2='Data Validation'!$A$2,INDEX(BQ4:BQ124,MATCH(INDEX(BM4:BM124,MATCH('Adjustment Surface'!F14,BM4:BM124,1)),BL4:BL124,1)),IF('Adjustment Surface'!$C$2='Data Validation'!$A$3,INDEX(BR4:BR124,MATCH(INDEX(BM4:BM124,MATCH('Adjustment Surface'!F14,BM4:BM124,1)),BL4:BL124,1)),"Unknown Option Type")))/(INDEX(BS4:BS124,MATCH(INDEX(BM4:BM124,MATCH('Adjustment Surface'!F14,BM4:BM124,1)),BL4:BL124,1))*SQRT(((('Adjustment Surface'!F14-INDEX(BM4:BM124,MATCH('Adjustment Surface'!F14,BM4:BM124,1)))/360)+INDEX(BO4:BO124,MATCH(INDEX(BM4:BM124,MATCH('Adjustment Surface'!F14,BM4:BM124,1)),BM4:BM124,0))))),0,1,FALSE))))*(1/((1+INDEX(BR4:BR124,MATCH(INDEX(BM4:BM124,MATCH('Adjustment Surface'!F14,BM4:BM124,1)),BL4:BL124,1)))^(('Adjustment Surface'!F14-BL4)/360)))*(('Adjustment Surface'!F14-INDEX(BM4:BM124,MATCH('Adjustment Surface'!F14,BM4:BM124,1)))/360)*INDEX(BP4:BP124,MATCH(INDEX(BM4:BM124,MATCH('Adjustment Surface'!F14,BM4:BM124,1)),BL4:BL124,1)))</f>
        <v>83081.921859264447</v>
      </c>
      <c r="G6" s="76"/>
      <c r="I6" s="3">
        <v>3</v>
      </c>
      <c r="J6" s="4">
        <f>IF(K5='Adjustment Surface'!C$8,"",K5)</f>
        <v>46123</v>
      </c>
      <c r="K6" s="4">
        <f>IF(J6="","",IF(J6&lt;'Adjustment Surface'!C$7,EDATE(J$5,COUNT(J$5:J6)),IF(J6='Adjustment Surface'!C$7,'Adjustment Surface'!C$8,'Adjustment Surface'!C$7)))</f>
        <v>46153</v>
      </c>
      <c r="L6" s="3">
        <f t="shared" si="1"/>
        <v>30</v>
      </c>
      <c r="M6" s="5">
        <f>IF(I6="","",(K6-'Rate &amp; Vol Update'!$C$2)/360)</f>
        <v>0.24722222222222223</v>
      </c>
      <c r="N6" s="15">
        <f>IF(I6="","",IF('Adjustment Surface'!C$3='Data Validation'!$C$2,'Adjustment Surface'!C$4,IF(INDEX(Schedules!$E$3:$E$123,MATCH('Bachelier Model'!J6,Schedules!$B$3:$B$123,0))="",N5,INDEX(Schedules!$E$3:$E$123,MATCH('Bachelier Model'!J6,Schedules!$B$3:$B$123,0)))))</f>
        <v>25000000</v>
      </c>
      <c r="O6" s="16">
        <f>IF(I6="","",IF('Adjustment Surface'!C$9='Data Validation'!$D$2,'Adjustment Surface'!C$10,IF(INDEX(Schedules!$H$3:$H$123,MATCH('Bachelier Model'!J6,Schedules!$B$3:$B$123,0))="",O5,INDEX(Schedules!$H$3:$H$123,MATCH('Bachelier Model'!J6,Schedules!$B$3:$B$123,0)))))</f>
        <v>0.02</v>
      </c>
      <c r="P6" s="16" cm="1">
        <f t="array" ref="P6">IF(I6="","",FORECAST(J6,INDEX('Rate &amp; Vol Update'!$C$6:$C$127,MATCH(INDEX('Rate &amp; Vol Update'!$B$6:$B$127,MATCH(J6,'Rate &amp; Vol Update'!$B$6:$B$127,1)),'Rate &amp; Vol Update'!$B$6:$B$127,0)+IF('Adjustment Surface'!C$11='Data Validation'!$E$3,-1,0)):INDEX('Rate &amp; Vol Update'!$C$6:$C$127,MATCH(INDEX('Rate &amp; Vol Update'!$B$6:$B$127,MATCH(J6,'Rate &amp; Vol Update'!$B$6:$B$127,1)+1),'Rate &amp; Vol Update'!$B$6:$B$127,0)+IF('Adjustment Surface'!C$11='Data Validation'!$E$3,-1,0)),INDEX('Rate &amp; Vol Update'!$B$6:$B$127,MATCH(J6,'Rate &amp; Vol Update'!$B$6:$B$127,1)):INDEX('Rate &amp; Vol Update'!$B$6:$B$127,MATCH(J6,'Rate &amp; Vol Update'!$B$6:$B$127,1)+1))/100)</f>
        <v>3.6294673420255351E-2</v>
      </c>
      <c r="Q6" s="16" cm="1">
        <f t="array" ref="Q6">IF(I6="","",IF(J6&lt;'Rate &amp; Vol Update'!$C$2,0.001%,(1/((INDEX('Rate &amp; Vol Update'!$E$6:$Z$6,1,MATCH(O6,'Rate &amp; Vol Update'!$E$6:$Z$6,1)+1)-INDEX('Rate &amp; Vol Update'!$E$6:$Z$6,1,MATCH(O6,'Rate &amp; Vol Update'!$E$6:$Z$6,1)))*(INDEX('Rate &amp; Vol Update'!$B$8:$B$127,MATCH(J6,'Rate &amp; Vol Update'!$B$8:$B$127,1)+1)-INDEX('Rate &amp; Vol Update'!$B$8:$B$127,MATCH(J6,'Rate &amp; Vol Update'!$B$8:$B$127,1))))*(INDEX('Rate &amp; Vol Update'!$E$8:$Z$127,MATCH(INDEX('Rate &amp; Vol Update'!$B$8:$B$127,MATCH(J6,'Rate &amp; Vol Update'!$B$8:$B$127,1)),'Rate &amp; Vol Update'!$B$8:$B$127,0),MATCH(INDEX('Rate &amp; Vol Update'!$E$6:$Z$6,1,MATCH(O6,'Rate &amp; Vol Update'!$E$6:$Z$6,1)),'Rate &amp; Vol Update'!$E$6:$Z$6,0))*(INDEX('Rate &amp; Vol Update'!$E$6:$Z$6,1,MATCH(O6,'Rate &amp; Vol Update'!$E$6:$Z$6,1)+1)-O6)*(INDEX('Rate &amp; Vol Update'!$B$8:$B$127,MATCH(J6,'Rate &amp; Vol Update'!$B$8:$B$127,1)+1)-J6)+INDEX('Rate &amp; Vol Update'!$E$8:$Z$127,MATCH(INDEX('Rate &amp; Vol Update'!$B$8:$B$127,MATCH(J6,'Rate &amp; Vol Update'!$B$8:$B$127,1)),'Rate &amp; Vol Update'!$B$8:$B$127,0),MATCH(INDEX('Rate &amp; Vol Update'!$E$6:$Z$6,1,MATCH(O6,'Rate &amp; Vol Update'!$E$6:$Z$6,1)+1),'Rate &amp; Vol Update'!$E$6:$Z$6,0))*(O6-INDEX('Rate &amp; Vol Update'!$E$6:$Z$6,1,MATCH(O6,'Rate &amp; Vol Update'!$E$6:$Z$6,1)))*(INDEX('Rate &amp; Vol Update'!$B$8:$B$127,MATCH(J6,'Rate &amp; Vol Update'!$B$8:$B$127,1)+1)-J6)+INDEX('Rate &amp; Vol Update'!$E$8:$Z$127,MATCH(INDEX('Rate &amp; Vol Update'!$B$8:$B$127,MATCH(J6,'Rate &amp; Vol Update'!$B$8:$B$127,1)+1),'Rate &amp; Vol Update'!$B$8:$B$127,0),MATCH(INDEX('Rate &amp; Vol Update'!$E$6:$Z$6,1,MATCH(O6,'Rate &amp; Vol Update'!$E$6:$Z$6,1)),'Rate &amp; Vol Update'!$E$6:$Z$6,0))*(INDEX('Rate &amp; Vol Update'!$E$6:$Z$6,1,MATCH(O6,'Rate &amp; Vol Update'!$E$6:$Z$6,1)+1)-O6)*(J6-INDEX('Rate &amp; Vol Update'!$B$8:$B$127,MATCH(J6,'Rate &amp; Vol Update'!$B$8:$B$127,1)))+INDEX('Rate &amp; Vol Update'!$E$8:$Z$127,MATCH(INDEX('Rate &amp; Vol Update'!$B$8:$B$127,MATCH(J6,'Rate &amp; Vol Update'!$B$8:$B$127,1)+1),'Rate &amp; Vol Update'!$B$8:$B$127,0),MATCH(INDEX('Rate &amp; Vol Update'!$E$6:$Z$6,1,MATCH(O6,'Rate &amp; Vol Update'!$E$6:$Z$6,1)+1),'Rate &amp; Vol Update'!$E$6:$Z$6,0))*(O6-INDEX('Rate &amp; Vol Update'!$E$6:$Z$6,1,MATCH(O6,'Rate &amp; Vol Update'!$E$6:$Z$6,1)))*(J6-INDEX('Rate &amp; Vol Update'!$B$8:$B$127,MATCH(J6,'Rate &amp; Vol Update'!$B$8:$B$127,1)))))*0.01%))</f>
        <v>9.5285624730931349E-3</v>
      </c>
      <c r="R6" s="5">
        <f>IF(I6="","",1/((1+P6)^((K6-'Rate &amp; Vol Update'!$C$2)/360)))</f>
        <v>0.99122487587941166</v>
      </c>
      <c r="T6" s="15">
        <f>IF(I6="","",IF(J6&lt;'Rate &amp; Vol Update'!$C$2,MAX(0,P6-O6)*(L6/360)*N6,(((IF('Adjustment Surface'!C$2='Data Validation'!$A$2,P6,IF('Adjustment Surface'!C$2='Data Validation'!$A$3,O6,"Unknown Option Type"))-IF('Adjustment Surface'!C$2='Data Validation'!$A$2,O6,IF('Adjustment Surface'!C$2='Data Validation'!$A$3,P6,"Unknown Option Type")))*(NORMDIST((IF('Adjustment Surface'!C$2='Data Validation'!$A$2,P6,IF('Adjustment Surface'!C$2='Data Validation'!$A$3,O6,"Unknown Option Type"))-IF('Adjustment Surface'!C$2='Data Validation'!$A$2,O6,IF('Adjustment Surface'!C$2='Data Validation'!$A$3,P6,"Unknown Option Type")))/(Q6*SQRT(M6)),0,1,TRUE)))+((Q6*SQRT(M6))*(NORMDIST((IF('Adjustment Surface'!C$2='Data Validation'!$A$2,P6,IF('Adjustment Surface'!C$2='Data Validation'!$A$3,O6,"Unknown Option Type"))-IF('Adjustment Surface'!C$2='Data Validation'!$A$2,O6,IF('Adjustment Surface'!C$2='Data Validation'!$A$3,P6,"Unknown Option Type")))/(Q6*SQRT(M6)),0,1,FALSE))))*R6*(L6/360)*N6))</f>
        <v>33650.07218834474</v>
      </c>
      <c r="U6" s="15">
        <f>IF(I6="","",SUM(T$4:T6))</f>
        <v>101118.06066484581</v>
      </c>
      <c r="W6" s="15">
        <f>IF(I6="","",IF(J6&lt;'Rate &amp; Vol Update'!$C$2,0,((((((IF('Adjustment Surface'!C$2='Data Validation'!$A$2,P6,IF('Adjustment Surface'!C$2='Data Validation'!$A$3,O6,"Unknown Option Type"))-IF('Adjustment Surface'!C$2='Data Validation'!$A$2,O6,IF('Adjustment Surface'!C$2='Data Validation'!$A$3,P6,"Unknown Option Type")))*(NORMDIST((IF('Adjustment Surface'!C$2='Data Validation'!$A$2,P6,IF('Adjustment Surface'!C$2='Data Validation'!$A$3,O6,"Unknown Option Type"))-IF('Adjustment Surface'!C$2='Data Validation'!$A$2,O6,IF('Adjustment Surface'!C$2='Data Validation'!$A$3,P6,"Unknown Option Type")))/((Q6+0.01%)*SQRT(M6)),0,1,TRUE)))+(((Q6+0.01%)*SQRT(M6))*(NORMDIST((IF('Adjustment Surface'!C$2='Data Validation'!$A$2,P6,IF('Adjustment Surface'!C$2='Data Validation'!$A$3,O6,"Unknown Option Type"))-IF('Adjustment Surface'!C$2='Data Validation'!$A$2,O6,IF('Adjustment Surface'!C$2='Data Validation'!$A$3,P6,"Unknown Option Type")))/((Q6+0.01%)*SQRT(M6)),0,1,FALSE))))*R6*(L6/360))-(T6/N6))*N6)*R6))</f>
        <v>0.11664436961881242</v>
      </c>
      <c r="X6" s="15">
        <f>IF(I6="","",SUM(W$4:W6))</f>
        <v>0.11985245660906201</v>
      </c>
      <c r="Y6" s="15"/>
      <c r="Z6" s="20"/>
      <c r="AA6" s="3">
        <v>3</v>
      </c>
      <c r="AB6" s="4">
        <f>IF(AC5=MAX('Adjustment Surface'!$C$14:$F$14),"",AC5)</f>
        <v>46123</v>
      </c>
      <c r="AC6" s="4">
        <f>IF(AB6="","",IF(AB6&lt;EDATE('Adjustment Surface'!$C$6,DATEDIF('Adjustment Surface'!$C$6,MAX('Adjustment Surface'!$C$14:$F$14),"M")),EDATE(AB$5,COUNT(AB$5:AB6)),IF(AB6=EDATE('Adjustment Surface'!$C$6,DATEDIF('Adjustment Surface'!$C$6,MAX('Adjustment Surface'!$C$14:$F$14),"M")),MAX('Adjustment Surface'!$C$14:$F$14),EDATE('Adjustment Surface'!$C$6,DATEDIF('Adjustment Surface'!$C$6,MAX('Adjustment Surface'!$C$14:$F$14),"M")))))</f>
        <v>46153</v>
      </c>
      <c r="AD6" s="3">
        <f t="shared" si="2"/>
        <v>30</v>
      </c>
      <c r="AE6" s="5">
        <f>IF(AA6="","",(AC6-'Rate &amp; Vol Update'!$C$2)/360)</f>
        <v>0.24722222222222223</v>
      </c>
      <c r="AF6" s="15">
        <f>IF(AA6="","",IF('Adjustment Surface'!$C$3='Data Validation'!$C$2,'Adjustment Surface'!$C$4,_xlfn.IFNA(IF(INDEX(Schedules!$E$3:$E$123,MATCH('Bachelier Model'!AB6,Schedules!$B$3:$B$123,0))="",AF5,INDEX(Schedules!$E$3:$E$123,MATCH('Bachelier Model'!AB6,Schedules!$B$3:$B$123,0))),AF5)))</f>
        <v>25000000</v>
      </c>
      <c r="AG6" s="16">
        <f>IF(AA6="","",'Adjustment Surface'!B$15)</f>
        <v>0.03</v>
      </c>
      <c r="AH6" s="16" cm="1">
        <f t="array" ref="AH6">IF(AA6="","",FORECAST(AB6,INDEX('Rate &amp; Vol Update'!$C$6:$C$127,MATCH(INDEX('Rate &amp; Vol Update'!$B$6:$B$127,MATCH(AB6,'Rate &amp; Vol Update'!$B$6:$B$127,1)),'Rate &amp; Vol Update'!$B$6:$B$127,0)+IF('Adjustment Surface'!$C$11='Data Validation'!$E$3,-1,0)):INDEX('Rate &amp; Vol Update'!$C$6:$C$127,MATCH(INDEX('Rate &amp; Vol Update'!$B$6:$B$127,MATCH(AB6,'Rate &amp; Vol Update'!$B$6:$B$127,1)+1),'Rate &amp; Vol Update'!$B$6:$B$127,0)+IF('Adjustment Surface'!$C$11='Data Validation'!$E$3,-1,0)),INDEX('Rate &amp; Vol Update'!$B$6:$B$127,MATCH(AB6,'Rate &amp; Vol Update'!$B$6:$B$127,1)):INDEX('Rate &amp; Vol Update'!$B$6:$B$127,MATCH(AB6,'Rate &amp; Vol Update'!$B$6:$B$127,1)+1))/100)</f>
        <v>3.6294673420255351E-2</v>
      </c>
      <c r="AI6" s="16" cm="1">
        <f t="array" ref="AI6">IF(AA6="","",IF(AB6&lt;'Rate &amp; Vol Update'!$C$2,0.001%,(1/((INDEX('Rate &amp; Vol Update'!$E$6:$Z$6,1,MATCH(AG6,'Rate &amp; Vol Update'!$E$6:$Z$6,1)+1)-INDEX('Rate &amp; Vol Update'!$E$6:$Z$6,1,MATCH(AG6,'Rate &amp; Vol Update'!$E$6:$Z$6,1)))*(INDEX('Rate &amp; Vol Update'!$B$8:$B$127,MATCH(AB6,'Rate &amp; Vol Update'!$B$8:$B$127,1)+1)-INDEX('Rate &amp; Vol Update'!$B$8:$B$127,MATCH(AB6,'Rate &amp; Vol Update'!$B$8:$B$127,1))))*(INDEX('Rate &amp; Vol Update'!$E$8:$Z$127,MATCH(INDEX('Rate &amp; Vol Update'!$B$8:$B$127,MATCH(AB6,'Rate &amp; Vol Update'!$B$8:$B$127,1)),'Rate &amp; Vol Update'!$B$8:$B$127,0),MATCH(INDEX('Rate &amp; Vol Update'!$E$6:$Z$6,1,MATCH(AG6,'Rate &amp; Vol Update'!$E$6:$Z$6,1)),'Rate &amp; Vol Update'!$E$6:$Z$6,0))*(INDEX('Rate &amp; Vol Update'!$E$6:$Z$6,1,MATCH(AG6,'Rate &amp; Vol Update'!$E$6:$Z$6,1)+1)-AG6)*(INDEX('Rate &amp; Vol Update'!$B$8:$B$127,MATCH(AB6,'Rate &amp; Vol Update'!$B$8:$B$127,1)+1)-AB6)+INDEX('Rate &amp; Vol Update'!$E$8:$Z$127,MATCH(INDEX('Rate &amp; Vol Update'!$B$8:$B$127,MATCH(AB6,'Rate &amp; Vol Update'!$B$8:$B$127,1)),'Rate &amp; Vol Update'!$B$8:$B$127,0),MATCH(INDEX('Rate &amp; Vol Update'!$E$6:$Z$6,1,MATCH(AG6,'Rate &amp; Vol Update'!$E$6:$Z$6,1)+1),'Rate &amp; Vol Update'!$E$6:$Z$6,0))*(AG6-INDEX('Rate &amp; Vol Update'!$E$6:$Z$6,1,MATCH(AG6,'Rate &amp; Vol Update'!$E$6:$Z$6,1)))*(INDEX('Rate &amp; Vol Update'!$B$8:$B$127,MATCH(AB6,'Rate &amp; Vol Update'!$B$8:$B$127,1)+1)-AB6)+INDEX('Rate &amp; Vol Update'!$E$8:$Z$127,MATCH(INDEX('Rate &amp; Vol Update'!$B$8:$B$127,MATCH(AB6,'Rate &amp; Vol Update'!$B$8:$B$127,1)+1),'Rate &amp; Vol Update'!$B$8:$B$127,0),MATCH(INDEX('Rate &amp; Vol Update'!$E$6:$Z$6,1,MATCH(AG6,'Rate &amp; Vol Update'!$E$6:$Z$6,1)),'Rate &amp; Vol Update'!$E$6:$Z$6,0))*(INDEX('Rate &amp; Vol Update'!$E$6:$Z$6,1,MATCH(AG6,'Rate &amp; Vol Update'!$E$6:$Z$6,1)+1)-AG6)*(AB6-INDEX('Rate &amp; Vol Update'!$B$8:$B$127,MATCH(AB6,'Rate &amp; Vol Update'!$B$8:$B$127,1)))+INDEX('Rate &amp; Vol Update'!$E$8:$Z$127,MATCH(INDEX('Rate &amp; Vol Update'!$B$8:$B$127,MATCH(AB6,'Rate &amp; Vol Update'!$B$8:$B$127,1)+1),'Rate &amp; Vol Update'!$B$8:$B$127,0),MATCH(INDEX('Rate &amp; Vol Update'!$E$6:$Z$6,1,MATCH(AG6,'Rate &amp; Vol Update'!$E$6:$Z$6,1)+1),'Rate &amp; Vol Update'!$E$6:$Z$6,0))*(AG6-INDEX('Rate &amp; Vol Update'!$E$6:$Z$6,1,MATCH(AG6,'Rate &amp; Vol Update'!$E$6:$Z$6,1)))*(AB6-INDEX('Rate &amp; Vol Update'!$B$8:$B$127,MATCH(AB6,'Rate &amp; Vol Update'!$B$8:$B$127,1)))))*0.01%))</f>
        <v>7.4127850981736366E-3</v>
      </c>
      <c r="AJ6" s="5">
        <f>IF(AA6="","",1/((1+AH6)^((AC6-'Rate &amp; Vol Update'!$C$2)/360)))</f>
        <v>0.99122487587941166</v>
      </c>
      <c r="AL6" s="15">
        <f>IF(AA6="","",IF(AB6&lt;'Rate &amp; Vol Update'!$C$2,MAX(0,AH6-AG6)*(AD6/360)*AF6,(((IF('Adjustment Surface'!$C$2='Data Validation'!$A$2,AH6,IF('Adjustment Surface'!$C$2='Data Validation'!$A$3,AG6,"Unknown Option Type"))-IF('Adjustment Surface'!$C$2='Data Validation'!$A$2,AG6,IF('Adjustment Surface'!$C$2='Data Validation'!$A$3,AH6,"Unknown Option Type")))*(NORMDIST((IF('Adjustment Surface'!$C$2='Data Validation'!$A$2,AH6,IF('Adjustment Surface'!$C$2='Data Validation'!$A$3,AG6,"Unknown Option Type"))-IF('Adjustment Surface'!$C$2='Data Validation'!$A$2,AG6,IF('Adjustment Surface'!$C$2='Data Validation'!$A$3,AH6,"Unknown Option Type")))/(AI6*SQRT(AE6)),0,1,TRUE)))+((AI6*SQRT(AE6))*(NORMDIST((IF('Adjustment Surface'!$C$2='Data Validation'!$A$2,AH6,IF('Adjustment Surface'!$C$2='Data Validation'!$A$3,AG6,"Unknown Option Type"))-IF('Adjustment Surface'!$C$2='Data Validation'!$A$2,AG6,IF('Adjustment Surface'!$C$2='Data Validation'!$A$3,AH6,"Unknown Option Type")))/(AI6*SQRT(AE6)),0,1,FALSE))))*AJ6*(AD6/360)*AF6))</f>
        <v>13135.381276346256</v>
      </c>
      <c r="AM6" s="15">
        <f>IF(AA6="","",SUM(AL$4:AL6))</f>
        <v>39843.819210653324</v>
      </c>
      <c r="AO6" s="15">
        <f>IF(AA6="","",IF(AB6&lt;'Rate &amp; Vol Update'!$C$2,0,((((((IF('Adjustment Surface'!$C$2='Data Validation'!$A$2,AH6,IF('Adjustment Surface'!$C$2='Data Validation'!$A$3,AG6,"Unknown Option Type"))-IF('Adjustment Surface'!$C$2='Data Validation'!$A$2,AG6,IF('Adjustment Surface'!$C$2='Data Validation'!$A$3,AH6,"Unknown Option Type")))*(NORMDIST((IF('Adjustment Surface'!$C$2='Data Validation'!$A$2,AH6,IF('Adjustment Surface'!$C$2='Data Validation'!$A$3,AG6,"Unknown Option Type"))-IF('Adjustment Surface'!$C$2='Data Validation'!$A$2,AG6,IF('Adjustment Surface'!$C$2='Data Validation'!$A$3,AH6,"Unknown Option Type")))/((AI6+0.01%)*SQRT(AE6)),0,1,TRUE)))+(((AI6+0.01%)*SQRT(AE6))*(NORMDIST((IF('Adjustment Surface'!$C$2='Data Validation'!$A$2,AH6,IF('Adjustment Surface'!$C$2='Data Validation'!$A$3,AG6,"Unknown Option Type"))-IF('Adjustment Surface'!$C$2='Data Validation'!$A$2,AG6,IF('Adjustment Surface'!$C$2='Data Validation'!$A$3,AH6,"Unknown Option Type")))/((AI6+0.01%)*SQRT(AE6)),0,1,FALSE))))*AJ6*(AD6/360))-(AL6/AF6))*AF6)*AJ6))</f>
        <v>9.6306288213250344</v>
      </c>
      <c r="AP6" s="15">
        <f>IF(AA6="","",SUM(AO$4:AO6))</f>
        <v>12.958034355384145</v>
      </c>
      <c r="AQ6" s="15"/>
      <c r="AR6" s="20"/>
      <c r="AS6" s="3">
        <v>3</v>
      </c>
      <c r="AT6" s="4">
        <f>IF(AU5=MAX('Adjustment Surface'!$C$14:$F$14),"",AU5)</f>
        <v>46123</v>
      </c>
      <c r="AU6" s="4">
        <f>IF(AT6="","",IF(AT6&lt;EDATE('Adjustment Surface'!$C$6,DATEDIF('Adjustment Surface'!$C$6,MAX('Adjustment Surface'!$C$14:$F$14),"M")),EDATE(AT$5,COUNT(AT$5:AT6)),IF(AT6=EDATE('Adjustment Surface'!$C$6,DATEDIF('Adjustment Surface'!$C$6,MAX('Adjustment Surface'!$C$14:$F$14),"M")),MAX('Adjustment Surface'!$C$14:$F$14),EDATE('Adjustment Surface'!$C$6,DATEDIF('Adjustment Surface'!$C$6,MAX('Adjustment Surface'!$C$14:$F$14),"M")))))</f>
        <v>46153</v>
      </c>
      <c r="AV6" s="3">
        <f t="shared" si="3"/>
        <v>30</v>
      </c>
      <c r="AW6" s="5">
        <f>IF(AS6="","",(AU6-'Rate &amp; Vol Update'!$C$2)/360)</f>
        <v>0.24722222222222223</v>
      </c>
      <c r="AX6" s="15">
        <f>IF(AS6="","",IF('Adjustment Surface'!$C$3='Data Validation'!$C$2,'Adjustment Surface'!$C$4,_xlfn.IFNA(IF(INDEX(Schedules!$E$3:$E$123,MATCH('Bachelier Model'!AT6,Schedules!$B$3:$B$123,0))="",AX5,INDEX(Schedules!$E$3:$E$123,MATCH('Bachelier Model'!AT6,Schedules!$B$3:$B$123,0))),AX5)))</f>
        <v>25000000</v>
      </c>
      <c r="AY6" s="16">
        <f>IF(AS6="","",'Adjustment Surface'!B$16)</f>
        <v>0.04</v>
      </c>
      <c r="AZ6" s="16" cm="1">
        <f t="array" ref="AZ6">IF(AS6="","",FORECAST(AT6,INDEX('Rate &amp; Vol Update'!$C$6:$C$127,MATCH(INDEX('Rate &amp; Vol Update'!$B$6:$B$127,MATCH(AT6,'Rate &amp; Vol Update'!$B$6:$B$127,1)),'Rate &amp; Vol Update'!$B$6:$B$127,0)+IF('Adjustment Surface'!$C$11='Data Validation'!$E$3,-1,0)):INDEX('Rate &amp; Vol Update'!$C$6:$C$127,MATCH(INDEX('Rate &amp; Vol Update'!$B$6:$B$127,MATCH(AT6,'Rate &amp; Vol Update'!$B$6:$B$127,1)+1),'Rate &amp; Vol Update'!$B$6:$B$127,0)+IF('Adjustment Surface'!$C$11='Data Validation'!$E$3,-1,0)),INDEX('Rate &amp; Vol Update'!$B$6:$B$127,MATCH(AT6,'Rate &amp; Vol Update'!$B$6:$B$127,1)):INDEX('Rate &amp; Vol Update'!$B$6:$B$127,MATCH(AT6,'Rate &amp; Vol Update'!$B$6:$B$127,1)+1))/100)</f>
        <v>3.6294673420255351E-2</v>
      </c>
      <c r="BA6" s="16" cm="1">
        <f t="array" ref="BA6">IF(AS6="","",IF(AT6&lt;'Rate &amp; Vol Update'!$C$2,0.001%,(1/((INDEX('Rate &amp; Vol Update'!$E$6:$Z$6,1,MATCH(AY6,'Rate &amp; Vol Update'!$E$6:$Z$6,1)+1)-INDEX('Rate &amp; Vol Update'!$E$6:$Z$6,1,MATCH(AY6,'Rate &amp; Vol Update'!$E$6:$Z$6,1)))*(INDEX('Rate &amp; Vol Update'!$B$8:$B$127,MATCH(AT6,'Rate &amp; Vol Update'!$B$8:$B$127,1)+1)-INDEX('Rate &amp; Vol Update'!$B$8:$B$127,MATCH(AT6,'Rate &amp; Vol Update'!$B$8:$B$127,1))))*(INDEX('Rate &amp; Vol Update'!$E$8:$Z$127,MATCH(INDEX('Rate &amp; Vol Update'!$B$8:$B$127,MATCH(AT6,'Rate &amp; Vol Update'!$B$8:$B$127,1)),'Rate &amp; Vol Update'!$B$8:$B$127,0),MATCH(INDEX('Rate &amp; Vol Update'!$E$6:$Z$6,1,MATCH(AY6,'Rate &amp; Vol Update'!$E$6:$Z$6,1)),'Rate &amp; Vol Update'!$E$6:$Z$6,0))*(INDEX('Rate &amp; Vol Update'!$E$6:$Z$6,1,MATCH(AY6,'Rate &amp; Vol Update'!$E$6:$Z$6,1)+1)-AY6)*(INDEX('Rate &amp; Vol Update'!$B$8:$B$127,MATCH(AT6,'Rate &amp; Vol Update'!$B$8:$B$127,1)+1)-AT6)+INDEX('Rate &amp; Vol Update'!$E$8:$Z$127,MATCH(INDEX('Rate &amp; Vol Update'!$B$8:$B$127,MATCH(AT6,'Rate &amp; Vol Update'!$B$8:$B$127,1)),'Rate &amp; Vol Update'!$B$8:$B$127,0),MATCH(INDEX('Rate &amp; Vol Update'!$E$6:$Z$6,1,MATCH(AY6,'Rate &amp; Vol Update'!$E$6:$Z$6,1)+1),'Rate &amp; Vol Update'!$E$6:$Z$6,0))*(AY6-INDEX('Rate &amp; Vol Update'!$E$6:$Z$6,1,MATCH(AY6,'Rate &amp; Vol Update'!$E$6:$Z$6,1)))*(INDEX('Rate &amp; Vol Update'!$B$8:$B$127,MATCH(AT6,'Rate &amp; Vol Update'!$B$8:$B$127,1)+1)-AT6)+INDEX('Rate &amp; Vol Update'!$E$8:$Z$127,MATCH(INDEX('Rate &amp; Vol Update'!$B$8:$B$127,MATCH(AT6,'Rate &amp; Vol Update'!$B$8:$B$127,1)+1),'Rate &amp; Vol Update'!$B$8:$B$127,0),MATCH(INDEX('Rate &amp; Vol Update'!$E$6:$Z$6,1,MATCH(AY6,'Rate &amp; Vol Update'!$E$6:$Z$6,1)),'Rate &amp; Vol Update'!$E$6:$Z$6,0))*(INDEX('Rate &amp; Vol Update'!$E$6:$Z$6,1,MATCH(AY6,'Rate &amp; Vol Update'!$E$6:$Z$6,1)+1)-AY6)*(AT6-INDEX('Rate &amp; Vol Update'!$B$8:$B$127,MATCH(AT6,'Rate &amp; Vol Update'!$B$8:$B$127,1)))+INDEX('Rate &amp; Vol Update'!$E$8:$Z$127,MATCH(INDEX('Rate &amp; Vol Update'!$B$8:$B$127,MATCH(AT6,'Rate &amp; Vol Update'!$B$8:$B$127,1)+1),'Rate &amp; Vol Update'!$B$8:$B$127,0),MATCH(INDEX('Rate &amp; Vol Update'!$E$6:$Z$6,1,MATCH(AY6,'Rate &amp; Vol Update'!$E$6:$Z$6,1)+1),'Rate &amp; Vol Update'!$E$6:$Z$6,0))*(AY6-INDEX('Rate &amp; Vol Update'!$E$6:$Z$6,1,MATCH(AY6,'Rate &amp; Vol Update'!$E$6:$Z$6,1)))*(AT6-INDEX('Rate &amp; Vol Update'!$B$8:$B$127,MATCH(AT6,'Rate &amp; Vol Update'!$B$8:$B$127,1)))))*0.01%))</f>
        <v>6.092100730134037E-3</v>
      </c>
      <c r="BB6" s="5">
        <f>IF(AS6="","",1/((1+AZ6)^((AU6-'Rate &amp; Vol Update'!$C$2)/360)))</f>
        <v>0.99122487587941166</v>
      </c>
      <c r="BD6" s="15">
        <f>IF(AS6="","",IF(AT6&lt;'Rate &amp; Vol Update'!$C$2,MAX(0,AZ6-AY6)*(AV6/360)*AX6,(((IF('Adjustment Surface'!$C$2='Data Validation'!$A$2,AZ6,IF('Adjustment Surface'!$C$2='Data Validation'!$A$3,AY6,"Unknown Option Type"))-IF('Adjustment Surface'!$C$2='Data Validation'!$A$2,AY6,IF('Adjustment Surface'!$C$2='Data Validation'!$A$3,AZ6,"Unknown Option Type")))*(NORMDIST((IF('Adjustment Surface'!$C$2='Data Validation'!$A$2,AZ6,IF('Adjustment Surface'!$C$2='Data Validation'!$A$3,AY6,"Unknown Option Type"))-IF('Adjustment Surface'!$C$2='Data Validation'!$A$2,AY6,IF('Adjustment Surface'!$C$2='Data Validation'!$A$3,AZ6,"Unknown Option Type")))/(BA6*SQRT(AW6)),0,1,TRUE)))+((BA6*SQRT(AW6))*(NORMDIST((IF('Adjustment Surface'!$C$2='Data Validation'!$A$2,AZ6,IF('Adjustment Surface'!$C$2='Data Validation'!$A$3,AY6,"Unknown Option Type"))-IF('Adjustment Surface'!$C$2='Data Validation'!$A$2,AY6,IF('Adjustment Surface'!$C$2='Data Validation'!$A$3,AZ6,"Unknown Option Type")))/(BA6*SQRT(AW6)),0,1,FALSE))))*BB6*(AV6/360)*AX6))</f>
        <v>334.52192725075383</v>
      </c>
      <c r="BE6" s="15">
        <f>IF(AS6="","",SUM(BD$4:BD6))</f>
        <v>544.24002783820811</v>
      </c>
      <c r="BG6" s="15">
        <f>IF(AS6="","",IF(AT6&lt;'Rate &amp; Vol Update'!$C$2,0,((((((IF('Adjustment Surface'!$C$2='Data Validation'!$A$2,AZ6,IF('Adjustment Surface'!$C$2='Data Validation'!$A$3,AY6,"Unknown Option Type"))-IF('Adjustment Surface'!$C$2='Data Validation'!$A$2,AY6,IF('Adjustment Surface'!$C$2='Data Validation'!$A$3,AZ6,"Unknown Option Type")))*(NORMDIST((IF('Adjustment Surface'!$C$2='Data Validation'!$A$2,AZ6,IF('Adjustment Surface'!$C$2='Data Validation'!$A$3,AY6,"Unknown Option Type"))-IF('Adjustment Surface'!$C$2='Data Validation'!$A$2,AY6,IF('Adjustment Surface'!$C$2='Data Validation'!$A$3,AZ6,"Unknown Option Type")))/((BA6+0.01%)*SQRT(AW6)),0,1,TRUE)))+(((BA6+0.01%)*SQRT(AW6))*(NORMDIST((IF('Adjustment Surface'!$C$2='Data Validation'!$A$2,AZ6,IF('Adjustment Surface'!$C$2='Data Validation'!$A$3,AY6,"Unknown Option Type"))-IF('Adjustment Surface'!$C$2='Data Validation'!$A$2,AY6,IF('Adjustment Surface'!$C$2='Data Validation'!$A$3,AZ6,"Unknown Option Type")))/((BA6+0.01%)*SQRT(AW6)),0,1,FALSE))))*BB6*(AV6/360))-(BD6/AX6))*AX6)*BB6))</f>
        <v>19.44858114008224</v>
      </c>
      <c r="BH6" s="15">
        <f>IF(AS6="","",SUM(BG$4:BG6))</f>
        <v>35.049615653783114</v>
      </c>
      <c r="BI6" s="15"/>
      <c r="BJ6" s="20"/>
      <c r="BK6" s="3">
        <v>3</v>
      </c>
      <c r="BL6" s="4">
        <f>IF(BM5=MAX('Adjustment Surface'!$C$14:$F$14),"",BM5)</f>
        <v>46123</v>
      </c>
      <c r="BM6" s="4">
        <f>IF(BL6="","",IF(BL6&lt;EDATE('Adjustment Surface'!$C$6,DATEDIF('Adjustment Surface'!$C$6,MAX('Adjustment Surface'!$C$14:$F$14),"M")),EDATE(BL$5,COUNT(BL$5:BL6)),IF(BL6=EDATE('Adjustment Surface'!$C$6,DATEDIF('Adjustment Surface'!$C$6,MAX('Adjustment Surface'!$C$14:$F$14),"M")),MAX('Adjustment Surface'!$C$14:$F$14),EDATE('Adjustment Surface'!$C$6,DATEDIF('Adjustment Surface'!$C$6,MAX('Adjustment Surface'!$C$14:$F$14),"M")))))</f>
        <v>46153</v>
      </c>
      <c r="BN6" s="3">
        <f t="shared" si="4"/>
        <v>30</v>
      </c>
      <c r="BO6" s="5">
        <f>IF(BK6="","",(BM6-'Rate &amp; Vol Update'!$C$2)/360)</f>
        <v>0.24722222222222223</v>
      </c>
      <c r="BP6" s="15">
        <f>IF(BK6="","",IF('Adjustment Surface'!$C$3='Data Validation'!$C$2,'Adjustment Surface'!$C$4,_xlfn.IFNA(IF(INDEX(Schedules!$E$3:$E$123,MATCH('Bachelier Model'!BL6,Schedules!$B$3:$B$123,0))="",BP5,INDEX(Schedules!$E$3:$E$123,MATCH('Bachelier Model'!BL6,Schedules!$B$3:$B$123,0))),BP5)))</f>
        <v>25000000</v>
      </c>
      <c r="BQ6" s="16">
        <f>IF(BK6="","",'Adjustment Surface'!B$17)</f>
        <v>0.05</v>
      </c>
      <c r="BR6" s="16" cm="1">
        <f t="array" ref="BR6">IF(BK6="","",FORECAST(BL6,INDEX('Rate &amp; Vol Update'!$C$6:$C$127,MATCH(INDEX('Rate &amp; Vol Update'!$B$6:$B$127,MATCH(BL6,'Rate &amp; Vol Update'!$B$6:$B$127,1)),'Rate &amp; Vol Update'!$B$6:$B$127,0)+IF('Adjustment Surface'!$C$11='Data Validation'!$E$3,-1,0)):INDEX('Rate &amp; Vol Update'!$C$6:$C$127,MATCH(INDEX('Rate &amp; Vol Update'!$B$6:$B$127,MATCH(BL6,'Rate &amp; Vol Update'!$B$6:$B$127,1)+1),'Rate &amp; Vol Update'!$B$6:$B$127,0)+IF('Adjustment Surface'!$C$11='Data Validation'!$E$3,-1,0)),INDEX('Rate &amp; Vol Update'!$B$6:$B$127,MATCH(BL6,'Rate &amp; Vol Update'!$B$6:$B$127,1)):INDEX('Rate &amp; Vol Update'!$B$6:$B$127,MATCH(BL6,'Rate &amp; Vol Update'!$B$6:$B$127,1)+1))/100)</f>
        <v>3.6294673420255351E-2</v>
      </c>
      <c r="BS6" s="16" cm="1">
        <f t="array" ref="BS6">IF(BK6="","",IF(BL6&lt;'Rate &amp; Vol Update'!$C$2,0.001%,(1/((INDEX('Rate &amp; Vol Update'!$E$6:$Z$6,1,MATCH(BQ6,'Rate &amp; Vol Update'!$E$6:$Z$6,1)+1)-INDEX('Rate &amp; Vol Update'!$E$6:$Z$6,1,MATCH(BQ6,'Rate &amp; Vol Update'!$E$6:$Z$6,1)))*(INDEX('Rate &amp; Vol Update'!$B$8:$B$127,MATCH(BL6,'Rate &amp; Vol Update'!$B$8:$B$127,1)+1)-INDEX('Rate &amp; Vol Update'!$B$8:$B$127,MATCH(BL6,'Rate &amp; Vol Update'!$B$8:$B$127,1))))*(INDEX('Rate &amp; Vol Update'!$E$8:$Z$127,MATCH(INDEX('Rate &amp; Vol Update'!$B$8:$B$127,MATCH(BL6,'Rate &amp; Vol Update'!$B$8:$B$127,1)),'Rate &amp; Vol Update'!$B$8:$B$127,0),MATCH(INDEX('Rate &amp; Vol Update'!$E$6:$Z$6,1,MATCH(BQ6,'Rate &amp; Vol Update'!$E$6:$Z$6,1)),'Rate &amp; Vol Update'!$E$6:$Z$6,0))*(INDEX('Rate &amp; Vol Update'!$E$6:$Z$6,1,MATCH(BQ6,'Rate &amp; Vol Update'!$E$6:$Z$6,1)+1)-BQ6)*(INDEX('Rate &amp; Vol Update'!$B$8:$B$127,MATCH(BL6,'Rate &amp; Vol Update'!$B$8:$B$127,1)+1)-BL6)+INDEX('Rate &amp; Vol Update'!$E$8:$Z$127,MATCH(INDEX('Rate &amp; Vol Update'!$B$8:$B$127,MATCH(BL6,'Rate &amp; Vol Update'!$B$8:$B$127,1)),'Rate &amp; Vol Update'!$B$8:$B$127,0),MATCH(INDEX('Rate &amp; Vol Update'!$E$6:$Z$6,1,MATCH(BQ6,'Rate &amp; Vol Update'!$E$6:$Z$6,1)+1),'Rate &amp; Vol Update'!$E$6:$Z$6,0))*(BQ6-INDEX('Rate &amp; Vol Update'!$E$6:$Z$6,1,MATCH(BQ6,'Rate &amp; Vol Update'!$E$6:$Z$6,1)))*(INDEX('Rate &amp; Vol Update'!$B$8:$B$127,MATCH(BL6,'Rate &amp; Vol Update'!$B$8:$B$127,1)+1)-BL6)+INDEX('Rate &amp; Vol Update'!$E$8:$Z$127,MATCH(INDEX('Rate &amp; Vol Update'!$B$8:$B$127,MATCH(BL6,'Rate &amp; Vol Update'!$B$8:$B$127,1)+1),'Rate &amp; Vol Update'!$B$8:$B$127,0),MATCH(INDEX('Rate &amp; Vol Update'!$E$6:$Z$6,1,MATCH(BQ6,'Rate &amp; Vol Update'!$E$6:$Z$6,1)),'Rate &amp; Vol Update'!$E$6:$Z$6,0))*(INDEX('Rate &amp; Vol Update'!$E$6:$Z$6,1,MATCH(BQ6,'Rate &amp; Vol Update'!$E$6:$Z$6,1)+1)-BQ6)*(BL6-INDEX('Rate &amp; Vol Update'!$B$8:$B$127,MATCH(BL6,'Rate &amp; Vol Update'!$B$8:$B$127,1)))+INDEX('Rate &amp; Vol Update'!$E$8:$Z$127,MATCH(INDEX('Rate &amp; Vol Update'!$B$8:$B$127,MATCH(BL6,'Rate &amp; Vol Update'!$B$8:$B$127,1)+1),'Rate &amp; Vol Update'!$B$8:$B$127,0),MATCH(INDEX('Rate &amp; Vol Update'!$E$6:$Z$6,1,MATCH(BQ6,'Rate &amp; Vol Update'!$E$6:$Z$6,1)+1),'Rate &amp; Vol Update'!$E$6:$Z$6,0))*(BQ6-INDEX('Rate &amp; Vol Update'!$E$6:$Z$6,1,MATCH(BQ6,'Rate &amp; Vol Update'!$E$6:$Z$6,1)))*(BL6-INDEX('Rate &amp; Vol Update'!$B$8:$B$127,MATCH(BL6,'Rate &amp; Vol Update'!$B$8:$B$127,1)))))*0.01%))</f>
        <v>7.4365012667705933E-3</v>
      </c>
      <c r="BT6" s="5">
        <f>IF(BK6="","",1/((1+BR6)^((BM6-'Rate &amp; Vol Update'!$C$2)/360)))</f>
        <v>0.99122487587941166</v>
      </c>
      <c r="BV6" s="15">
        <f>IF(BK6="","",IF(BL6&lt;'Rate &amp; Vol Update'!$C$2,MAX(0,BR6-BQ6)*(BN6/360)*BP6,(((IF('Adjustment Surface'!$C$2='Data Validation'!$A$2,BR6,IF('Adjustment Surface'!$C$2='Data Validation'!$A$3,BQ6,"Unknown Option Type"))-IF('Adjustment Surface'!$C$2='Data Validation'!$A$2,BQ6,IF('Adjustment Surface'!$C$2='Data Validation'!$A$3,BR6,"Unknown Option Type")))*(NORMDIST((IF('Adjustment Surface'!$C$2='Data Validation'!$A$2,BR6,IF('Adjustment Surface'!$C$2='Data Validation'!$A$3,BQ6,"Unknown Option Type"))-IF('Adjustment Surface'!$C$2='Data Validation'!$A$2,BQ6,IF('Adjustment Surface'!$C$2='Data Validation'!$A$3,BR6,"Unknown Option Type")))/(BS6*SQRT(BO6)),0,1,TRUE)))+((BS6*SQRT(BO6))*(NORMDIST((IF('Adjustment Surface'!$C$2='Data Validation'!$A$2,BR6,IF('Adjustment Surface'!$C$2='Data Validation'!$A$3,BQ6,"Unknown Option Type"))-IF('Adjustment Surface'!$C$2='Data Validation'!$A$2,BQ6,IF('Adjustment Surface'!$C$2='Data Validation'!$A$3,BR6,"Unknown Option Type")))/(BS6*SQRT(BO6)),0,1,FALSE))))*BT6*(BN6/360)*BP6))</f>
        <v>0.1925533306331387</v>
      </c>
      <c r="BW6" s="15">
        <f>IF(BK6="","",SUM(BV$4:BV6))</f>
        <v>0.19917069985415134</v>
      </c>
      <c r="BY6" s="15">
        <f>IF(BK6="","",IF(BL6&lt;'Rate &amp; Vol Update'!$C$2,0,((((((IF('Adjustment Surface'!$C$2='Data Validation'!$A$2,BR6,IF('Adjustment Surface'!$C$2='Data Validation'!$A$3,BQ6,"Unknown Option Type"))-IF('Adjustment Surface'!$C$2='Data Validation'!$A$2,BQ6,IF('Adjustment Surface'!$C$2='Data Validation'!$A$3,BR6,"Unknown Option Type")))*(NORMDIST((IF('Adjustment Surface'!$C$2='Data Validation'!$A$2,BR6,IF('Adjustment Surface'!$C$2='Data Validation'!$A$3,BQ6,"Unknown Option Type"))-IF('Adjustment Surface'!$C$2='Data Validation'!$A$2,BQ6,IF('Adjustment Surface'!$C$2='Data Validation'!$A$3,BR6,"Unknown Option Type")))/((BS6+0.01%)*SQRT(BO6)),0,1,TRUE)))+(((BS6+0.01%)*SQRT(BO6))*(NORMDIST((IF('Adjustment Surface'!$C$2='Data Validation'!$A$2,BR6,IF('Adjustment Surface'!$C$2='Data Validation'!$A$3,BQ6,"Unknown Option Type"))-IF('Adjustment Surface'!$C$2='Data Validation'!$A$2,BQ6,IF('Adjustment Surface'!$C$2='Data Validation'!$A$3,BR6,"Unknown Option Type")))/((BS6+0.01%)*SQRT(BO6)),0,1,FALSE))))*BT6*(BN6/360))-(BV6/BP6))*BP6)*BT6))</f>
        <v>4.6276214285587716E-2</v>
      </c>
      <c r="BZ6" s="15">
        <f>IF(BK6="","",SUM(BY$4:BY6))</f>
        <v>4.8493768879250609E-2</v>
      </c>
      <c r="CA6" s="15"/>
      <c r="CB6" s="20"/>
      <c r="CC6" s="3">
        <v>3</v>
      </c>
      <c r="CD6" s="4">
        <f>IF(CE5=MAX('Adjustment Surface'!$C$14:$F$14),"",CE5)</f>
        <v>46123</v>
      </c>
      <c r="CE6" s="4">
        <f>IF(CD6="","",IF(CD6&lt;EDATE('Adjustment Surface'!$C$6,DATEDIF('Adjustment Surface'!$C$6,MAX('Adjustment Surface'!$C$14:$F$14),"M")),EDATE(CD$5,COUNT(CD$5:CD6)),IF(CD6=EDATE('Adjustment Surface'!$C$6,DATEDIF('Adjustment Surface'!$C$6,MAX('Adjustment Surface'!$C$14:$F$14),"M")),MAX('Adjustment Surface'!$C$14:$F$14),EDATE('Adjustment Surface'!$C$6,DATEDIF('Adjustment Surface'!$C$6,MAX('Adjustment Surface'!$C$14:$F$14),"M")))))</f>
        <v>46153</v>
      </c>
      <c r="CF6" s="3">
        <f t="shared" si="5"/>
        <v>30</v>
      </c>
      <c r="CG6" s="5">
        <f>IF(CC6="","",(CE6-'Rate &amp; Vol Update'!$C$2)/360)</f>
        <v>0.24722222222222223</v>
      </c>
      <c r="CH6" s="15">
        <f>IF(CC6="","",IF('Adjustment Surface'!$C$3='Data Validation'!$C$2,'Adjustment Surface'!$C$4,_xlfn.IFNA(IF(INDEX(Schedules!$E$3:$E$123,MATCH('Bachelier Model'!CD6,Schedules!$B$3:$B$123,0))="",CH5,INDEX(Schedules!$E$3:$E$123,MATCH('Bachelier Model'!CD6,Schedules!$B$3:$B$123,0))),CH5)))</f>
        <v>25000000</v>
      </c>
      <c r="CI6" s="16">
        <f>IF(CC6="","",'Adjustment Surface'!B$18)</f>
        <v>0.06</v>
      </c>
      <c r="CJ6" s="16" cm="1">
        <f t="array" ref="CJ6">IF(CC6="","",FORECAST(CD6,INDEX('Rate &amp; Vol Update'!$C$6:$C$127,MATCH(INDEX('Rate &amp; Vol Update'!$B$6:$B$127,MATCH(CD6,'Rate &amp; Vol Update'!$B$6:$B$127,1)),'Rate &amp; Vol Update'!$B$6:$B$127,0)+IF('Adjustment Surface'!$C$11='Data Validation'!$E$3,-1,0)):INDEX('Rate &amp; Vol Update'!$C$6:$C$127,MATCH(INDEX('Rate &amp; Vol Update'!$B$6:$B$127,MATCH(CD6,'Rate &amp; Vol Update'!$B$6:$B$127,1)+1),'Rate &amp; Vol Update'!$B$6:$B$127,0)+IF('Adjustment Surface'!$C$11='Data Validation'!$E$3,-1,0)),INDEX('Rate &amp; Vol Update'!$B$6:$B$127,MATCH(CD6,'Rate &amp; Vol Update'!$B$6:$B$127,1)):INDEX('Rate &amp; Vol Update'!$B$6:$B$127,MATCH(CD6,'Rate &amp; Vol Update'!$B$6:$B$127,1)+1))/100)</f>
        <v>3.6294673420255351E-2</v>
      </c>
      <c r="CK6" s="16" cm="1">
        <f t="array" ref="CK6">IF(CC6="","",IF(CD6&lt;'Rate &amp; Vol Update'!$C$2,0.001%,(1/((INDEX('Rate &amp; Vol Update'!$E$6:$Z$6,1,MATCH(CI6,'Rate &amp; Vol Update'!$E$6:$Z$6,1)+1)-INDEX('Rate &amp; Vol Update'!$E$6:$Z$6,1,MATCH(CI6,'Rate &amp; Vol Update'!$E$6:$Z$6,1)))*(INDEX('Rate &amp; Vol Update'!$B$8:$B$127,MATCH(CD6,'Rate &amp; Vol Update'!$B$8:$B$127,1)+1)-INDEX('Rate &amp; Vol Update'!$B$8:$B$127,MATCH(CD6,'Rate &amp; Vol Update'!$B$8:$B$127,1))))*(INDEX('Rate &amp; Vol Update'!$E$8:$Z$127,MATCH(INDEX('Rate &amp; Vol Update'!$B$8:$B$127,MATCH(CD6,'Rate &amp; Vol Update'!$B$8:$B$127,1)),'Rate &amp; Vol Update'!$B$8:$B$127,0),MATCH(INDEX('Rate &amp; Vol Update'!$E$6:$Z$6,1,MATCH(CI6,'Rate &amp; Vol Update'!$E$6:$Z$6,1)),'Rate &amp; Vol Update'!$E$6:$Z$6,0))*(INDEX('Rate &amp; Vol Update'!$E$6:$Z$6,1,MATCH(CI6,'Rate &amp; Vol Update'!$E$6:$Z$6,1)+1)-CI6)*(INDEX('Rate &amp; Vol Update'!$B$8:$B$127,MATCH(CD6,'Rate &amp; Vol Update'!$B$8:$B$127,1)+1)-CD6)+INDEX('Rate &amp; Vol Update'!$E$8:$Z$127,MATCH(INDEX('Rate &amp; Vol Update'!$B$8:$B$127,MATCH(CD6,'Rate &amp; Vol Update'!$B$8:$B$127,1)),'Rate &amp; Vol Update'!$B$8:$B$127,0),MATCH(INDEX('Rate &amp; Vol Update'!$E$6:$Z$6,1,MATCH(CI6,'Rate &amp; Vol Update'!$E$6:$Z$6,1)+1),'Rate &amp; Vol Update'!$E$6:$Z$6,0))*(CI6-INDEX('Rate &amp; Vol Update'!$E$6:$Z$6,1,MATCH(CI6,'Rate &amp; Vol Update'!$E$6:$Z$6,1)))*(INDEX('Rate &amp; Vol Update'!$B$8:$B$127,MATCH(CD6,'Rate &amp; Vol Update'!$B$8:$B$127,1)+1)-CD6)+INDEX('Rate &amp; Vol Update'!$E$8:$Z$127,MATCH(INDEX('Rate &amp; Vol Update'!$B$8:$B$127,MATCH(CD6,'Rate &amp; Vol Update'!$B$8:$B$127,1)+1),'Rate &amp; Vol Update'!$B$8:$B$127,0),MATCH(INDEX('Rate &amp; Vol Update'!$E$6:$Z$6,1,MATCH(CI6,'Rate &amp; Vol Update'!$E$6:$Z$6,1)),'Rate &amp; Vol Update'!$E$6:$Z$6,0))*(INDEX('Rate &amp; Vol Update'!$E$6:$Z$6,1,MATCH(CI6,'Rate &amp; Vol Update'!$E$6:$Z$6,1)+1)-CI6)*(CD6-INDEX('Rate &amp; Vol Update'!$B$8:$B$127,MATCH(CD6,'Rate &amp; Vol Update'!$B$8:$B$127,1)))+INDEX('Rate &amp; Vol Update'!$E$8:$Z$127,MATCH(INDEX('Rate &amp; Vol Update'!$B$8:$B$127,MATCH(CD6,'Rate &amp; Vol Update'!$B$8:$B$127,1)+1),'Rate &amp; Vol Update'!$B$8:$B$127,0),MATCH(INDEX('Rate &amp; Vol Update'!$E$6:$Z$6,1,MATCH(CI6,'Rate &amp; Vol Update'!$E$6:$Z$6,1)+1),'Rate &amp; Vol Update'!$E$6:$Z$6,0))*(CI6-INDEX('Rate &amp; Vol Update'!$E$6:$Z$6,1,MATCH(CI6,'Rate &amp; Vol Update'!$E$6:$Z$6,1)))*(CD6-INDEX('Rate &amp; Vol Update'!$B$8:$B$127,MATCH(CD6,'Rate &amp; Vol Update'!$B$8:$B$127,1)))))*0.01%))</f>
        <v>9.6663621713882816E-3</v>
      </c>
      <c r="CL6" s="5">
        <f>IF(CC6="","",1/((1+CJ6)^((CE6-'Rate &amp; Vol Update'!$C$2)/360)))</f>
        <v>0.99122487587941166</v>
      </c>
      <c r="CN6" s="15">
        <f>IF(CC6="","",IF(CD6&lt;'Rate &amp; Vol Update'!$C$2,MAX(0,CJ6-CI6)*(CF6/360)*CH6,(((IF('Adjustment Surface'!$C$2='Data Validation'!$A$2,CJ6,IF('Adjustment Surface'!$C$2='Data Validation'!$A$3,CI6,"Unknown Option Type"))-IF('Adjustment Surface'!$C$2='Data Validation'!$A$2,CI6,IF('Adjustment Surface'!$C$2='Data Validation'!$A$3,CJ6,"Unknown Option Type")))*(NORMDIST((IF('Adjustment Surface'!$C$2='Data Validation'!$A$2,CJ6,IF('Adjustment Surface'!$C$2='Data Validation'!$A$3,CI6,"Unknown Option Type"))-IF('Adjustment Surface'!$C$2='Data Validation'!$A$2,CI6,IF('Adjustment Surface'!$C$2='Data Validation'!$A$3,CJ6,"Unknown Option Type")))/(CK6*SQRT(CG6)),0,1,TRUE)))+((CK6*SQRT(CG6))*(NORMDIST((IF('Adjustment Surface'!$C$2='Data Validation'!$A$2,CJ6,IF('Adjustment Surface'!$C$2='Data Validation'!$A$3,CI6,"Unknown Option Type"))-IF('Adjustment Surface'!$C$2='Data Validation'!$A$2,CI6,IF('Adjustment Surface'!$C$2='Data Validation'!$A$3,CJ6,"Unknown Option Type")))/(CK6*SQRT(CG6)),0,1,FALSE))))*CL6*(CF6/360)*CH6))</f>
        <v>7.6166222896631539E-4</v>
      </c>
      <c r="CO6" s="15">
        <f>IF(CC6="","",SUM(CN$4:CN6))</f>
        <v>7.6387569164158267E-4</v>
      </c>
      <c r="CQ6" s="15">
        <f>IF(CC6="","",IF(CD6&lt;'Rate &amp; Vol Update'!$C$2,0,((((((IF('Adjustment Surface'!$C$2='Data Validation'!$A$2,CJ6,IF('Adjustment Surface'!$C$2='Data Validation'!$A$3,CI6,"Unknown Option Type"))-IF('Adjustment Surface'!$C$2='Data Validation'!$A$2,CI6,IF('Adjustment Surface'!$C$2='Data Validation'!$A$3,CJ6,"Unknown Option Type")))*(NORMDIST((IF('Adjustment Surface'!$C$2='Data Validation'!$A$2,CJ6,IF('Adjustment Surface'!$C$2='Data Validation'!$A$3,CI6,"Unknown Option Type"))-IF('Adjustment Surface'!$C$2='Data Validation'!$A$2,CI6,IF('Adjustment Surface'!$C$2='Data Validation'!$A$3,CJ6,"Unknown Option Type")))/((CK6+0.01%)*SQRT(CG6)),0,1,TRUE)))+(((CK6+0.01%)*SQRT(CG6))*(NORMDIST((IF('Adjustment Surface'!$C$2='Data Validation'!$A$2,CJ6,IF('Adjustment Surface'!$C$2='Data Validation'!$A$3,CI6,"Unknown Option Type"))-IF('Adjustment Surface'!$C$2='Data Validation'!$A$2,CI6,IF('Adjustment Surface'!$C$2='Data Validation'!$A$3,CJ6,"Unknown Option Type")))/((CK6+0.01%)*SQRT(CG6)),0,1,FALSE))))*CL6*(CF6/360))-(CN6/CH6))*CH6)*CL6))</f>
        <v>2.4062433137270572E-4</v>
      </c>
      <c r="CR6" s="15">
        <f>IF(CC6="","",SUM(CQ$4:CQ6))</f>
        <v>2.4164337355134428E-4</v>
      </c>
    </row>
    <row r="7" spans="2:96" x14ac:dyDescent="0.25">
      <c r="B7" s="16">
        <f>B14</f>
        <v>0.06</v>
      </c>
      <c r="C7" s="21">
        <f>INDEX(CO4:CO124,MATCH(INDEX(CE4:CE124,MATCH('Adjustment Surface'!C14,CE4:CE124,1)),CE4:CE124,0))+((((IF('Adjustment Surface'!$C$2='Data Validation'!$A$2,INDEX(CJ4:CJ124,MATCH(INDEX(CE4:CE124,MATCH('Adjustment Surface'!C14,CE4:CE124,1)),CD4:CD124,1)),IF('Adjustment Surface'!$C$2='Data Validation'!$A$3,INDEX(CI4:CI124,MATCH(INDEX(CE4:CE124,MATCH('Adjustment Surface'!C14,CE4:CE124,1)),CD4:CD124,1)),"Unknown Option Type"))-IF('Adjustment Surface'!$C$2='Data Validation'!$A$2,INDEX(CI4:CI124,MATCH(INDEX(CE4:CE124,MATCH('Adjustment Surface'!C14,CE4:CE124,1)),CD4:CD124,1)),IF('Adjustment Surface'!$C$2='Data Validation'!$A$3,INDEX(CJ4:CJ124,MATCH(INDEX(CE4:CE124,MATCH('Adjustment Surface'!C14,CE4:CE124,1)),CD4:CD124,1)),"Unknown Option Type")))*(NORMDIST((IF('Adjustment Surface'!$C$2='Data Validation'!$A$2,INDEX(CJ4:CJ124,MATCH(INDEX(CE4:CE124,MATCH('Adjustment Surface'!C14,CE4:CE124,1)),CD4:CD124,1)),IF('Adjustment Surface'!$C$2='Data Validation'!$A$3,INDEX(CI4:CI124,MATCH(INDEX(CE4:CE124,MATCH('Adjustment Surface'!C14,CE4:CE124,1)),CD4:CD124,1)),"Unknown Option Type"))-IF('Adjustment Surface'!$C$2='Data Validation'!$A$2,INDEX(CI4:CI124,MATCH(INDEX(CE4:CE124,MATCH('Adjustment Surface'!C14,CE4:CE124,1)),CD4:CD124,1)),IF('Adjustment Surface'!$C$2='Data Validation'!$A$3,INDEX(CJ4:CJ124,MATCH(INDEX(CE4:CE124,MATCH('Adjustment Surface'!C14,CE4:CE124,1)),CD4:CD124,1)),"Unknown Option Type")))/(INDEX(CK4:CK124,MATCH(INDEX(CE4:CE124,MATCH('Adjustment Surface'!C14,CE4:CE124,1)),CD4:CD124,1))*SQRT(((('Adjustment Surface'!C14-INDEX(CE4:CE124,MATCH('Adjustment Surface'!C14,CE4:CE124,1)))/360)+INDEX(CG4:CG124,MATCH(INDEX(CE4:CE124,MATCH('Adjustment Surface'!C14,CE4:CE124,1)),CE4:CE124,0))))),0,1,TRUE)))+((INDEX(CK4:CK124,MATCH(INDEX(CE4:CE124,MATCH('Adjustment Surface'!C14,CE4:CE124,1)),CD4:CD124,1))*SQRT(((('Adjustment Surface'!C14-INDEX(CE4:CE124,MATCH('Adjustment Surface'!C14,CE4:CE124,1)))/360)+INDEX(CG4:CG124,MATCH(INDEX(CE4:CE124,MATCH('Adjustment Surface'!C14,CE4:CE124,1)),CE4:CE124,0)))))*(NORMDIST((IF('Adjustment Surface'!$C$2='Data Validation'!$A$2,INDEX(CJ4:CJ124,MATCH(INDEX(CE4:CE124,MATCH('Adjustment Surface'!C14,CE4:CE124,1)),CD4:CD124,1)),IF('Adjustment Surface'!$C$2='Data Validation'!$A$3,INDEX(CI4:CI124,MATCH(INDEX(CE4:CE124,MATCH('Adjustment Surface'!C14,CE4:CE124,1)),CD4:CD124,1)),"Unknown Option Type"))-IF('Adjustment Surface'!$C$2='Data Validation'!$A$2,INDEX(CI4:CI124,MATCH(INDEX(CE4:CE124,MATCH('Adjustment Surface'!C14,CE4:CE124,1)),CD4:CD124,1)),IF('Adjustment Surface'!$C$2='Data Validation'!$A$3,INDEX(CJ4:CJ124,MATCH(INDEX(CE4:CE124,MATCH('Adjustment Surface'!C14,CE4:CE124,1)),CD4:CD124,1)),"Unknown Option Type")))/(INDEX(CK4:CK124,MATCH(INDEX(CE4:CE124,MATCH('Adjustment Surface'!C14,CE4:CE124,1)),CD4:CD124,1))*SQRT(((('Adjustment Surface'!C14-INDEX(CE4:CE124,MATCH('Adjustment Surface'!C14,CE4:CE124,1)))/360)+INDEX(CG4:CG124,MATCH(INDEX(CE4:CE124,MATCH('Adjustment Surface'!C14,CE4:CE124,1)),CE4:CE124,0))))),0,1,FALSE))))*(1/((1+INDEX(CJ4:CJ124,MATCH(INDEX(CE4:CE124,MATCH('Adjustment Surface'!C14,CE4:CE124,1)),CD4:CD124,1)))^(('Adjustment Surface'!C14-CD4)/360)))*(('Adjustment Surface'!C14-INDEX(CE4:CE124,MATCH('Adjustment Surface'!C14,CE4:CE124,1)))/360)*INDEX(CH4:CH124,MATCH(INDEX(CE4:CE124,MATCH('Adjustment Surface'!C14,CE4:CE124,1)),CD4:CD124,1)))</f>
        <v>64.91161319580354</v>
      </c>
      <c r="D7" s="21">
        <f>INDEX(CO4:CO124,MATCH(INDEX(CE4:CE124,MATCH('Adjustment Surface'!D14,CE4:CE124,1)),CE4:CE124,0))+((((IF('Adjustment Surface'!$C$2='Data Validation'!$A$2,INDEX(CJ4:CJ124,MATCH(INDEX(CE4:CE124,MATCH('Adjustment Surface'!D14,CE4:CE124,1)),CD4:CD124,1)),IF('Adjustment Surface'!$C$2='Data Validation'!$A$3,INDEX(CI4:CI124,MATCH(INDEX(CE4:CE124,MATCH('Adjustment Surface'!D14,CE4:CE124,1)),CD4:CD124,1)),"Unknown Option Type"))-IF('Adjustment Surface'!$C$2='Data Validation'!$A$2,INDEX(CI4:CI124,MATCH(INDEX(CE4:CE124,MATCH('Adjustment Surface'!D14,CE4:CE124,1)),CD4:CD124,1)),IF('Adjustment Surface'!$C$2='Data Validation'!$A$3,INDEX(CJ4:CJ124,MATCH(INDEX(CE4:CE124,MATCH('Adjustment Surface'!D14,CE4:CE124,1)),CD4:CD124,1)),"Unknown Option Type")))*(NORMDIST((IF('Adjustment Surface'!$C$2='Data Validation'!$A$2,INDEX(CJ4:CJ124,MATCH(INDEX(CE4:CE124,MATCH('Adjustment Surface'!D14,CE4:CE124,1)),CD4:CD124,1)),IF('Adjustment Surface'!$C$2='Data Validation'!$A$3,INDEX(CI4:CI124,MATCH(INDEX(CE4:CE124,MATCH('Adjustment Surface'!D14,CE4:CE124,1)),CD4:CD124,1)),"Unknown Option Type"))-IF('Adjustment Surface'!$C$2='Data Validation'!$A$2,INDEX(CI4:CI124,MATCH(INDEX(CE4:CE124,MATCH('Adjustment Surface'!D14,CE4:CE124,1)),CD4:CD124,1)),IF('Adjustment Surface'!$C$2='Data Validation'!$A$3,INDEX(CJ4:CJ124,MATCH(INDEX(CE4:CE124,MATCH('Adjustment Surface'!D14,CE4:CE124,1)),CD4:CD124,1)),"Unknown Option Type")))/(INDEX(CK4:CK124,MATCH(INDEX(CE4:CE124,MATCH('Adjustment Surface'!D14,CE4:CE124,1)),CD4:CD124,1))*SQRT(((('Adjustment Surface'!D14-INDEX(CE4:CE124,MATCH('Adjustment Surface'!D14,CE4:CE124,1)))/360)+INDEX(CG4:CG124,MATCH(INDEX(CE4:CE124,MATCH('Adjustment Surface'!D14,CE4:CE124,1)),CE4:CE124,0))))),0,1,TRUE)))+((INDEX(CK4:CK124,MATCH(INDEX(CE4:CE124,MATCH('Adjustment Surface'!D14,CE4:CE124,1)),CD4:CD124,1))*SQRT(((('Adjustment Surface'!D14-INDEX(CE4:CE124,MATCH('Adjustment Surface'!D14,CE4:CE124,1)))/360)+INDEX(CG4:CG124,MATCH(INDEX(CE4:CE124,MATCH('Adjustment Surface'!D14,CE4:CE124,1)),CE4:CE124,0)))))*(NORMDIST((IF('Adjustment Surface'!$C$2='Data Validation'!$A$2,INDEX(CJ4:CJ124,MATCH(INDEX(CE4:CE124,MATCH('Adjustment Surface'!D14,CE4:CE124,1)),CD4:CD124,1)),IF('Adjustment Surface'!$C$2='Data Validation'!$A$3,INDEX(CI4:CI124,MATCH(INDEX(CE4:CE124,MATCH('Adjustment Surface'!D14,CE4:CE124,1)),CD4:CD124,1)),"Unknown Option Type"))-IF('Adjustment Surface'!$C$2='Data Validation'!$A$2,INDEX(CI4:CI124,MATCH(INDEX(CE4:CE124,MATCH('Adjustment Surface'!D14,CE4:CE124,1)),CD4:CD124,1)),IF('Adjustment Surface'!$C$2='Data Validation'!$A$3,INDEX(CJ4:CJ124,MATCH(INDEX(CE4:CE124,MATCH('Adjustment Surface'!D14,CE4:CE124,1)),CD4:CD124,1)),"Unknown Option Type")))/(INDEX(CK4:CK124,MATCH(INDEX(CE4:CE124,MATCH('Adjustment Surface'!D14,CE4:CE124,1)),CD4:CD124,1))*SQRT(((('Adjustment Surface'!D14-INDEX(CE4:CE124,MATCH('Adjustment Surface'!D14,CE4:CE124,1)))/360)+INDEX(CG4:CG124,MATCH(INDEX(CE4:CE124,MATCH('Adjustment Surface'!D14,CE4:CE124,1)),CE4:CE124,0))))),0,1,FALSE))))*(1/((1+INDEX(CJ4:CJ124,MATCH(INDEX(CE4:CE124,MATCH('Adjustment Surface'!D14,CE4:CE124,1)),CD4:CD124,1)))^(('Adjustment Surface'!D14-CD4)/360)))*(('Adjustment Surface'!D14-INDEX(CE4:CE124,MATCH('Adjustment Surface'!D14,CE4:CE124,1)))/360)*INDEX(CH4:CH124,MATCH(INDEX(CE4:CE124,MATCH('Adjustment Surface'!D14,CE4:CE124,1)),CD4:CD124,1)))</f>
        <v>2990.9804608731301</v>
      </c>
      <c r="E7" s="21">
        <f>INDEX(CO4:CO124,MATCH(INDEX(CE4:CE124,MATCH('Adjustment Surface'!E14,CE4:CE124,1)),CE4:CE124,0))+((((IF('Adjustment Surface'!$C$2='Data Validation'!$A$2,INDEX(CJ4:CJ124,MATCH(INDEX(CE4:CE124,MATCH('Adjustment Surface'!E14,CE4:CE124,1)),CD4:CD124,1)),IF('Adjustment Surface'!$C$2='Data Validation'!$A$3,INDEX(CI4:CI124,MATCH(INDEX(CE4:CE124,MATCH('Adjustment Surface'!E14,CE4:CE124,1)),CD4:CD124,1)),"Unknown Option Type"))-IF('Adjustment Surface'!$C$2='Data Validation'!$A$2,INDEX(CI4:CI124,MATCH(INDEX(CE4:CE124,MATCH('Adjustment Surface'!E14,CE4:CE124,1)),CD4:CD124,1)),IF('Adjustment Surface'!$C$2='Data Validation'!$A$3,INDEX(CJ4:CJ124,MATCH(INDEX(CE4:CE124,MATCH('Adjustment Surface'!E14,CE4:CE124,1)),CD4:CD124,1)),"Unknown Option Type")))*(NORMDIST((IF('Adjustment Surface'!$C$2='Data Validation'!$A$2,INDEX(CJ4:CJ124,MATCH(INDEX(CE4:CE124,MATCH('Adjustment Surface'!E14,CE4:CE124,1)),CD4:CD124,1)),IF('Adjustment Surface'!$C$2='Data Validation'!$A$3,INDEX(CI4:CI124,MATCH(INDEX(CE4:CE124,MATCH('Adjustment Surface'!E14,CE4:CE124,1)),CD4:CD124,1)),"Unknown Option Type"))-IF('Adjustment Surface'!$C$2='Data Validation'!$A$2,INDEX(CI4:CI124,MATCH(INDEX(CE4:CE124,MATCH('Adjustment Surface'!E14,CE4:CE124,1)),CD4:CD124,1)),IF('Adjustment Surface'!$C$2='Data Validation'!$A$3,INDEX(CJ4:CJ124,MATCH(INDEX(CE4:CE124,MATCH('Adjustment Surface'!E14,CE4:CE124,1)),CD4:CD124,1)),"Unknown Option Type")))/(INDEX(CK4:CK124,MATCH(INDEX(CE4:CE124,MATCH('Adjustment Surface'!E14,CE4:CE124,1)),CD4:CD124,1))*SQRT(((('Adjustment Surface'!E14-INDEX(CE4:CE124,MATCH('Adjustment Surface'!E14,CE4:CE124,1)))/360)+INDEX(CG4:CG124,MATCH(INDEX(CE4:CE124,MATCH('Adjustment Surface'!E14,CE4:CE124,1)),CE4:CE124,0))))),0,1,TRUE)))+((INDEX(CK4:CK124,MATCH(INDEX(CE4:CE124,MATCH('Adjustment Surface'!E14,CE4:CE124,1)),CD4:CD124,1))*SQRT(((('Adjustment Surface'!E14-INDEX(CE4:CE124,MATCH('Adjustment Surface'!E14,CE4:CE124,1)))/360)+INDEX(CG4:CG124,MATCH(INDEX(CE4:CE124,MATCH('Adjustment Surface'!E14,CE4:CE124,1)),CE4:CE124,0)))))*(NORMDIST((IF('Adjustment Surface'!$C$2='Data Validation'!$A$2,INDEX(CJ4:CJ124,MATCH(INDEX(CE4:CE124,MATCH('Adjustment Surface'!E14,CE4:CE124,1)),CD4:CD124,1)),IF('Adjustment Surface'!$C$2='Data Validation'!$A$3,INDEX(CI4:CI124,MATCH(INDEX(CE4:CE124,MATCH('Adjustment Surface'!E14,CE4:CE124,1)),CD4:CD124,1)),"Unknown Option Type"))-IF('Adjustment Surface'!$C$2='Data Validation'!$A$2,INDEX(CI4:CI124,MATCH(INDEX(CE4:CE124,MATCH('Adjustment Surface'!E14,CE4:CE124,1)),CD4:CD124,1)),IF('Adjustment Surface'!$C$2='Data Validation'!$A$3,INDEX(CJ4:CJ124,MATCH(INDEX(CE4:CE124,MATCH('Adjustment Surface'!E14,CE4:CE124,1)),CD4:CD124,1)),"Unknown Option Type")))/(INDEX(CK4:CK124,MATCH(INDEX(CE4:CE124,MATCH('Adjustment Surface'!E14,CE4:CE124,1)),CD4:CD124,1))*SQRT(((('Adjustment Surface'!E14-INDEX(CE4:CE124,MATCH('Adjustment Surface'!E14,CE4:CE124,1)))/360)+INDEX(CG4:CG124,MATCH(INDEX(CE4:CE124,MATCH('Adjustment Surface'!E14,CE4:CE124,1)),CE4:CE124,0))))),0,1,FALSE))))*(1/((1+INDEX(CJ4:CJ124,MATCH(INDEX(CE4:CE124,MATCH('Adjustment Surface'!E14,CE4:CE124,1)),CD4:CD124,1)))^(('Adjustment Surface'!E14-CD4)/360)))*(('Adjustment Surface'!E14-INDEX(CE4:CE124,MATCH('Adjustment Surface'!E14,CE4:CE124,1)))/360)*INDEX(CH4:CH124,MATCH(INDEX(CE4:CE124,MATCH('Adjustment Surface'!E14,CE4:CE124,1)),CD4:CD124,1)))</f>
        <v>16366.826566454534</v>
      </c>
      <c r="F7" s="21">
        <f>INDEX(CO4:CO124,MATCH(INDEX(CE4:CE124,MATCH('Adjustment Surface'!F14,CE4:CE124,1)),CE4:CE124,0))+((((IF('Adjustment Surface'!$C$2='Data Validation'!$A$2,INDEX(CJ4:CJ124,MATCH(INDEX(CE4:CE124,MATCH('Adjustment Surface'!F14,CE4:CE124,1)),CD4:CD124,1)),IF('Adjustment Surface'!$C$2='Data Validation'!$A$3,INDEX(CI4:CI124,MATCH(INDEX(CE4:CE124,MATCH('Adjustment Surface'!F14,CE4:CE124,1)),CD4:CD124,1)),"Unknown Option Type"))-IF('Adjustment Surface'!$C$2='Data Validation'!$A$2,INDEX(CI4:CI124,MATCH(INDEX(CE4:CE124,MATCH('Adjustment Surface'!F14,CE4:CE124,1)),CD4:CD124,1)),IF('Adjustment Surface'!$C$2='Data Validation'!$A$3,INDEX(CJ4:CJ124,MATCH(INDEX(CE4:CE124,MATCH('Adjustment Surface'!F14,CE4:CE124,1)),CD4:CD124,1)),"Unknown Option Type")))*(NORMDIST((IF('Adjustment Surface'!$C$2='Data Validation'!$A$2,INDEX(CJ4:CJ124,MATCH(INDEX(CE4:CE124,MATCH('Adjustment Surface'!F14,CE4:CE124,1)),CD4:CD124,1)),IF('Adjustment Surface'!$C$2='Data Validation'!$A$3,INDEX(CI4:CI124,MATCH(INDEX(CE4:CE124,MATCH('Adjustment Surface'!F14,CE4:CE124,1)),CD4:CD124,1)),"Unknown Option Type"))-IF('Adjustment Surface'!$C$2='Data Validation'!$A$2,INDEX(CI4:CI124,MATCH(INDEX(CE4:CE124,MATCH('Adjustment Surface'!F14,CE4:CE124,1)),CD4:CD124,1)),IF('Adjustment Surface'!$C$2='Data Validation'!$A$3,INDEX(CJ4:CJ124,MATCH(INDEX(CE4:CE124,MATCH('Adjustment Surface'!F14,CE4:CE124,1)),CD4:CD124,1)),"Unknown Option Type")))/(INDEX(CK4:CK124,MATCH(INDEX(CE4:CE124,MATCH('Adjustment Surface'!F14,CE4:CE124,1)),CD4:CD124,1))*SQRT(((('Adjustment Surface'!F14-INDEX(CE4:CE124,MATCH('Adjustment Surface'!F14,CE4:CE124,1)))/360)+INDEX(CG4:CG124,MATCH(INDEX(CE4:CE124,MATCH('Adjustment Surface'!F14,CE4:CE124,1)),CE4:CE124,0))))),0,1,TRUE)))+((INDEX(CK4:CK124,MATCH(INDEX(CE4:CE124,MATCH('Adjustment Surface'!F14,CE4:CE124,1)),CD4:CD124,1))*SQRT(((('Adjustment Surface'!F14-INDEX(CE4:CE124,MATCH('Adjustment Surface'!F14,CE4:CE124,1)))/360)+INDEX(CG4:CG124,MATCH(INDEX(CE4:CE124,MATCH('Adjustment Surface'!F14,CE4:CE124,1)),CE4:CE124,0)))))*(NORMDIST((IF('Adjustment Surface'!$C$2='Data Validation'!$A$2,INDEX(CJ4:CJ124,MATCH(INDEX(CE4:CE124,MATCH('Adjustment Surface'!F14,CE4:CE124,1)),CD4:CD124,1)),IF('Adjustment Surface'!$C$2='Data Validation'!$A$3,INDEX(CI4:CI124,MATCH(INDEX(CE4:CE124,MATCH('Adjustment Surface'!F14,CE4:CE124,1)),CD4:CD124,1)),"Unknown Option Type"))-IF('Adjustment Surface'!$C$2='Data Validation'!$A$2,INDEX(CI4:CI124,MATCH(INDEX(CE4:CE124,MATCH('Adjustment Surface'!F14,CE4:CE124,1)),CD4:CD124,1)),IF('Adjustment Surface'!$C$2='Data Validation'!$A$3,INDEX(CJ4:CJ124,MATCH(INDEX(CE4:CE124,MATCH('Adjustment Surface'!F14,CE4:CE124,1)),CD4:CD124,1)),"Unknown Option Type")))/(INDEX(CK4:CK124,MATCH(INDEX(CE4:CE124,MATCH('Adjustment Surface'!F14,CE4:CE124,1)),CD4:CD124,1))*SQRT(((('Adjustment Surface'!F14-INDEX(CE4:CE124,MATCH('Adjustment Surface'!F14,CE4:CE124,1)))/360)+INDEX(CG4:CG124,MATCH(INDEX(CE4:CE124,MATCH('Adjustment Surface'!F14,CE4:CE124,1)),CE4:CE124,0))))),0,1,FALSE))))*(1/((1+INDEX(CJ4:CJ124,MATCH(INDEX(CE4:CE124,MATCH('Adjustment Surface'!F14,CE4:CE124,1)),CD4:CD124,1)))^(('Adjustment Surface'!F14-CD4)/360)))*(('Adjustment Surface'!F14-INDEX(CE4:CE124,MATCH('Adjustment Surface'!F14,CE4:CE124,1)))/360)*INDEX(CH4:CH124,MATCH(INDEX(CE4:CE124,MATCH('Adjustment Surface'!F14,CE4:CE124,1)),CD4:CD124,1)))</f>
        <v>43798.299318942241</v>
      </c>
      <c r="G7" s="76"/>
      <c r="I7" s="3">
        <v>4</v>
      </c>
      <c r="J7" s="4">
        <f>IF(K6='Adjustment Surface'!C$8,"",K6)</f>
        <v>46153</v>
      </c>
      <c r="K7" s="4">
        <f>IF(J7="","",IF(J7&lt;'Adjustment Surface'!C$7,EDATE(J$5,COUNT(J$5:J7)),IF(J7='Adjustment Surface'!C$7,'Adjustment Surface'!C$8,'Adjustment Surface'!C$7)))</f>
        <v>46184</v>
      </c>
      <c r="L7" s="3">
        <f t="shared" si="1"/>
        <v>31</v>
      </c>
      <c r="M7" s="5">
        <f>IF(I7="","",(K7-'Rate &amp; Vol Update'!$C$2)/360)</f>
        <v>0.33333333333333331</v>
      </c>
      <c r="N7" s="15">
        <f>IF(I7="","",IF('Adjustment Surface'!C$3='Data Validation'!$C$2,'Adjustment Surface'!C$4,IF(INDEX(Schedules!$E$3:$E$123,MATCH('Bachelier Model'!J7,Schedules!$B$3:$B$123,0))="",N6,INDEX(Schedules!$E$3:$E$123,MATCH('Bachelier Model'!J7,Schedules!$B$3:$B$123,0)))))</f>
        <v>25000000</v>
      </c>
      <c r="O7" s="16">
        <f>IF(I7="","",IF('Adjustment Surface'!C$9='Data Validation'!$D$2,'Adjustment Surface'!C$10,IF(INDEX(Schedules!$H$3:$H$123,MATCH('Bachelier Model'!J7,Schedules!$B$3:$B$123,0))="",O6,INDEX(Schedules!$H$3:$H$123,MATCH('Bachelier Model'!J7,Schedules!$B$3:$B$123,0)))))</f>
        <v>0.02</v>
      </c>
      <c r="P7" s="16" cm="1">
        <f t="array" ref="P7">IF(I7="","",FORECAST(J7,INDEX('Rate &amp; Vol Update'!$C$6:$C$127,MATCH(INDEX('Rate &amp; Vol Update'!$B$6:$B$127,MATCH(J7,'Rate &amp; Vol Update'!$B$6:$B$127,1)),'Rate &amp; Vol Update'!$B$6:$B$127,0)+IF('Adjustment Surface'!C$11='Data Validation'!$E$3,-1,0)):INDEX('Rate &amp; Vol Update'!$C$6:$C$127,MATCH(INDEX('Rate &amp; Vol Update'!$B$6:$B$127,MATCH(J7,'Rate &amp; Vol Update'!$B$6:$B$127,1)+1),'Rate &amp; Vol Update'!$B$6:$B$127,0)+IF('Adjustment Surface'!C$11='Data Validation'!$E$3,-1,0)),INDEX('Rate &amp; Vol Update'!$B$6:$B$127,MATCH(J7,'Rate &amp; Vol Update'!$B$6:$B$127,1)):INDEX('Rate &amp; Vol Update'!$B$6:$B$127,MATCH(J7,'Rate &amp; Vol Update'!$B$6:$B$127,1)+1))/100)</f>
        <v>3.6121732232224986E-2</v>
      </c>
      <c r="Q7" s="16" cm="1">
        <f t="array" ref="Q7">IF(I7="","",IF(J7&lt;'Rate &amp; Vol Update'!$C$2,0.001%,(1/((INDEX('Rate &amp; Vol Update'!$E$6:$Z$6,1,MATCH(O7,'Rate &amp; Vol Update'!$E$6:$Z$6,1)+1)-INDEX('Rate &amp; Vol Update'!$E$6:$Z$6,1,MATCH(O7,'Rate &amp; Vol Update'!$E$6:$Z$6,1)))*(INDEX('Rate &amp; Vol Update'!$B$8:$B$127,MATCH(J7,'Rate &amp; Vol Update'!$B$8:$B$127,1)+1)-INDEX('Rate &amp; Vol Update'!$B$8:$B$127,MATCH(J7,'Rate &amp; Vol Update'!$B$8:$B$127,1))))*(INDEX('Rate &amp; Vol Update'!$E$8:$Z$127,MATCH(INDEX('Rate &amp; Vol Update'!$B$8:$B$127,MATCH(J7,'Rate &amp; Vol Update'!$B$8:$B$127,1)),'Rate &amp; Vol Update'!$B$8:$B$127,0),MATCH(INDEX('Rate &amp; Vol Update'!$E$6:$Z$6,1,MATCH(O7,'Rate &amp; Vol Update'!$E$6:$Z$6,1)),'Rate &amp; Vol Update'!$E$6:$Z$6,0))*(INDEX('Rate &amp; Vol Update'!$E$6:$Z$6,1,MATCH(O7,'Rate &amp; Vol Update'!$E$6:$Z$6,1)+1)-O7)*(INDEX('Rate &amp; Vol Update'!$B$8:$B$127,MATCH(J7,'Rate &amp; Vol Update'!$B$8:$B$127,1)+1)-J7)+INDEX('Rate &amp; Vol Update'!$E$8:$Z$127,MATCH(INDEX('Rate &amp; Vol Update'!$B$8:$B$127,MATCH(J7,'Rate &amp; Vol Update'!$B$8:$B$127,1)),'Rate &amp; Vol Update'!$B$8:$B$127,0),MATCH(INDEX('Rate &amp; Vol Update'!$E$6:$Z$6,1,MATCH(O7,'Rate &amp; Vol Update'!$E$6:$Z$6,1)+1),'Rate &amp; Vol Update'!$E$6:$Z$6,0))*(O7-INDEX('Rate &amp; Vol Update'!$E$6:$Z$6,1,MATCH(O7,'Rate &amp; Vol Update'!$E$6:$Z$6,1)))*(INDEX('Rate &amp; Vol Update'!$B$8:$B$127,MATCH(J7,'Rate &amp; Vol Update'!$B$8:$B$127,1)+1)-J7)+INDEX('Rate &amp; Vol Update'!$E$8:$Z$127,MATCH(INDEX('Rate &amp; Vol Update'!$B$8:$B$127,MATCH(J7,'Rate &amp; Vol Update'!$B$8:$B$127,1)+1),'Rate &amp; Vol Update'!$B$8:$B$127,0),MATCH(INDEX('Rate &amp; Vol Update'!$E$6:$Z$6,1,MATCH(O7,'Rate &amp; Vol Update'!$E$6:$Z$6,1)),'Rate &amp; Vol Update'!$E$6:$Z$6,0))*(INDEX('Rate &amp; Vol Update'!$E$6:$Z$6,1,MATCH(O7,'Rate &amp; Vol Update'!$E$6:$Z$6,1)+1)-O7)*(J7-INDEX('Rate &amp; Vol Update'!$B$8:$B$127,MATCH(J7,'Rate &amp; Vol Update'!$B$8:$B$127,1)))+INDEX('Rate &amp; Vol Update'!$E$8:$Z$127,MATCH(INDEX('Rate &amp; Vol Update'!$B$8:$B$127,MATCH(J7,'Rate &amp; Vol Update'!$B$8:$B$127,1)+1),'Rate &amp; Vol Update'!$B$8:$B$127,0),MATCH(INDEX('Rate &amp; Vol Update'!$E$6:$Z$6,1,MATCH(O7,'Rate &amp; Vol Update'!$E$6:$Z$6,1)+1),'Rate &amp; Vol Update'!$E$6:$Z$6,0))*(O7-INDEX('Rate &amp; Vol Update'!$E$6:$Z$6,1,MATCH(O7,'Rate &amp; Vol Update'!$E$6:$Z$6,1)))*(J7-INDEX('Rate &amp; Vol Update'!$B$8:$B$127,MATCH(J7,'Rate &amp; Vol Update'!$B$8:$B$127,1)))))*0.01%))</f>
        <v>9.1718196185898368E-3</v>
      </c>
      <c r="R7" s="5">
        <f>IF(I7="","",1/((1+P7)^((K7-'Rate &amp; Vol Update'!$C$2)/360)))</f>
        <v>0.98824146528812862</v>
      </c>
      <c r="T7" s="15">
        <f>IF(I7="","",IF(J7&lt;'Rate &amp; Vol Update'!$C$2,MAX(0,P7-O7)*(L7/360)*N7,(((IF('Adjustment Surface'!C$2='Data Validation'!$A$2,P7,IF('Adjustment Surface'!C$2='Data Validation'!$A$3,O7,"Unknown Option Type"))-IF('Adjustment Surface'!C$2='Data Validation'!$A$2,O7,IF('Adjustment Surface'!C$2='Data Validation'!$A$3,P7,"Unknown Option Type")))*(NORMDIST((IF('Adjustment Surface'!C$2='Data Validation'!$A$2,P7,IF('Adjustment Surface'!C$2='Data Validation'!$A$3,O7,"Unknown Option Type"))-IF('Adjustment Surface'!C$2='Data Validation'!$A$2,O7,IF('Adjustment Surface'!C$2='Data Validation'!$A$3,P7,"Unknown Option Type")))/(Q7*SQRT(M7)),0,1,TRUE)))+((Q7*SQRT(M7))*(NORMDIST((IF('Adjustment Surface'!C$2='Data Validation'!$A$2,P7,IF('Adjustment Surface'!C$2='Data Validation'!$A$3,O7,"Unknown Option Type"))-IF('Adjustment Surface'!C$2='Data Validation'!$A$2,O7,IF('Adjustment Surface'!C$2='Data Validation'!$A$3,P7,"Unknown Option Type")))/(Q7*SQRT(M7)),0,1,FALSE))))*R7*(L7/360)*N7))</f>
        <v>34302.084935142106</v>
      </c>
      <c r="U7" s="15">
        <f>IF(I7="","",SUM(T$4:T7))</f>
        <v>135420.14559998791</v>
      </c>
      <c r="W7" s="15">
        <f>IF(I7="","",IF(J7&lt;'Rate &amp; Vol Update'!$C$2,0,((((((IF('Adjustment Surface'!C$2='Data Validation'!$A$2,P7,IF('Adjustment Surface'!C$2='Data Validation'!$A$3,O7,"Unknown Option Type"))-IF('Adjustment Surface'!C$2='Data Validation'!$A$2,O7,IF('Adjustment Surface'!C$2='Data Validation'!$A$3,P7,"Unknown Option Type")))*(NORMDIST((IF('Adjustment Surface'!C$2='Data Validation'!$A$2,P7,IF('Adjustment Surface'!C$2='Data Validation'!$A$3,O7,"Unknown Option Type"))-IF('Adjustment Surface'!C$2='Data Validation'!$A$2,O7,IF('Adjustment Surface'!C$2='Data Validation'!$A$3,P7,"Unknown Option Type")))/((Q7+0.01%)*SQRT(M7)),0,1,TRUE)))+(((Q7+0.01%)*SQRT(M7))*(NORMDIST((IF('Adjustment Surface'!C$2='Data Validation'!$A$2,P7,IF('Adjustment Surface'!C$2='Data Validation'!$A$3,O7,"Unknown Option Type"))-IF('Adjustment Surface'!C$2='Data Validation'!$A$2,O7,IF('Adjustment Surface'!C$2='Data Validation'!$A$3,P7,"Unknown Option Type")))/((Q7+0.01%)*SQRT(M7)),0,1,FALSE))))*R7*(L7/360))-(T7/N7))*N7)*R7))</f>
        <v>0.49456167780744609</v>
      </c>
      <c r="X7" s="15">
        <f>IF(I7="","",SUM(W$4:W7))</f>
        <v>0.61441413441650805</v>
      </c>
      <c r="Y7" s="15"/>
      <c r="Z7" s="20"/>
      <c r="AA7" s="3">
        <v>4</v>
      </c>
      <c r="AB7" s="4">
        <f>IF(AC6=MAX('Adjustment Surface'!$C$14:$F$14),"",AC6)</f>
        <v>46153</v>
      </c>
      <c r="AC7" s="4">
        <f>IF(AB7="","",IF(AB7&lt;EDATE('Adjustment Surface'!$C$6,DATEDIF('Adjustment Surface'!$C$6,MAX('Adjustment Surface'!$C$14:$F$14),"M")),EDATE(AB$5,COUNT(AB$5:AB7)),IF(AB7=EDATE('Adjustment Surface'!$C$6,DATEDIF('Adjustment Surface'!$C$6,MAX('Adjustment Surface'!$C$14:$F$14),"M")),MAX('Adjustment Surface'!$C$14:$F$14),EDATE('Adjustment Surface'!$C$6,DATEDIF('Adjustment Surface'!$C$6,MAX('Adjustment Surface'!$C$14:$F$14),"M")))))</f>
        <v>46184</v>
      </c>
      <c r="AD7" s="3">
        <f t="shared" si="2"/>
        <v>31</v>
      </c>
      <c r="AE7" s="5">
        <f>IF(AA7="","",(AC7-'Rate &amp; Vol Update'!$C$2)/360)</f>
        <v>0.33333333333333331</v>
      </c>
      <c r="AF7" s="15">
        <f>IF(AA7="","",IF('Adjustment Surface'!$C$3='Data Validation'!$C$2,'Adjustment Surface'!$C$4,_xlfn.IFNA(IF(INDEX(Schedules!$E$3:$E$123,MATCH('Bachelier Model'!AB7,Schedules!$B$3:$B$123,0))="",AF6,INDEX(Schedules!$E$3:$E$123,MATCH('Bachelier Model'!AB7,Schedules!$B$3:$B$123,0))),AF6)))</f>
        <v>25000000</v>
      </c>
      <c r="AG7" s="16">
        <f>IF(AA7="","",'Adjustment Surface'!B$15)</f>
        <v>0.03</v>
      </c>
      <c r="AH7" s="16" cm="1">
        <f t="array" ref="AH7">IF(AA7="","",FORECAST(AB7,INDEX('Rate &amp; Vol Update'!$C$6:$C$127,MATCH(INDEX('Rate &amp; Vol Update'!$B$6:$B$127,MATCH(AB7,'Rate &amp; Vol Update'!$B$6:$B$127,1)),'Rate &amp; Vol Update'!$B$6:$B$127,0)+IF('Adjustment Surface'!$C$11='Data Validation'!$E$3,-1,0)):INDEX('Rate &amp; Vol Update'!$C$6:$C$127,MATCH(INDEX('Rate &amp; Vol Update'!$B$6:$B$127,MATCH(AB7,'Rate &amp; Vol Update'!$B$6:$B$127,1)+1),'Rate &amp; Vol Update'!$B$6:$B$127,0)+IF('Adjustment Surface'!$C$11='Data Validation'!$E$3,-1,0)),INDEX('Rate &amp; Vol Update'!$B$6:$B$127,MATCH(AB7,'Rate &amp; Vol Update'!$B$6:$B$127,1)):INDEX('Rate &amp; Vol Update'!$B$6:$B$127,MATCH(AB7,'Rate &amp; Vol Update'!$B$6:$B$127,1)+1))/100)</f>
        <v>3.6121732232224986E-2</v>
      </c>
      <c r="AI7" s="16" cm="1">
        <f t="array" ref="AI7">IF(AA7="","",IF(AB7&lt;'Rate &amp; Vol Update'!$C$2,0.001%,(1/((INDEX('Rate &amp; Vol Update'!$E$6:$Z$6,1,MATCH(AG7,'Rate &amp; Vol Update'!$E$6:$Z$6,1)+1)-INDEX('Rate &amp; Vol Update'!$E$6:$Z$6,1,MATCH(AG7,'Rate &amp; Vol Update'!$E$6:$Z$6,1)))*(INDEX('Rate &amp; Vol Update'!$B$8:$B$127,MATCH(AB7,'Rate &amp; Vol Update'!$B$8:$B$127,1)+1)-INDEX('Rate &amp; Vol Update'!$B$8:$B$127,MATCH(AB7,'Rate &amp; Vol Update'!$B$8:$B$127,1))))*(INDEX('Rate &amp; Vol Update'!$E$8:$Z$127,MATCH(INDEX('Rate &amp; Vol Update'!$B$8:$B$127,MATCH(AB7,'Rate &amp; Vol Update'!$B$8:$B$127,1)),'Rate &amp; Vol Update'!$B$8:$B$127,0),MATCH(INDEX('Rate &amp; Vol Update'!$E$6:$Z$6,1,MATCH(AG7,'Rate &amp; Vol Update'!$E$6:$Z$6,1)),'Rate &amp; Vol Update'!$E$6:$Z$6,0))*(INDEX('Rate &amp; Vol Update'!$E$6:$Z$6,1,MATCH(AG7,'Rate &amp; Vol Update'!$E$6:$Z$6,1)+1)-AG7)*(INDEX('Rate &amp; Vol Update'!$B$8:$B$127,MATCH(AB7,'Rate &amp; Vol Update'!$B$8:$B$127,1)+1)-AB7)+INDEX('Rate &amp; Vol Update'!$E$8:$Z$127,MATCH(INDEX('Rate &amp; Vol Update'!$B$8:$B$127,MATCH(AB7,'Rate &amp; Vol Update'!$B$8:$B$127,1)),'Rate &amp; Vol Update'!$B$8:$B$127,0),MATCH(INDEX('Rate &amp; Vol Update'!$E$6:$Z$6,1,MATCH(AG7,'Rate &amp; Vol Update'!$E$6:$Z$6,1)+1),'Rate &amp; Vol Update'!$E$6:$Z$6,0))*(AG7-INDEX('Rate &amp; Vol Update'!$E$6:$Z$6,1,MATCH(AG7,'Rate &amp; Vol Update'!$E$6:$Z$6,1)))*(INDEX('Rate &amp; Vol Update'!$B$8:$B$127,MATCH(AB7,'Rate &amp; Vol Update'!$B$8:$B$127,1)+1)-AB7)+INDEX('Rate &amp; Vol Update'!$E$8:$Z$127,MATCH(INDEX('Rate &amp; Vol Update'!$B$8:$B$127,MATCH(AB7,'Rate &amp; Vol Update'!$B$8:$B$127,1)+1),'Rate &amp; Vol Update'!$B$8:$B$127,0),MATCH(INDEX('Rate &amp; Vol Update'!$E$6:$Z$6,1,MATCH(AG7,'Rate &amp; Vol Update'!$E$6:$Z$6,1)),'Rate &amp; Vol Update'!$E$6:$Z$6,0))*(INDEX('Rate &amp; Vol Update'!$E$6:$Z$6,1,MATCH(AG7,'Rate &amp; Vol Update'!$E$6:$Z$6,1)+1)-AG7)*(AB7-INDEX('Rate &amp; Vol Update'!$B$8:$B$127,MATCH(AB7,'Rate &amp; Vol Update'!$B$8:$B$127,1)))+INDEX('Rate &amp; Vol Update'!$E$8:$Z$127,MATCH(INDEX('Rate &amp; Vol Update'!$B$8:$B$127,MATCH(AB7,'Rate &amp; Vol Update'!$B$8:$B$127,1)+1),'Rate &amp; Vol Update'!$B$8:$B$127,0),MATCH(INDEX('Rate &amp; Vol Update'!$E$6:$Z$6,1,MATCH(AG7,'Rate &amp; Vol Update'!$E$6:$Z$6,1)+1),'Rate &amp; Vol Update'!$E$6:$Z$6,0))*(AG7-INDEX('Rate &amp; Vol Update'!$E$6:$Z$6,1,MATCH(AG7,'Rate &amp; Vol Update'!$E$6:$Z$6,1)))*(AB7-INDEX('Rate &amp; Vol Update'!$B$8:$B$127,MATCH(AB7,'Rate &amp; Vol Update'!$B$8:$B$127,1)))))*0.01%))</f>
        <v>7.0555741582442252E-3</v>
      </c>
      <c r="AJ7" s="5">
        <f>IF(AA7="","",1/((1+AH7)^((AC7-'Rate &amp; Vol Update'!$C$2)/360)))</f>
        <v>0.98824146528812862</v>
      </c>
      <c r="AL7" s="15">
        <f>IF(AA7="","",IF(AB7&lt;'Rate &amp; Vol Update'!$C$2,MAX(0,AH7-AG7)*(AD7/360)*AF7,(((IF('Adjustment Surface'!$C$2='Data Validation'!$A$2,AH7,IF('Adjustment Surface'!$C$2='Data Validation'!$A$3,AG7,"Unknown Option Type"))-IF('Adjustment Surface'!$C$2='Data Validation'!$A$2,AG7,IF('Adjustment Surface'!$C$2='Data Validation'!$A$3,AH7,"Unknown Option Type")))*(NORMDIST((IF('Adjustment Surface'!$C$2='Data Validation'!$A$2,AH7,IF('Adjustment Surface'!$C$2='Data Validation'!$A$3,AG7,"Unknown Option Type"))-IF('Adjustment Surface'!$C$2='Data Validation'!$A$2,AG7,IF('Adjustment Surface'!$C$2='Data Validation'!$A$3,AH7,"Unknown Option Type")))/(AI7*SQRT(AE7)),0,1,TRUE)))+((AI7*SQRT(AE7))*(NORMDIST((IF('Adjustment Surface'!$C$2='Data Validation'!$A$2,AH7,IF('Adjustment Surface'!$C$2='Data Validation'!$A$3,AG7,"Unknown Option Type"))-IF('Adjustment Surface'!$C$2='Data Validation'!$A$2,AG7,IF('Adjustment Surface'!$C$2='Data Validation'!$A$3,AH7,"Unknown Option Type")))/(AI7*SQRT(AE7)),0,1,FALSE))))*AJ7*(AD7/360)*AF7))</f>
        <v>13276.128667768255</v>
      </c>
      <c r="AM7" s="15">
        <f>IF(AA7="","",SUM(AL$4:AL7))</f>
        <v>53119.947878421575</v>
      </c>
      <c r="AO7" s="15">
        <f>IF(AA7="","",IF(AB7&lt;'Rate &amp; Vol Update'!$C$2,0,((((((IF('Adjustment Surface'!$C$2='Data Validation'!$A$2,AH7,IF('Adjustment Surface'!$C$2='Data Validation'!$A$3,AG7,"Unknown Option Type"))-IF('Adjustment Surface'!$C$2='Data Validation'!$A$2,AG7,IF('Adjustment Surface'!$C$2='Data Validation'!$A$3,AH7,"Unknown Option Type")))*(NORMDIST((IF('Adjustment Surface'!$C$2='Data Validation'!$A$2,AH7,IF('Adjustment Surface'!$C$2='Data Validation'!$A$3,AG7,"Unknown Option Type"))-IF('Adjustment Surface'!$C$2='Data Validation'!$A$2,AG7,IF('Adjustment Surface'!$C$2='Data Validation'!$A$3,AH7,"Unknown Option Type")))/((AI7+0.01%)*SQRT(AE7)),0,1,TRUE)))+(((AI7+0.01%)*SQRT(AE7))*(NORMDIST((IF('Adjustment Surface'!$C$2='Data Validation'!$A$2,AH7,IF('Adjustment Surface'!$C$2='Data Validation'!$A$3,AG7,"Unknown Option Type"))-IF('Adjustment Surface'!$C$2='Data Validation'!$A$2,AG7,IF('Adjustment Surface'!$C$2='Data Validation'!$A$3,AH7,"Unknown Option Type")))/((AI7+0.01%)*SQRT(AE7)),0,1,FALSE))))*AJ7*(AD7/360))-(AL7/AF7))*AF7)*AJ7))</f>
        <v>15.905080970569554</v>
      </c>
      <c r="AP7" s="15">
        <f>IF(AA7="","",SUM(AO$4:AO7))</f>
        <v>28.8631153259537</v>
      </c>
      <c r="AQ7" s="15"/>
      <c r="AR7" s="20"/>
      <c r="AS7" s="3">
        <v>4</v>
      </c>
      <c r="AT7" s="4">
        <f>IF(AU6=MAX('Adjustment Surface'!$C$14:$F$14),"",AU6)</f>
        <v>46153</v>
      </c>
      <c r="AU7" s="4">
        <f>IF(AT7="","",IF(AT7&lt;EDATE('Adjustment Surface'!$C$6,DATEDIF('Adjustment Surface'!$C$6,MAX('Adjustment Surface'!$C$14:$F$14),"M")),EDATE(AT$5,COUNT(AT$5:AT7)),IF(AT7=EDATE('Adjustment Surface'!$C$6,DATEDIF('Adjustment Surface'!$C$6,MAX('Adjustment Surface'!$C$14:$F$14),"M")),MAX('Adjustment Surface'!$C$14:$F$14),EDATE('Adjustment Surface'!$C$6,DATEDIF('Adjustment Surface'!$C$6,MAX('Adjustment Surface'!$C$14:$F$14),"M")))))</f>
        <v>46184</v>
      </c>
      <c r="AV7" s="3">
        <f t="shared" si="3"/>
        <v>31</v>
      </c>
      <c r="AW7" s="5">
        <f>IF(AS7="","",(AU7-'Rate &amp; Vol Update'!$C$2)/360)</f>
        <v>0.33333333333333331</v>
      </c>
      <c r="AX7" s="15">
        <f>IF(AS7="","",IF('Adjustment Surface'!$C$3='Data Validation'!$C$2,'Adjustment Surface'!$C$4,_xlfn.IFNA(IF(INDEX(Schedules!$E$3:$E$123,MATCH('Bachelier Model'!AT7,Schedules!$B$3:$B$123,0))="",AX6,INDEX(Schedules!$E$3:$E$123,MATCH('Bachelier Model'!AT7,Schedules!$B$3:$B$123,0))),AX6)))</f>
        <v>25000000</v>
      </c>
      <c r="AY7" s="16">
        <f>IF(AS7="","",'Adjustment Surface'!B$16)</f>
        <v>0.04</v>
      </c>
      <c r="AZ7" s="16" cm="1">
        <f t="array" ref="AZ7">IF(AS7="","",FORECAST(AT7,INDEX('Rate &amp; Vol Update'!$C$6:$C$127,MATCH(INDEX('Rate &amp; Vol Update'!$B$6:$B$127,MATCH(AT7,'Rate &amp; Vol Update'!$B$6:$B$127,1)),'Rate &amp; Vol Update'!$B$6:$B$127,0)+IF('Adjustment Surface'!$C$11='Data Validation'!$E$3,-1,0)):INDEX('Rate &amp; Vol Update'!$C$6:$C$127,MATCH(INDEX('Rate &amp; Vol Update'!$B$6:$B$127,MATCH(AT7,'Rate &amp; Vol Update'!$B$6:$B$127,1)+1),'Rate &amp; Vol Update'!$B$6:$B$127,0)+IF('Adjustment Surface'!$C$11='Data Validation'!$E$3,-1,0)),INDEX('Rate &amp; Vol Update'!$B$6:$B$127,MATCH(AT7,'Rate &amp; Vol Update'!$B$6:$B$127,1)):INDEX('Rate &amp; Vol Update'!$B$6:$B$127,MATCH(AT7,'Rate &amp; Vol Update'!$B$6:$B$127,1)+1))/100)</f>
        <v>3.6121732232224986E-2</v>
      </c>
      <c r="BA7" s="16" cm="1">
        <f t="array" ref="BA7">IF(AS7="","",IF(AT7&lt;'Rate &amp; Vol Update'!$C$2,0.001%,(1/((INDEX('Rate &amp; Vol Update'!$E$6:$Z$6,1,MATCH(AY7,'Rate &amp; Vol Update'!$E$6:$Z$6,1)+1)-INDEX('Rate &amp; Vol Update'!$E$6:$Z$6,1,MATCH(AY7,'Rate &amp; Vol Update'!$E$6:$Z$6,1)))*(INDEX('Rate &amp; Vol Update'!$B$8:$B$127,MATCH(AT7,'Rate &amp; Vol Update'!$B$8:$B$127,1)+1)-INDEX('Rate &amp; Vol Update'!$B$8:$B$127,MATCH(AT7,'Rate &amp; Vol Update'!$B$8:$B$127,1))))*(INDEX('Rate &amp; Vol Update'!$E$8:$Z$127,MATCH(INDEX('Rate &amp; Vol Update'!$B$8:$B$127,MATCH(AT7,'Rate &amp; Vol Update'!$B$8:$B$127,1)),'Rate &amp; Vol Update'!$B$8:$B$127,0),MATCH(INDEX('Rate &amp; Vol Update'!$E$6:$Z$6,1,MATCH(AY7,'Rate &amp; Vol Update'!$E$6:$Z$6,1)),'Rate &amp; Vol Update'!$E$6:$Z$6,0))*(INDEX('Rate &amp; Vol Update'!$E$6:$Z$6,1,MATCH(AY7,'Rate &amp; Vol Update'!$E$6:$Z$6,1)+1)-AY7)*(INDEX('Rate &amp; Vol Update'!$B$8:$B$127,MATCH(AT7,'Rate &amp; Vol Update'!$B$8:$B$127,1)+1)-AT7)+INDEX('Rate &amp; Vol Update'!$E$8:$Z$127,MATCH(INDEX('Rate &amp; Vol Update'!$B$8:$B$127,MATCH(AT7,'Rate &amp; Vol Update'!$B$8:$B$127,1)),'Rate &amp; Vol Update'!$B$8:$B$127,0),MATCH(INDEX('Rate &amp; Vol Update'!$E$6:$Z$6,1,MATCH(AY7,'Rate &amp; Vol Update'!$E$6:$Z$6,1)+1),'Rate &amp; Vol Update'!$E$6:$Z$6,0))*(AY7-INDEX('Rate &amp; Vol Update'!$E$6:$Z$6,1,MATCH(AY7,'Rate &amp; Vol Update'!$E$6:$Z$6,1)))*(INDEX('Rate &amp; Vol Update'!$B$8:$B$127,MATCH(AT7,'Rate &amp; Vol Update'!$B$8:$B$127,1)+1)-AT7)+INDEX('Rate &amp; Vol Update'!$E$8:$Z$127,MATCH(INDEX('Rate &amp; Vol Update'!$B$8:$B$127,MATCH(AT7,'Rate &amp; Vol Update'!$B$8:$B$127,1)+1),'Rate &amp; Vol Update'!$B$8:$B$127,0),MATCH(INDEX('Rate &amp; Vol Update'!$E$6:$Z$6,1,MATCH(AY7,'Rate &amp; Vol Update'!$E$6:$Z$6,1)),'Rate &amp; Vol Update'!$E$6:$Z$6,0))*(INDEX('Rate &amp; Vol Update'!$E$6:$Z$6,1,MATCH(AY7,'Rate &amp; Vol Update'!$E$6:$Z$6,1)+1)-AY7)*(AT7-INDEX('Rate &amp; Vol Update'!$B$8:$B$127,MATCH(AT7,'Rate &amp; Vol Update'!$B$8:$B$127,1)))+INDEX('Rate &amp; Vol Update'!$E$8:$Z$127,MATCH(INDEX('Rate &amp; Vol Update'!$B$8:$B$127,MATCH(AT7,'Rate &amp; Vol Update'!$B$8:$B$127,1)+1),'Rate &amp; Vol Update'!$B$8:$B$127,0),MATCH(INDEX('Rate &amp; Vol Update'!$E$6:$Z$6,1,MATCH(AY7,'Rate &amp; Vol Update'!$E$6:$Z$6,1)+1),'Rate &amp; Vol Update'!$E$6:$Z$6,0))*(AY7-INDEX('Rate &amp; Vol Update'!$E$6:$Z$6,1,MATCH(AY7,'Rate &amp; Vol Update'!$E$6:$Z$6,1)))*(AT7-INDEX('Rate &amp; Vol Update'!$B$8:$B$127,MATCH(AT7,'Rate &amp; Vol Update'!$B$8:$B$127,1)))))*0.01%))</f>
        <v>6.1597210390325558E-3</v>
      </c>
      <c r="BB7" s="5">
        <f>IF(AS7="","",1/((1+AZ7)^((AU7-'Rate &amp; Vol Update'!$C$2)/360)))</f>
        <v>0.98824146528812862</v>
      </c>
      <c r="BD7" s="15">
        <f>IF(AS7="","",IF(AT7&lt;'Rate &amp; Vol Update'!$C$2,MAX(0,AZ7-AY7)*(AV7/360)*AX7,(((IF('Adjustment Surface'!$C$2='Data Validation'!$A$2,AZ7,IF('Adjustment Surface'!$C$2='Data Validation'!$A$3,AY7,"Unknown Option Type"))-IF('Adjustment Surface'!$C$2='Data Validation'!$A$2,AY7,IF('Adjustment Surface'!$C$2='Data Validation'!$A$3,AZ7,"Unknown Option Type")))*(NORMDIST((IF('Adjustment Surface'!$C$2='Data Validation'!$A$2,AZ7,IF('Adjustment Surface'!$C$2='Data Validation'!$A$3,AY7,"Unknown Option Type"))-IF('Adjustment Surface'!$C$2='Data Validation'!$A$2,AY7,IF('Adjustment Surface'!$C$2='Data Validation'!$A$3,AZ7,"Unknown Option Type")))/(BA7*SQRT(AW7)),0,1,TRUE)))+((BA7*SQRT(AW7))*(NORMDIST((IF('Adjustment Surface'!$C$2='Data Validation'!$A$2,AZ7,IF('Adjustment Surface'!$C$2='Data Validation'!$A$3,AY7,"Unknown Option Type"))-IF('Adjustment Surface'!$C$2='Data Validation'!$A$2,AY7,IF('Adjustment Surface'!$C$2='Data Validation'!$A$3,AZ7,"Unknown Option Type")))/(BA7*SQRT(AW7)),0,1,FALSE))))*BB7*(AV7/360)*AX7))</f>
        <v>528.96605085579142</v>
      </c>
      <c r="BE7" s="15">
        <f>IF(AS7="","",SUM(BD$4:BD7))</f>
        <v>1073.2060786939996</v>
      </c>
      <c r="BG7" s="15">
        <f>IF(AS7="","",IF(AT7&lt;'Rate &amp; Vol Update'!$C$2,0,((((((IF('Adjustment Surface'!$C$2='Data Validation'!$A$2,AZ7,IF('Adjustment Surface'!$C$2='Data Validation'!$A$3,AY7,"Unknown Option Type"))-IF('Adjustment Surface'!$C$2='Data Validation'!$A$2,AY7,IF('Adjustment Surface'!$C$2='Data Validation'!$A$3,AZ7,"Unknown Option Type")))*(NORMDIST((IF('Adjustment Surface'!$C$2='Data Validation'!$A$2,AZ7,IF('Adjustment Surface'!$C$2='Data Validation'!$A$3,AY7,"Unknown Option Type"))-IF('Adjustment Surface'!$C$2='Data Validation'!$A$2,AY7,IF('Adjustment Surface'!$C$2='Data Validation'!$A$3,AZ7,"Unknown Option Type")))/((BA7+0.01%)*SQRT(AW7)),0,1,TRUE)))+(((BA7+0.01%)*SQRT(AW7))*(NORMDIST((IF('Adjustment Surface'!$C$2='Data Validation'!$A$2,AZ7,IF('Adjustment Surface'!$C$2='Data Validation'!$A$3,AY7,"Unknown Option Type"))-IF('Adjustment Surface'!$C$2='Data Validation'!$A$2,AY7,IF('Adjustment Surface'!$C$2='Data Validation'!$A$3,AZ7,"Unknown Option Type")))/((BA7+0.01%)*SQRT(AW7)),0,1,FALSE))))*BB7*(AV7/360))-(BD7/AX7))*AX7)*BB7))</f>
        <v>26.97512014387997</v>
      </c>
      <c r="BH7" s="15">
        <f>IF(AS7="","",SUM(BG$4:BG7))</f>
        <v>62.024735797663084</v>
      </c>
      <c r="BI7" s="15"/>
      <c r="BJ7" s="20"/>
      <c r="BK7" s="3">
        <v>4</v>
      </c>
      <c r="BL7" s="4">
        <f>IF(BM6=MAX('Adjustment Surface'!$C$14:$F$14),"",BM6)</f>
        <v>46153</v>
      </c>
      <c r="BM7" s="4">
        <f>IF(BL7="","",IF(BL7&lt;EDATE('Adjustment Surface'!$C$6,DATEDIF('Adjustment Surface'!$C$6,MAX('Adjustment Surface'!$C$14:$F$14),"M")),EDATE(BL$5,COUNT(BL$5:BL7)),IF(BL7=EDATE('Adjustment Surface'!$C$6,DATEDIF('Adjustment Surface'!$C$6,MAX('Adjustment Surface'!$C$14:$F$14),"M")),MAX('Adjustment Surface'!$C$14:$F$14),EDATE('Adjustment Surface'!$C$6,DATEDIF('Adjustment Surface'!$C$6,MAX('Adjustment Surface'!$C$14:$F$14),"M")))))</f>
        <v>46184</v>
      </c>
      <c r="BN7" s="3">
        <f t="shared" si="4"/>
        <v>31</v>
      </c>
      <c r="BO7" s="5">
        <f>IF(BK7="","",(BM7-'Rate &amp; Vol Update'!$C$2)/360)</f>
        <v>0.33333333333333331</v>
      </c>
      <c r="BP7" s="15">
        <f>IF(BK7="","",IF('Adjustment Surface'!$C$3='Data Validation'!$C$2,'Adjustment Surface'!$C$4,_xlfn.IFNA(IF(INDEX(Schedules!$E$3:$E$123,MATCH('Bachelier Model'!BL7,Schedules!$B$3:$B$123,0))="",BP6,INDEX(Schedules!$E$3:$E$123,MATCH('Bachelier Model'!BL7,Schedules!$B$3:$B$123,0))),BP6)))</f>
        <v>25000000</v>
      </c>
      <c r="BQ7" s="16">
        <f>IF(BK7="","",'Adjustment Surface'!B$17)</f>
        <v>0.05</v>
      </c>
      <c r="BR7" s="16" cm="1">
        <f t="array" ref="BR7">IF(BK7="","",FORECAST(BL7,INDEX('Rate &amp; Vol Update'!$C$6:$C$127,MATCH(INDEX('Rate &amp; Vol Update'!$B$6:$B$127,MATCH(BL7,'Rate &amp; Vol Update'!$B$6:$B$127,1)),'Rate &amp; Vol Update'!$B$6:$B$127,0)+IF('Adjustment Surface'!$C$11='Data Validation'!$E$3,-1,0)):INDEX('Rate &amp; Vol Update'!$C$6:$C$127,MATCH(INDEX('Rate &amp; Vol Update'!$B$6:$B$127,MATCH(BL7,'Rate &amp; Vol Update'!$B$6:$B$127,1)+1),'Rate &amp; Vol Update'!$B$6:$B$127,0)+IF('Adjustment Surface'!$C$11='Data Validation'!$E$3,-1,0)),INDEX('Rate &amp; Vol Update'!$B$6:$B$127,MATCH(BL7,'Rate &amp; Vol Update'!$B$6:$B$127,1)):INDEX('Rate &amp; Vol Update'!$B$6:$B$127,MATCH(BL7,'Rate &amp; Vol Update'!$B$6:$B$127,1)+1))/100)</f>
        <v>3.6121732232224986E-2</v>
      </c>
      <c r="BS7" s="16" cm="1">
        <f t="array" ref="BS7">IF(BK7="","",IF(BL7&lt;'Rate &amp; Vol Update'!$C$2,0.001%,(1/((INDEX('Rate &amp; Vol Update'!$E$6:$Z$6,1,MATCH(BQ7,'Rate &amp; Vol Update'!$E$6:$Z$6,1)+1)-INDEX('Rate &amp; Vol Update'!$E$6:$Z$6,1,MATCH(BQ7,'Rate &amp; Vol Update'!$E$6:$Z$6,1)))*(INDEX('Rate &amp; Vol Update'!$B$8:$B$127,MATCH(BL7,'Rate &amp; Vol Update'!$B$8:$B$127,1)+1)-INDEX('Rate &amp; Vol Update'!$B$8:$B$127,MATCH(BL7,'Rate &amp; Vol Update'!$B$8:$B$127,1))))*(INDEX('Rate &amp; Vol Update'!$E$8:$Z$127,MATCH(INDEX('Rate &amp; Vol Update'!$B$8:$B$127,MATCH(BL7,'Rate &amp; Vol Update'!$B$8:$B$127,1)),'Rate &amp; Vol Update'!$B$8:$B$127,0),MATCH(INDEX('Rate &amp; Vol Update'!$E$6:$Z$6,1,MATCH(BQ7,'Rate &amp; Vol Update'!$E$6:$Z$6,1)),'Rate &amp; Vol Update'!$E$6:$Z$6,0))*(INDEX('Rate &amp; Vol Update'!$E$6:$Z$6,1,MATCH(BQ7,'Rate &amp; Vol Update'!$E$6:$Z$6,1)+1)-BQ7)*(INDEX('Rate &amp; Vol Update'!$B$8:$B$127,MATCH(BL7,'Rate &amp; Vol Update'!$B$8:$B$127,1)+1)-BL7)+INDEX('Rate &amp; Vol Update'!$E$8:$Z$127,MATCH(INDEX('Rate &amp; Vol Update'!$B$8:$B$127,MATCH(BL7,'Rate &amp; Vol Update'!$B$8:$B$127,1)),'Rate &amp; Vol Update'!$B$8:$B$127,0),MATCH(INDEX('Rate &amp; Vol Update'!$E$6:$Z$6,1,MATCH(BQ7,'Rate &amp; Vol Update'!$E$6:$Z$6,1)+1),'Rate &amp; Vol Update'!$E$6:$Z$6,0))*(BQ7-INDEX('Rate &amp; Vol Update'!$E$6:$Z$6,1,MATCH(BQ7,'Rate &amp; Vol Update'!$E$6:$Z$6,1)))*(INDEX('Rate &amp; Vol Update'!$B$8:$B$127,MATCH(BL7,'Rate &amp; Vol Update'!$B$8:$B$127,1)+1)-BL7)+INDEX('Rate &amp; Vol Update'!$E$8:$Z$127,MATCH(INDEX('Rate &amp; Vol Update'!$B$8:$B$127,MATCH(BL7,'Rate &amp; Vol Update'!$B$8:$B$127,1)+1),'Rate &amp; Vol Update'!$B$8:$B$127,0),MATCH(INDEX('Rate &amp; Vol Update'!$E$6:$Z$6,1,MATCH(BQ7,'Rate &amp; Vol Update'!$E$6:$Z$6,1)),'Rate &amp; Vol Update'!$E$6:$Z$6,0))*(INDEX('Rate &amp; Vol Update'!$E$6:$Z$6,1,MATCH(BQ7,'Rate &amp; Vol Update'!$E$6:$Z$6,1)+1)-BQ7)*(BL7-INDEX('Rate &amp; Vol Update'!$B$8:$B$127,MATCH(BL7,'Rate &amp; Vol Update'!$B$8:$B$127,1)))+INDEX('Rate &amp; Vol Update'!$E$8:$Z$127,MATCH(INDEX('Rate &amp; Vol Update'!$B$8:$B$127,MATCH(BL7,'Rate &amp; Vol Update'!$B$8:$B$127,1)+1),'Rate &amp; Vol Update'!$B$8:$B$127,0),MATCH(INDEX('Rate &amp; Vol Update'!$E$6:$Z$6,1,MATCH(BQ7,'Rate &amp; Vol Update'!$E$6:$Z$6,1)+1),'Rate &amp; Vol Update'!$E$6:$Z$6,0))*(BQ7-INDEX('Rate &amp; Vol Update'!$E$6:$Z$6,1,MATCH(BQ7,'Rate &amp; Vol Update'!$E$6:$Z$6,1)))*(BL7-INDEX('Rate &amp; Vol Update'!$B$8:$B$127,MATCH(BL7,'Rate &amp; Vol Update'!$B$8:$B$127,1)))))*0.01%))</f>
        <v>7.8098746609474466E-3</v>
      </c>
      <c r="BT7" s="5">
        <f>IF(BK7="","",1/((1+BR7)^((BM7-'Rate &amp; Vol Update'!$C$2)/360)))</f>
        <v>0.98824146528812862</v>
      </c>
      <c r="BV7" s="15">
        <f>IF(BK7="","",IF(BL7&lt;'Rate &amp; Vol Update'!$C$2,MAX(0,BR7-BQ7)*(BN7/360)*BP7,(((IF('Adjustment Surface'!$C$2='Data Validation'!$A$2,BR7,IF('Adjustment Surface'!$C$2='Data Validation'!$A$3,BQ7,"Unknown Option Type"))-IF('Adjustment Surface'!$C$2='Data Validation'!$A$2,BQ7,IF('Adjustment Surface'!$C$2='Data Validation'!$A$3,BR7,"Unknown Option Type")))*(NORMDIST((IF('Adjustment Surface'!$C$2='Data Validation'!$A$2,BR7,IF('Adjustment Surface'!$C$2='Data Validation'!$A$3,BQ7,"Unknown Option Type"))-IF('Adjustment Surface'!$C$2='Data Validation'!$A$2,BQ7,IF('Adjustment Surface'!$C$2='Data Validation'!$A$3,BR7,"Unknown Option Type")))/(BS7*SQRT(BO7)),0,1,TRUE)))+((BS7*SQRT(BO7))*(NORMDIST((IF('Adjustment Surface'!$C$2='Data Validation'!$A$2,BR7,IF('Adjustment Surface'!$C$2='Data Validation'!$A$3,BQ7,"Unknown Option Type"))-IF('Adjustment Surface'!$C$2='Data Validation'!$A$2,BQ7,IF('Adjustment Surface'!$C$2='Data Validation'!$A$3,BR7,"Unknown Option Type")))/(BS7*SQRT(BO7)),0,1,FALSE))))*BT7*(BN7/360)*BP7))</f>
        <v>2.7768221651588121</v>
      </c>
      <c r="BW7" s="15">
        <f>IF(BK7="","",SUM(BV$4:BV7))</f>
        <v>2.9759928650129632</v>
      </c>
      <c r="BY7" s="15">
        <f>IF(BK7="","",IF(BL7&lt;'Rate &amp; Vol Update'!$C$2,0,((((((IF('Adjustment Surface'!$C$2='Data Validation'!$A$2,BR7,IF('Adjustment Surface'!$C$2='Data Validation'!$A$3,BQ7,"Unknown Option Type"))-IF('Adjustment Surface'!$C$2='Data Validation'!$A$2,BQ7,IF('Adjustment Surface'!$C$2='Data Validation'!$A$3,BR7,"Unknown Option Type")))*(NORMDIST((IF('Adjustment Surface'!$C$2='Data Validation'!$A$2,BR7,IF('Adjustment Surface'!$C$2='Data Validation'!$A$3,BQ7,"Unknown Option Type"))-IF('Adjustment Surface'!$C$2='Data Validation'!$A$2,BQ7,IF('Adjustment Surface'!$C$2='Data Validation'!$A$3,BR7,"Unknown Option Type")))/((BS7+0.01%)*SQRT(BO7)),0,1,TRUE)))+(((BS7+0.01%)*SQRT(BO7))*(NORMDIST((IF('Adjustment Surface'!$C$2='Data Validation'!$A$2,BR7,IF('Adjustment Surface'!$C$2='Data Validation'!$A$3,BQ7,"Unknown Option Type"))-IF('Adjustment Surface'!$C$2='Data Validation'!$A$2,BQ7,IF('Adjustment Surface'!$C$2='Data Validation'!$A$3,BR7,"Unknown Option Type")))/((BS7+0.01%)*SQRT(BO7)),0,1,FALSE))))*BT7*(BN7/360))-(BV7/BP7))*BP7)*BT7))</f>
        <v>0.45105109582472724</v>
      </c>
      <c r="BZ7" s="15">
        <f>IF(BK7="","",SUM(BY$4:BY7))</f>
        <v>0.49954486470397785</v>
      </c>
      <c r="CA7" s="15"/>
      <c r="CB7" s="20"/>
      <c r="CC7" s="3">
        <v>4</v>
      </c>
      <c r="CD7" s="4">
        <f>IF(CE6=MAX('Adjustment Surface'!$C$14:$F$14),"",CE6)</f>
        <v>46153</v>
      </c>
      <c r="CE7" s="4">
        <f>IF(CD7="","",IF(CD7&lt;EDATE('Adjustment Surface'!$C$6,DATEDIF('Adjustment Surface'!$C$6,MAX('Adjustment Surface'!$C$14:$F$14),"M")),EDATE(CD$5,COUNT(CD$5:CD7)),IF(CD7=EDATE('Adjustment Surface'!$C$6,DATEDIF('Adjustment Surface'!$C$6,MAX('Adjustment Surface'!$C$14:$F$14),"M")),MAX('Adjustment Surface'!$C$14:$F$14),EDATE('Adjustment Surface'!$C$6,DATEDIF('Adjustment Surface'!$C$6,MAX('Adjustment Surface'!$C$14:$F$14),"M")))))</f>
        <v>46184</v>
      </c>
      <c r="CF7" s="3">
        <f t="shared" si="5"/>
        <v>31</v>
      </c>
      <c r="CG7" s="5">
        <f>IF(CC7="","",(CE7-'Rate &amp; Vol Update'!$C$2)/360)</f>
        <v>0.33333333333333331</v>
      </c>
      <c r="CH7" s="15">
        <f>IF(CC7="","",IF('Adjustment Surface'!$C$3='Data Validation'!$C$2,'Adjustment Surface'!$C$4,_xlfn.IFNA(IF(INDEX(Schedules!$E$3:$E$123,MATCH('Bachelier Model'!CD7,Schedules!$B$3:$B$123,0))="",CH6,INDEX(Schedules!$E$3:$E$123,MATCH('Bachelier Model'!CD7,Schedules!$B$3:$B$123,0))),CH6)))</f>
        <v>25000000</v>
      </c>
      <c r="CI7" s="16">
        <f>IF(CC7="","",'Adjustment Surface'!B$18)</f>
        <v>0.06</v>
      </c>
      <c r="CJ7" s="16" cm="1">
        <f t="array" ref="CJ7">IF(CC7="","",FORECAST(CD7,INDEX('Rate &amp; Vol Update'!$C$6:$C$127,MATCH(INDEX('Rate &amp; Vol Update'!$B$6:$B$127,MATCH(CD7,'Rate &amp; Vol Update'!$B$6:$B$127,1)),'Rate &amp; Vol Update'!$B$6:$B$127,0)+IF('Adjustment Surface'!$C$11='Data Validation'!$E$3,-1,0)):INDEX('Rate &amp; Vol Update'!$C$6:$C$127,MATCH(INDEX('Rate &amp; Vol Update'!$B$6:$B$127,MATCH(CD7,'Rate &amp; Vol Update'!$B$6:$B$127,1)+1),'Rate &amp; Vol Update'!$B$6:$B$127,0)+IF('Adjustment Surface'!$C$11='Data Validation'!$E$3,-1,0)),INDEX('Rate &amp; Vol Update'!$B$6:$B$127,MATCH(CD7,'Rate &amp; Vol Update'!$B$6:$B$127,1)):INDEX('Rate &amp; Vol Update'!$B$6:$B$127,MATCH(CD7,'Rate &amp; Vol Update'!$B$6:$B$127,1)+1))/100)</f>
        <v>3.6121732232224986E-2</v>
      </c>
      <c r="CK7" s="16" cm="1">
        <f t="array" ref="CK7">IF(CC7="","",IF(CD7&lt;'Rate &amp; Vol Update'!$C$2,0.001%,(1/((INDEX('Rate &amp; Vol Update'!$E$6:$Z$6,1,MATCH(CI7,'Rate &amp; Vol Update'!$E$6:$Z$6,1)+1)-INDEX('Rate &amp; Vol Update'!$E$6:$Z$6,1,MATCH(CI7,'Rate &amp; Vol Update'!$E$6:$Z$6,1)))*(INDEX('Rate &amp; Vol Update'!$B$8:$B$127,MATCH(CD7,'Rate &amp; Vol Update'!$B$8:$B$127,1)+1)-INDEX('Rate &amp; Vol Update'!$B$8:$B$127,MATCH(CD7,'Rate &amp; Vol Update'!$B$8:$B$127,1))))*(INDEX('Rate &amp; Vol Update'!$E$8:$Z$127,MATCH(INDEX('Rate &amp; Vol Update'!$B$8:$B$127,MATCH(CD7,'Rate &amp; Vol Update'!$B$8:$B$127,1)),'Rate &amp; Vol Update'!$B$8:$B$127,0),MATCH(INDEX('Rate &amp; Vol Update'!$E$6:$Z$6,1,MATCH(CI7,'Rate &amp; Vol Update'!$E$6:$Z$6,1)),'Rate &amp; Vol Update'!$E$6:$Z$6,0))*(INDEX('Rate &amp; Vol Update'!$E$6:$Z$6,1,MATCH(CI7,'Rate &amp; Vol Update'!$E$6:$Z$6,1)+1)-CI7)*(INDEX('Rate &amp; Vol Update'!$B$8:$B$127,MATCH(CD7,'Rate &amp; Vol Update'!$B$8:$B$127,1)+1)-CD7)+INDEX('Rate &amp; Vol Update'!$E$8:$Z$127,MATCH(INDEX('Rate &amp; Vol Update'!$B$8:$B$127,MATCH(CD7,'Rate &amp; Vol Update'!$B$8:$B$127,1)),'Rate &amp; Vol Update'!$B$8:$B$127,0),MATCH(INDEX('Rate &amp; Vol Update'!$E$6:$Z$6,1,MATCH(CI7,'Rate &amp; Vol Update'!$E$6:$Z$6,1)+1),'Rate &amp; Vol Update'!$E$6:$Z$6,0))*(CI7-INDEX('Rate &amp; Vol Update'!$E$6:$Z$6,1,MATCH(CI7,'Rate &amp; Vol Update'!$E$6:$Z$6,1)))*(INDEX('Rate &amp; Vol Update'!$B$8:$B$127,MATCH(CD7,'Rate &amp; Vol Update'!$B$8:$B$127,1)+1)-CD7)+INDEX('Rate &amp; Vol Update'!$E$8:$Z$127,MATCH(INDEX('Rate &amp; Vol Update'!$B$8:$B$127,MATCH(CD7,'Rate &amp; Vol Update'!$B$8:$B$127,1)+1),'Rate &amp; Vol Update'!$B$8:$B$127,0),MATCH(INDEX('Rate &amp; Vol Update'!$E$6:$Z$6,1,MATCH(CI7,'Rate &amp; Vol Update'!$E$6:$Z$6,1)),'Rate &amp; Vol Update'!$E$6:$Z$6,0))*(INDEX('Rate &amp; Vol Update'!$E$6:$Z$6,1,MATCH(CI7,'Rate &amp; Vol Update'!$E$6:$Z$6,1)+1)-CI7)*(CD7-INDEX('Rate &amp; Vol Update'!$B$8:$B$127,MATCH(CD7,'Rate &amp; Vol Update'!$B$8:$B$127,1)))+INDEX('Rate &amp; Vol Update'!$E$8:$Z$127,MATCH(INDEX('Rate &amp; Vol Update'!$B$8:$B$127,MATCH(CD7,'Rate &amp; Vol Update'!$B$8:$B$127,1)+1),'Rate &amp; Vol Update'!$B$8:$B$127,0),MATCH(INDEX('Rate &amp; Vol Update'!$E$6:$Z$6,1,MATCH(CI7,'Rate &amp; Vol Update'!$E$6:$Z$6,1)+1),'Rate &amp; Vol Update'!$E$6:$Z$6,0))*(CI7-INDEX('Rate &amp; Vol Update'!$E$6:$Z$6,1,MATCH(CI7,'Rate &amp; Vol Update'!$E$6:$Z$6,1)))*(CD7-INDEX('Rate &amp; Vol Update'!$B$8:$B$127,MATCH(CD7,'Rate &amp; Vol Update'!$B$8:$B$127,1)))))*0.01%))</f>
        <v>1.0038934317306358E-2</v>
      </c>
      <c r="CL7" s="5">
        <f>IF(CC7="","",1/((1+CJ7)^((CE7-'Rate &amp; Vol Update'!$C$2)/360)))</f>
        <v>0.98824146528812862</v>
      </c>
      <c r="CN7" s="15">
        <f>IF(CC7="","",IF(CD7&lt;'Rate &amp; Vol Update'!$C$2,MAX(0,CJ7-CI7)*(CF7/360)*CH7,(((IF('Adjustment Surface'!$C$2='Data Validation'!$A$2,CJ7,IF('Adjustment Surface'!$C$2='Data Validation'!$A$3,CI7,"Unknown Option Type"))-IF('Adjustment Surface'!$C$2='Data Validation'!$A$2,CI7,IF('Adjustment Surface'!$C$2='Data Validation'!$A$3,CJ7,"Unknown Option Type")))*(NORMDIST((IF('Adjustment Surface'!$C$2='Data Validation'!$A$2,CJ7,IF('Adjustment Surface'!$C$2='Data Validation'!$A$3,CI7,"Unknown Option Type"))-IF('Adjustment Surface'!$C$2='Data Validation'!$A$2,CI7,IF('Adjustment Surface'!$C$2='Data Validation'!$A$3,CJ7,"Unknown Option Type")))/(CK7*SQRT(CG7)),0,1,TRUE)))+((CK7*SQRT(CG7))*(NORMDIST((IF('Adjustment Surface'!$C$2='Data Validation'!$A$2,CJ7,IF('Adjustment Surface'!$C$2='Data Validation'!$A$3,CI7,"Unknown Option Type"))-IF('Adjustment Surface'!$C$2='Data Validation'!$A$2,CI7,IF('Adjustment Surface'!$C$2='Data Validation'!$A$3,CJ7,"Unknown Option Type")))/(CK7*SQRT(CG7)),0,1,FALSE))))*CL7*(CF7/360)*CH7))</f>
        <v>5.1467866628028311E-2</v>
      </c>
      <c r="CO7" s="15">
        <f>IF(CC7="","",SUM(CN$4:CN7))</f>
        <v>5.2231742319669892E-2</v>
      </c>
      <c r="CQ7" s="15">
        <f>IF(CC7="","",IF(CD7&lt;'Rate &amp; Vol Update'!$C$2,0,((((((IF('Adjustment Surface'!$C$2='Data Validation'!$A$2,CJ7,IF('Adjustment Surface'!$C$2='Data Validation'!$A$3,CI7,"Unknown Option Type"))-IF('Adjustment Surface'!$C$2='Data Validation'!$A$2,CI7,IF('Adjustment Surface'!$C$2='Data Validation'!$A$3,CJ7,"Unknown Option Type")))*(NORMDIST((IF('Adjustment Surface'!$C$2='Data Validation'!$A$2,CJ7,IF('Adjustment Surface'!$C$2='Data Validation'!$A$3,CI7,"Unknown Option Type"))-IF('Adjustment Surface'!$C$2='Data Validation'!$A$2,CI7,IF('Adjustment Surface'!$C$2='Data Validation'!$A$3,CJ7,"Unknown Option Type")))/((CK7+0.01%)*SQRT(CG7)),0,1,TRUE)))+(((CK7+0.01%)*SQRT(CG7))*(NORMDIST((IF('Adjustment Surface'!$C$2='Data Validation'!$A$2,CJ7,IF('Adjustment Surface'!$C$2='Data Validation'!$A$3,CI7,"Unknown Option Type"))-IF('Adjustment Surface'!$C$2='Data Validation'!$A$2,CI7,IF('Adjustment Surface'!$C$2='Data Validation'!$A$3,CJ7,"Unknown Option Type")))/((CK7+0.01%)*SQRT(CG7)),0,1,FALSE))))*CL7*(CF7/360))-(CN7/CH7))*CH7)*CL7))</f>
        <v>1.0872922260255257E-2</v>
      </c>
      <c r="CR7" s="15">
        <f>IF(CC7="","",SUM(CQ$4:CQ7))</f>
        <v>1.1114565633806601E-2</v>
      </c>
    </row>
    <row r="8" spans="2:96" x14ac:dyDescent="0.25">
      <c r="G8" s="28"/>
      <c r="I8" s="3">
        <v>5</v>
      </c>
      <c r="J8" s="4">
        <f>IF(K7='Adjustment Surface'!C$8,"",K7)</f>
        <v>46184</v>
      </c>
      <c r="K8" s="4">
        <f>IF(J8="","",IF(J8&lt;'Adjustment Surface'!C$7,EDATE(J$5,COUNT(J$5:J8)),IF(J8='Adjustment Surface'!C$7,'Adjustment Surface'!C$8,'Adjustment Surface'!C$7)))</f>
        <v>46214</v>
      </c>
      <c r="L8" s="3">
        <f t="shared" si="1"/>
        <v>30</v>
      </c>
      <c r="M8" s="5">
        <f>IF(I8="","",(K8-'Rate &amp; Vol Update'!$C$2)/360)</f>
        <v>0.41666666666666669</v>
      </c>
      <c r="N8" s="15">
        <f>IF(I8="","",IF('Adjustment Surface'!C$3='Data Validation'!$C$2,'Adjustment Surface'!C$4,IF(INDEX(Schedules!$E$3:$E$123,MATCH('Bachelier Model'!J8,Schedules!$B$3:$B$123,0))="",N7,INDEX(Schedules!$E$3:$E$123,MATCH('Bachelier Model'!J8,Schedules!$B$3:$B$123,0)))))</f>
        <v>25000000</v>
      </c>
      <c r="O8" s="16">
        <f>IF(I8="","",IF('Adjustment Surface'!C$9='Data Validation'!$D$2,'Adjustment Surface'!C$10,IF(INDEX(Schedules!$H$3:$H$123,MATCH('Bachelier Model'!J8,Schedules!$B$3:$B$123,0))="",O7,INDEX(Schedules!$H$3:$H$123,MATCH('Bachelier Model'!J8,Schedules!$B$3:$B$123,0)))))</f>
        <v>0.02</v>
      </c>
      <c r="P8" s="16" cm="1">
        <f t="array" ref="P8">IF(I8="","",FORECAST(J8,INDEX('Rate &amp; Vol Update'!$C$6:$C$127,MATCH(INDEX('Rate &amp; Vol Update'!$B$6:$B$127,MATCH(J8,'Rate &amp; Vol Update'!$B$6:$B$127,1)),'Rate &amp; Vol Update'!$B$6:$B$127,0)+IF('Adjustment Surface'!C$11='Data Validation'!$E$3,-1,0)):INDEX('Rate &amp; Vol Update'!$C$6:$C$127,MATCH(INDEX('Rate &amp; Vol Update'!$B$6:$B$127,MATCH(J8,'Rate &amp; Vol Update'!$B$6:$B$127,1)+1),'Rate &amp; Vol Update'!$B$6:$B$127,0)+IF('Adjustment Surface'!C$11='Data Validation'!$E$3,-1,0)),INDEX('Rate &amp; Vol Update'!$B$6:$B$127,MATCH(J8,'Rate &amp; Vol Update'!$B$6:$B$127,1)):INDEX('Rate &amp; Vol Update'!$B$6:$B$127,MATCH(J8,'Rate &amp; Vol Update'!$B$6:$B$127,1)+1))/100)</f>
        <v>3.5034939949360508E-2</v>
      </c>
      <c r="Q8" s="16" cm="1">
        <f t="array" ref="Q8">IF(I8="","",IF(J8&lt;'Rate &amp; Vol Update'!$C$2,0.001%,(1/((INDEX('Rate &amp; Vol Update'!$E$6:$Z$6,1,MATCH(O8,'Rate &amp; Vol Update'!$E$6:$Z$6,1)+1)-INDEX('Rate &amp; Vol Update'!$E$6:$Z$6,1,MATCH(O8,'Rate &amp; Vol Update'!$E$6:$Z$6,1)))*(INDEX('Rate &amp; Vol Update'!$B$8:$B$127,MATCH(J8,'Rate &amp; Vol Update'!$B$8:$B$127,1)+1)-INDEX('Rate &amp; Vol Update'!$B$8:$B$127,MATCH(J8,'Rate &amp; Vol Update'!$B$8:$B$127,1))))*(INDEX('Rate &amp; Vol Update'!$E$8:$Z$127,MATCH(INDEX('Rate &amp; Vol Update'!$B$8:$B$127,MATCH(J8,'Rate &amp; Vol Update'!$B$8:$B$127,1)),'Rate &amp; Vol Update'!$B$8:$B$127,0),MATCH(INDEX('Rate &amp; Vol Update'!$E$6:$Z$6,1,MATCH(O8,'Rate &amp; Vol Update'!$E$6:$Z$6,1)),'Rate &amp; Vol Update'!$E$6:$Z$6,0))*(INDEX('Rate &amp; Vol Update'!$E$6:$Z$6,1,MATCH(O8,'Rate &amp; Vol Update'!$E$6:$Z$6,1)+1)-O8)*(INDEX('Rate &amp; Vol Update'!$B$8:$B$127,MATCH(J8,'Rate &amp; Vol Update'!$B$8:$B$127,1)+1)-J8)+INDEX('Rate &amp; Vol Update'!$E$8:$Z$127,MATCH(INDEX('Rate &amp; Vol Update'!$B$8:$B$127,MATCH(J8,'Rate &amp; Vol Update'!$B$8:$B$127,1)),'Rate &amp; Vol Update'!$B$8:$B$127,0),MATCH(INDEX('Rate &amp; Vol Update'!$E$6:$Z$6,1,MATCH(O8,'Rate &amp; Vol Update'!$E$6:$Z$6,1)+1),'Rate &amp; Vol Update'!$E$6:$Z$6,0))*(O8-INDEX('Rate &amp; Vol Update'!$E$6:$Z$6,1,MATCH(O8,'Rate &amp; Vol Update'!$E$6:$Z$6,1)))*(INDEX('Rate &amp; Vol Update'!$B$8:$B$127,MATCH(J8,'Rate &amp; Vol Update'!$B$8:$B$127,1)+1)-J8)+INDEX('Rate &amp; Vol Update'!$E$8:$Z$127,MATCH(INDEX('Rate &amp; Vol Update'!$B$8:$B$127,MATCH(J8,'Rate &amp; Vol Update'!$B$8:$B$127,1)+1),'Rate &amp; Vol Update'!$B$8:$B$127,0),MATCH(INDEX('Rate &amp; Vol Update'!$E$6:$Z$6,1,MATCH(O8,'Rate &amp; Vol Update'!$E$6:$Z$6,1)),'Rate &amp; Vol Update'!$E$6:$Z$6,0))*(INDEX('Rate &amp; Vol Update'!$E$6:$Z$6,1,MATCH(O8,'Rate &amp; Vol Update'!$E$6:$Z$6,1)+1)-O8)*(J8-INDEX('Rate &amp; Vol Update'!$B$8:$B$127,MATCH(J8,'Rate &amp; Vol Update'!$B$8:$B$127,1)))+INDEX('Rate &amp; Vol Update'!$E$8:$Z$127,MATCH(INDEX('Rate &amp; Vol Update'!$B$8:$B$127,MATCH(J8,'Rate &amp; Vol Update'!$B$8:$B$127,1)+1),'Rate &amp; Vol Update'!$B$8:$B$127,0),MATCH(INDEX('Rate &amp; Vol Update'!$E$6:$Z$6,1,MATCH(O8,'Rate &amp; Vol Update'!$E$6:$Z$6,1)+1),'Rate &amp; Vol Update'!$E$6:$Z$6,0))*(O8-INDEX('Rate &amp; Vol Update'!$E$6:$Z$6,1,MATCH(O8,'Rate &amp; Vol Update'!$E$6:$Z$6,1)))*(J8-INDEX('Rate &amp; Vol Update'!$B$8:$B$127,MATCH(J8,'Rate &amp; Vol Update'!$B$8:$B$127,1)))))*0.01%))</f>
        <v>9.2675860726848195E-3</v>
      </c>
      <c r="R8" s="5">
        <f>IF(I8="","",1/((1+P8)^((K8-'Rate &amp; Vol Update'!$C$2)/360)))</f>
        <v>0.9857544483653925</v>
      </c>
      <c r="T8" s="15">
        <f>IF(I8="","",IF(J8&lt;'Rate &amp; Vol Update'!$C$2,MAX(0,P8-O8)*(L8/360)*N8,(((IF('Adjustment Surface'!C$2='Data Validation'!$A$2,P8,IF('Adjustment Surface'!C$2='Data Validation'!$A$3,O8,"Unknown Option Type"))-IF('Adjustment Surface'!C$2='Data Validation'!$A$2,O8,IF('Adjustment Surface'!C$2='Data Validation'!$A$3,P8,"Unknown Option Type")))*(NORMDIST((IF('Adjustment Surface'!C$2='Data Validation'!$A$2,P8,IF('Adjustment Surface'!C$2='Data Validation'!$A$3,O8,"Unknown Option Type"))-IF('Adjustment Surface'!C$2='Data Validation'!$A$2,O8,IF('Adjustment Surface'!C$2='Data Validation'!$A$3,P8,"Unknown Option Type")))/(Q8*SQRT(M8)),0,1,TRUE)))+((Q8*SQRT(M8))*(NORMDIST((IF('Adjustment Surface'!C$2='Data Validation'!$A$2,P8,IF('Adjustment Surface'!C$2='Data Validation'!$A$3,O8,"Unknown Option Type"))-IF('Adjustment Surface'!C$2='Data Validation'!$A$2,O8,IF('Adjustment Surface'!C$2='Data Validation'!$A$3,P8,"Unknown Option Type")))/(Q8*SQRT(M8)),0,1,FALSE))))*R8*(L8/360)*N8))</f>
        <v>30900.208451800398</v>
      </c>
      <c r="U8" s="15">
        <f>IF(I8="","",SUM(T$4:T8))</f>
        <v>166320.35405178831</v>
      </c>
      <c r="W8" s="15">
        <f>IF(I8="","",IF(J8&lt;'Rate &amp; Vol Update'!$C$2,0,((((((IF('Adjustment Surface'!C$2='Data Validation'!$A$2,P8,IF('Adjustment Surface'!C$2='Data Validation'!$A$3,O8,"Unknown Option Type"))-IF('Adjustment Surface'!C$2='Data Validation'!$A$2,O8,IF('Adjustment Surface'!C$2='Data Validation'!$A$3,P8,"Unknown Option Type")))*(NORMDIST((IF('Adjustment Surface'!C$2='Data Validation'!$A$2,P8,IF('Adjustment Surface'!C$2='Data Validation'!$A$3,O8,"Unknown Option Type"))-IF('Adjustment Surface'!C$2='Data Validation'!$A$2,O8,IF('Adjustment Surface'!C$2='Data Validation'!$A$3,P8,"Unknown Option Type")))/((Q8+0.01%)*SQRT(M8)),0,1,TRUE)))+(((Q8+0.01%)*SQRT(M8))*(NORMDIST((IF('Adjustment Surface'!C$2='Data Validation'!$A$2,P8,IF('Adjustment Surface'!C$2='Data Validation'!$A$3,O8,"Unknown Option Type"))-IF('Adjustment Surface'!C$2='Data Validation'!$A$2,O8,IF('Adjustment Surface'!C$2='Data Validation'!$A$3,P8,"Unknown Option Type")))/((Q8+0.01%)*SQRT(M8)),0,1,FALSE))))*R8*(L8/360))-(T8/N8))*N8)*R8))</f>
        <v>2.2919143507320636</v>
      </c>
      <c r="X8" s="15">
        <f>IF(I8="","",SUM(W$4:W8))</f>
        <v>2.9063284851485718</v>
      </c>
      <c r="Y8" s="15"/>
      <c r="Z8" s="20"/>
      <c r="AA8" s="3">
        <v>5</v>
      </c>
      <c r="AB8" s="4">
        <f>IF(AC7=MAX('Adjustment Surface'!$C$14:$F$14),"",AC7)</f>
        <v>46184</v>
      </c>
      <c r="AC8" s="4">
        <f>IF(AB8="","",IF(AB8&lt;EDATE('Adjustment Surface'!$C$6,DATEDIF('Adjustment Surface'!$C$6,MAX('Adjustment Surface'!$C$14:$F$14),"M")),EDATE(AB$5,COUNT(AB$5:AB8)),IF(AB8=EDATE('Adjustment Surface'!$C$6,DATEDIF('Adjustment Surface'!$C$6,MAX('Adjustment Surface'!$C$14:$F$14),"M")),MAX('Adjustment Surface'!$C$14:$F$14),EDATE('Adjustment Surface'!$C$6,DATEDIF('Adjustment Surface'!$C$6,MAX('Adjustment Surface'!$C$14:$F$14),"M")))))</f>
        <v>46214</v>
      </c>
      <c r="AD8" s="3">
        <f t="shared" si="2"/>
        <v>30</v>
      </c>
      <c r="AE8" s="5">
        <f>IF(AA8="","",(AC8-'Rate &amp; Vol Update'!$C$2)/360)</f>
        <v>0.41666666666666669</v>
      </c>
      <c r="AF8" s="15">
        <f>IF(AA8="","",IF('Adjustment Surface'!$C$3='Data Validation'!$C$2,'Adjustment Surface'!$C$4,_xlfn.IFNA(IF(INDEX(Schedules!$E$3:$E$123,MATCH('Bachelier Model'!AB8,Schedules!$B$3:$B$123,0))="",AF7,INDEX(Schedules!$E$3:$E$123,MATCH('Bachelier Model'!AB8,Schedules!$B$3:$B$123,0))),AF7)))</f>
        <v>25000000</v>
      </c>
      <c r="AG8" s="16">
        <f>IF(AA8="","",'Adjustment Surface'!B$15)</f>
        <v>0.03</v>
      </c>
      <c r="AH8" s="16" cm="1">
        <f t="array" ref="AH8">IF(AA8="","",FORECAST(AB8,INDEX('Rate &amp; Vol Update'!$C$6:$C$127,MATCH(INDEX('Rate &amp; Vol Update'!$B$6:$B$127,MATCH(AB8,'Rate &amp; Vol Update'!$B$6:$B$127,1)),'Rate &amp; Vol Update'!$B$6:$B$127,0)+IF('Adjustment Surface'!$C$11='Data Validation'!$E$3,-1,0)):INDEX('Rate &amp; Vol Update'!$C$6:$C$127,MATCH(INDEX('Rate &amp; Vol Update'!$B$6:$B$127,MATCH(AB8,'Rate &amp; Vol Update'!$B$6:$B$127,1)+1),'Rate &amp; Vol Update'!$B$6:$B$127,0)+IF('Adjustment Surface'!$C$11='Data Validation'!$E$3,-1,0)),INDEX('Rate &amp; Vol Update'!$B$6:$B$127,MATCH(AB8,'Rate &amp; Vol Update'!$B$6:$B$127,1)):INDEX('Rate &amp; Vol Update'!$B$6:$B$127,MATCH(AB8,'Rate &amp; Vol Update'!$B$6:$B$127,1)+1))/100)</f>
        <v>3.5034939949360508E-2</v>
      </c>
      <c r="AI8" s="16" cm="1">
        <f t="array" ref="AI8">IF(AA8="","",IF(AB8&lt;'Rate &amp; Vol Update'!$C$2,0.001%,(1/((INDEX('Rate &amp; Vol Update'!$E$6:$Z$6,1,MATCH(AG8,'Rate &amp; Vol Update'!$E$6:$Z$6,1)+1)-INDEX('Rate &amp; Vol Update'!$E$6:$Z$6,1,MATCH(AG8,'Rate &amp; Vol Update'!$E$6:$Z$6,1)))*(INDEX('Rate &amp; Vol Update'!$B$8:$B$127,MATCH(AB8,'Rate &amp; Vol Update'!$B$8:$B$127,1)+1)-INDEX('Rate &amp; Vol Update'!$B$8:$B$127,MATCH(AB8,'Rate &amp; Vol Update'!$B$8:$B$127,1))))*(INDEX('Rate &amp; Vol Update'!$E$8:$Z$127,MATCH(INDEX('Rate &amp; Vol Update'!$B$8:$B$127,MATCH(AB8,'Rate &amp; Vol Update'!$B$8:$B$127,1)),'Rate &amp; Vol Update'!$B$8:$B$127,0),MATCH(INDEX('Rate &amp; Vol Update'!$E$6:$Z$6,1,MATCH(AG8,'Rate &amp; Vol Update'!$E$6:$Z$6,1)),'Rate &amp; Vol Update'!$E$6:$Z$6,0))*(INDEX('Rate &amp; Vol Update'!$E$6:$Z$6,1,MATCH(AG8,'Rate &amp; Vol Update'!$E$6:$Z$6,1)+1)-AG8)*(INDEX('Rate &amp; Vol Update'!$B$8:$B$127,MATCH(AB8,'Rate &amp; Vol Update'!$B$8:$B$127,1)+1)-AB8)+INDEX('Rate &amp; Vol Update'!$E$8:$Z$127,MATCH(INDEX('Rate &amp; Vol Update'!$B$8:$B$127,MATCH(AB8,'Rate &amp; Vol Update'!$B$8:$B$127,1)),'Rate &amp; Vol Update'!$B$8:$B$127,0),MATCH(INDEX('Rate &amp; Vol Update'!$E$6:$Z$6,1,MATCH(AG8,'Rate &amp; Vol Update'!$E$6:$Z$6,1)+1),'Rate &amp; Vol Update'!$E$6:$Z$6,0))*(AG8-INDEX('Rate &amp; Vol Update'!$E$6:$Z$6,1,MATCH(AG8,'Rate &amp; Vol Update'!$E$6:$Z$6,1)))*(INDEX('Rate &amp; Vol Update'!$B$8:$B$127,MATCH(AB8,'Rate &amp; Vol Update'!$B$8:$B$127,1)+1)-AB8)+INDEX('Rate &amp; Vol Update'!$E$8:$Z$127,MATCH(INDEX('Rate &amp; Vol Update'!$B$8:$B$127,MATCH(AB8,'Rate &amp; Vol Update'!$B$8:$B$127,1)+1),'Rate &amp; Vol Update'!$B$8:$B$127,0),MATCH(INDEX('Rate &amp; Vol Update'!$E$6:$Z$6,1,MATCH(AG8,'Rate &amp; Vol Update'!$E$6:$Z$6,1)),'Rate &amp; Vol Update'!$E$6:$Z$6,0))*(INDEX('Rate &amp; Vol Update'!$E$6:$Z$6,1,MATCH(AG8,'Rate &amp; Vol Update'!$E$6:$Z$6,1)+1)-AG8)*(AB8-INDEX('Rate &amp; Vol Update'!$B$8:$B$127,MATCH(AB8,'Rate &amp; Vol Update'!$B$8:$B$127,1)))+INDEX('Rate &amp; Vol Update'!$E$8:$Z$127,MATCH(INDEX('Rate &amp; Vol Update'!$B$8:$B$127,MATCH(AB8,'Rate &amp; Vol Update'!$B$8:$B$127,1)+1),'Rate &amp; Vol Update'!$B$8:$B$127,0),MATCH(INDEX('Rate &amp; Vol Update'!$E$6:$Z$6,1,MATCH(AG8,'Rate &amp; Vol Update'!$E$6:$Z$6,1)+1),'Rate &amp; Vol Update'!$E$6:$Z$6,0))*(AG8-INDEX('Rate &amp; Vol Update'!$E$6:$Z$6,1,MATCH(AG8,'Rate &amp; Vol Update'!$E$6:$Z$6,1)))*(AB8-INDEX('Rate &amp; Vol Update'!$B$8:$B$127,MATCH(AB8,'Rate &amp; Vol Update'!$B$8:$B$127,1)))))*0.01%))</f>
        <v>7.123638715187436E-3</v>
      </c>
      <c r="AJ8" s="5">
        <f>IF(AA8="","",1/((1+AH8)^((AC8-'Rate &amp; Vol Update'!$C$2)/360)))</f>
        <v>0.9857544483653925</v>
      </c>
      <c r="AL8" s="15">
        <f>IF(AA8="","",IF(AB8&lt;'Rate &amp; Vol Update'!$C$2,MAX(0,AH8-AG8)*(AD8/360)*AF8,(((IF('Adjustment Surface'!$C$2='Data Validation'!$A$2,AH8,IF('Adjustment Surface'!$C$2='Data Validation'!$A$3,AG8,"Unknown Option Type"))-IF('Adjustment Surface'!$C$2='Data Validation'!$A$2,AG8,IF('Adjustment Surface'!$C$2='Data Validation'!$A$3,AH8,"Unknown Option Type")))*(NORMDIST((IF('Adjustment Surface'!$C$2='Data Validation'!$A$2,AH8,IF('Adjustment Surface'!$C$2='Data Validation'!$A$3,AG8,"Unknown Option Type"))-IF('Adjustment Surface'!$C$2='Data Validation'!$A$2,AG8,IF('Adjustment Surface'!$C$2='Data Validation'!$A$3,AH8,"Unknown Option Type")))/(AI8*SQRT(AE8)),0,1,TRUE)))+((AI8*SQRT(AE8))*(NORMDIST((IF('Adjustment Surface'!$C$2='Data Validation'!$A$2,AH8,IF('Adjustment Surface'!$C$2='Data Validation'!$A$3,AG8,"Unknown Option Type"))-IF('Adjustment Surface'!$C$2='Data Validation'!$A$2,AG8,IF('Adjustment Surface'!$C$2='Data Validation'!$A$3,AH8,"Unknown Option Type")))/(AI8*SQRT(AE8)),0,1,FALSE))))*AJ8*(AD8/360)*AF8))</f>
        <v>10994.50853416779</v>
      </c>
      <c r="AM8" s="15">
        <f>IF(AA8="","",SUM(AL$4:AL8))</f>
        <v>64114.456412589367</v>
      </c>
      <c r="AO8" s="15">
        <f>IF(AA8="","",IF(AB8&lt;'Rate &amp; Vol Update'!$C$2,0,((((((IF('Adjustment Surface'!$C$2='Data Validation'!$A$2,AH8,IF('Adjustment Surface'!$C$2='Data Validation'!$A$3,AG8,"Unknown Option Type"))-IF('Adjustment Surface'!$C$2='Data Validation'!$A$2,AG8,IF('Adjustment Surface'!$C$2='Data Validation'!$A$3,AH8,"Unknown Option Type")))*(NORMDIST((IF('Adjustment Surface'!$C$2='Data Validation'!$A$2,AH8,IF('Adjustment Surface'!$C$2='Data Validation'!$A$3,AG8,"Unknown Option Type"))-IF('Adjustment Surface'!$C$2='Data Validation'!$A$2,AG8,IF('Adjustment Surface'!$C$2='Data Validation'!$A$3,AH8,"Unknown Option Type")))/((AI8+0.01%)*SQRT(AE8)),0,1,TRUE)))+(((AI8+0.01%)*SQRT(AE8))*(NORMDIST((IF('Adjustment Surface'!$C$2='Data Validation'!$A$2,AH8,IF('Adjustment Surface'!$C$2='Data Validation'!$A$3,AG8,"Unknown Option Type"))-IF('Adjustment Surface'!$C$2='Data Validation'!$A$2,AG8,IF('Adjustment Surface'!$C$2='Data Validation'!$A$3,AH8,"Unknown Option Type")))/((AI8+0.01%)*SQRT(AE8)),0,1,FALSE))))*AJ8*(AD8/360))-(AL8/AF8))*AF8)*AJ8))</f>
        <v>28.86449830100338</v>
      </c>
      <c r="AP8" s="15">
        <f>IF(AA8="","",SUM(AO$4:AO8))</f>
        <v>57.72761362695708</v>
      </c>
      <c r="AQ8" s="15"/>
      <c r="AR8" s="20"/>
      <c r="AS8" s="3">
        <v>5</v>
      </c>
      <c r="AT8" s="4">
        <f>IF(AU7=MAX('Adjustment Surface'!$C$14:$F$14),"",AU7)</f>
        <v>46184</v>
      </c>
      <c r="AU8" s="4">
        <f>IF(AT8="","",IF(AT8&lt;EDATE('Adjustment Surface'!$C$6,DATEDIF('Adjustment Surface'!$C$6,MAX('Adjustment Surface'!$C$14:$F$14),"M")),EDATE(AT$5,COUNT(AT$5:AT8)),IF(AT8=EDATE('Adjustment Surface'!$C$6,DATEDIF('Adjustment Surface'!$C$6,MAX('Adjustment Surface'!$C$14:$F$14),"M")),MAX('Adjustment Surface'!$C$14:$F$14),EDATE('Adjustment Surface'!$C$6,DATEDIF('Adjustment Surface'!$C$6,MAX('Adjustment Surface'!$C$14:$F$14),"M")))))</f>
        <v>46214</v>
      </c>
      <c r="AV8" s="3">
        <f t="shared" si="3"/>
        <v>30</v>
      </c>
      <c r="AW8" s="5">
        <f>IF(AS8="","",(AU8-'Rate &amp; Vol Update'!$C$2)/360)</f>
        <v>0.41666666666666669</v>
      </c>
      <c r="AX8" s="15">
        <f>IF(AS8="","",IF('Adjustment Surface'!$C$3='Data Validation'!$C$2,'Adjustment Surface'!$C$4,_xlfn.IFNA(IF(INDEX(Schedules!$E$3:$E$123,MATCH('Bachelier Model'!AT8,Schedules!$B$3:$B$123,0))="",AX7,INDEX(Schedules!$E$3:$E$123,MATCH('Bachelier Model'!AT8,Schedules!$B$3:$B$123,0))),AX7)))</f>
        <v>25000000</v>
      </c>
      <c r="AY8" s="16">
        <f>IF(AS8="","",'Adjustment Surface'!B$16)</f>
        <v>0.04</v>
      </c>
      <c r="AZ8" s="16" cm="1">
        <f t="array" ref="AZ8">IF(AS8="","",FORECAST(AT8,INDEX('Rate &amp; Vol Update'!$C$6:$C$127,MATCH(INDEX('Rate &amp; Vol Update'!$B$6:$B$127,MATCH(AT8,'Rate &amp; Vol Update'!$B$6:$B$127,1)),'Rate &amp; Vol Update'!$B$6:$B$127,0)+IF('Adjustment Surface'!$C$11='Data Validation'!$E$3,-1,0)):INDEX('Rate &amp; Vol Update'!$C$6:$C$127,MATCH(INDEX('Rate &amp; Vol Update'!$B$6:$B$127,MATCH(AT8,'Rate &amp; Vol Update'!$B$6:$B$127,1)+1),'Rate &amp; Vol Update'!$B$6:$B$127,0)+IF('Adjustment Surface'!$C$11='Data Validation'!$E$3,-1,0)),INDEX('Rate &amp; Vol Update'!$B$6:$B$127,MATCH(AT8,'Rate &amp; Vol Update'!$B$6:$B$127,1)):INDEX('Rate &amp; Vol Update'!$B$6:$B$127,MATCH(AT8,'Rate &amp; Vol Update'!$B$6:$B$127,1)+1))/100)</f>
        <v>3.5034939949360508E-2</v>
      </c>
      <c r="BA8" s="16" cm="1">
        <f t="array" ref="BA8">IF(AS8="","",IF(AT8&lt;'Rate &amp; Vol Update'!$C$2,0.001%,(1/((INDEX('Rate &amp; Vol Update'!$E$6:$Z$6,1,MATCH(AY8,'Rate &amp; Vol Update'!$E$6:$Z$6,1)+1)-INDEX('Rate &amp; Vol Update'!$E$6:$Z$6,1,MATCH(AY8,'Rate &amp; Vol Update'!$E$6:$Z$6,1)))*(INDEX('Rate &amp; Vol Update'!$B$8:$B$127,MATCH(AT8,'Rate &amp; Vol Update'!$B$8:$B$127,1)+1)-INDEX('Rate &amp; Vol Update'!$B$8:$B$127,MATCH(AT8,'Rate &amp; Vol Update'!$B$8:$B$127,1))))*(INDEX('Rate &amp; Vol Update'!$E$8:$Z$127,MATCH(INDEX('Rate &amp; Vol Update'!$B$8:$B$127,MATCH(AT8,'Rate &amp; Vol Update'!$B$8:$B$127,1)),'Rate &amp; Vol Update'!$B$8:$B$127,0),MATCH(INDEX('Rate &amp; Vol Update'!$E$6:$Z$6,1,MATCH(AY8,'Rate &amp; Vol Update'!$E$6:$Z$6,1)),'Rate &amp; Vol Update'!$E$6:$Z$6,0))*(INDEX('Rate &amp; Vol Update'!$E$6:$Z$6,1,MATCH(AY8,'Rate &amp; Vol Update'!$E$6:$Z$6,1)+1)-AY8)*(INDEX('Rate &amp; Vol Update'!$B$8:$B$127,MATCH(AT8,'Rate &amp; Vol Update'!$B$8:$B$127,1)+1)-AT8)+INDEX('Rate &amp; Vol Update'!$E$8:$Z$127,MATCH(INDEX('Rate &amp; Vol Update'!$B$8:$B$127,MATCH(AT8,'Rate &amp; Vol Update'!$B$8:$B$127,1)),'Rate &amp; Vol Update'!$B$8:$B$127,0),MATCH(INDEX('Rate &amp; Vol Update'!$E$6:$Z$6,1,MATCH(AY8,'Rate &amp; Vol Update'!$E$6:$Z$6,1)+1),'Rate &amp; Vol Update'!$E$6:$Z$6,0))*(AY8-INDEX('Rate &amp; Vol Update'!$E$6:$Z$6,1,MATCH(AY8,'Rate &amp; Vol Update'!$E$6:$Z$6,1)))*(INDEX('Rate &amp; Vol Update'!$B$8:$B$127,MATCH(AT8,'Rate &amp; Vol Update'!$B$8:$B$127,1)+1)-AT8)+INDEX('Rate &amp; Vol Update'!$E$8:$Z$127,MATCH(INDEX('Rate &amp; Vol Update'!$B$8:$B$127,MATCH(AT8,'Rate &amp; Vol Update'!$B$8:$B$127,1)+1),'Rate &amp; Vol Update'!$B$8:$B$127,0),MATCH(INDEX('Rate &amp; Vol Update'!$E$6:$Z$6,1,MATCH(AY8,'Rate &amp; Vol Update'!$E$6:$Z$6,1)),'Rate &amp; Vol Update'!$E$6:$Z$6,0))*(INDEX('Rate &amp; Vol Update'!$E$6:$Z$6,1,MATCH(AY8,'Rate &amp; Vol Update'!$E$6:$Z$6,1)+1)-AY8)*(AT8-INDEX('Rate &amp; Vol Update'!$B$8:$B$127,MATCH(AT8,'Rate &amp; Vol Update'!$B$8:$B$127,1)))+INDEX('Rate &amp; Vol Update'!$E$8:$Z$127,MATCH(INDEX('Rate &amp; Vol Update'!$B$8:$B$127,MATCH(AT8,'Rate &amp; Vol Update'!$B$8:$B$127,1)+1),'Rate &amp; Vol Update'!$B$8:$B$127,0),MATCH(INDEX('Rate &amp; Vol Update'!$E$6:$Z$6,1,MATCH(AY8,'Rate &amp; Vol Update'!$E$6:$Z$6,1)+1),'Rate &amp; Vol Update'!$E$6:$Z$6,0))*(AY8-INDEX('Rate &amp; Vol Update'!$E$6:$Z$6,1,MATCH(AY8,'Rate &amp; Vol Update'!$E$6:$Z$6,1)))*(AT8-INDEX('Rate &amp; Vol Update'!$B$8:$B$127,MATCH(AT8,'Rate &amp; Vol Update'!$B$8:$B$127,1)))))*0.01%))</f>
        <v>6.1475641019794131E-3</v>
      </c>
      <c r="BB8" s="5">
        <f>IF(AS8="","",1/((1+AZ8)^((AU8-'Rate &amp; Vol Update'!$C$2)/360)))</f>
        <v>0.9857544483653925</v>
      </c>
      <c r="BD8" s="15">
        <f>IF(AS8="","",IF(AT8&lt;'Rate &amp; Vol Update'!$C$2,MAX(0,AZ8-AY8)*(AV8/360)*AX8,(((IF('Adjustment Surface'!$C$2='Data Validation'!$A$2,AZ8,IF('Adjustment Surface'!$C$2='Data Validation'!$A$3,AY8,"Unknown Option Type"))-IF('Adjustment Surface'!$C$2='Data Validation'!$A$2,AY8,IF('Adjustment Surface'!$C$2='Data Validation'!$A$3,AZ8,"Unknown Option Type")))*(NORMDIST((IF('Adjustment Surface'!$C$2='Data Validation'!$A$2,AZ8,IF('Adjustment Surface'!$C$2='Data Validation'!$A$3,AY8,"Unknown Option Type"))-IF('Adjustment Surface'!$C$2='Data Validation'!$A$2,AY8,IF('Adjustment Surface'!$C$2='Data Validation'!$A$3,AZ8,"Unknown Option Type")))/(BA8*SQRT(AW8)),0,1,TRUE)))+((BA8*SQRT(AW8))*(NORMDIST((IF('Adjustment Surface'!$C$2='Data Validation'!$A$2,AZ8,IF('Adjustment Surface'!$C$2='Data Validation'!$A$3,AY8,"Unknown Option Type"))-IF('Adjustment Surface'!$C$2='Data Validation'!$A$2,AY8,IF('Adjustment Surface'!$C$2='Data Validation'!$A$3,AZ8,"Unknown Option Type")))/(BA8*SQRT(AW8)),0,1,FALSE))))*BB8*(AV8/360)*AX8))</f>
        <v>411.2190677288778</v>
      </c>
      <c r="BE8" s="15">
        <f>IF(AS8="","",SUM(BD$4:BD8))</f>
        <v>1484.4251464228773</v>
      </c>
      <c r="BG8" s="15">
        <f>IF(AS8="","",IF(AT8&lt;'Rate &amp; Vol Update'!$C$2,0,((((((IF('Adjustment Surface'!$C$2='Data Validation'!$A$2,AZ8,IF('Adjustment Surface'!$C$2='Data Validation'!$A$3,AY8,"Unknown Option Type"))-IF('Adjustment Surface'!$C$2='Data Validation'!$A$2,AY8,IF('Adjustment Surface'!$C$2='Data Validation'!$A$3,AZ8,"Unknown Option Type")))*(NORMDIST((IF('Adjustment Surface'!$C$2='Data Validation'!$A$2,AZ8,IF('Adjustment Surface'!$C$2='Data Validation'!$A$3,AY8,"Unknown Option Type"))-IF('Adjustment Surface'!$C$2='Data Validation'!$A$2,AY8,IF('Adjustment Surface'!$C$2='Data Validation'!$A$3,AZ8,"Unknown Option Type")))/((BA8+0.01%)*SQRT(AW8)),0,1,TRUE)))+(((BA8+0.01%)*SQRT(AW8))*(NORMDIST((IF('Adjustment Surface'!$C$2='Data Validation'!$A$2,AZ8,IF('Adjustment Surface'!$C$2='Data Validation'!$A$3,AY8,"Unknown Option Type"))-IF('Adjustment Surface'!$C$2='Data Validation'!$A$2,AY8,IF('Adjustment Surface'!$C$2='Data Validation'!$A$3,AZ8,"Unknown Option Type")))/((BA8+0.01%)*SQRT(AW8)),0,1,FALSE))))*BB8*(AV8/360))-(BD8/AX8))*AX8)*BB8))</f>
        <v>24.132832003988554</v>
      </c>
      <c r="BH8" s="15">
        <f>IF(AS8="","",SUM(BG$4:BG8))</f>
        <v>86.157567801651638</v>
      </c>
      <c r="BI8" s="15"/>
      <c r="BJ8" s="20"/>
      <c r="BK8" s="3">
        <v>5</v>
      </c>
      <c r="BL8" s="4">
        <f>IF(BM7=MAX('Adjustment Surface'!$C$14:$F$14),"",BM7)</f>
        <v>46184</v>
      </c>
      <c r="BM8" s="4">
        <f>IF(BL8="","",IF(BL8&lt;EDATE('Adjustment Surface'!$C$6,DATEDIF('Adjustment Surface'!$C$6,MAX('Adjustment Surface'!$C$14:$F$14),"M")),EDATE(BL$5,COUNT(BL$5:BL8)),IF(BL8=EDATE('Adjustment Surface'!$C$6,DATEDIF('Adjustment Surface'!$C$6,MAX('Adjustment Surface'!$C$14:$F$14),"M")),MAX('Adjustment Surface'!$C$14:$F$14),EDATE('Adjustment Surface'!$C$6,DATEDIF('Adjustment Surface'!$C$6,MAX('Adjustment Surface'!$C$14:$F$14),"M")))))</f>
        <v>46214</v>
      </c>
      <c r="BN8" s="3">
        <f t="shared" si="4"/>
        <v>30</v>
      </c>
      <c r="BO8" s="5">
        <f>IF(BK8="","",(BM8-'Rate &amp; Vol Update'!$C$2)/360)</f>
        <v>0.41666666666666669</v>
      </c>
      <c r="BP8" s="15">
        <f>IF(BK8="","",IF('Adjustment Surface'!$C$3='Data Validation'!$C$2,'Adjustment Surface'!$C$4,_xlfn.IFNA(IF(INDEX(Schedules!$E$3:$E$123,MATCH('Bachelier Model'!BL8,Schedules!$B$3:$B$123,0))="",BP7,INDEX(Schedules!$E$3:$E$123,MATCH('Bachelier Model'!BL8,Schedules!$B$3:$B$123,0))),BP7)))</f>
        <v>25000000</v>
      </c>
      <c r="BQ8" s="16">
        <f>IF(BK8="","",'Adjustment Surface'!B$17)</f>
        <v>0.05</v>
      </c>
      <c r="BR8" s="16" cm="1">
        <f t="array" ref="BR8">IF(BK8="","",FORECAST(BL8,INDEX('Rate &amp; Vol Update'!$C$6:$C$127,MATCH(INDEX('Rate &amp; Vol Update'!$B$6:$B$127,MATCH(BL8,'Rate &amp; Vol Update'!$B$6:$B$127,1)),'Rate &amp; Vol Update'!$B$6:$B$127,0)+IF('Adjustment Surface'!$C$11='Data Validation'!$E$3,-1,0)):INDEX('Rate &amp; Vol Update'!$C$6:$C$127,MATCH(INDEX('Rate &amp; Vol Update'!$B$6:$B$127,MATCH(BL8,'Rate &amp; Vol Update'!$B$6:$B$127,1)+1),'Rate &amp; Vol Update'!$B$6:$B$127,0)+IF('Adjustment Surface'!$C$11='Data Validation'!$E$3,-1,0)),INDEX('Rate &amp; Vol Update'!$B$6:$B$127,MATCH(BL8,'Rate &amp; Vol Update'!$B$6:$B$127,1)):INDEX('Rate &amp; Vol Update'!$B$6:$B$127,MATCH(BL8,'Rate &amp; Vol Update'!$B$6:$B$127,1)+1))/100)</f>
        <v>3.5034939949360508E-2</v>
      </c>
      <c r="BS8" s="16" cm="1">
        <f t="array" ref="BS8">IF(BK8="","",IF(BL8&lt;'Rate &amp; Vol Update'!$C$2,0.001%,(1/((INDEX('Rate &amp; Vol Update'!$E$6:$Z$6,1,MATCH(BQ8,'Rate &amp; Vol Update'!$E$6:$Z$6,1)+1)-INDEX('Rate &amp; Vol Update'!$E$6:$Z$6,1,MATCH(BQ8,'Rate &amp; Vol Update'!$E$6:$Z$6,1)))*(INDEX('Rate &amp; Vol Update'!$B$8:$B$127,MATCH(BL8,'Rate &amp; Vol Update'!$B$8:$B$127,1)+1)-INDEX('Rate &amp; Vol Update'!$B$8:$B$127,MATCH(BL8,'Rate &amp; Vol Update'!$B$8:$B$127,1))))*(INDEX('Rate &amp; Vol Update'!$E$8:$Z$127,MATCH(INDEX('Rate &amp; Vol Update'!$B$8:$B$127,MATCH(BL8,'Rate &amp; Vol Update'!$B$8:$B$127,1)),'Rate &amp; Vol Update'!$B$8:$B$127,0),MATCH(INDEX('Rate &amp; Vol Update'!$E$6:$Z$6,1,MATCH(BQ8,'Rate &amp; Vol Update'!$E$6:$Z$6,1)),'Rate &amp; Vol Update'!$E$6:$Z$6,0))*(INDEX('Rate &amp; Vol Update'!$E$6:$Z$6,1,MATCH(BQ8,'Rate &amp; Vol Update'!$E$6:$Z$6,1)+1)-BQ8)*(INDEX('Rate &amp; Vol Update'!$B$8:$B$127,MATCH(BL8,'Rate &amp; Vol Update'!$B$8:$B$127,1)+1)-BL8)+INDEX('Rate &amp; Vol Update'!$E$8:$Z$127,MATCH(INDEX('Rate &amp; Vol Update'!$B$8:$B$127,MATCH(BL8,'Rate &amp; Vol Update'!$B$8:$B$127,1)),'Rate &amp; Vol Update'!$B$8:$B$127,0),MATCH(INDEX('Rate &amp; Vol Update'!$E$6:$Z$6,1,MATCH(BQ8,'Rate &amp; Vol Update'!$E$6:$Z$6,1)+1),'Rate &amp; Vol Update'!$E$6:$Z$6,0))*(BQ8-INDEX('Rate &amp; Vol Update'!$E$6:$Z$6,1,MATCH(BQ8,'Rate &amp; Vol Update'!$E$6:$Z$6,1)))*(INDEX('Rate &amp; Vol Update'!$B$8:$B$127,MATCH(BL8,'Rate &amp; Vol Update'!$B$8:$B$127,1)+1)-BL8)+INDEX('Rate &amp; Vol Update'!$E$8:$Z$127,MATCH(INDEX('Rate &amp; Vol Update'!$B$8:$B$127,MATCH(BL8,'Rate &amp; Vol Update'!$B$8:$B$127,1)+1),'Rate &amp; Vol Update'!$B$8:$B$127,0),MATCH(INDEX('Rate &amp; Vol Update'!$E$6:$Z$6,1,MATCH(BQ8,'Rate &amp; Vol Update'!$E$6:$Z$6,1)),'Rate &amp; Vol Update'!$E$6:$Z$6,0))*(INDEX('Rate &amp; Vol Update'!$E$6:$Z$6,1,MATCH(BQ8,'Rate &amp; Vol Update'!$E$6:$Z$6,1)+1)-BQ8)*(BL8-INDEX('Rate &amp; Vol Update'!$B$8:$B$127,MATCH(BL8,'Rate &amp; Vol Update'!$B$8:$B$127,1)))+INDEX('Rate &amp; Vol Update'!$E$8:$Z$127,MATCH(INDEX('Rate &amp; Vol Update'!$B$8:$B$127,MATCH(BL8,'Rate &amp; Vol Update'!$B$8:$B$127,1)+1),'Rate &amp; Vol Update'!$B$8:$B$127,0),MATCH(INDEX('Rate &amp; Vol Update'!$E$6:$Z$6,1,MATCH(BQ8,'Rate &amp; Vol Update'!$E$6:$Z$6,1)+1),'Rate &amp; Vol Update'!$E$6:$Z$6,0))*(BQ8-INDEX('Rate &amp; Vol Update'!$E$6:$Z$6,1,MATCH(BQ8,'Rate &amp; Vol Update'!$E$6:$Z$6,1)))*(BL8-INDEX('Rate &amp; Vol Update'!$B$8:$B$127,MATCH(BL8,'Rate &amp; Vol Update'!$B$8:$B$127,1)))))*0.01%))</f>
        <v>7.7278478812982804E-3</v>
      </c>
      <c r="BT8" s="5">
        <f>IF(BK8="","",1/((1+BR8)^((BM8-'Rate &amp; Vol Update'!$C$2)/360)))</f>
        <v>0.9857544483653925</v>
      </c>
      <c r="BV8" s="15">
        <f>IF(BK8="","",IF(BL8&lt;'Rate &amp; Vol Update'!$C$2,MAX(0,BR8-BQ8)*(BN8/360)*BP8,(((IF('Adjustment Surface'!$C$2='Data Validation'!$A$2,BR8,IF('Adjustment Surface'!$C$2='Data Validation'!$A$3,BQ8,"Unknown Option Type"))-IF('Adjustment Surface'!$C$2='Data Validation'!$A$2,BQ8,IF('Adjustment Surface'!$C$2='Data Validation'!$A$3,BR8,"Unknown Option Type")))*(NORMDIST((IF('Adjustment Surface'!$C$2='Data Validation'!$A$2,BR8,IF('Adjustment Surface'!$C$2='Data Validation'!$A$3,BQ8,"Unknown Option Type"))-IF('Adjustment Surface'!$C$2='Data Validation'!$A$2,BQ8,IF('Adjustment Surface'!$C$2='Data Validation'!$A$3,BR8,"Unknown Option Type")))/(BS8*SQRT(BO8)),0,1,TRUE)))+((BS8*SQRT(BO8))*(NORMDIST((IF('Adjustment Surface'!$C$2='Data Validation'!$A$2,BR8,IF('Adjustment Surface'!$C$2='Data Validation'!$A$3,BQ8,"Unknown Option Type"))-IF('Adjustment Surface'!$C$2='Data Validation'!$A$2,BQ8,IF('Adjustment Surface'!$C$2='Data Validation'!$A$3,BR8,"Unknown Option Type")))/(BS8*SQRT(BO8)),0,1,FALSE))))*BT8*(BN8/360)*BP8))</f>
        <v>3.9144794834352523</v>
      </c>
      <c r="BW8" s="15">
        <f>IF(BK8="","",SUM(BV$4:BV8))</f>
        <v>6.8904723484482151</v>
      </c>
      <c r="BY8" s="15">
        <f>IF(BK8="","",IF(BL8&lt;'Rate &amp; Vol Update'!$C$2,0,((((((IF('Adjustment Surface'!$C$2='Data Validation'!$A$2,BR8,IF('Adjustment Surface'!$C$2='Data Validation'!$A$3,BQ8,"Unknown Option Type"))-IF('Adjustment Surface'!$C$2='Data Validation'!$A$2,BQ8,IF('Adjustment Surface'!$C$2='Data Validation'!$A$3,BR8,"Unknown Option Type")))*(NORMDIST((IF('Adjustment Surface'!$C$2='Data Validation'!$A$2,BR8,IF('Adjustment Surface'!$C$2='Data Validation'!$A$3,BQ8,"Unknown Option Type"))-IF('Adjustment Surface'!$C$2='Data Validation'!$A$2,BQ8,IF('Adjustment Surface'!$C$2='Data Validation'!$A$3,BR8,"Unknown Option Type")))/((BS8+0.01%)*SQRT(BO8)),0,1,TRUE)))+(((BS8+0.01%)*SQRT(BO8))*(NORMDIST((IF('Adjustment Surface'!$C$2='Data Validation'!$A$2,BR8,IF('Adjustment Surface'!$C$2='Data Validation'!$A$3,BQ8,"Unknown Option Type"))-IF('Adjustment Surface'!$C$2='Data Validation'!$A$2,BQ8,IF('Adjustment Surface'!$C$2='Data Validation'!$A$3,BR8,"Unknown Option Type")))/((BS8+0.01%)*SQRT(BO8)),0,1,FALSE))))*BT8*(BN8/360))-(BV8/BP8))*BP8)*BT8))</f>
        <v>0.61367728248335485</v>
      </c>
      <c r="BZ8" s="15">
        <f>IF(BK8="","",SUM(BY$4:BY8))</f>
        <v>1.1132221471873327</v>
      </c>
      <c r="CA8" s="15"/>
      <c r="CB8" s="20"/>
      <c r="CC8" s="3">
        <v>5</v>
      </c>
      <c r="CD8" s="4">
        <f>IF(CE7=MAX('Adjustment Surface'!$C$14:$F$14),"",CE7)</f>
        <v>46184</v>
      </c>
      <c r="CE8" s="4">
        <f>IF(CD8="","",IF(CD8&lt;EDATE('Adjustment Surface'!$C$6,DATEDIF('Adjustment Surface'!$C$6,MAX('Adjustment Surface'!$C$14:$F$14),"M")),EDATE(CD$5,COUNT(CD$5:CD8)),IF(CD8=EDATE('Adjustment Surface'!$C$6,DATEDIF('Adjustment Surface'!$C$6,MAX('Adjustment Surface'!$C$14:$F$14),"M")),MAX('Adjustment Surface'!$C$14:$F$14),EDATE('Adjustment Surface'!$C$6,DATEDIF('Adjustment Surface'!$C$6,MAX('Adjustment Surface'!$C$14:$F$14),"M")))))</f>
        <v>46214</v>
      </c>
      <c r="CF8" s="3">
        <f t="shared" si="5"/>
        <v>30</v>
      </c>
      <c r="CG8" s="5">
        <f>IF(CC8="","",(CE8-'Rate &amp; Vol Update'!$C$2)/360)</f>
        <v>0.41666666666666669</v>
      </c>
      <c r="CH8" s="15">
        <f>IF(CC8="","",IF('Adjustment Surface'!$C$3='Data Validation'!$C$2,'Adjustment Surface'!$C$4,_xlfn.IFNA(IF(INDEX(Schedules!$E$3:$E$123,MATCH('Bachelier Model'!CD8,Schedules!$B$3:$B$123,0))="",CH7,INDEX(Schedules!$E$3:$E$123,MATCH('Bachelier Model'!CD8,Schedules!$B$3:$B$123,0))),CH7)))</f>
        <v>25000000</v>
      </c>
      <c r="CI8" s="16">
        <f>IF(CC8="","",'Adjustment Surface'!B$18)</f>
        <v>0.06</v>
      </c>
      <c r="CJ8" s="16" cm="1">
        <f t="array" ref="CJ8">IF(CC8="","",FORECAST(CD8,INDEX('Rate &amp; Vol Update'!$C$6:$C$127,MATCH(INDEX('Rate &amp; Vol Update'!$B$6:$B$127,MATCH(CD8,'Rate &amp; Vol Update'!$B$6:$B$127,1)),'Rate &amp; Vol Update'!$B$6:$B$127,0)+IF('Adjustment Surface'!$C$11='Data Validation'!$E$3,-1,0)):INDEX('Rate &amp; Vol Update'!$C$6:$C$127,MATCH(INDEX('Rate &amp; Vol Update'!$B$6:$B$127,MATCH(CD8,'Rate &amp; Vol Update'!$B$6:$B$127,1)+1),'Rate &amp; Vol Update'!$B$6:$B$127,0)+IF('Adjustment Surface'!$C$11='Data Validation'!$E$3,-1,0)),INDEX('Rate &amp; Vol Update'!$B$6:$B$127,MATCH(CD8,'Rate &amp; Vol Update'!$B$6:$B$127,1)):INDEX('Rate &amp; Vol Update'!$B$6:$B$127,MATCH(CD8,'Rate &amp; Vol Update'!$B$6:$B$127,1)+1))/100)</f>
        <v>3.5034939949360508E-2</v>
      </c>
      <c r="CK8" s="16" cm="1">
        <f t="array" ref="CK8">IF(CC8="","",IF(CD8&lt;'Rate &amp; Vol Update'!$C$2,0.001%,(1/((INDEX('Rate &amp; Vol Update'!$E$6:$Z$6,1,MATCH(CI8,'Rate &amp; Vol Update'!$E$6:$Z$6,1)+1)-INDEX('Rate &amp; Vol Update'!$E$6:$Z$6,1,MATCH(CI8,'Rate &amp; Vol Update'!$E$6:$Z$6,1)))*(INDEX('Rate &amp; Vol Update'!$B$8:$B$127,MATCH(CD8,'Rate &amp; Vol Update'!$B$8:$B$127,1)+1)-INDEX('Rate &amp; Vol Update'!$B$8:$B$127,MATCH(CD8,'Rate &amp; Vol Update'!$B$8:$B$127,1))))*(INDEX('Rate &amp; Vol Update'!$E$8:$Z$127,MATCH(INDEX('Rate &amp; Vol Update'!$B$8:$B$127,MATCH(CD8,'Rate &amp; Vol Update'!$B$8:$B$127,1)),'Rate &amp; Vol Update'!$B$8:$B$127,0),MATCH(INDEX('Rate &amp; Vol Update'!$E$6:$Z$6,1,MATCH(CI8,'Rate &amp; Vol Update'!$E$6:$Z$6,1)),'Rate &amp; Vol Update'!$E$6:$Z$6,0))*(INDEX('Rate &amp; Vol Update'!$E$6:$Z$6,1,MATCH(CI8,'Rate &amp; Vol Update'!$E$6:$Z$6,1)+1)-CI8)*(INDEX('Rate &amp; Vol Update'!$B$8:$B$127,MATCH(CD8,'Rate &amp; Vol Update'!$B$8:$B$127,1)+1)-CD8)+INDEX('Rate &amp; Vol Update'!$E$8:$Z$127,MATCH(INDEX('Rate &amp; Vol Update'!$B$8:$B$127,MATCH(CD8,'Rate &amp; Vol Update'!$B$8:$B$127,1)),'Rate &amp; Vol Update'!$B$8:$B$127,0),MATCH(INDEX('Rate &amp; Vol Update'!$E$6:$Z$6,1,MATCH(CI8,'Rate &amp; Vol Update'!$E$6:$Z$6,1)+1),'Rate &amp; Vol Update'!$E$6:$Z$6,0))*(CI8-INDEX('Rate &amp; Vol Update'!$E$6:$Z$6,1,MATCH(CI8,'Rate &amp; Vol Update'!$E$6:$Z$6,1)))*(INDEX('Rate &amp; Vol Update'!$B$8:$B$127,MATCH(CD8,'Rate &amp; Vol Update'!$B$8:$B$127,1)+1)-CD8)+INDEX('Rate &amp; Vol Update'!$E$8:$Z$127,MATCH(INDEX('Rate &amp; Vol Update'!$B$8:$B$127,MATCH(CD8,'Rate &amp; Vol Update'!$B$8:$B$127,1)+1),'Rate &amp; Vol Update'!$B$8:$B$127,0),MATCH(INDEX('Rate &amp; Vol Update'!$E$6:$Z$6,1,MATCH(CI8,'Rate &amp; Vol Update'!$E$6:$Z$6,1)),'Rate &amp; Vol Update'!$E$6:$Z$6,0))*(INDEX('Rate &amp; Vol Update'!$E$6:$Z$6,1,MATCH(CI8,'Rate &amp; Vol Update'!$E$6:$Z$6,1)+1)-CI8)*(CD8-INDEX('Rate &amp; Vol Update'!$B$8:$B$127,MATCH(CD8,'Rate &amp; Vol Update'!$B$8:$B$127,1)))+INDEX('Rate &amp; Vol Update'!$E$8:$Z$127,MATCH(INDEX('Rate &amp; Vol Update'!$B$8:$B$127,MATCH(CD8,'Rate &amp; Vol Update'!$B$8:$B$127,1)+1),'Rate &amp; Vol Update'!$B$8:$B$127,0),MATCH(INDEX('Rate &amp; Vol Update'!$E$6:$Z$6,1,MATCH(CI8,'Rate &amp; Vol Update'!$E$6:$Z$6,1)+1),'Rate &amp; Vol Update'!$E$6:$Z$6,0))*(CI8-INDEX('Rate &amp; Vol Update'!$E$6:$Z$6,1,MATCH(CI8,'Rate &amp; Vol Update'!$E$6:$Z$6,1)))*(CD8-INDEX('Rate &amp; Vol Update'!$B$8:$B$127,MATCH(CD8,'Rate &amp; Vol Update'!$B$8:$B$127,1)))))*0.01%))</f>
        <v>9.9279686523692616E-3</v>
      </c>
      <c r="CL8" s="5">
        <f>IF(CC8="","",1/((1+CJ8)^((CE8-'Rate &amp; Vol Update'!$C$2)/360)))</f>
        <v>0.9857544483653925</v>
      </c>
      <c r="CN8" s="15">
        <f>IF(CC8="","",IF(CD8&lt;'Rate &amp; Vol Update'!$C$2,MAX(0,CJ8-CI8)*(CF8/360)*CH8,(((IF('Adjustment Surface'!$C$2='Data Validation'!$A$2,CJ8,IF('Adjustment Surface'!$C$2='Data Validation'!$A$3,CI8,"Unknown Option Type"))-IF('Adjustment Surface'!$C$2='Data Validation'!$A$2,CI8,IF('Adjustment Surface'!$C$2='Data Validation'!$A$3,CJ8,"Unknown Option Type")))*(NORMDIST((IF('Adjustment Surface'!$C$2='Data Validation'!$A$2,CJ8,IF('Adjustment Surface'!$C$2='Data Validation'!$A$3,CI8,"Unknown Option Type"))-IF('Adjustment Surface'!$C$2='Data Validation'!$A$2,CI8,IF('Adjustment Surface'!$C$2='Data Validation'!$A$3,CJ8,"Unknown Option Type")))/(CK8*SQRT(CG8)),0,1,TRUE)))+((CK8*SQRT(CG8))*(NORMDIST((IF('Adjustment Surface'!$C$2='Data Validation'!$A$2,CJ8,IF('Adjustment Surface'!$C$2='Data Validation'!$A$3,CI8,"Unknown Option Type"))-IF('Adjustment Surface'!$C$2='Data Validation'!$A$2,CI8,IF('Adjustment Surface'!$C$2='Data Validation'!$A$3,CJ8,"Unknown Option Type")))/(CK8*SQRT(CG8)),0,1,FALSE))))*CL8*(CF8/360)*CH8))</f>
        <v>0.14860856992589483</v>
      </c>
      <c r="CO8" s="15">
        <f>IF(CC8="","",SUM(CN$4:CN8))</f>
        <v>0.20084031224556473</v>
      </c>
      <c r="CQ8" s="15">
        <f>IF(CC8="","",IF(CD8&lt;'Rate &amp; Vol Update'!$C$2,0,((((((IF('Adjustment Surface'!$C$2='Data Validation'!$A$2,CJ8,IF('Adjustment Surface'!$C$2='Data Validation'!$A$3,CI8,"Unknown Option Type"))-IF('Adjustment Surface'!$C$2='Data Validation'!$A$2,CI8,IF('Adjustment Surface'!$C$2='Data Validation'!$A$3,CJ8,"Unknown Option Type")))*(NORMDIST((IF('Adjustment Surface'!$C$2='Data Validation'!$A$2,CJ8,IF('Adjustment Surface'!$C$2='Data Validation'!$A$3,CI8,"Unknown Option Type"))-IF('Adjustment Surface'!$C$2='Data Validation'!$A$2,CI8,IF('Adjustment Surface'!$C$2='Data Validation'!$A$3,CJ8,"Unknown Option Type")))/((CK8+0.01%)*SQRT(CG8)),0,1,TRUE)))+(((CK8+0.01%)*SQRT(CG8))*(NORMDIST((IF('Adjustment Surface'!$C$2='Data Validation'!$A$2,CJ8,IF('Adjustment Surface'!$C$2='Data Validation'!$A$3,CI8,"Unknown Option Type"))-IF('Adjustment Surface'!$C$2='Data Validation'!$A$2,CI8,IF('Adjustment Surface'!$C$2='Data Validation'!$A$3,CJ8,"Unknown Option Type")))/((CK8+0.01%)*SQRT(CG8)),0,1,FALSE))))*CL8*(CF8/360))-(CN8/CH8))*CH8)*CL8))</f>
        <v>2.8507492090828347E-2</v>
      </c>
      <c r="CR8" s="15">
        <f>IF(CC8="","",SUM(CQ$4:CQ8))</f>
        <v>3.9622057724634951E-2</v>
      </c>
    </row>
    <row r="9" spans="2:96" x14ac:dyDescent="0.25">
      <c r="B9" s="27" t="s">
        <v>43</v>
      </c>
      <c r="C9" s="11"/>
      <c r="D9" s="11"/>
      <c r="E9" s="11"/>
      <c r="F9" s="11"/>
      <c r="G9" s="77"/>
      <c r="I9" s="3">
        <v>6</v>
      </c>
      <c r="J9" s="4">
        <f>IF(K8='Adjustment Surface'!C$8,"",K8)</f>
        <v>46214</v>
      </c>
      <c r="K9" s="4">
        <f>IF(J9="","",IF(J9&lt;'Adjustment Surface'!C$7,EDATE(J$5,COUNT(J$5:J9)),IF(J9='Adjustment Surface'!C$7,'Adjustment Surface'!C$8,'Adjustment Surface'!C$7)))</f>
        <v>46245</v>
      </c>
      <c r="L9" s="3">
        <f t="shared" si="1"/>
        <v>31</v>
      </c>
      <c r="M9" s="5">
        <f>IF(I9="","",(K9-'Rate &amp; Vol Update'!$C$2)/360)</f>
        <v>0.50277777777777777</v>
      </c>
      <c r="N9" s="15">
        <f>IF(I9="","",IF('Adjustment Surface'!C$3='Data Validation'!$C$2,'Adjustment Surface'!C$4,IF(INDEX(Schedules!$E$3:$E$123,MATCH('Bachelier Model'!J9,Schedules!$B$3:$B$123,0))="",N8,INDEX(Schedules!$E$3:$E$123,MATCH('Bachelier Model'!J9,Schedules!$B$3:$B$123,0)))))</f>
        <v>25000000</v>
      </c>
      <c r="O9" s="16">
        <f>IF(I9="","",IF('Adjustment Surface'!C$9='Data Validation'!$D$2,'Adjustment Surface'!C$10,IF(INDEX(Schedules!$H$3:$H$123,MATCH('Bachelier Model'!J9,Schedules!$B$3:$B$123,0))="",O8,INDEX(Schedules!$H$3:$H$123,MATCH('Bachelier Model'!J9,Schedules!$B$3:$B$123,0)))))</f>
        <v>0.02</v>
      </c>
      <c r="P9" s="16" cm="1">
        <f t="array" ref="P9">IF(I9="","",FORECAST(J9,INDEX('Rate &amp; Vol Update'!$C$6:$C$127,MATCH(INDEX('Rate &amp; Vol Update'!$B$6:$B$127,MATCH(J9,'Rate &amp; Vol Update'!$B$6:$B$127,1)),'Rate &amp; Vol Update'!$B$6:$B$127,0)+IF('Adjustment Surface'!C$11='Data Validation'!$E$3,-1,0)):INDEX('Rate &amp; Vol Update'!$C$6:$C$127,MATCH(INDEX('Rate &amp; Vol Update'!$B$6:$B$127,MATCH(J9,'Rate &amp; Vol Update'!$B$6:$B$127,1)+1),'Rate &amp; Vol Update'!$B$6:$B$127,0)+IF('Adjustment Surface'!C$11='Data Validation'!$E$3,-1,0)),INDEX('Rate &amp; Vol Update'!$B$6:$B$127,MATCH(J9,'Rate &amp; Vol Update'!$B$6:$B$127,1)):INDEX('Rate &amp; Vol Update'!$B$6:$B$127,MATCH(J9,'Rate &amp; Vol Update'!$B$6:$B$127,1)+1))/100)</f>
        <v>3.4448644433826558E-2</v>
      </c>
      <c r="Q9" s="16" cm="1">
        <f t="array" ref="Q9">IF(I9="","",IF(J9&lt;'Rate &amp; Vol Update'!$C$2,0.001%,(1/((INDEX('Rate &amp; Vol Update'!$E$6:$Z$6,1,MATCH(O9,'Rate &amp; Vol Update'!$E$6:$Z$6,1)+1)-INDEX('Rate &amp; Vol Update'!$E$6:$Z$6,1,MATCH(O9,'Rate &amp; Vol Update'!$E$6:$Z$6,1)))*(INDEX('Rate &amp; Vol Update'!$B$8:$B$127,MATCH(J9,'Rate &amp; Vol Update'!$B$8:$B$127,1)+1)-INDEX('Rate &amp; Vol Update'!$B$8:$B$127,MATCH(J9,'Rate &amp; Vol Update'!$B$8:$B$127,1))))*(INDEX('Rate &amp; Vol Update'!$E$8:$Z$127,MATCH(INDEX('Rate &amp; Vol Update'!$B$8:$B$127,MATCH(J9,'Rate &amp; Vol Update'!$B$8:$B$127,1)),'Rate &amp; Vol Update'!$B$8:$B$127,0),MATCH(INDEX('Rate &amp; Vol Update'!$E$6:$Z$6,1,MATCH(O9,'Rate &amp; Vol Update'!$E$6:$Z$6,1)),'Rate &amp; Vol Update'!$E$6:$Z$6,0))*(INDEX('Rate &amp; Vol Update'!$E$6:$Z$6,1,MATCH(O9,'Rate &amp; Vol Update'!$E$6:$Z$6,1)+1)-O9)*(INDEX('Rate &amp; Vol Update'!$B$8:$B$127,MATCH(J9,'Rate &amp; Vol Update'!$B$8:$B$127,1)+1)-J9)+INDEX('Rate &amp; Vol Update'!$E$8:$Z$127,MATCH(INDEX('Rate &amp; Vol Update'!$B$8:$B$127,MATCH(J9,'Rate &amp; Vol Update'!$B$8:$B$127,1)),'Rate &amp; Vol Update'!$B$8:$B$127,0),MATCH(INDEX('Rate &amp; Vol Update'!$E$6:$Z$6,1,MATCH(O9,'Rate &amp; Vol Update'!$E$6:$Z$6,1)+1),'Rate &amp; Vol Update'!$E$6:$Z$6,0))*(O9-INDEX('Rate &amp; Vol Update'!$E$6:$Z$6,1,MATCH(O9,'Rate &amp; Vol Update'!$E$6:$Z$6,1)))*(INDEX('Rate &amp; Vol Update'!$B$8:$B$127,MATCH(J9,'Rate &amp; Vol Update'!$B$8:$B$127,1)+1)-J9)+INDEX('Rate &amp; Vol Update'!$E$8:$Z$127,MATCH(INDEX('Rate &amp; Vol Update'!$B$8:$B$127,MATCH(J9,'Rate &amp; Vol Update'!$B$8:$B$127,1)+1),'Rate &amp; Vol Update'!$B$8:$B$127,0),MATCH(INDEX('Rate &amp; Vol Update'!$E$6:$Z$6,1,MATCH(O9,'Rate &amp; Vol Update'!$E$6:$Z$6,1)),'Rate &amp; Vol Update'!$E$6:$Z$6,0))*(INDEX('Rate &amp; Vol Update'!$E$6:$Z$6,1,MATCH(O9,'Rate &amp; Vol Update'!$E$6:$Z$6,1)+1)-O9)*(J9-INDEX('Rate &amp; Vol Update'!$B$8:$B$127,MATCH(J9,'Rate &amp; Vol Update'!$B$8:$B$127,1)))+INDEX('Rate &amp; Vol Update'!$E$8:$Z$127,MATCH(INDEX('Rate &amp; Vol Update'!$B$8:$B$127,MATCH(J9,'Rate &amp; Vol Update'!$B$8:$B$127,1)+1),'Rate &amp; Vol Update'!$B$8:$B$127,0),MATCH(INDEX('Rate &amp; Vol Update'!$E$6:$Z$6,1,MATCH(O9,'Rate &amp; Vol Update'!$E$6:$Z$6,1)+1),'Rate &amp; Vol Update'!$E$6:$Z$6,0))*(O9-INDEX('Rate &amp; Vol Update'!$E$6:$Z$6,1,MATCH(O9,'Rate &amp; Vol Update'!$E$6:$Z$6,1)))*(J9-INDEX('Rate &amp; Vol Update'!$B$8:$B$127,MATCH(J9,'Rate &amp; Vol Update'!$B$8:$B$127,1)))))*0.01%))</f>
        <v>9.3460559807853963E-3</v>
      </c>
      <c r="R9" s="5">
        <f>IF(I9="","",1/((1+P9)^((K9-'Rate &amp; Vol Update'!$C$2)/360)))</f>
        <v>0.98311579676891403</v>
      </c>
      <c r="T9" s="15">
        <f>IF(I9="","",IF(J9&lt;'Rate &amp; Vol Update'!$C$2,MAX(0,P9-O9)*(L9/360)*N9,(((IF('Adjustment Surface'!C$2='Data Validation'!$A$2,P9,IF('Adjustment Surface'!C$2='Data Validation'!$A$3,O9,"Unknown Option Type"))-IF('Adjustment Surface'!C$2='Data Validation'!$A$2,O9,IF('Adjustment Surface'!C$2='Data Validation'!$A$3,P9,"Unknown Option Type")))*(NORMDIST((IF('Adjustment Surface'!C$2='Data Validation'!$A$2,P9,IF('Adjustment Surface'!C$2='Data Validation'!$A$3,O9,"Unknown Option Type"))-IF('Adjustment Surface'!C$2='Data Validation'!$A$2,O9,IF('Adjustment Surface'!C$2='Data Validation'!$A$3,P9,"Unknown Option Type")))/(Q9*SQRT(M9)),0,1,TRUE)))+((Q9*SQRT(M9))*(NORMDIST((IF('Adjustment Surface'!C$2='Data Validation'!$A$2,P9,IF('Adjustment Surface'!C$2='Data Validation'!$A$3,O9,"Unknown Option Type"))-IF('Adjustment Surface'!C$2='Data Validation'!$A$2,O9,IF('Adjustment Surface'!C$2='Data Validation'!$A$3,P9,"Unknown Option Type")))/(Q9*SQRT(M9)),0,1,FALSE))))*R9*(L9/360)*N9))</f>
        <v>30652.030528056461</v>
      </c>
      <c r="U9" s="15">
        <f>IF(I9="","",SUM(T$4:T9))</f>
        <v>196972.38457984477</v>
      </c>
      <c r="W9" s="15">
        <f>IF(I9="","",IF(J9&lt;'Rate &amp; Vol Update'!$C$2,0,((((((IF('Adjustment Surface'!C$2='Data Validation'!$A$2,P9,IF('Adjustment Surface'!C$2='Data Validation'!$A$3,O9,"Unknown Option Type"))-IF('Adjustment Surface'!C$2='Data Validation'!$A$2,O9,IF('Adjustment Surface'!C$2='Data Validation'!$A$3,P9,"Unknown Option Type")))*(NORMDIST((IF('Adjustment Surface'!C$2='Data Validation'!$A$2,P9,IF('Adjustment Surface'!C$2='Data Validation'!$A$3,O9,"Unknown Option Type"))-IF('Adjustment Surface'!C$2='Data Validation'!$A$2,O9,IF('Adjustment Surface'!C$2='Data Validation'!$A$3,P9,"Unknown Option Type")))/((Q9+0.01%)*SQRT(M9)),0,1,TRUE)))+(((Q9+0.01%)*SQRT(M9))*(NORMDIST((IF('Adjustment Surface'!C$2='Data Validation'!$A$2,P9,IF('Adjustment Surface'!C$2='Data Validation'!$A$3,O9,"Unknown Option Type"))-IF('Adjustment Surface'!C$2='Data Validation'!$A$2,O9,IF('Adjustment Surface'!C$2='Data Validation'!$A$3,P9,"Unknown Option Type")))/((Q9+0.01%)*SQRT(M9)),0,1,FALSE))))*R9*(L9/360))-(T9/N9))*N9)*R9))</f>
        <v>5.6046883008345629</v>
      </c>
      <c r="X9" s="15">
        <f>IF(I9="","",SUM(W$4:W9))</f>
        <v>8.5110167859831343</v>
      </c>
      <c r="Y9" s="15"/>
      <c r="Z9" s="20"/>
      <c r="AA9" s="3">
        <v>6</v>
      </c>
      <c r="AB9" s="4">
        <f>IF(AC8=MAX('Adjustment Surface'!$C$14:$F$14),"",AC8)</f>
        <v>46214</v>
      </c>
      <c r="AC9" s="4">
        <f>IF(AB9="","",IF(AB9&lt;EDATE('Adjustment Surface'!$C$6,DATEDIF('Adjustment Surface'!$C$6,MAX('Adjustment Surface'!$C$14:$F$14),"M")),EDATE(AB$5,COUNT(AB$5:AB9)),IF(AB9=EDATE('Adjustment Surface'!$C$6,DATEDIF('Adjustment Surface'!$C$6,MAX('Adjustment Surface'!$C$14:$F$14),"M")),MAX('Adjustment Surface'!$C$14:$F$14),EDATE('Adjustment Surface'!$C$6,DATEDIF('Adjustment Surface'!$C$6,MAX('Adjustment Surface'!$C$14:$F$14),"M")))))</f>
        <v>46245</v>
      </c>
      <c r="AD9" s="3">
        <f t="shared" si="2"/>
        <v>31</v>
      </c>
      <c r="AE9" s="5">
        <f>IF(AA9="","",(AC9-'Rate &amp; Vol Update'!$C$2)/360)</f>
        <v>0.50277777777777777</v>
      </c>
      <c r="AF9" s="15">
        <f>IF(AA9="","",IF('Adjustment Surface'!$C$3='Data Validation'!$C$2,'Adjustment Surface'!$C$4,_xlfn.IFNA(IF(INDEX(Schedules!$E$3:$E$123,MATCH('Bachelier Model'!AB9,Schedules!$B$3:$B$123,0))="",AF8,INDEX(Schedules!$E$3:$E$123,MATCH('Bachelier Model'!AB9,Schedules!$B$3:$B$123,0))),AF8)))</f>
        <v>25000000</v>
      </c>
      <c r="AG9" s="16">
        <f>IF(AA9="","",'Adjustment Surface'!B$15)</f>
        <v>0.03</v>
      </c>
      <c r="AH9" s="16" cm="1">
        <f t="array" ref="AH9">IF(AA9="","",FORECAST(AB9,INDEX('Rate &amp; Vol Update'!$C$6:$C$127,MATCH(INDEX('Rate &amp; Vol Update'!$B$6:$B$127,MATCH(AB9,'Rate &amp; Vol Update'!$B$6:$B$127,1)),'Rate &amp; Vol Update'!$B$6:$B$127,0)+IF('Adjustment Surface'!$C$11='Data Validation'!$E$3,-1,0)):INDEX('Rate &amp; Vol Update'!$C$6:$C$127,MATCH(INDEX('Rate &amp; Vol Update'!$B$6:$B$127,MATCH(AB9,'Rate &amp; Vol Update'!$B$6:$B$127,1)+1),'Rate &amp; Vol Update'!$B$6:$B$127,0)+IF('Adjustment Surface'!$C$11='Data Validation'!$E$3,-1,0)),INDEX('Rate &amp; Vol Update'!$B$6:$B$127,MATCH(AB9,'Rate &amp; Vol Update'!$B$6:$B$127,1)):INDEX('Rate &amp; Vol Update'!$B$6:$B$127,MATCH(AB9,'Rate &amp; Vol Update'!$B$6:$B$127,1)+1))/100)</f>
        <v>3.4448644433826558E-2</v>
      </c>
      <c r="AI9" s="16" cm="1">
        <f t="array" ref="AI9">IF(AA9="","",IF(AB9&lt;'Rate &amp; Vol Update'!$C$2,0.001%,(1/((INDEX('Rate &amp; Vol Update'!$E$6:$Z$6,1,MATCH(AG9,'Rate &amp; Vol Update'!$E$6:$Z$6,1)+1)-INDEX('Rate &amp; Vol Update'!$E$6:$Z$6,1,MATCH(AG9,'Rate &amp; Vol Update'!$E$6:$Z$6,1)))*(INDEX('Rate &amp; Vol Update'!$B$8:$B$127,MATCH(AB9,'Rate &amp; Vol Update'!$B$8:$B$127,1)+1)-INDEX('Rate &amp; Vol Update'!$B$8:$B$127,MATCH(AB9,'Rate &amp; Vol Update'!$B$8:$B$127,1))))*(INDEX('Rate &amp; Vol Update'!$E$8:$Z$127,MATCH(INDEX('Rate &amp; Vol Update'!$B$8:$B$127,MATCH(AB9,'Rate &amp; Vol Update'!$B$8:$B$127,1)),'Rate &amp; Vol Update'!$B$8:$B$127,0),MATCH(INDEX('Rate &amp; Vol Update'!$E$6:$Z$6,1,MATCH(AG9,'Rate &amp; Vol Update'!$E$6:$Z$6,1)),'Rate &amp; Vol Update'!$E$6:$Z$6,0))*(INDEX('Rate &amp; Vol Update'!$E$6:$Z$6,1,MATCH(AG9,'Rate &amp; Vol Update'!$E$6:$Z$6,1)+1)-AG9)*(INDEX('Rate &amp; Vol Update'!$B$8:$B$127,MATCH(AB9,'Rate &amp; Vol Update'!$B$8:$B$127,1)+1)-AB9)+INDEX('Rate &amp; Vol Update'!$E$8:$Z$127,MATCH(INDEX('Rate &amp; Vol Update'!$B$8:$B$127,MATCH(AB9,'Rate &amp; Vol Update'!$B$8:$B$127,1)),'Rate &amp; Vol Update'!$B$8:$B$127,0),MATCH(INDEX('Rate &amp; Vol Update'!$E$6:$Z$6,1,MATCH(AG9,'Rate &amp; Vol Update'!$E$6:$Z$6,1)+1),'Rate &amp; Vol Update'!$E$6:$Z$6,0))*(AG9-INDEX('Rate &amp; Vol Update'!$E$6:$Z$6,1,MATCH(AG9,'Rate &amp; Vol Update'!$E$6:$Z$6,1)))*(INDEX('Rate &amp; Vol Update'!$B$8:$B$127,MATCH(AB9,'Rate &amp; Vol Update'!$B$8:$B$127,1)+1)-AB9)+INDEX('Rate &amp; Vol Update'!$E$8:$Z$127,MATCH(INDEX('Rate &amp; Vol Update'!$B$8:$B$127,MATCH(AB9,'Rate &amp; Vol Update'!$B$8:$B$127,1)+1),'Rate &amp; Vol Update'!$B$8:$B$127,0),MATCH(INDEX('Rate &amp; Vol Update'!$E$6:$Z$6,1,MATCH(AG9,'Rate &amp; Vol Update'!$E$6:$Z$6,1)),'Rate &amp; Vol Update'!$E$6:$Z$6,0))*(INDEX('Rate &amp; Vol Update'!$E$6:$Z$6,1,MATCH(AG9,'Rate &amp; Vol Update'!$E$6:$Z$6,1)+1)-AG9)*(AB9-INDEX('Rate &amp; Vol Update'!$B$8:$B$127,MATCH(AB9,'Rate &amp; Vol Update'!$B$8:$B$127,1)))+INDEX('Rate &amp; Vol Update'!$E$8:$Z$127,MATCH(INDEX('Rate &amp; Vol Update'!$B$8:$B$127,MATCH(AB9,'Rate &amp; Vol Update'!$B$8:$B$127,1)+1),'Rate &amp; Vol Update'!$B$8:$B$127,0),MATCH(INDEX('Rate &amp; Vol Update'!$E$6:$Z$6,1,MATCH(AG9,'Rate &amp; Vol Update'!$E$6:$Z$6,1)+1),'Rate &amp; Vol Update'!$E$6:$Z$6,0))*(AG9-INDEX('Rate &amp; Vol Update'!$E$6:$Z$6,1,MATCH(AG9,'Rate &amp; Vol Update'!$E$6:$Z$6,1)))*(AB9-INDEX('Rate &amp; Vol Update'!$B$8:$B$127,MATCH(AB9,'Rate &amp; Vol Update'!$B$8:$B$127,1)))))*0.01%))</f>
        <v>7.1751454902456106E-3</v>
      </c>
      <c r="AJ9" s="5">
        <f>IF(AA9="","",1/((1+AH9)^((AC9-'Rate &amp; Vol Update'!$C$2)/360)))</f>
        <v>0.98311579676891403</v>
      </c>
      <c r="AL9" s="15">
        <f>IF(AA9="","",IF(AB9&lt;'Rate &amp; Vol Update'!$C$2,MAX(0,AH9-AG9)*(AD9/360)*AF9,(((IF('Adjustment Surface'!$C$2='Data Validation'!$A$2,AH9,IF('Adjustment Surface'!$C$2='Data Validation'!$A$3,AG9,"Unknown Option Type"))-IF('Adjustment Surface'!$C$2='Data Validation'!$A$2,AG9,IF('Adjustment Surface'!$C$2='Data Validation'!$A$3,AH9,"Unknown Option Type")))*(NORMDIST((IF('Adjustment Surface'!$C$2='Data Validation'!$A$2,AH9,IF('Adjustment Surface'!$C$2='Data Validation'!$A$3,AG9,"Unknown Option Type"))-IF('Adjustment Surface'!$C$2='Data Validation'!$A$2,AG9,IF('Adjustment Surface'!$C$2='Data Validation'!$A$3,AH9,"Unknown Option Type")))/(AI9*SQRT(AE9)),0,1,TRUE)))+((AI9*SQRT(AE9))*(NORMDIST((IF('Adjustment Surface'!$C$2='Data Validation'!$A$2,AH9,IF('Adjustment Surface'!$C$2='Data Validation'!$A$3,AG9,"Unknown Option Type"))-IF('Adjustment Surface'!$C$2='Data Validation'!$A$2,AG9,IF('Adjustment Surface'!$C$2='Data Validation'!$A$3,AH9,"Unknown Option Type")))/(AI9*SQRT(AE9)),0,1,FALSE))))*AJ9*(AD9/360)*AF9))</f>
        <v>10548.343112259663</v>
      </c>
      <c r="AM9" s="15">
        <f>IF(AA9="","",SUM(AL$4:AL9))</f>
        <v>74662.799524849033</v>
      </c>
      <c r="AO9" s="15">
        <f>IF(AA9="","",IF(AB9&lt;'Rate &amp; Vol Update'!$C$2,0,((((((IF('Adjustment Surface'!$C$2='Data Validation'!$A$2,AH9,IF('Adjustment Surface'!$C$2='Data Validation'!$A$3,AG9,"Unknown Option Type"))-IF('Adjustment Surface'!$C$2='Data Validation'!$A$2,AG9,IF('Adjustment Surface'!$C$2='Data Validation'!$A$3,AH9,"Unknown Option Type")))*(NORMDIST((IF('Adjustment Surface'!$C$2='Data Validation'!$A$2,AH9,IF('Adjustment Surface'!$C$2='Data Validation'!$A$3,AG9,"Unknown Option Type"))-IF('Adjustment Surface'!$C$2='Data Validation'!$A$2,AG9,IF('Adjustment Surface'!$C$2='Data Validation'!$A$3,AH9,"Unknown Option Type")))/((AI9+0.01%)*SQRT(AE9)),0,1,TRUE)))+(((AI9+0.01%)*SQRT(AE9))*(NORMDIST((IF('Adjustment Surface'!$C$2='Data Validation'!$A$2,AH9,IF('Adjustment Surface'!$C$2='Data Validation'!$A$3,AG9,"Unknown Option Type"))-IF('Adjustment Surface'!$C$2='Data Validation'!$A$2,AG9,IF('Adjustment Surface'!$C$2='Data Validation'!$A$3,AH9,"Unknown Option Type")))/((AI9+0.01%)*SQRT(AE9)),0,1,FALSE))))*AJ9*(AD9/360))-(AL9/AF9))*AF9)*AJ9))</f>
        <v>40.370691846496975</v>
      </c>
      <c r="AP9" s="15">
        <f>IF(AA9="","",SUM(AO$4:AO9))</f>
        <v>98.098305473454047</v>
      </c>
      <c r="AQ9" s="15"/>
      <c r="AR9" s="20"/>
      <c r="AS9" s="3">
        <v>6</v>
      </c>
      <c r="AT9" s="4">
        <f>IF(AU8=MAX('Adjustment Surface'!$C$14:$F$14),"",AU8)</f>
        <v>46214</v>
      </c>
      <c r="AU9" s="4">
        <f>IF(AT9="","",IF(AT9&lt;EDATE('Adjustment Surface'!$C$6,DATEDIF('Adjustment Surface'!$C$6,MAX('Adjustment Surface'!$C$14:$F$14),"M")),EDATE(AT$5,COUNT(AT$5:AT9)),IF(AT9=EDATE('Adjustment Surface'!$C$6,DATEDIF('Adjustment Surface'!$C$6,MAX('Adjustment Surface'!$C$14:$F$14),"M")),MAX('Adjustment Surface'!$C$14:$F$14),EDATE('Adjustment Surface'!$C$6,DATEDIF('Adjustment Surface'!$C$6,MAX('Adjustment Surface'!$C$14:$F$14),"M")))))</f>
        <v>46245</v>
      </c>
      <c r="AV9" s="3">
        <f t="shared" si="3"/>
        <v>31</v>
      </c>
      <c r="AW9" s="5">
        <f>IF(AS9="","",(AU9-'Rate &amp; Vol Update'!$C$2)/360)</f>
        <v>0.50277777777777777</v>
      </c>
      <c r="AX9" s="15">
        <f>IF(AS9="","",IF('Adjustment Surface'!$C$3='Data Validation'!$C$2,'Adjustment Surface'!$C$4,_xlfn.IFNA(IF(INDEX(Schedules!$E$3:$E$123,MATCH('Bachelier Model'!AT9,Schedules!$B$3:$B$123,0))="",AX8,INDEX(Schedules!$E$3:$E$123,MATCH('Bachelier Model'!AT9,Schedules!$B$3:$B$123,0))),AX8)))</f>
        <v>25000000</v>
      </c>
      <c r="AY9" s="16">
        <f>IF(AS9="","",'Adjustment Surface'!B$16)</f>
        <v>0.04</v>
      </c>
      <c r="AZ9" s="16" cm="1">
        <f t="array" ref="AZ9">IF(AS9="","",FORECAST(AT9,INDEX('Rate &amp; Vol Update'!$C$6:$C$127,MATCH(INDEX('Rate &amp; Vol Update'!$B$6:$B$127,MATCH(AT9,'Rate &amp; Vol Update'!$B$6:$B$127,1)),'Rate &amp; Vol Update'!$B$6:$B$127,0)+IF('Adjustment Surface'!$C$11='Data Validation'!$E$3,-1,0)):INDEX('Rate &amp; Vol Update'!$C$6:$C$127,MATCH(INDEX('Rate &amp; Vol Update'!$B$6:$B$127,MATCH(AT9,'Rate &amp; Vol Update'!$B$6:$B$127,1)+1),'Rate &amp; Vol Update'!$B$6:$B$127,0)+IF('Adjustment Surface'!$C$11='Data Validation'!$E$3,-1,0)),INDEX('Rate &amp; Vol Update'!$B$6:$B$127,MATCH(AT9,'Rate &amp; Vol Update'!$B$6:$B$127,1)):INDEX('Rate &amp; Vol Update'!$B$6:$B$127,MATCH(AT9,'Rate &amp; Vol Update'!$B$6:$B$127,1)+1))/100)</f>
        <v>3.4448644433826558E-2</v>
      </c>
      <c r="BA9" s="16" cm="1">
        <f t="array" ref="BA9">IF(AS9="","",IF(AT9&lt;'Rate &amp; Vol Update'!$C$2,0.001%,(1/((INDEX('Rate &amp; Vol Update'!$E$6:$Z$6,1,MATCH(AY9,'Rate &amp; Vol Update'!$E$6:$Z$6,1)+1)-INDEX('Rate &amp; Vol Update'!$E$6:$Z$6,1,MATCH(AY9,'Rate &amp; Vol Update'!$E$6:$Z$6,1)))*(INDEX('Rate &amp; Vol Update'!$B$8:$B$127,MATCH(AT9,'Rate &amp; Vol Update'!$B$8:$B$127,1)+1)-INDEX('Rate &amp; Vol Update'!$B$8:$B$127,MATCH(AT9,'Rate &amp; Vol Update'!$B$8:$B$127,1))))*(INDEX('Rate &amp; Vol Update'!$E$8:$Z$127,MATCH(INDEX('Rate &amp; Vol Update'!$B$8:$B$127,MATCH(AT9,'Rate &amp; Vol Update'!$B$8:$B$127,1)),'Rate &amp; Vol Update'!$B$8:$B$127,0),MATCH(INDEX('Rate &amp; Vol Update'!$E$6:$Z$6,1,MATCH(AY9,'Rate &amp; Vol Update'!$E$6:$Z$6,1)),'Rate &amp; Vol Update'!$E$6:$Z$6,0))*(INDEX('Rate &amp; Vol Update'!$E$6:$Z$6,1,MATCH(AY9,'Rate &amp; Vol Update'!$E$6:$Z$6,1)+1)-AY9)*(INDEX('Rate &amp; Vol Update'!$B$8:$B$127,MATCH(AT9,'Rate &amp; Vol Update'!$B$8:$B$127,1)+1)-AT9)+INDEX('Rate &amp; Vol Update'!$E$8:$Z$127,MATCH(INDEX('Rate &amp; Vol Update'!$B$8:$B$127,MATCH(AT9,'Rate &amp; Vol Update'!$B$8:$B$127,1)),'Rate &amp; Vol Update'!$B$8:$B$127,0),MATCH(INDEX('Rate &amp; Vol Update'!$E$6:$Z$6,1,MATCH(AY9,'Rate &amp; Vol Update'!$E$6:$Z$6,1)+1),'Rate &amp; Vol Update'!$E$6:$Z$6,0))*(AY9-INDEX('Rate &amp; Vol Update'!$E$6:$Z$6,1,MATCH(AY9,'Rate &amp; Vol Update'!$E$6:$Z$6,1)))*(INDEX('Rate &amp; Vol Update'!$B$8:$B$127,MATCH(AT9,'Rate &amp; Vol Update'!$B$8:$B$127,1)+1)-AT9)+INDEX('Rate &amp; Vol Update'!$E$8:$Z$127,MATCH(INDEX('Rate &amp; Vol Update'!$B$8:$B$127,MATCH(AT9,'Rate &amp; Vol Update'!$B$8:$B$127,1)+1),'Rate &amp; Vol Update'!$B$8:$B$127,0),MATCH(INDEX('Rate &amp; Vol Update'!$E$6:$Z$6,1,MATCH(AY9,'Rate &amp; Vol Update'!$E$6:$Z$6,1)),'Rate &amp; Vol Update'!$E$6:$Z$6,0))*(INDEX('Rate &amp; Vol Update'!$E$6:$Z$6,1,MATCH(AY9,'Rate &amp; Vol Update'!$E$6:$Z$6,1)+1)-AY9)*(AT9-INDEX('Rate &amp; Vol Update'!$B$8:$B$127,MATCH(AT9,'Rate &amp; Vol Update'!$B$8:$B$127,1)))+INDEX('Rate &amp; Vol Update'!$E$8:$Z$127,MATCH(INDEX('Rate &amp; Vol Update'!$B$8:$B$127,MATCH(AT9,'Rate &amp; Vol Update'!$B$8:$B$127,1)+1),'Rate &amp; Vol Update'!$B$8:$B$127,0),MATCH(INDEX('Rate &amp; Vol Update'!$E$6:$Z$6,1,MATCH(AY9,'Rate &amp; Vol Update'!$E$6:$Z$6,1)+1),'Rate &amp; Vol Update'!$E$6:$Z$6,0))*(AY9-INDEX('Rate &amp; Vol Update'!$E$6:$Z$6,1,MATCH(AY9,'Rate &amp; Vol Update'!$E$6:$Z$6,1)))*(AT9-INDEX('Rate &amp; Vol Update'!$B$8:$B$127,MATCH(AT9,'Rate &amp; Vol Update'!$B$8:$B$127,1)))))*0.01%))</f>
        <v>6.1395490411212325E-3</v>
      </c>
      <c r="BB9" s="5">
        <f>IF(AS9="","",1/((1+AZ9)^((AU9-'Rate &amp; Vol Update'!$C$2)/360)))</f>
        <v>0.98311579676891403</v>
      </c>
      <c r="BD9" s="15">
        <f>IF(AS9="","",IF(AT9&lt;'Rate &amp; Vol Update'!$C$2,MAX(0,AZ9-AY9)*(AV9/360)*AX9,(((IF('Adjustment Surface'!$C$2='Data Validation'!$A$2,AZ9,IF('Adjustment Surface'!$C$2='Data Validation'!$A$3,AY9,"Unknown Option Type"))-IF('Adjustment Surface'!$C$2='Data Validation'!$A$2,AY9,IF('Adjustment Surface'!$C$2='Data Validation'!$A$3,AZ9,"Unknown Option Type")))*(NORMDIST((IF('Adjustment Surface'!$C$2='Data Validation'!$A$2,AZ9,IF('Adjustment Surface'!$C$2='Data Validation'!$A$3,AY9,"Unknown Option Type"))-IF('Adjustment Surface'!$C$2='Data Validation'!$A$2,AY9,IF('Adjustment Surface'!$C$2='Data Validation'!$A$3,AZ9,"Unknown Option Type")))/(BA9*SQRT(AW9)),0,1,TRUE)))+((BA9*SQRT(AW9))*(NORMDIST((IF('Adjustment Surface'!$C$2='Data Validation'!$A$2,AZ9,IF('Adjustment Surface'!$C$2='Data Validation'!$A$3,AY9,"Unknown Option Type"))-IF('Adjustment Surface'!$C$2='Data Validation'!$A$2,AY9,IF('Adjustment Surface'!$C$2='Data Validation'!$A$3,AZ9,"Unknown Option Type")))/(BA9*SQRT(AW9)),0,1,FALSE))))*BB9*(AV9/360)*AX9))</f>
        <v>442.09518907440054</v>
      </c>
      <c r="BE9" s="15">
        <f>IF(AS9="","",SUM(BD$4:BD9))</f>
        <v>1926.5203354972778</v>
      </c>
      <c r="BG9" s="15">
        <f>IF(AS9="","",IF(AT9&lt;'Rate &amp; Vol Update'!$C$2,0,((((((IF('Adjustment Surface'!$C$2='Data Validation'!$A$2,AZ9,IF('Adjustment Surface'!$C$2='Data Validation'!$A$3,AY9,"Unknown Option Type"))-IF('Adjustment Surface'!$C$2='Data Validation'!$A$2,AY9,IF('Adjustment Surface'!$C$2='Data Validation'!$A$3,AZ9,"Unknown Option Type")))*(NORMDIST((IF('Adjustment Surface'!$C$2='Data Validation'!$A$2,AZ9,IF('Adjustment Surface'!$C$2='Data Validation'!$A$3,AY9,"Unknown Option Type"))-IF('Adjustment Surface'!$C$2='Data Validation'!$A$2,AY9,IF('Adjustment Surface'!$C$2='Data Validation'!$A$3,AZ9,"Unknown Option Type")))/((BA9+0.01%)*SQRT(AW9)),0,1,TRUE)))+(((BA9+0.01%)*SQRT(AW9))*(NORMDIST((IF('Adjustment Surface'!$C$2='Data Validation'!$A$2,AZ9,IF('Adjustment Surface'!$C$2='Data Validation'!$A$3,AY9,"Unknown Option Type"))-IF('Adjustment Surface'!$C$2='Data Validation'!$A$2,AY9,IF('Adjustment Surface'!$C$2='Data Validation'!$A$3,AZ9,"Unknown Option Type")))/((BA9+0.01%)*SQRT(AW9)),0,1,FALSE))))*BB9*(AV9/360))-(BD9/AX9))*AX9)*BB9))</f>
        <v>26.446808732031499</v>
      </c>
      <c r="BH9" s="15">
        <f>IF(AS9="","",SUM(BG$4:BG9))</f>
        <v>112.60437653368314</v>
      </c>
      <c r="BI9" s="15"/>
      <c r="BJ9" s="20"/>
      <c r="BK9" s="3">
        <v>6</v>
      </c>
      <c r="BL9" s="4">
        <f>IF(BM8=MAX('Adjustment Surface'!$C$14:$F$14),"",BM8)</f>
        <v>46214</v>
      </c>
      <c r="BM9" s="4">
        <f>IF(BL9="","",IF(BL9&lt;EDATE('Adjustment Surface'!$C$6,DATEDIF('Adjustment Surface'!$C$6,MAX('Adjustment Surface'!$C$14:$F$14),"M")),EDATE(BL$5,COUNT(BL$5:BL9)),IF(BL9=EDATE('Adjustment Surface'!$C$6,DATEDIF('Adjustment Surface'!$C$6,MAX('Adjustment Surface'!$C$14:$F$14),"M")),MAX('Adjustment Surface'!$C$14:$F$14),EDATE('Adjustment Surface'!$C$6,DATEDIF('Adjustment Surface'!$C$6,MAX('Adjustment Surface'!$C$14:$F$14),"M")))))</f>
        <v>46245</v>
      </c>
      <c r="BN9" s="3">
        <f t="shared" si="4"/>
        <v>31</v>
      </c>
      <c r="BO9" s="5">
        <f>IF(BK9="","",(BM9-'Rate &amp; Vol Update'!$C$2)/360)</f>
        <v>0.50277777777777777</v>
      </c>
      <c r="BP9" s="15">
        <f>IF(BK9="","",IF('Adjustment Surface'!$C$3='Data Validation'!$C$2,'Adjustment Surface'!$C$4,_xlfn.IFNA(IF(INDEX(Schedules!$E$3:$E$123,MATCH('Bachelier Model'!BL9,Schedules!$B$3:$B$123,0))="",BP8,INDEX(Schedules!$E$3:$E$123,MATCH('Bachelier Model'!BL9,Schedules!$B$3:$B$123,0))),BP8)))</f>
        <v>25000000</v>
      </c>
      <c r="BQ9" s="16">
        <f>IF(BK9="","",'Adjustment Surface'!B$17)</f>
        <v>0.05</v>
      </c>
      <c r="BR9" s="16" cm="1">
        <f t="array" ref="BR9">IF(BK9="","",FORECAST(BL9,INDEX('Rate &amp; Vol Update'!$C$6:$C$127,MATCH(INDEX('Rate &amp; Vol Update'!$B$6:$B$127,MATCH(BL9,'Rate &amp; Vol Update'!$B$6:$B$127,1)),'Rate &amp; Vol Update'!$B$6:$B$127,0)+IF('Adjustment Surface'!$C$11='Data Validation'!$E$3,-1,0)):INDEX('Rate &amp; Vol Update'!$C$6:$C$127,MATCH(INDEX('Rate &amp; Vol Update'!$B$6:$B$127,MATCH(BL9,'Rate &amp; Vol Update'!$B$6:$B$127,1)+1),'Rate &amp; Vol Update'!$B$6:$B$127,0)+IF('Adjustment Surface'!$C$11='Data Validation'!$E$3,-1,0)),INDEX('Rate &amp; Vol Update'!$B$6:$B$127,MATCH(BL9,'Rate &amp; Vol Update'!$B$6:$B$127,1)):INDEX('Rate &amp; Vol Update'!$B$6:$B$127,MATCH(BL9,'Rate &amp; Vol Update'!$B$6:$B$127,1)+1))/100)</f>
        <v>3.4448644433826558E-2</v>
      </c>
      <c r="BS9" s="16" cm="1">
        <f t="array" ref="BS9">IF(BK9="","",IF(BL9&lt;'Rate &amp; Vol Update'!$C$2,0.001%,(1/((INDEX('Rate &amp; Vol Update'!$E$6:$Z$6,1,MATCH(BQ9,'Rate &amp; Vol Update'!$E$6:$Z$6,1)+1)-INDEX('Rate &amp; Vol Update'!$E$6:$Z$6,1,MATCH(BQ9,'Rate &amp; Vol Update'!$E$6:$Z$6,1)))*(INDEX('Rate &amp; Vol Update'!$B$8:$B$127,MATCH(BL9,'Rate &amp; Vol Update'!$B$8:$B$127,1)+1)-INDEX('Rate &amp; Vol Update'!$B$8:$B$127,MATCH(BL9,'Rate &amp; Vol Update'!$B$8:$B$127,1))))*(INDEX('Rate &amp; Vol Update'!$E$8:$Z$127,MATCH(INDEX('Rate &amp; Vol Update'!$B$8:$B$127,MATCH(BL9,'Rate &amp; Vol Update'!$B$8:$B$127,1)),'Rate &amp; Vol Update'!$B$8:$B$127,0),MATCH(INDEX('Rate &amp; Vol Update'!$E$6:$Z$6,1,MATCH(BQ9,'Rate &amp; Vol Update'!$E$6:$Z$6,1)),'Rate &amp; Vol Update'!$E$6:$Z$6,0))*(INDEX('Rate &amp; Vol Update'!$E$6:$Z$6,1,MATCH(BQ9,'Rate &amp; Vol Update'!$E$6:$Z$6,1)+1)-BQ9)*(INDEX('Rate &amp; Vol Update'!$B$8:$B$127,MATCH(BL9,'Rate &amp; Vol Update'!$B$8:$B$127,1)+1)-BL9)+INDEX('Rate &amp; Vol Update'!$E$8:$Z$127,MATCH(INDEX('Rate &amp; Vol Update'!$B$8:$B$127,MATCH(BL9,'Rate &amp; Vol Update'!$B$8:$B$127,1)),'Rate &amp; Vol Update'!$B$8:$B$127,0),MATCH(INDEX('Rate &amp; Vol Update'!$E$6:$Z$6,1,MATCH(BQ9,'Rate &amp; Vol Update'!$E$6:$Z$6,1)+1),'Rate &amp; Vol Update'!$E$6:$Z$6,0))*(BQ9-INDEX('Rate &amp; Vol Update'!$E$6:$Z$6,1,MATCH(BQ9,'Rate &amp; Vol Update'!$E$6:$Z$6,1)))*(INDEX('Rate &amp; Vol Update'!$B$8:$B$127,MATCH(BL9,'Rate &amp; Vol Update'!$B$8:$B$127,1)+1)-BL9)+INDEX('Rate &amp; Vol Update'!$E$8:$Z$127,MATCH(INDEX('Rate &amp; Vol Update'!$B$8:$B$127,MATCH(BL9,'Rate &amp; Vol Update'!$B$8:$B$127,1)+1),'Rate &amp; Vol Update'!$B$8:$B$127,0),MATCH(INDEX('Rate &amp; Vol Update'!$E$6:$Z$6,1,MATCH(BQ9,'Rate &amp; Vol Update'!$E$6:$Z$6,1)),'Rate &amp; Vol Update'!$E$6:$Z$6,0))*(INDEX('Rate &amp; Vol Update'!$E$6:$Z$6,1,MATCH(BQ9,'Rate &amp; Vol Update'!$E$6:$Z$6,1)+1)-BQ9)*(BL9-INDEX('Rate &amp; Vol Update'!$B$8:$B$127,MATCH(BL9,'Rate &amp; Vol Update'!$B$8:$B$127,1)))+INDEX('Rate &amp; Vol Update'!$E$8:$Z$127,MATCH(INDEX('Rate &amp; Vol Update'!$B$8:$B$127,MATCH(BL9,'Rate &amp; Vol Update'!$B$8:$B$127,1)+1),'Rate &amp; Vol Update'!$B$8:$B$127,0),MATCH(INDEX('Rate &amp; Vol Update'!$E$6:$Z$6,1,MATCH(BQ9,'Rate &amp; Vol Update'!$E$6:$Z$6,1)+1),'Rate &amp; Vol Update'!$E$6:$Z$6,0))*(BQ9-INDEX('Rate &amp; Vol Update'!$E$6:$Z$6,1,MATCH(BQ9,'Rate &amp; Vol Update'!$E$6:$Z$6,1)))*(BL9-INDEX('Rate &amp; Vol Update'!$B$8:$B$127,MATCH(BL9,'Rate &amp; Vol Update'!$B$8:$B$127,1)))))*0.01%))</f>
        <v>7.6688654570606311E-3</v>
      </c>
      <c r="BT9" s="5">
        <f>IF(BK9="","",1/((1+BR9)^((BM9-'Rate &amp; Vol Update'!$C$2)/360)))</f>
        <v>0.98311579676891403</v>
      </c>
      <c r="BV9" s="15">
        <f>IF(BK9="","",IF(BL9&lt;'Rate &amp; Vol Update'!$C$2,MAX(0,BR9-BQ9)*(BN9/360)*BP9,(((IF('Adjustment Surface'!$C$2='Data Validation'!$A$2,BR9,IF('Adjustment Surface'!$C$2='Data Validation'!$A$3,BQ9,"Unknown Option Type"))-IF('Adjustment Surface'!$C$2='Data Validation'!$A$2,BQ9,IF('Adjustment Surface'!$C$2='Data Validation'!$A$3,BR9,"Unknown Option Type")))*(NORMDIST((IF('Adjustment Surface'!$C$2='Data Validation'!$A$2,BR9,IF('Adjustment Surface'!$C$2='Data Validation'!$A$3,BQ9,"Unknown Option Type"))-IF('Adjustment Surface'!$C$2='Data Validation'!$A$2,BQ9,IF('Adjustment Surface'!$C$2='Data Validation'!$A$3,BR9,"Unknown Option Type")))/(BS9*SQRT(BO9)),0,1,TRUE)))+((BS9*SQRT(BO9))*(NORMDIST((IF('Adjustment Surface'!$C$2='Data Validation'!$A$2,BR9,IF('Adjustment Surface'!$C$2='Data Validation'!$A$3,BQ9,"Unknown Option Type"))-IF('Adjustment Surface'!$C$2='Data Validation'!$A$2,BQ9,IF('Adjustment Surface'!$C$2='Data Validation'!$A$3,BR9,"Unknown Option Type")))/(BS9*SQRT(BO9)),0,1,FALSE))))*BT9*(BN9/360)*BP9))</f>
        <v>7.1525303722323308</v>
      </c>
      <c r="BW9" s="15">
        <f>IF(BK9="","",SUM(BV$4:BV9))</f>
        <v>14.043002720680546</v>
      </c>
      <c r="BY9" s="15">
        <f>IF(BK9="","",IF(BL9&lt;'Rate &amp; Vol Update'!$C$2,0,((((((IF('Adjustment Surface'!$C$2='Data Validation'!$A$2,BR9,IF('Adjustment Surface'!$C$2='Data Validation'!$A$3,BQ9,"Unknown Option Type"))-IF('Adjustment Surface'!$C$2='Data Validation'!$A$2,BQ9,IF('Adjustment Surface'!$C$2='Data Validation'!$A$3,BR9,"Unknown Option Type")))*(NORMDIST((IF('Adjustment Surface'!$C$2='Data Validation'!$A$2,BR9,IF('Adjustment Surface'!$C$2='Data Validation'!$A$3,BQ9,"Unknown Option Type"))-IF('Adjustment Surface'!$C$2='Data Validation'!$A$2,BQ9,IF('Adjustment Surface'!$C$2='Data Validation'!$A$3,BR9,"Unknown Option Type")))/((BS9+0.01%)*SQRT(BO9)),0,1,TRUE)))+(((BS9+0.01%)*SQRT(BO9))*(NORMDIST((IF('Adjustment Surface'!$C$2='Data Validation'!$A$2,BR9,IF('Adjustment Surface'!$C$2='Data Validation'!$A$3,BQ9,"Unknown Option Type"))-IF('Adjustment Surface'!$C$2='Data Validation'!$A$2,BQ9,IF('Adjustment Surface'!$C$2='Data Validation'!$A$3,BR9,"Unknown Option Type")))/((BS9+0.01%)*SQRT(BO9)),0,1,FALSE))))*BT9*(BN9/360))-(BV9/BP9))*BP9)*BT9))</f>
        <v>1.0395048971945158</v>
      </c>
      <c r="BZ9" s="15">
        <f>IF(BK9="","",SUM(BY$4:BY9))</f>
        <v>2.1527270443818485</v>
      </c>
      <c r="CA9" s="15"/>
      <c r="CB9" s="20"/>
      <c r="CC9" s="3">
        <v>6</v>
      </c>
      <c r="CD9" s="4">
        <f>IF(CE8=MAX('Adjustment Surface'!$C$14:$F$14),"",CE8)</f>
        <v>46214</v>
      </c>
      <c r="CE9" s="4">
        <f>IF(CD9="","",IF(CD9&lt;EDATE('Adjustment Surface'!$C$6,DATEDIF('Adjustment Surface'!$C$6,MAX('Adjustment Surface'!$C$14:$F$14),"M")),EDATE(CD$5,COUNT(CD$5:CD9)),IF(CD9=EDATE('Adjustment Surface'!$C$6,DATEDIF('Adjustment Surface'!$C$6,MAX('Adjustment Surface'!$C$14:$F$14),"M")),MAX('Adjustment Surface'!$C$14:$F$14),EDATE('Adjustment Surface'!$C$6,DATEDIF('Adjustment Surface'!$C$6,MAX('Adjustment Surface'!$C$14:$F$14),"M")))))</f>
        <v>46245</v>
      </c>
      <c r="CF9" s="3">
        <f t="shared" si="5"/>
        <v>31</v>
      </c>
      <c r="CG9" s="5">
        <f>IF(CC9="","",(CE9-'Rate &amp; Vol Update'!$C$2)/360)</f>
        <v>0.50277777777777777</v>
      </c>
      <c r="CH9" s="15">
        <f>IF(CC9="","",IF('Adjustment Surface'!$C$3='Data Validation'!$C$2,'Adjustment Surface'!$C$4,_xlfn.IFNA(IF(INDEX(Schedules!$E$3:$E$123,MATCH('Bachelier Model'!CD9,Schedules!$B$3:$B$123,0))="",CH8,INDEX(Schedules!$E$3:$E$123,MATCH('Bachelier Model'!CD9,Schedules!$B$3:$B$123,0))),CH8)))</f>
        <v>25000000</v>
      </c>
      <c r="CI9" s="16">
        <f>IF(CC9="","",'Adjustment Surface'!B$18)</f>
        <v>0.06</v>
      </c>
      <c r="CJ9" s="16" cm="1">
        <f t="array" ref="CJ9">IF(CC9="","",FORECAST(CD9,INDEX('Rate &amp; Vol Update'!$C$6:$C$127,MATCH(INDEX('Rate &amp; Vol Update'!$B$6:$B$127,MATCH(CD9,'Rate &amp; Vol Update'!$B$6:$B$127,1)),'Rate &amp; Vol Update'!$B$6:$B$127,0)+IF('Adjustment Surface'!$C$11='Data Validation'!$E$3,-1,0)):INDEX('Rate &amp; Vol Update'!$C$6:$C$127,MATCH(INDEX('Rate &amp; Vol Update'!$B$6:$B$127,MATCH(CD9,'Rate &amp; Vol Update'!$B$6:$B$127,1)+1),'Rate &amp; Vol Update'!$B$6:$B$127,0)+IF('Adjustment Surface'!$C$11='Data Validation'!$E$3,-1,0)),INDEX('Rate &amp; Vol Update'!$B$6:$B$127,MATCH(CD9,'Rate &amp; Vol Update'!$B$6:$B$127,1)):INDEX('Rate &amp; Vol Update'!$B$6:$B$127,MATCH(CD9,'Rate &amp; Vol Update'!$B$6:$B$127,1)+1))/100)</f>
        <v>3.4448644433826558E-2</v>
      </c>
      <c r="CK9" s="16" cm="1">
        <f t="array" ref="CK9">IF(CC9="","",IF(CD9&lt;'Rate &amp; Vol Update'!$C$2,0.001%,(1/((INDEX('Rate &amp; Vol Update'!$E$6:$Z$6,1,MATCH(CI9,'Rate &amp; Vol Update'!$E$6:$Z$6,1)+1)-INDEX('Rate &amp; Vol Update'!$E$6:$Z$6,1,MATCH(CI9,'Rate &amp; Vol Update'!$E$6:$Z$6,1)))*(INDEX('Rate &amp; Vol Update'!$B$8:$B$127,MATCH(CD9,'Rate &amp; Vol Update'!$B$8:$B$127,1)+1)-INDEX('Rate &amp; Vol Update'!$B$8:$B$127,MATCH(CD9,'Rate &amp; Vol Update'!$B$8:$B$127,1))))*(INDEX('Rate &amp; Vol Update'!$E$8:$Z$127,MATCH(INDEX('Rate &amp; Vol Update'!$B$8:$B$127,MATCH(CD9,'Rate &amp; Vol Update'!$B$8:$B$127,1)),'Rate &amp; Vol Update'!$B$8:$B$127,0),MATCH(INDEX('Rate &amp; Vol Update'!$E$6:$Z$6,1,MATCH(CI9,'Rate &amp; Vol Update'!$E$6:$Z$6,1)),'Rate &amp; Vol Update'!$E$6:$Z$6,0))*(INDEX('Rate &amp; Vol Update'!$E$6:$Z$6,1,MATCH(CI9,'Rate &amp; Vol Update'!$E$6:$Z$6,1)+1)-CI9)*(INDEX('Rate &amp; Vol Update'!$B$8:$B$127,MATCH(CD9,'Rate &amp; Vol Update'!$B$8:$B$127,1)+1)-CD9)+INDEX('Rate &amp; Vol Update'!$E$8:$Z$127,MATCH(INDEX('Rate &amp; Vol Update'!$B$8:$B$127,MATCH(CD9,'Rate &amp; Vol Update'!$B$8:$B$127,1)),'Rate &amp; Vol Update'!$B$8:$B$127,0),MATCH(INDEX('Rate &amp; Vol Update'!$E$6:$Z$6,1,MATCH(CI9,'Rate &amp; Vol Update'!$E$6:$Z$6,1)+1),'Rate &amp; Vol Update'!$E$6:$Z$6,0))*(CI9-INDEX('Rate &amp; Vol Update'!$E$6:$Z$6,1,MATCH(CI9,'Rate &amp; Vol Update'!$E$6:$Z$6,1)))*(INDEX('Rate &amp; Vol Update'!$B$8:$B$127,MATCH(CD9,'Rate &amp; Vol Update'!$B$8:$B$127,1)+1)-CD9)+INDEX('Rate &amp; Vol Update'!$E$8:$Z$127,MATCH(INDEX('Rate &amp; Vol Update'!$B$8:$B$127,MATCH(CD9,'Rate &amp; Vol Update'!$B$8:$B$127,1)+1),'Rate &amp; Vol Update'!$B$8:$B$127,0),MATCH(INDEX('Rate &amp; Vol Update'!$E$6:$Z$6,1,MATCH(CI9,'Rate &amp; Vol Update'!$E$6:$Z$6,1)),'Rate &amp; Vol Update'!$E$6:$Z$6,0))*(INDEX('Rate &amp; Vol Update'!$E$6:$Z$6,1,MATCH(CI9,'Rate &amp; Vol Update'!$E$6:$Z$6,1)+1)-CI9)*(CD9-INDEX('Rate &amp; Vol Update'!$B$8:$B$127,MATCH(CD9,'Rate &amp; Vol Update'!$B$8:$B$127,1)))+INDEX('Rate &amp; Vol Update'!$E$8:$Z$127,MATCH(INDEX('Rate &amp; Vol Update'!$B$8:$B$127,MATCH(CD9,'Rate &amp; Vol Update'!$B$8:$B$127,1)+1),'Rate &amp; Vol Update'!$B$8:$B$127,0),MATCH(INDEX('Rate &amp; Vol Update'!$E$6:$Z$6,1,MATCH(CI9,'Rate &amp; Vol Update'!$E$6:$Z$6,1)+1),'Rate &amp; Vol Update'!$E$6:$Z$6,0))*(CI9-INDEX('Rate &amp; Vol Update'!$E$6:$Z$6,1,MATCH(CI9,'Rate &amp; Vol Update'!$E$6:$Z$6,1)))*(CD9-INDEX('Rate &amp; Vol Update'!$B$8:$B$127,MATCH(CD9,'Rate &amp; Vol Update'!$B$8:$B$127,1)))))*0.01%))</f>
        <v>9.840143328519204E-3</v>
      </c>
      <c r="CL9" s="5">
        <f>IF(CC9="","",1/((1+CJ9)^((CE9-'Rate &amp; Vol Update'!$C$2)/360)))</f>
        <v>0.98311579676891403</v>
      </c>
      <c r="CN9" s="15">
        <f>IF(CC9="","",IF(CD9&lt;'Rate &amp; Vol Update'!$C$2,MAX(0,CJ9-CI9)*(CF9/360)*CH9,(((IF('Adjustment Surface'!$C$2='Data Validation'!$A$2,CJ9,IF('Adjustment Surface'!$C$2='Data Validation'!$A$3,CI9,"Unknown Option Type"))-IF('Adjustment Surface'!$C$2='Data Validation'!$A$2,CI9,IF('Adjustment Surface'!$C$2='Data Validation'!$A$3,CJ9,"Unknown Option Type")))*(NORMDIST((IF('Adjustment Surface'!$C$2='Data Validation'!$A$2,CJ9,IF('Adjustment Surface'!$C$2='Data Validation'!$A$3,CI9,"Unknown Option Type"))-IF('Adjustment Surface'!$C$2='Data Validation'!$A$2,CI9,IF('Adjustment Surface'!$C$2='Data Validation'!$A$3,CJ9,"Unknown Option Type")))/(CK9*SQRT(CG9)),0,1,TRUE)))+((CK9*SQRT(CG9))*(NORMDIST((IF('Adjustment Surface'!$C$2='Data Validation'!$A$2,CJ9,IF('Adjustment Surface'!$C$2='Data Validation'!$A$3,CI9,"Unknown Option Type"))-IF('Adjustment Surface'!$C$2='Data Validation'!$A$2,CI9,IF('Adjustment Surface'!$C$2='Data Validation'!$A$3,CJ9,"Unknown Option Type")))/(CK9*SQRT(CG9)),0,1,FALSE))))*CL9*(CF9/360)*CH9))</f>
        <v>0.44792421091969137</v>
      </c>
      <c r="CO9" s="15">
        <f>IF(CC9="","",SUM(CN$4:CN9))</f>
        <v>0.64876452316525612</v>
      </c>
      <c r="CQ9" s="15">
        <f>IF(CC9="","",IF(CD9&lt;'Rate &amp; Vol Update'!$C$2,0,((((((IF('Adjustment Surface'!$C$2='Data Validation'!$A$2,CJ9,IF('Adjustment Surface'!$C$2='Data Validation'!$A$3,CI9,"Unknown Option Type"))-IF('Adjustment Surface'!$C$2='Data Validation'!$A$2,CI9,IF('Adjustment Surface'!$C$2='Data Validation'!$A$3,CJ9,"Unknown Option Type")))*(NORMDIST((IF('Adjustment Surface'!$C$2='Data Validation'!$A$2,CJ9,IF('Adjustment Surface'!$C$2='Data Validation'!$A$3,CI9,"Unknown Option Type"))-IF('Adjustment Surface'!$C$2='Data Validation'!$A$2,CI9,IF('Adjustment Surface'!$C$2='Data Validation'!$A$3,CJ9,"Unknown Option Type")))/((CK9+0.01%)*SQRT(CG9)),0,1,TRUE)))+(((CK9+0.01%)*SQRT(CG9))*(NORMDIST((IF('Adjustment Surface'!$C$2='Data Validation'!$A$2,CJ9,IF('Adjustment Surface'!$C$2='Data Validation'!$A$3,CI9,"Unknown Option Type"))-IF('Adjustment Surface'!$C$2='Data Validation'!$A$2,CI9,IF('Adjustment Surface'!$C$2='Data Validation'!$A$3,CJ9,"Unknown Option Type")))/((CK9+0.01%)*SQRT(CG9)),0,1,FALSE))))*CL9*(CF9/360))-(CN9/CH9))*CH9)*CL9))</f>
        <v>7.7152302556692601E-2</v>
      </c>
      <c r="CR9" s="15">
        <f>IF(CC9="","",SUM(CQ$4:CQ9))</f>
        <v>0.11677436028132755</v>
      </c>
    </row>
    <row r="10" spans="2:96" x14ac:dyDescent="0.25">
      <c r="B10" s="12" t="s">
        <v>6</v>
      </c>
      <c r="C10" s="4">
        <f>'Adjustment Surface'!C14</f>
        <v>46429</v>
      </c>
      <c r="D10" s="4">
        <f>'Adjustment Surface'!D14</f>
        <v>46794</v>
      </c>
      <c r="E10" s="4">
        <f>'Adjustment Surface'!E14</f>
        <v>47160</v>
      </c>
      <c r="F10" s="4">
        <f>'Adjustment Surface'!F14</f>
        <v>47525</v>
      </c>
      <c r="G10" s="78"/>
      <c r="I10" s="3">
        <v>7</v>
      </c>
      <c r="J10" s="4">
        <f>IF(K9='Adjustment Surface'!C$8,"",K9)</f>
        <v>46245</v>
      </c>
      <c r="K10" s="4">
        <f>IF(J10="","",IF(J10&lt;'Adjustment Surface'!C$7,EDATE(J$5,COUNT(J$5:J10)),IF(J10='Adjustment Surface'!C$7,'Adjustment Surface'!C$8,'Adjustment Surface'!C$7)))</f>
        <v>46276</v>
      </c>
      <c r="L10" s="3">
        <f t="shared" si="1"/>
        <v>31</v>
      </c>
      <c r="M10" s="5">
        <f>IF(I10="","",(K10-'Rate &amp; Vol Update'!$C$2)/360)</f>
        <v>0.58888888888888891</v>
      </c>
      <c r="N10" s="15">
        <f>IF(I10="","",IF('Adjustment Surface'!C$3='Data Validation'!$C$2,'Adjustment Surface'!C$4,IF(INDEX(Schedules!$E$3:$E$123,MATCH('Bachelier Model'!J10,Schedules!$B$3:$B$123,0))="",N9,INDEX(Schedules!$E$3:$E$123,MATCH('Bachelier Model'!J10,Schedules!$B$3:$B$123,0)))))</f>
        <v>25000000</v>
      </c>
      <c r="O10" s="16">
        <f>IF(I10="","",IF('Adjustment Surface'!C$9='Data Validation'!$D$2,'Adjustment Surface'!C$10,IF(INDEX(Schedules!$H$3:$H$123,MATCH('Bachelier Model'!J10,Schedules!$B$3:$B$123,0))="",O9,INDEX(Schedules!$H$3:$H$123,MATCH('Bachelier Model'!J10,Schedules!$B$3:$B$123,0)))))</f>
        <v>0.02</v>
      </c>
      <c r="P10" s="16" cm="1">
        <f t="array" ref="P10">IF(I10="","",FORECAST(J10,INDEX('Rate &amp; Vol Update'!$C$6:$C$127,MATCH(INDEX('Rate &amp; Vol Update'!$B$6:$B$127,MATCH(J10,'Rate &amp; Vol Update'!$B$6:$B$127,1)),'Rate &amp; Vol Update'!$B$6:$B$127,0)+IF('Adjustment Surface'!C$11='Data Validation'!$E$3,-1,0)):INDEX('Rate &amp; Vol Update'!$C$6:$C$127,MATCH(INDEX('Rate &amp; Vol Update'!$B$6:$B$127,MATCH(J10,'Rate &amp; Vol Update'!$B$6:$B$127,1)+1),'Rate &amp; Vol Update'!$B$6:$B$127,0)+IF('Adjustment Surface'!C$11='Data Validation'!$E$3,-1,0)),INDEX('Rate &amp; Vol Update'!$B$6:$B$127,MATCH(J10,'Rate &amp; Vol Update'!$B$6:$B$127,1)):INDEX('Rate &amp; Vol Update'!$B$6:$B$127,MATCH(J10,'Rate &amp; Vol Update'!$B$6:$B$127,1)+1))/100)</f>
        <v>3.3994429169520973E-2</v>
      </c>
      <c r="Q10" s="16" cm="1">
        <f t="array" ref="Q10">IF(I10="","",IF(J10&lt;'Rate &amp; Vol Update'!$C$2,0.001%,(1/((INDEX('Rate &amp; Vol Update'!$E$6:$Z$6,1,MATCH(O10,'Rate &amp; Vol Update'!$E$6:$Z$6,1)+1)-INDEX('Rate &amp; Vol Update'!$E$6:$Z$6,1,MATCH(O10,'Rate &amp; Vol Update'!$E$6:$Z$6,1)))*(INDEX('Rate &amp; Vol Update'!$B$8:$B$127,MATCH(J10,'Rate &amp; Vol Update'!$B$8:$B$127,1)+1)-INDEX('Rate &amp; Vol Update'!$B$8:$B$127,MATCH(J10,'Rate &amp; Vol Update'!$B$8:$B$127,1))))*(INDEX('Rate &amp; Vol Update'!$E$8:$Z$127,MATCH(INDEX('Rate &amp; Vol Update'!$B$8:$B$127,MATCH(J10,'Rate &amp; Vol Update'!$B$8:$B$127,1)),'Rate &amp; Vol Update'!$B$8:$B$127,0),MATCH(INDEX('Rate &amp; Vol Update'!$E$6:$Z$6,1,MATCH(O10,'Rate &amp; Vol Update'!$E$6:$Z$6,1)),'Rate &amp; Vol Update'!$E$6:$Z$6,0))*(INDEX('Rate &amp; Vol Update'!$E$6:$Z$6,1,MATCH(O10,'Rate &amp; Vol Update'!$E$6:$Z$6,1)+1)-O10)*(INDEX('Rate &amp; Vol Update'!$B$8:$B$127,MATCH(J10,'Rate &amp; Vol Update'!$B$8:$B$127,1)+1)-J10)+INDEX('Rate &amp; Vol Update'!$E$8:$Z$127,MATCH(INDEX('Rate &amp; Vol Update'!$B$8:$B$127,MATCH(J10,'Rate &amp; Vol Update'!$B$8:$B$127,1)),'Rate &amp; Vol Update'!$B$8:$B$127,0),MATCH(INDEX('Rate &amp; Vol Update'!$E$6:$Z$6,1,MATCH(O10,'Rate &amp; Vol Update'!$E$6:$Z$6,1)+1),'Rate &amp; Vol Update'!$E$6:$Z$6,0))*(O10-INDEX('Rate &amp; Vol Update'!$E$6:$Z$6,1,MATCH(O10,'Rate &amp; Vol Update'!$E$6:$Z$6,1)))*(INDEX('Rate &amp; Vol Update'!$B$8:$B$127,MATCH(J10,'Rate &amp; Vol Update'!$B$8:$B$127,1)+1)-J10)+INDEX('Rate &amp; Vol Update'!$E$8:$Z$127,MATCH(INDEX('Rate &amp; Vol Update'!$B$8:$B$127,MATCH(J10,'Rate &amp; Vol Update'!$B$8:$B$127,1)+1),'Rate &amp; Vol Update'!$B$8:$B$127,0),MATCH(INDEX('Rate &amp; Vol Update'!$E$6:$Z$6,1,MATCH(O10,'Rate &amp; Vol Update'!$E$6:$Z$6,1)),'Rate &amp; Vol Update'!$E$6:$Z$6,0))*(INDEX('Rate &amp; Vol Update'!$E$6:$Z$6,1,MATCH(O10,'Rate &amp; Vol Update'!$E$6:$Z$6,1)+1)-O10)*(J10-INDEX('Rate &amp; Vol Update'!$B$8:$B$127,MATCH(J10,'Rate &amp; Vol Update'!$B$8:$B$127,1)))+INDEX('Rate &amp; Vol Update'!$E$8:$Z$127,MATCH(INDEX('Rate &amp; Vol Update'!$B$8:$B$127,MATCH(J10,'Rate &amp; Vol Update'!$B$8:$B$127,1)+1),'Rate &amp; Vol Update'!$B$8:$B$127,0),MATCH(INDEX('Rate &amp; Vol Update'!$E$6:$Z$6,1,MATCH(O10,'Rate &amp; Vol Update'!$E$6:$Z$6,1)+1),'Rate &amp; Vol Update'!$E$6:$Z$6,0))*(O10-INDEX('Rate &amp; Vol Update'!$E$6:$Z$6,1,MATCH(O10,'Rate &amp; Vol Update'!$E$6:$Z$6,1)))*(J10-INDEX('Rate &amp; Vol Update'!$B$8:$B$127,MATCH(J10,'Rate &amp; Vol Update'!$B$8:$B$127,1)))))*0.01%))</f>
        <v>9.0588476279882518E-3</v>
      </c>
      <c r="R10" s="5">
        <f>IF(I10="","",1/((1+P10)^((K10-'Rate &amp; Vol Update'!$C$2)/360)))</f>
        <v>0.98050631242249742</v>
      </c>
      <c r="T10" s="15">
        <f>IF(I10="","",IF(J10&lt;'Rate &amp; Vol Update'!$C$2,MAX(0,P10-O10)*(L10/360)*N10,(((IF('Adjustment Surface'!C$2='Data Validation'!$A$2,P10,IF('Adjustment Surface'!C$2='Data Validation'!$A$3,O10,"Unknown Option Type"))-IF('Adjustment Surface'!C$2='Data Validation'!$A$2,O10,IF('Adjustment Surface'!C$2='Data Validation'!$A$3,P10,"Unknown Option Type")))*(NORMDIST((IF('Adjustment Surface'!C$2='Data Validation'!$A$2,P10,IF('Adjustment Surface'!C$2='Data Validation'!$A$3,O10,"Unknown Option Type"))-IF('Adjustment Surface'!C$2='Data Validation'!$A$2,O10,IF('Adjustment Surface'!C$2='Data Validation'!$A$3,P10,"Unknown Option Type")))/(Q10*SQRT(M10)),0,1,TRUE)))+((Q10*SQRT(M10))*(NORMDIST((IF('Adjustment Surface'!C$2='Data Validation'!$A$2,P10,IF('Adjustment Surface'!C$2='Data Validation'!$A$3,O10,"Unknown Option Type"))-IF('Adjustment Surface'!C$2='Data Validation'!$A$2,O10,IF('Adjustment Surface'!C$2='Data Validation'!$A$3,P10,"Unknown Option Type")))/(Q10*SQRT(M10)),0,1,FALSE))))*R10*(L10/360)*N10))</f>
        <v>29659.895664997632</v>
      </c>
      <c r="U10" s="15">
        <f>IF(I10="","",SUM(T$4:T10))</f>
        <v>226632.2802448424</v>
      </c>
      <c r="W10" s="15">
        <f>IF(I10="","",IF(J10&lt;'Rate &amp; Vol Update'!$C$2,0,((((((IF('Adjustment Surface'!C$2='Data Validation'!$A$2,P10,IF('Adjustment Surface'!C$2='Data Validation'!$A$3,O10,"Unknown Option Type"))-IF('Adjustment Surface'!C$2='Data Validation'!$A$2,O10,IF('Adjustment Surface'!C$2='Data Validation'!$A$3,P10,"Unknown Option Type")))*(NORMDIST((IF('Adjustment Surface'!C$2='Data Validation'!$A$2,P10,IF('Adjustment Surface'!C$2='Data Validation'!$A$3,O10,"Unknown Option Type"))-IF('Adjustment Surface'!C$2='Data Validation'!$A$2,O10,IF('Adjustment Surface'!C$2='Data Validation'!$A$3,P10,"Unknown Option Type")))/((Q10+0.01%)*SQRT(M10)),0,1,TRUE)))+(((Q10+0.01%)*SQRT(M10))*(NORMDIST((IF('Adjustment Surface'!C$2='Data Validation'!$A$2,P10,IF('Adjustment Surface'!C$2='Data Validation'!$A$3,O10,"Unknown Option Type"))-IF('Adjustment Surface'!C$2='Data Validation'!$A$2,O10,IF('Adjustment Surface'!C$2='Data Validation'!$A$3,P10,"Unknown Option Type")))/((Q10+0.01%)*SQRT(M10)),0,1,FALSE))))*R10*(L10/360))-(T10/N10))*N10)*R10))</f>
        <v>8.5401295404022104</v>
      </c>
      <c r="X10" s="15">
        <f>IF(I10="","",SUM(W$4:W10))</f>
        <v>17.051146326385343</v>
      </c>
      <c r="Y10" s="15"/>
      <c r="Z10" s="20"/>
      <c r="AA10" s="3">
        <v>7</v>
      </c>
      <c r="AB10" s="4">
        <f>IF(AC9=MAX('Adjustment Surface'!$C$14:$F$14),"",AC9)</f>
        <v>46245</v>
      </c>
      <c r="AC10" s="4">
        <f>IF(AB10="","",IF(AB10&lt;EDATE('Adjustment Surface'!$C$6,DATEDIF('Adjustment Surface'!$C$6,MAX('Adjustment Surface'!$C$14:$F$14),"M")),EDATE(AB$5,COUNT(AB$5:AB10)),IF(AB10=EDATE('Adjustment Surface'!$C$6,DATEDIF('Adjustment Surface'!$C$6,MAX('Adjustment Surface'!$C$14:$F$14),"M")),MAX('Adjustment Surface'!$C$14:$F$14),EDATE('Adjustment Surface'!$C$6,DATEDIF('Adjustment Surface'!$C$6,MAX('Adjustment Surface'!$C$14:$F$14),"M")))))</f>
        <v>46276</v>
      </c>
      <c r="AD10" s="3">
        <f t="shared" si="2"/>
        <v>31</v>
      </c>
      <c r="AE10" s="5">
        <f>IF(AA10="","",(AC10-'Rate &amp; Vol Update'!$C$2)/360)</f>
        <v>0.58888888888888891</v>
      </c>
      <c r="AF10" s="15">
        <f>IF(AA10="","",IF('Adjustment Surface'!$C$3='Data Validation'!$C$2,'Adjustment Surface'!$C$4,_xlfn.IFNA(IF(INDEX(Schedules!$E$3:$E$123,MATCH('Bachelier Model'!AB10,Schedules!$B$3:$B$123,0))="",AF9,INDEX(Schedules!$E$3:$E$123,MATCH('Bachelier Model'!AB10,Schedules!$B$3:$B$123,0))),AF9)))</f>
        <v>25000000</v>
      </c>
      <c r="AG10" s="16">
        <f>IF(AA10="","",'Adjustment Surface'!B$15)</f>
        <v>0.03</v>
      </c>
      <c r="AH10" s="16" cm="1">
        <f t="array" ref="AH10">IF(AA10="","",FORECAST(AB10,INDEX('Rate &amp; Vol Update'!$C$6:$C$127,MATCH(INDEX('Rate &amp; Vol Update'!$B$6:$B$127,MATCH(AB10,'Rate &amp; Vol Update'!$B$6:$B$127,1)),'Rate &amp; Vol Update'!$B$6:$B$127,0)+IF('Adjustment Surface'!$C$11='Data Validation'!$E$3,-1,0)):INDEX('Rate &amp; Vol Update'!$C$6:$C$127,MATCH(INDEX('Rate &amp; Vol Update'!$B$6:$B$127,MATCH(AB10,'Rate &amp; Vol Update'!$B$6:$B$127,1)+1),'Rate &amp; Vol Update'!$B$6:$B$127,0)+IF('Adjustment Surface'!$C$11='Data Validation'!$E$3,-1,0)),INDEX('Rate &amp; Vol Update'!$B$6:$B$127,MATCH(AB10,'Rate &amp; Vol Update'!$B$6:$B$127,1)):INDEX('Rate &amp; Vol Update'!$B$6:$B$127,MATCH(AB10,'Rate &amp; Vol Update'!$B$6:$B$127,1)+1))/100)</f>
        <v>3.3994429169520973E-2</v>
      </c>
      <c r="AI10" s="16" cm="1">
        <f t="array" ref="AI10">IF(AA10="","",IF(AB10&lt;'Rate &amp; Vol Update'!$C$2,0.001%,(1/((INDEX('Rate &amp; Vol Update'!$E$6:$Z$6,1,MATCH(AG10,'Rate &amp; Vol Update'!$E$6:$Z$6,1)+1)-INDEX('Rate &amp; Vol Update'!$E$6:$Z$6,1,MATCH(AG10,'Rate &amp; Vol Update'!$E$6:$Z$6,1)))*(INDEX('Rate &amp; Vol Update'!$B$8:$B$127,MATCH(AB10,'Rate &amp; Vol Update'!$B$8:$B$127,1)+1)-INDEX('Rate &amp; Vol Update'!$B$8:$B$127,MATCH(AB10,'Rate &amp; Vol Update'!$B$8:$B$127,1))))*(INDEX('Rate &amp; Vol Update'!$E$8:$Z$127,MATCH(INDEX('Rate &amp; Vol Update'!$B$8:$B$127,MATCH(AB10,'Rate &amp; Vol Update'!$B$8:$B$127,1)),'Rate &amp; Vol Update'!$B$8:$B$127,0),MATCH(INDEX('Rate &amp; Vol Update'!$E$6:$Z$6,1,MATCH(AG10,'Rate &amp; Vol Update'!$E$6:$Z$6,1)),'Rate &amp; Vol Update'!$E$6:$Z$6,0))*(INDEX('Rate &amp; Vol Update'!$E$6:$Z$6,1,MATCH(AG10,'Rate &amp; Vol Update'!$E$6:$Z$6,1)+1)-AG10)*(INDEX('Rate &amp; Vol Update'!$B$8:$B$127,MATCH(AB10,'Rate &amp; Vol Update'!$B$8:$B$127,1)+1)-AB10)+INDEX('Rate &amp; Vol Update'!$E$8:$Z$127,MATCH(INDEX('Rate &amp; Vol Update'!$B$8:$B$127,MATCH(AB10,'Rate &amp; Vol Update'!$B$8:$B$127,1)),'Rate &amp; Vol Update'!$B$8:$B$127,0),MATCH(INDEX('Rate &amp; Vol Update'!$E$6:$Z$6,1,MATCH(AG10,'Rate &amp; Vol Update'!$E$6:$Z$6,1)+1),'Rate &amp; Vol Update'!$E$6:$Z$6,0))*(AG10-INDEX('Rate &amp; Vol Update'!$E$6:$Z$6,1,MATCH(AG10,'Rate &amp; Vol Update'!$E$6:$Z$6,1)))*(INDEX('Rate &amp; Vol Update'!$B$8:$B$127,MATCH(AB10,'Rate &amp; Vol Update'!$B$8:$B$127,1)+1)-AB10)+INDEX('Rate &amp; Vol Update'!$E$8:$Z$127,MATCH(INDEX('Rate &amp; Vol Update'!$B$8:$B$127,MATCH(AB10,'Rate &amp; Vol Update'!$B$8:$B$127,1)+1),'Rate &amp; Vol Update'!$B$8:$B$127,0),MATCH(INDEX('Rate &amp; Vol Update'!$E$6:$Z$6,1,MATCH(AG10,'Rate &amp; Vol Update'!$E$6:$Z$6,1)),'Rate &amp; Vol Update'!$E$6:$Z$6,0))*(INDEX('Rate &amp; Vol Update'!$E$6:$Z$6,1,MATCH(AG10,'Rate &amp; Vol Update'!$E$6:$Z$6,1)+1)-AG10)*(AB10-INDEX('Rate &amp; Vol Update'!$B$8:$B$127,MATCH(AB10,'Rate &amp; Vol Update'!$B$8:$B$127,1)))+INDEX('Rate &amp; Vol Update'!$E$8:$Z$127,MATCH(INDEX('Rate &amp; Vol Update'!$B$8:$B$127,MATCH(AB10,'Rate &amp; Vol Update'!$B$8:$B$127,1)+1),'Rate &amp; Vol Update'!$B$8:$B$127,0),MATCH(INDEX('Rate &amp; Vol Update'!$E$6:$Z$6,1,MATCH(AG10,'Rate &amp; Vol Update'!$E$6:$Z$6,1)+1),'Rate &amp; Vol Update'!$E$6:$Z$6,0))*(AG10-INDEX('Rate &amp; Vol Update'!$E$6:$Z$6,1,MATCH(AG10,'Rate &amp; Vol Update'!$E$6:$Z$6,1)))*(AB10-INDEX('Rate &amp; Vol Update'!$B$8:$B$127,MATCH(AB10,'Rate &amp; Vol Update'!$B$8:$B$127,1)))))*0.01%))</f>
        <v>6.8952677355567137E-3</v>
      </c>
      <c r="AJ10" s="5">
        <f>IF(AA10="","",1/((1+AH10)^((AC10-'Rate &amp; Vol Update'!$C$2)/360)))</f>
        <v>0.98050631242249742</v>
      </c>
      <c r="AL10" s="15">
        <f>IF(AA10="","",IF(AB10&lt;'Rate &amp; Vol Update'!$C$2,MAX(0,AH10-AG10)*(AD10/360)*AF10,(((IF('Adjustment Surface'!$C$2='Data Validation'!$A$2,AH10,IF('Adjustment Surface'!$C$2='Data Validation'!$A$3,AG10,"Unknown Option Type"))-IF('Adjustment Surface'!$C$2='Data Validation'!$A$2,AG10,IF('Adjustment Surface'!$C$2='Data Validation'!$A$3,AH10,"Unknown Option Type")))*(NORMDIST((IF('Adjustment Surface'!$C$2='Data Validation'!$A$2,AH10,IF('Adjustment Surface'!$C$2='Data Validation'!$A$3,AG10,"Unknown Option Type"))-IF('Adjustment Surface'!$C$2='Data Validation'!$A$2,AG10,IF('Adjustment Surface'!$C$2='Data Validation'!$A$3,AH10,"Unknown Option Type")))/(AI10*SQRT(AE10)),0,1,TRUE)))+((AI10*SQRT(AE10))*(NORMDIST((IF('Adjustment Surface'!$C$2='Data Validation'!$A$2,AH10,IF('Adjustment Surface'!$C$2='Data Validation'!$A$3,AG10,"Unknown Option Type"))-IF('Adjustment Surface'!$C$2='Data Validation'!$A$2,AG10,IF('Adjustment Surface'!$C$2='Data Validation'!$A$3,AH10,"Unknown Option Type")))/(AI10*SQRT(AE10)),0,1,FALSE))))*AJ10*(AD10/360)*AF10))</f>
        <v>9884.151999429565</v>
      </c>
      <c r="AM10" s="15">
        <f>IF(AA10="","",SUM(AL$4:AL10))</f>
        <v>84546.9515242786</v>
      </c>
      <c r="AO10" s="15">
        <f>IF(AA10="","",IF(AB10&lt;'Rate &amp; Vol Update'!$C$2,0,((((((IF('Adjustment Surface'!$C$2='Data Validation'!$A$2,AH10,IF('Adjustment Surface'!$C$2='Data Validation'!$A$3,AG10,"Unknown Option Type"))-IF('Adjustment Surface'!$C$2='Data Validation'!$A$2,AG10,IF('Adjustment Surface'!$C$2='Data Validation'!$A$3,AH10,"Unknown Option Type")))*(NORMDIST((IF('Adjustment Surface'!$C$2='Data Validation'!$A$2,AH10,IF('Adjustment Surface'!$C$2='Data Validation'!$A$3,AG10,"Unknown Option Type"))-IF('Adjustment Surface'!$C$2='Data Validation'!$A$2,AG10,IF('Adjustment Surface'!$C$2='Data Validation'!$A$3,AH10,"Unknown Option Type")))/((AI10+0.01%)*SQRT(AE10)),0,1,TRUE)))+(((AI10+0.01%)*SQRT(AE10))*(NORMDIST((IF('Adjustment Surface'!$C$2='Data Validation'!$A$2,AH10,IF('Adjustment Surface'!$C$2='Data Validation'!$A$3,AG10,"Unknown Option Type"))-IF('Adjustment Surface'!$C$2='Data Validation'!$A$2,AG10,IF('Adjustment Surface'!$C$2='Data Validation'!$A$3,AH10,"Unknown Option Type")))/((AI10+0.01%)*SQRT(AE10)),0,1,FALSE))))*AJ10*(AD10/360))-(AL10/AF10))*AF10)*AJ10))</f>
        <v>47.846675471033521</v>
      </c>
      <c r="AP10" s="15">
        <f>IF(AA10="","",SUM(AO$4:AO10))</f>
        <v>145.94498094448755</v>
      </c>
      <c r="AQ10" s="15"/>
      <c r="AR10" s="20"/>
      <c r="AS10" s="3">
        <v>7</v>
      </c>
      <c r="AT10" s="4">
        <f>IF(AU9=MAX('Adjustment Surface'!$C$14:$F$14),"",AU9)</f>
        <v>46245</v>
      </c>
      <c r="AU10" s="4">
        <f>IF(AT10="","",IF(AT10&lt;EDATE('Adjustment Surface'!$C$6,DATEDIF('Adjustment Surface'!$C$6,MAX('Adjustment Surface'!$C$14:$F$14),"M")),EDATE(AT$5,COUNT(AT$5:AT10)),IF(AT10=EDATE('Adjustment Surface'!$C$6,DATEDIF('Adjustment Surface'!$C$6,MAX('Adjustment Surface'!$C$14:$F$14),"M")),MAX('Adjustment Surface'!$C$14:$F$14),EDATE('Adjustment Surface'!$C$6,DATEDIF('Adjustment Surface'!$C$6,MAX('Adjustment Surface'!$C$14:$F$14),"M")))))</f>
        <v>46276</v>
      </c>
      <c r="AV10" s="3">
        <f t="shared" si="3"/>
        <v>31</v>
      </c>
      <c r="AW10" s="5">
        <f>IF(AS10="","",(AU10-'Rate &amp; Vol Update'!$C$2)/360)</f>
        <v>0.58888888888888891</v>
      </c>
      <c r="AX10" s="15">
        <f>IF(AS10="","",IF('Adjustment Surface'!$C$3='Data Validation'!$C$2,'Adjustment Surface'!$C$4,_xlfn.IFNA(IF(INDEX(Schedules!$E$3:$E$123,MATCH('Bachelier Model'!AT10,Schedules!$B$3:$B$123,0))="",AX9,INDEX(Schedules!$E$3:$E$123,MATCH('Bachelier Model'!AT10,Schedules!$B$3:$B$123,0))),AX9)))</f>
        <v>25000000</v>
      </c>
      <c r="AY10" s="16">
        <f>IF(AS10="","",'Adjustment Surface'!B$16)</f>
        <v>0.04</v>
      </c>
      <c r="AZ10" s="16" cm="1">
        <f t="array" ref="AZ10">IF(AS10="","",FORECAST(AT10,INDEX('Rate &amp; Vol Update'!$C$6:$C$127,MATCH(INDEX('Rate &amp; Vol Update'!$B$6:$B$127,MATCH(AT10,'Rate &amp; Vol Update'!$B$6:$B$127,1)),'Rate &amp; Vol Update'!$B$6:$B$127,0)+IF('Adjustment Surface'!$C$11='Data Validation'!$E$3,-1,0)):INDEX('Rate &amp; Vol Update'!$C$6:$C$127,MATCH(INDEX('Rate &amp; Vol Update'!$B$6:$B$127,MATCH(AT10,'Rate &amp; Vol Update'!$B$6:$B$127,1)+1),'Rate &amp; Vol Update'!$B$6:$B$127,0)+IF('Adjustment Surface'!$C$11='Data Validation'!$E$3,-1,0)),INDEX('Rate &amp; Vol Update'!$B$6:$B$127,MATCH(AT10,'Rate &amp; Vol Update'!$B$6:$B$127,1)):INDEX('Rate &amp; Vol Update'!$B$6:$B$127,MATCH(AT10,'Rate &amp; Vol Update'!$B$6:$B$127,1)+1))/100)</f>
        <v>3.3994429169520973E-2</v>
      </c>
      <c r="BA10" s="16" cm="1">
        <f t="array" ref="BA10">IF(AS10="","",IF(AT10&lt;'Rate &amp; Vol Update'!$C$2,0.001%,(1/((INDEX('Rate &amp; Vol Update'!$E$6:$Z$6,1,MATCH(AY10,'Rate &amp; Vol Update'!$E$6:$Z$6,1)+1)-INDEX('Rate &amp; Vol Update'!$E$6:$Z$6,1,MATCH(AY10,'Rate &amp; Vol Update'!$E$6:$Z$6,1)))*(INDEX('Rate &amp; Vol Update'!$B$8:$B$127,MATCH(AT10,'Rate &amp; Vol Update'!$B$8:$B$127,1)+1)-INDEX('Rate &amp; Vol Update'!$B$8:$B$127,MATCH(AT10,'Rate &amp; Vol Update'!$B$8:$B$127,1))))*(INDEX('Rate &amp; Vol Update'!$E$8:$Z$127,MATCH(INDEX('Rate &amp; Vol Update'!$B$8:$B$127,MATCH(AT10,'Rate &amp; Vol Update'!$B$8:$B$127,1)),'Rate &amp; Vol Update'!$B$8:$B$127,0),MATCH(INDEX('Rate &amp; Vol Update'!$E$6:$Z$6,1,MATCH(AY10,'Rate &amp; Vol Update'!$E$6:$Z$6,1)),'Rate &amp; Vol Update'!$E$6:$Z$6,0))*(INDEX('Rate &amp; Vol Update'!$E$6:$Z$6,1,MATCH(AY10,'Rate &amp; Vol Update'!$E$6:$Z$6,1)+1)-AY10)*(INDEX('Rate &amp; Vol Update'!$B$8:$B$127,MATCH(AT10,'Rate &amp; Vol Update'!$B$8:$B$127,1)+1)-AT10)+INDEX('Rate &amp; Vol Update'!$E$8:$Z$127,MATCH(INDEX('Rate &amp; Vol Update'!$B$8:$B$127,MATCH(AT10,'Rate &amp; Vol Update'!$B$8:$B$127,1)),'Rate &amp; Vol Update'!$B$8:$B$127,0),MATCH(INDEX('Rate &amp; Vol Update'!$E$6:$Z$6,1,MATCH(AY10,'Rate &amp; Vol Update'!$E$6:$Z$6,1)+1),'Rate &amp; Vol Update'!$E$6:$Z$6,0))*(AY10-INDEX('Rate &amp; Vol Update'!$E$6:$Z$6,1,MATCH(AY10,'Rate &amp; Vol Update'!$E$6:$Z$6,1)))*(INDEX('Rate &amp; Vol Update'!$B$8:$B$127,MATCH(AT10,'Rate &amp; Vol Update'!$B$8:$B$127,1)+1)-AT10)+INDEX('Rate &amp; Vol Update'!$E$8:$Z$127,MATCH(INDEX('Rate &amp; Vol Update'!$B$8:$B$127,MATCH(AT10,'Rate &amp; Vol Update'!$B$8:$B$127,1)+1),'Rate &amp; Vol Update'!$B$8:$B$127,0),MATCH(INDEX('Rate &amp; Vol Update'!$E$6:$Z$6,1,MATCH(AY10,'Rate &amp; Vol Update'!$E$6:$Z$6,1)),'Rate &amp; Vol Update'!$E$6:$Z$6,0))*(INDEX('Rate &amp; Vol Update'!$E$6:$Z$6,1,MATCH(AY10,'Rate &amp; Vol Update'!$E$6:$Z$6,1)+1)-AY10)*(AT10-INDEX('Rate &amp; Vol Update'!$B$8:$B$127,MATCH(AT10,'Rate &amp; Vol Update'!$B$8:$B$127,1)))+INDEX('Rate &amp; Vol Update'!$E$8:$Z$127,MATCH(INDEX('Rate &amp; Vol Update'!$B$8:$B$127,MATCH(AT10,'Rate &amp; Vol Update'!$B$8:$B$127,1)+1),'Rate &amp; Vol Update'!$B$8:$B$127,0),MATCH(INDEX('Rate &amp; Vol Update'!$E$6:$Z$6,1,MATCH(AY10,'Rate &amp; Vol Update'!$E$6:$Z$6,1)+1),'Rate &amp; Vol Update'!$E$6:$Z$6,0))*(AY10-INDEX('Rate &amp; Vol Update'!$E$6:$Z$6,1,MATCH(AY10,'Rate &amp; Vol Update'!$E$6:$Z$6,1)))*(AT10-INDEX('Rate &amp; Vol Update'!$B$8:$B$127,MATCH(AT10,'Rate &amp; Vol Update'!$B$8:$B$127,1)))))*0.01%))</f>
        <v>6.240467685934779E-3</v>
      </c>
      <c r="BB10" s="5">
        <f>IF(AS10="","",1/((1+AZ10)^((AU10-'Rate &amp; Vol Update'!$C$2)/360)))</f>
        <v>0.98050631242249742</v>
      </c>
      <c r="BD10" s="15">
        <f>IF(AS10="","",IF(AT10&lt;'Rate &amp; Vol Update'!$C$2,MAX(0,AZ10-AY10)*(AV10/360)*AX10,(((IF('Adjustment Surface'!$C$2='Data Validation'!$A$2,AZ10,IF('Adjustment Surface'!$C$2='Data Validation'!$A$3,AY10,"Unknown Option Type"))-IF('Adjustment Surface'!$C$2='Data Validation'!$A$2,AY10,IF('Adjustment Surface'!$C$2='Data Validation'!$A$3,AZ10,"Unknown Option Type")))*(NORMDIST((IF('Adjustment Surface'!$C$2='Data Validation'!$A$2,AZ10,IF('Adjustment Surface'!$C$2='Data Validation'!$A$3,AY10,"Unknown Option Type"))-IF('Adjustment Surface'!$C$2='Data Validation'!$A$2,AY10,IF('Adjustment Surface'!$C$2='Data Validation'!$A$3,AZ10,"Unknown Option Type")))/(BA10*SQRT(AW10)),0,1,TRUE)))+((BA10*SQRT(AW10))*(NORMDIST((IF('Adjustment Surface'!$C$2='Data Validation'!$A$2,AZ10,IF('Adjustment Surface'!$C$2='Data Validation'!$A$3,AY10,"Unknown Option Type"))-IF('Adjustment Surface'!$C$2='Data Validation'!$A$2,AY10,IF('Adjustment Surface'!$C$2='Data Validation'!$A$3,AZ10,"Unknown Option Type")))/(BA10*SQRT(AW10)),0,1,FALSE))))*BB10*(AV10/360)*AX10))</f>
        <v>507.02616356806749</v>
      </c>
      <c r="BE10" s="15">
        <f>IF(AS10="","",SUM(BD$4:BD10))</f>
        <v>2433.5464990653454</v>
      </c>
      <c r="BG10" s="15">
        <f>IF(AS10="","",IF(AT10&lt;'Rate &amp; Vol Update'!$C$2,0,((((((IF('Adjustment Surface'!$C$2='Data Validation'!$A$2,AZ10,IF('Adjustment Surface'!$C$2='Data Validation'!$A$3,AY10,"Unknown Option Type"))-IF('Adjustment Surface'!$C$2='Data Validation'!$A$2,AY10,IF('Adjustment Surface'!$C$2='Data Validation'!$A$3,AZ10,"Unknown Option Type")))*(NORMDIST((IF('Adjustment Surface'!$C$2='Data Validation'!$A$2,AZ10,IF('Adjustment Surface'!$C$2='Data Validation'!$A$3,AY10,"Unknown Option Type"))-IF('Adjustment Surface'!$C$2='Data Validation'!$A$2,AY10,IF('Adjustment Surface'!$C$2='Data Validation'!$A$3,AZ10,"Unknown Option Type")))/((BA10+0.01%)*SQRT(AW10)),0,1,TRUE)))+(((BA10+0.01%)*SQRT(AW10))*(NORMDIST((IF('Adjustment Surface'!$C$2='Data Validation'!$A$2,AZ10,IF('Adjustment Surface'!$C$2='Data Validation'!$A$3,AY10,"Unknown Option Type"))-IF('Adjustment Surface'!$C$2='Data Validation'!$A$2,AY10,IF('Adjustment Surface'!$C$2='Data Validation'!$A$3,AZ10,"Unknown Option Type")))/((BA10+0.01%)*SQRT(AW10)),0,1,FALSE))))*BB10*(AV10/360))-(BD10/AX10))*AX10)*BB10))</f>
        <v>29.222690854092495</v>
      </c>
      <c r="BH10" s="15">
        <f>IF(AS10="","",SUM(BG$4:BG10))</f>
        <v>141.82706738777563</v>
      </c>
      <c r="BI10" s="15"/>
      <c r="BJ10" s="20"/>
      <c r="BK10" s="3">
        <v>7</v>
      </c>
      <c r="BL10" s="4">
        <f>IF(BM9=MAX('Adjustment Surface'!$C$14:$F$14),"",BM9)</f>
        <v>46245</v>
      </c>
      <c r="BM10" s="4">
        <f>IF(BL10="","",IF(BL10&lt;EDATE('Adjustment Surface'!$C$6,DATEDIF('Adjustment Surface'!$C$6,MAX('Adjustment Surface'!$C$14:$F$14),"M")),EDATE(BL$5,COUNT(BL$5:BL10)),IF(BL10=EDATE('Adjustment Surface'!$C$6,DATEDIF('Adjustment Surface'!$C$6,MAX('Adjustment Surface'!$C$14:$F$14),"M")),MAX('Adjustment Surface'!$C$14:$F$14),EDATE('Adjustment Surface'!$C$6,DATEDIF('Adjustment Surface'!$C$6,MAX('Adjustment Surface'!$C$14:$F$14),"M")))))</f>
        <v>46276</v>
      </c>
      <c r="BN10" s="3">
        <f t="shared" si="4"/>
        <v>31</v>
      </c>
      <c r="BO10" s="5">
        <f>IF(BK10="","",(BM10-'Rate &amp; Vol Update'!$C$2)/360)</f>
        <v>0.58888888888888891</v>
      </c>
      <c r="BP10" s="15">
        <f>IF(BK10="","",IF('Adjustment Surface'!$C$3='Data Validation'!$C$2,'Adjustment Surface'!$C$4,_xlfn.IFNA(IF(INDEX(Schedules!$E$3:$E$123,MATCH('Bachelier Model'!BL10,Schedules!$B$3:$B$123,0))="",BP9,INDEX(Schedules!$E$3:$E$123,MATCH('Bachelier Model'!BL10,Schedules!$B$3:$B$123,0))),BP9)))</f>
        <v>25000000</v>
      </c>
      <c r="BQ10" s="16">
        <f>IF(BK10="","",'Adjustment Surface'!B$17)</f>
        <v>0.05</v>
      </c>
      <c r="BR10" s="16" cm="1">
        <f t="array" ref="BR10">IF(BK10="","",FORECAST(BL10,INDEX('Rate &amp; Vol Update'!$C$6:$C$127,MATCH(INDEX('Rate &amp; Vol Update'!$B$6:$B$127,MATCH(BL10,'Rate &amp; Vol Update'!$B$6:$B$127,1)),'Rate &amp; Vol Update'!$B$6:$B$127,0)+IF('Adjustment Surface'!$C$11='Data Validation'!$E$3,-1,0)):INDEX('Rate &amp; Vol Update'!$C$6:$C$127,MATCH(INDEX('Rate &amp; Vol Update'!$B$6:$B$127,MATCH(BL10,'Rate &amp; Vol Update'!$B$6:$B$127,1)+1),'Rate &amp; Vol Update'!$B$6:$B$127,0)+IF('Adjustment Surface'!$C$11='Data Validation'!$E$3,-1,0)),INDEX('Rate &amp; Vol Update'!$B$6:$B$127,MATCH(BL10,'Rate &amp; Vol Update'!$B$6:$B$127,1)):INDEX('Rate &amp; Vol Update'!$B$6:$B$127,MATCH(BL10,'Rate &amp; Vol Update'!$B$6:$B$127,1)+1))/100)</f>
        <v>3.3994429169520973E-2</v>
      </c>
      <c r="BS10" s="16" cm="1">
        <f t="array" ref="BS10">IF(BK10="","",IF(BL10&lt;'Rate &amp; Vol Update'!$C$2,0.001%,(1/((INDEX('Rate &amp; Vol Update'!$E$6:$Z$6,1,MATCH(BQ10,'Rate &amp; Vol Update'!$E$6:$Z$6,1)+1)-INDEX('Rate &amp; Vol Update'!$E$6:$Z$6,1,MATCH(BQ10,'Rate &amp; Vol Update'!$E$6:$Z$6,1)))*(INDEX('Rate &amp; Vol Update'!$B$8:$B$127,MATCH(BL10,'Rate &amp; Vol Update'!$B$8:$B$127,1)+1)-INDEX('Rate &amp; Vol Update'!$B$8:$B$127,MATCH(BL10,'Rate &amp; Vol Update'!$B$8:$B$127,1))))*(INDEX('Rate &amp; Vol Update'!$E$8:$Z$127,MATCH(INDEX('Rate &amp; Vol Update'!$B$8:$B$127,MATCH(BL10,'Rate &amp; Vol Update'!$B$8:$B$127,1)),'Rate &amp; Vol Update'!$B$8:$B$127,0),MATCH(INDEX('Rate &amp; Vol Update'!$E$6:$Z$6,1,MATCH(BQ10,'Rate &amp; Vol Update'!$E$6:$Z$6,1)),'Rate &amp; Vol Update'!$E$6:$Z$6,0))*(INDEX('Rate &amp; Vol Update'!$E$6:$Z$6,1,MATCH(BQ10,'Rate &amp; Vol Update'!$E$6:$Z$6,1)+1)-BQ10)*(INDEX('Rate &amp; Vol Update'!$B$8:$B$127,MATCH(BL10,'Rate &amp; Vol Update'!$B$8:$B$127,1)+1)-BL10)+INDEX('Rate &amp; Vol Update'!$E$8:$Z$127,MATCH(INDEX('Rate &amp; Vol Update'!$B$8:$B$127,MATCH(BL10,'Rate &amp; Vol Update'!$B$8:$B$127,1)),'Rate &amp; Vol Update'!$B$8:$B$127,0),MATCH(INDEX('Rate &amp; Vol Update'!$E$6:$Z$6,1,MATCH(BQ10,'Rate &amp; Vol Update'!$E$6:$Z$6,1)+1),'Rate &amp; Vol Update'!$E$6:$Z$6,0))*(BQ10-INDEX('Rate &amp; Vol Update'!$E$6:$Z$6,1,MATCH(BQ10,'Rate &amp; Vol Update'!$E$6:$Z$6,1)))*(INDEX('Rate &amp; Vol Update'!$B$8:$B$127,MATCH(BL10,'Rate &amp; Vol Update'!$B$8:$B$127,1)+1)-BL10)+INDEX('Rate &amp; Vol Update'!$E$8:$Z$127,MATCH(INDEX('Rate &amp; Vol Update'!$B$8:$B$127,MATCH(BL10,'Rate &amp; Vol Update'!$B$8:$B$127,1)+1),'Rate &amp; Vol Update'!$B$8:$B$127,0),MATCH(INDEX('Rate &amp; Vol Update'!$E$6:$Z$6,1,MATCH(BQ10,'Rate &amp; Vol Update'!$E$6:$Z$6,1)),'Rate &amp; Vol Update'!$E$6:$Z$6,0))*(INDEX('Rate &amp; Vol Update'!$E$6:$Z$6,1,MATCH(BQ10,'Rate &amp; Vol Update'!$E$6:$Z$6,1)+1)-BQ10)*(BL10-INDEX('Rate &amp; Vol Update'!$B$8:$B$127,MATCH(BL10,'Rate &amp; Vol Update'!$B$8:$B$127,1)))+INDEX('Rate &amp; Vol Update'!$E$8:$Z$127,MATCH(INDEX('Rate &amp; Vol Update'!$B$8:$B$127,MATCH(BL10,'Rate &amp; Vol Update'!$B$8:$B$127,1)+1),'Rate &amp; Vol Update'!$B$8:$B$127,0),MATCH(INDEX('Rate &amp; Vol Update'!$E$6:$Z$6,1,MATCH(BQ10,'Rate &amp; Vol Update'!$E$6:$Z$6,1)+1),'Rate &amp; Vol Update'!$E$6:$Z$6,0))*(BQ10-INDEX('Rate &amp; Vol Update'!$E$6:$Z$6,1,MATCH(BQ10,'Rate &amp; Vol Update'!$E$6:$Z$6,1)))*(BL10-INDEX('Rate &amp; Vol Update'!$B$8:$B$127,MATCH(BL10,'Rate &amp; Vol Update'!$B$8:$B$127,1)))))*0.01%))</f>
        <v>7.9587705183289757E-3</v>
      </c>
      <c r="BT10" s="5">
        <f>IF(BK10="","",1/((1+BR10)^((BM10-'Rate &amp; Vol Update'!$C$2)/360)))</f>
        <v>0.98050631242249742</v>
      </c>
      <c r="BV10" s="15">
        <f>IF(BK10="","",IF(BL10&lt;'Rate &amp; Vol Update'!$C$2,MAX(0,BR10-BQ10)*(BN10/360)*BP10,(((IF('Adjustment Surface'!$C$2='Data Validation'!$A$2,BR10,IF('Adjustment Surface'!$C$2='Data Validation'!$A$3,BQ10,"Unknown Option Type"))-IF('Adjustment Surface'!$C$2='Data Validation'!$A$2,BQ10,IF('Adjustment Surface'!$C$2='Data Validation'!$A$3,BR10,"Unknown Option Type")))*(NORMDIST((IF('Adjustment Surface'!$C$2='Data Validation'!$A$2,BR10,IF('Adjustment Surface'!$C$2='Data Validation'!$A$3,BQ10,"Unknown Option Type"))-IF('Adjustment Surface'!$C$2='Data Validation'!$A$2,BQ10,IF('Adjustment Surface'!$C$2='Data Validation'!$A$3,BR10,"Unknown Option Type")))/(BS10*SQRT(BO10)),0,1,TRUE)))+((BS10*SQRT(BO10))*(NORMDIST((IF('Adjustment Surface'!$C$2='Data Validation'!$A$2,BR10,IF('Adjustment Surface'!$C$2='Data Validation'!$A$3,BQ10,"Unknown Option Type"))-IF('Adjustment Surface'!$C$2='Data Validation'!$A$2,BQ10,IF('Adjustment Surface'!$C$2='Data Validation'!$A$3,BR10,"Unknown Option Type")))/(BS10*SQRT(BO10)),0,1,FALSE))))*BT10*(BN10/360)*BP10))</f>
        <v>17.667970095095662</v>
      </c>
      <c r="BW10" s="15">
        <f>IF(BK10="","",SUM(BV$4:BV10))</f>
        <v>31.710972815776209</v>
      </c>
      <c r="BY10" s="15">
        <f>IF(BK10="","",IF(BL10&lt;'Rate &amp; Vol Update'!$C$2,0,((((((IF('Adjustment Surface'!$C$2='Data Validation'!$A$2,BR10,IF('Adjustment Surface'!$C$2='Data Validation'!$A$3,BQ10,"Unknown Option Type"))-IF('Adjustment Surface'!$C$2='Data Validation'!$A$2,BQ10,IF('Adjustment Surface'!$C$2='Data Validation'!$A$3,BR10,"Unknown Option Type")))*(NORMDIST((IF('Adjustment Surface'!$C$2='Data Validation'!$A$2,BR10,IF('Adjustment Surface'!$C$2='Data Validation'!$A$3,BQ10,"Unknown Option Type"))-IF('Adjustment Surface'!$C$2='Data Validation'!$A$2,BQ10,IF('Adjustment Surface'!$C$2='Data Validation'!$A$3,BR10,"Unknown Option Type")))/((BS10+0.01%)*SQRT(BO10)),0,1,TRUE)))+(((BS10+0.01%)*SQRT(BO10))*(NORMDIST((IF('Adjustment Surface'!$C$2='Data Validation'!$A$2,BR10,IF('Adjustment Surface'!$C$2='Data Validation'!$A$3,BQ10,"Unknown Option Type"))-IF('Adjustment Surface'!$C$2='Data Validation'!$A$2,BQ10,IF('Adjustment Surface'!$C$2='Data Validation'!$A$3,BR10,"Unknown Option Type")))/((BS10+0.01%)*SQRT(BO10)),0,1,FALSE))))*BT10*(BN10/360))-(BV10/BP10))*BP10)*BT10))</f>
        <v>2.1337346916061017</v>
      </c>
      <c r="BZ10" s="15">
        <f>IF(BK10="","",SUM(BY$4:BY10))</f>
        <v>4.2864617359879507</v>
      </c>
      <c r="CA10" s="15"/>
      <c r="CB10" s="20"/>
      <c r="CC10" s="3">
        <v>7</v>
      </c>
      <c r="CD10" s="4">
        <f>IF(CE9=MAX('Adjustment Surface'!$C$14:$F$14),"",CE9)</f>
        <v>46245</v>
      </c>
      <c r="CE10" s="4">
        <f>IF(CD10="","",IF(CD10&lt;EDATE('Adjustment Surface'!$C$6,DATEDIF('Adjustment Surface'!$C$6,MAX('Adjustment Surface'!$C$14:$F$14),"M")),EDATE(CD$5,COUNT(CD$5:CD10)),IF(CD10=EDATE('Adjustment Surface'!$C$6,DATEDIF('Adjustment Surface'!$C$6,MAX('Adjustment Surface'!$C$14:$F$14),"M")),MAX('Adjustment Surface'!$C$14:$F$14),EDATE('Adjustment Surface'!$C$6,DATEDIF('Adjustment Surface'!$C$6,MAX('Adjustment Surface'!$C$14:$F$14),"M")))))</f>
        <v>46276</v>
      </c>
      <c r="CF10" s="3">
        <f t="shared" si="5"/>
        <v>31</v>
      </c>
      <c r="CG10" s="5">
        <f>IF(CC10="","",(CE10-'Rate &amp; Vol Update'!$C$2)/360)</f>
        <v>0.58888888888888891</v>
      </c>
      <c r="CH10" s="15">
        <f>IF(CC10="","",IF('Adjustment Surface'!$C$3='Data Validation'!$C$2,'Adjustment Surface'!$C$4,_xlfn.IFNA(IF(INDEX(Schedules!$E$3:$E$123,MATCH('Bachelier Model'!CD10,Schedules!$B$3:$B$123,0))="",CH9,INDEX(Schedules!$E$3:$E$123,MATCH('Bachelier Model'!CD10,Schedules!$B$3:$B$123,0))),CH9)))</f>
        <v>25000000</v>
      </c>
      <c r="CI10" s="16">
        <f>IF(CC10="","",'Adjustment Surface'!B$18)</f>
        <v>0.06</v>
      </c>
      <c r="CJ10" s="16" cm="1">
        <f t="array" ref="CJ10">IF(CC10="","",FORECAST(CD10,INDEX('Rate &amp; Vol Update'!$C$6:$C$127,MATCH(INDEX('Rate &amp; Vol Update'!$B$6:$B$127,MATCH(CD10,'Rate &amp; Vol Update'!$B$6:$B$127,1)),'Rate &amp; Vol Update'!$B$6:$B$127,0)+IF('Adjustment Surface'!$C$11='Data Validation'!$E$3,-1,0)):INDEX('Rate &amp; Vol Update'!$C$6:$C$127,MATCH(INDEX('Rate &amp; Vol Update'!$B$6:$B$127,MATCH(CD10,'Rate &amp; Vol Update'!$B$6:$B$127,1)+1),'Rate &amp; Vol Update'!$B$6:$B$127,0)+IF('Adjustment Surface'!$C$11='Data Validation'!$E$3,-1,0)),INDEX('Rate &amp; Vol Update'!$B$6:$B$127,MATCH(CD10,'Rate &amp; Vol Update'!$B$6:$B$127,1)):INDEX('Rate &amp; Vol Update'!$B$6:$B$127,MATCH(CD10,'Rate &amp; Vol Update'!$B$6:$B$127,1)+1))/100)</f>
        <v>3.3994429169520973E-2</v>
      </c>
      <c r="CK10" s="16" cm="1">
        <f t="array" ref="CK10">IF(CC10="","",IF(CD10&lt;'Rate &amp; Vol Update'!$C$2,0.001%,(1/((INDEX('Rate &amp; Vol Update'!$E$6:$Z$6,1,MATCH(CI10,'Rate &amp; Vol Update'!$E$6:$Z$6,1)+1)-INDEX('Rate &amp; Vol Update'!$E$6:$Z$6,1,MATCH(CI10,'Rate &amp; Vol Update'!$E$6:$Z$6,1)))*(INDEX('Rate &amp; Vol Update'!$B$8:$B$127,MATCH(CD10,'Rate &amp; Vol Update'!$B$8:$B$127,1)+1)-INDEX('Rate &amp; Vol Update'!$B$8:$B$127,MATCH(CD10,'Rate &amp; Vol Update'!$B$8:$B$127,1))))*(INDEX('Rate &amp; Vol Update'!$E$8:$Z$127,MATCH(INDEX('Rate &amp; Vol Update'!$B$8:$B$127,MATCH(CD10,'Rate &amp; Vol Update'!$B$8:$B$127,1)),'Rate &amp; Vol Update'!$B$8:$B$127,0),MATCH(INDEX('Rate &amp; Vol Update'!$E$6:$Z$6,1,MATCH(CI10,'Rate &amp; Vol Update'!$E$6:$Z$6,1)),'Rate &amp; Vol Update'!$E$6:$Z$6,0))*(INDEX('Rate &amp; Vol Update'!$E$6:$Z$6,1,MATCH(CI10,'Rate &amp; Vol Update'!$E$6:$Z$6,1)+1)-CI10)*(INDEX('Rate &amp; Vol Update'!$B$8:$B$127,MATCH(CD10,'Rate &amp; Vol Update'!$B$8:$B$127,1)+1)-CD10)+INDEX('Rate &amp; Vol Update'!$E$8:$Z$127,MATCH(INDEX('Rate &amp; Vol Update'!$B$8:$B$127,MATCH(CD10,'Rate &amp; Vol Update'!$B$8:$B$127,1)),'Rate &amp; Vol Update'!$B$8:$B$127,0),MATCH(INDEX('Rate &amp; Vol Update'!$E$6:$Z$6,1,MATCH(CI10,'Rate &amp; Vol Update'!$E$6:$Z$6,1)+1),'Rate &amp; Vol Update'!$E$6:$Z$6,0))*(CI10-INDEX('Rate &amp; Vol Update'!$E$6:$Z$6,1,MATCH(CI10,'Rate &amp; Vol Update'!$E$6:$Z$6,1)))*(INDEX('Rate &amp; Vol Update'!$B$8:$B$127,MATCH(CD10,'Rate &amp; Vol Update'!$B$8:$B$127,1)+1)-CD10)+INDEX('Rate &amp; Vol Update'!$E$8:$Z$127,MATCH(INDEX('Rate &amp; Vol Update'!$B$8:$B$127,MATCH(CD10,'Rate &amp; Vol Update'!$B$8:$B$127,1)+1),'Rate &amp; Vol Update'!$B$8:$B$127,0),MATCH(INDEX('Rate &amp; Vol Update'!$E$6:$Z$6,1,MATCH(CI10,'Rate &amp; Vol Update'!$E$6:$Z$6,1)),'Rate &amp; Vol Update'!$E$6:$Z$6,0))*(INDEX('Rate &amp; Vol Update'!$E$6:$Z$6,1,MATCH(CI10,'Rate &amp; Vol Update'!$E$6:$Z$6,1)+1)-CI10)*(CD10-INDEX('Rate &amp; Vol Update'!$B$8:$B$127,MATCH(CD10,'Rate &amp; Vol Update'!$B$8:$B$127,1)))+INDEX('Rate &amp; Vol Update'!$E$8:$Z$127,MATCH(INDEX('Rate &amp; Vol Update'!$B$8:$B$127,MATCH(CD10,'Rate &amp; Vol Update'!$B$8:$B$127,1)+1),'Rate &amp; Vol Update'!$B$8:$B$127,0),MATCH(INDEX('Rate &amp; Vol Update'!$E$6:$Z$6,1,MATCH(CI10,'Rate &amp; Vol Update'!$E$6:$Z$6,1)+1),'Rate &amp; Vol Update'!$E$6:$Z$6,0))*(CI10-INDEX('Rate &amp; Vol Update'!$E$6:$Z$6,1,MATCH(CI10,'Rate &amp; Vol Update'!$E$6:$Z$6,1)))*(CD10-INDEX('Rate &amp; Vol Update'!$B$8:$B$127,MATCH(CD10,'Rate &amp; Vol Update'!$B$8:$B$127,1)))))*0.01%))</f>
        <v>1.0121189046091878E-2</v>
      </c>
      <c r="CL10" s="5">
        <f>IF(CC10="","",1/((1+CJ10)^((CE10-'Rate &amp; Vol Update'!$C$2)/360)))</f>
        <v>0.98050631242249742</v>
      </c>
      <c r="CN10" s="15">
        <f>IF(CC10="","",IF(CD10&lt;'Rate &amp; Vol Update'!$C$2,MAX(0,CJ10-CI10)*(CF10/360)*CH10,(((IF('Adjustment Surface'!$C$2='Data Validation'!$A$2,CJ10,IF('Adjustment Surface'!$C$2='Data Validation'!$A$3,CI10,"Unknown Option Type"))-IF('Adjustment Surface'!$C$2='Data Validation'!$A$2,CI10,IF('Adjustment Surface'!$C$2='Data Validation'!$A$3,CJ10,"Unknown Option Type")))*(NORMDIST((IF('Adjustment Surface'!$C$2='Data Validation'!$A$2,CJ10,IF('Adjustment Surface'!$C$2='Data Validation'!$A$3,CI10,"Unknown Option Type"))-IF('Adjustment Surface'!$C$2='Data Validation'!$A$2,CI10,IF('Adjustment Surface'!$C$2='Data Validation'!$A$3,CJ10,"Unknown Option Type")))/(CK10*SQRT(CG10)),0,1,TRUE)))+((CK10*SQRT(CG10))*(NORMDIST((IF('Adjustment Surface'!$C$2='Data Validation'!$A$2,CJ10,IF('Adjustment Surface'!$C$2='Data Validation'!$A$3,CI10,"Unknown Option Type"))-IF('Adjustment Surface'!$C$2='Data Validation'!$A$2,CI10,IF('Adjustment Surface'!$C$2='Data Validation'!$A$3,CJ10,"Unknown Option Type")))/(CK10*SQRT(CG10)),0,1,FALSE))))*CL10*(CF10/360)*CH10))</f>
        <v>1.7352838664052719</v>
      </c>
      <c r="CO10" s="15">
        <f>IF(CC10="","",SUM(CN$4:CN10))</f>
        <v>2.3840483895705278</v>
      </c>
      <c r="CQ10" s="15">
        <f>IF(CC10="","",IF(CD10&lt;'Rate &amp; Vol Update'!$C$2,0,((((((IF('Adjustment Surface'!$C$2='Data Validation'!$A$2,CJ10,IF('Adjustment Surface'!$C$2='Data Validation'!$A$3,CI10,"Unknown Option Type"))-IF('Adjustment Surface'!$C$2='Data Validation'!$A$2,CI10,IF('Adjustment Surface'!$C$2='Data Validation'!$A$3,CJ10,"Unknown Option Type")))*(NORMDIST((IF('Adjustment Surface'!$C$2='Data Validation'!$A$2,CJ10,IF('Adjustment Surface'!$C$2='Data Validation'!$A$3,CI10,"Unknown Option Type"))-IF('Adjustment Surface'!$C$2='Data Validation'!$A$2,CI10,IF('Adjustment Surface'!$C$2='Data Validation'!$A$3,CJ10,"Unknown Option Type")))/((CK10+0.01%)*SQRT(CG10)),0,1,TRUE)))+(((CK10+0.01%)*SQRT(CG10))*(NORMDIST((IF('Adjustment Surface'!$C$2='Data Validation'!$A$2,CJ10,IF('Adjustment Surface'!$C$2='Data Validation'!$A$3,CI10,"Unknown Option Type"))-IF('Adjustment Surface'!$C$2='Data Validation'!$A$2,CI10,IF('Adjustment Surface'!$C$2='Data Validation'!$A$3,CJ10,"Unknown Option Type")))/((CK10+0.01%)*SQRT(CG10)),0,1,FALSE))))*CL10*(CF10/360))-(CN10/CH10))*CH10)*CL10))</f>
        <v>0.24630119649003673</v>
      </c>
      <c r="CR10" s="15">
        <f>IF(CC10="","",SUM(CQ$4:CQ10))</f>
        <v>0.36307555677136427</v>
      </c>
    </row>
    <row r="11" spans="2:96" x14ac:dyDescent="0.25">
      <c r="B11" s="16">
        <f>'Adjustment Surface'!B15</f>
        <v>0.03</v>
      </c>
      <c r="C11" s="21">
        <f>INDEX(AP4:AP124,MATCH(INDEX(AC4:AC124,MATCH('Adjustment Surface'!C14,AC4:AC124,1)),AC4:AC124,0))+(((((((IF('Adjustment Surface'!$C$2='Data Validation'!$A$2,INDEX(AH4:AH124,MATCH(INDEX(AC4:AC124,MATCH('Adjustment Surface'!C14,AC4:AC124,1)),AB4:AB124,1)),IF('Adjustment Surface'!$C$2='Data Validation'!$A$3,INDEX(AG4:AG124,MATCH(INDEX(AC4:AC124,MATCH('Adjustment Surface'!C14,AC4:AC124,1)),AB4:AB124,1)),"Unknown Option Type"))-IF('Adjustment Surface'!$C$2='Data Validation'!$A$2,INDEX(AG4:AG124,MATCH(INDEX(AC4:AC124,MATCH('Adjustment Surface'!C14,AC4:AC124,1)),AB4:AB124,1)),IF('Adjustment Surface'!$C$2='Data Validation'!$A$3,INDEX(AH4:AH124,MATCH(INDEX(AC4:AC124,MATCH('Adjustment Surface'!C14,AC4:AC124,1)),AB4:AB124,1)),"Unknown Option Type")))*(NORMDIST((IF('Adjustment Surface'!$C$2='Data Validation'!$A$2,INDEX(AH4:AH124,MATCH(INDEX(AC4:AC124,MATCH('Adjustment Surface'!C14,AC4:AC124,1)),AB4:AB124,1)),IF('Adjustment Surface'!$C$2='Data Validation'!$A$3,INDEX(AG4:AG124,MATCH(INDEX(AC4:AC124,MATCH('Adjustment Surface'!C14,AC4:AC124,1)),AB4:AB124,1)),"Unknown Option Type"))-IF('Adjustment Surface'!$C$2='Data Validation'!$A$2,INDEX(AG4:AG124,MATCH(INDEX(AC4:AC124,MATCH('Adjustment Surface'!C14,AC4:AC124,1)),AB4:AB124,1)),IF('Adjustment Surface'!$C$2='Data Validation'!$A$3,INDEX(AH4:AH124,MATCH(INDEX(AC4:AC124,MATCH('Adjustment Surface'!C14,AC4:AC124,1)),AB4:AB124,1)),"Unknown Option Type")))/((INDEX(AI4:AI124,MATCH(INDEX(AC4:AC124,MATCH('Adjustment Surface'!C14,AC4:AC124,1)),AB4:AB124,1))+0.01%)*SQRT(((('Adjustment Surface'!C14-INDEX(AC4:AC124,MATCH('Adjustment Surface'!C14,AC4:AC124,1)))/360)+INDEX(AE4:AE124,MATCH(INDEX(AC4:AC124,MATCH('Adjustment Surface'!C14,AC4:AC124,1)),AC4:AC124,0))))),0,1,TRUE)))+(((INDEX(AI4:AI124,MATCH(INDEX(AC4:AC124,MATCH('Adjustment Surface'!C14,AC4:AC124,1)),AB4:AB124,1))+0.01%)*SQRT(((('Adjustment Surface'!C14-INDEX(AC4:AC124,MATCH('Adjustment Surface'!C14,AC4:AC124,1)))/360)+INDEX(AE4:AE124,MATCH(INDEX(AC4:AC124,MATCH('Adjustment Surface'!C14,AC4:AC124,1)),AC4:AC124,0)))))*(NORMDIST((IF('Adjustment Surface'!$C$2='Data Validation'!$A$2,INDEX(AH4:AH124,MATCH(INDEX(AC4:AC124,MATCH('Adjustment Surface'!C14,AC4:AC124,1)),AB4:AB124,1)),IF('Adjustment Surface'!$C$2='Data Validation'!$A$3,INDEX(AG4:AG124,MATCH(INDEX(AC4:AC124,MATCH('Adjustment Surface'!C14,AC4:AC124,1)),AB4:AB124,1)),"Unknown Option Type"))-IF('Adjustment Surface'!$C$2='Data Validation'!$A$2,INDEX(AG4:AG124,MATCH(INDEX(AC4:AC124,MATCH('Adjustment Surface'!C14,AC4:AC124,1)),AB4:AB124,1)),IF('Adjustment Surface'!$C$2='Data Validation'!$A$3,INDEX(AH4:AH124,MATCH(INDEX(AC4:AC124,MATCH('Adjustment Surface'!C14,AC4:AC124,1)),AB4:AB124,1)),"Unknown Option Type")))/((INDEX(AI4:AI124,MATCH(INDEX(AC4:AC124,MATCH('Adjustment Surface'!C14,AC4:AC124,1)),AB4:AB124,1))+0.01%)*SQRT(((('Adjustment Surface'!C14-INDEX(AC4:AC124,MATCH('Adjustment Surface'!C14,AC4:AC124,1)))/360)+INDEX(AE4:AE124,MATCH(INDEX(AC4:AC124,MATCH('Adjustment Surface'!C14,AC4:AC124,1)),AC4:AC124,0))))),0,1,FALSE))))*(1/((1+INDEX(AH4:AH124,MATCH(INDEX(AC4:AC124,MATCH('Adjustment Surface'!C14,AC4:AC124,1)),AB4:AB124,1)))^(('Adjustment Surface'!C14-AB4)/360)))*(('Adjustment Surface'!C14-INDEX(AC4:AC124,MATCH('Adjustment Surface'!C14,AC4:AC124,1)))/360))-(((((IF('Adjustment Surface'!$C$2='Data Validation'!$A$2,INDEX(AH4:AH124,MATCH(INDEX(AC4:AC124,MATCH('Adjustment Surface'!C14,AC4:AC124,1)),AB4:AB124,1)),IF('Adjustment Surface'!$C$2='Data Validation'!$A$3,INDEX(AG4:AG124,MATCH(INDEX(AC4:AC124,MATCH('Adjustment Surface'!C14,AC4:AC124,1)),AB4:AB124,1)),"Unknown Option Type"))-IF('Adjustment Surface'!$C$2='Data Validation'!$A$2,INDEX(AG4:AG124,MATCH(INDEX(AC4:AC124,MATCH('Adjustment Surface'!C14,AC4:AC124,1)),AB4:AB124,1)),IF('Adjustment Surface'!$C$2='Data Validation'!$A$3,INDEX(AH4:AH124,MATCH(INDEX(AC4:AC124,MATCH('Adjustment Surface'!C14,AC4:AC124,1)),AB4:AB124,1)),"Unknown Option Type")))*(NORMDIST((IF('Adjustment Surface'!$C$2='Data Validation'!$A$2,INDEX(AH4:AH124,MATCH(INDEX(AC4:AC124,MATCH('Adjustment Surface'!C14,AC4:AC124,1)),AB4:AB124,1)),IF('Adjustment Surface'!$C$2='Data Validation'!$A$3,INDEX(AG4:AG124,MATCH(INDEX(AC4:AC124,MATCH('Adjustment Surface'!C14,AC4:AC124,1)),AB4:AB124,1)),"Unknown Option Type"))-IF('Adjustment Surface'!$C$2='Data Validation'!$A$2,INDEX(AG4:AG124,MATCH(INDEX(AC4:AC124,MATCH('Adjustment Surface'!C14,AC4:AC124,1)),AB4:AB124,1)),IF('Adjustment Surface'!$C$2='Data Validation'!$A$3,INDEX(AH4:AH124,MATCH(INDEX(AC4:AC124,MATCH('Adjustment Surface'!C14,AC4:AC124,1)),AB4:AB124,1)),"Unknown Option Type")))/(INDEX(AI4:AI124,MATCH(INDEX(AC4:AC124,MATCH('Adjustment Surface'!C14,AC4:AC124,1)),AB4:AB124,1))*SQRT(((('Adjustment Surface'!C14-INDEX(AC4:AC124,MATCH('Adjustment Surface'!C14,AC4:AC124,1)))/360)+INDEX(AE4:AE124,MATCH(INDEX(AC4:AC124,MATCH('Adjustment Surface'!C14,AC4:AC124,1)),AC4:AC124,0))))),0,1,TRUE)))+((INDEX(AI4:AI124,MATCH(INDEX(AC4:AC124,MATCH('Adjustment Surface'!C14,AC4:AC124,1)),AB4:AB124,1))*SQRT(((('Adjustment Surface'!C14-INDEX(AC4:AC124,MATCH('Adjustment Surface'!C14,AC4:AC124,1)))/360)+INDEX(AE4:AE124,MATCH(INDEX(AC4:AC124,MATCH('Adjustment Surface'!C14,AC4:AC124,1)),AC4:AC124,0)))))*(NORMDIST((IF('Adjustment Surface'!$C$2='Data Validation'!$A$2,INDEX(AH4:AH124,MATCH(INDEX(AC4:AC124,MATCH('Adjustment Surface'!C14,AC4:AC124,1)),AB4:AB124,1)),IF('Adjustment Surface'!$C$2='Data Validation'!$A$3,INDEX(AG4:AG124,MATCH(INDEX(AC4:AC124,MATCH('Adjustment Surface'!C14,AC4:AC124,1)),AB4:AB124,1)),"Unknown Option Type"))-IF('Adjustment Surface'!$C$2='Data Validation'!$A$2,INDEX(AG4:AG124,MATCH(INDEX(AC4:AC124,MATCH('Adjustment Surface'!C14,AC4:AC124,1)),AB4:AB124,1)),IF('Adjustment Surface'!$C$2='Data Validation'!$A$3,INDEX(AH4:AH124,MATCH(INDEX(AC4:AC124,MATCH('Adjustment Surface'!C14,AC4:AC124,1)),AB4:AB124,1)),"Unknown Option Type")))/(INDEX(AI4:AI124,MATCH(INDEX(AC4:AC124,MATCH('Adjustment Surface'!C14,AC4:AC124,1)),AB4:AB124,1))*SQRT(((('Adjustment Surface'!C14-INDEX(AC4:AC124,MATCH('Adjustment Surface'!C14,AC4:AC124,1)))/360)+INDEX(AE4:AE124,MATCH(INDEX(AC4:AC124,MATCH('Adjustment Surface'!C14,AC4:AC124,1)),AC4:AC124,0))))),0,1,FALSE))))*(1/((1+INDEX(AH4:AH124,MATCH(INDEX(AC4:AC124,MATCH('Adjustment Surface'!C14,AC4:AC124,1)),AB4:AB124,1)))^(('Adjustment Surface'!C14-AB4)/360)))*(('Adjustment Surface'!C14-INDEX(AC4:AC124,MATCH('Adjustment Surface'!C14,AC4:AC124,1)))/360)*INDEX(AF4:AF124,MATCH(INDEX(AC4:AC124,MATCH('Adjustment Surface'!C14,AC4:AC124,1)),AB4:AB124,1)))/INDEX(AF4:AF124,MATCH(INDEX(AC4:AC124,MATCH('Adjustment Surface'!C14,AC4:AC124,1)),AB4:AB124,1))))*INDEX(AF4:AF124,MATCH(INDEX(AC4:AC124,MATCH('Adjustment Surface'!C14,AC4:AC124,1)),AB4:AB124,1)))*(1/((1+INDEX(AH4:AH124,MATCH(INDEX(AC4:AC124,MATCH('Adjustment Surface'!C14,AC4:AC124,1)),AB4:AB124,1)))^(('Adjustment Surface'!C14-AB4)/360))))</f>
        <v>490.52211634920224</v>
      </c>
      <c r="D11" s="21">
        <f>INDEX(AP4:AP124,MATCH(INDEX(AC4:AC124,MATCH('Adjustment Surface'!D14,AC4:AC124,1)),AC4:AC124,0))+(((((((IF('Adjustment Surface'!$C$2='Data Validation'!$A$2,INDEX(AH4:AH124,MATCH(INDEX(AC4:AC124,MATCH('Adjustment Surface'!D14,AC4:AC124,1)),AB4:AB124,1)),IF('Adjustment Surface'!$C$2='Data Validation'!$A$3,INDEX(AG4:AG124,MATCH(INDEX(AC4:AC124,MATCH('Adjustment Surface'!D14,AC4:AC124,1)),AB4:AB124,1)),"Unknown Option Type"))-IF('Adjustment Surface'!$C$2='Data Validation'!$A$2,INDEX(AG4:AG124,MATCH(INDEX(AC4:AC124,MATCH('Adjustment Surface'!D14,AC4:AC124,1)),AB4:AB124,1)),IF('Adjustment Surface'!$C$2='Data Validation'!$A$3,INDEX(AH4:AH124,MATCH(INDEX(AC4:AC124,MATCH('Adjustment Surface'!D14,AC4:AC124,1)),AB4:AB124,1)),"Unknown Option Type")))*(NORMDIST((IF('Adjustment Surface'!$C$2='Data Validation'!$A$2,INDEX(AH4:AH124,MATCH(INDEX(AC4:AC124,MATCH('Adjustment Surface'!D14,AC4:AC124,1)),AB4:AB124,1)),IF('Adjustment Surface'!$C$2='Data Validation'!$A$3,INDEX(AG4:AG124,MATCH(INDEX(AC4:AC124,MATCH('Adjustment Surface'!D14,AC4:AC124,1)),AB4:AB124,1)),"Unknown Option Type"))-IF('Adjustment Surface'!$C$2='Data Validation'!$A$2,INDEX(AG4:AG124,MATCH(INDEX(AC4:AC124,MATCH('Adjustment Surface'!D14,AC4:AC124,1)),AB4:AB124,1)),IF('Adjustment Surface'!$C$2='Data Validation'!$A$3,INDEX(AH4:AH124,MATCH(INDEX(AC4:AC124,MATCH('Adjustment Surface'!D14,AC4:AC124,1)),AB4:AB124,1)),"Unknown Option Type")))/((INDEX(AI4:AI124,MATCH(INDEX(AC4:AC124,MATCH('Adjustment Surface'!D14,AC4:AC124,1)),AB4:AB124,1))+0.01%)*SQRT(((('Adjustment Surface'!D14-INDEX(AC4:AC124,MATCH('Adjustment Surface'!D14,AC4:AC124,1)))/360)+INDEX(AE4:AE124,MATCH(INDEX(AC4:AC124,MATCH('Adjustment Surface'!D14,AC4:AC124,1)),AC4:AC124,0))))),0,1,TRUE)))+(((INDEX(AI4:AI124,MATCH(INDEX(AC4:AC124,MATCH('Adjustment Surface'!D14,AC4:AC124,1)),AB4:AB124,1))+0.01%)*SQRT(((('Adjustment Surface'!D14-INDEX(AC4:AC124,MATCH('Adjustment Surface'!D14,AC4:AC124,1)))/360)+INDEX(AE4:AE124,MATCH(INDEX(AC4:AC124,MATCH('Adjustment Surface'!D14,AC4:AC124,1)),AC4:AC124,0)))))*(NORMDIST((IF('Adjustment Surface'!$C$2='Data Validation'!$A$2,INDEX(AH4:AH124,MATCH(INDEX(AC4:AC124,MATCH('Adjustment Surface'!D14,AC4:AC124,1)),AB4:AB124,1)),IF('Adjustment Surface'!$C$2='Data Validation'!$A$3,INDEX(AG4:AG124,MATCH(INDEX(AC4:AC124,MATCH('Adjustment Surface'!D14,AC4:AC124,1)),AB4:AB124,1)),"Unknown Option Type"))-IF('Adjustment Surface'!$C$2='Data Validation'!$A$2,INDEX(AG4:AG124,MATCH(INDEX(AC4:AC124,MATCH('Adjustment Surface'!D14,AC4:AC124,1)),AB4:AB124,1)),IF('Adjustment Surface'!$C$2='Data Validation'!$A$3,INDEX(AH4:AH124,MATCH(INDEX(AC4:AC124,MATCH('Adjustment Surface'!D14,AC4:AC124,1)),AB4:AB124,1)),"Unknown Option Type")))/((INDEX(AI4:AI124,MATCH(INDEX(AC4:AC124,MATCH('Adjustment Surface'!D14,AC4:AC124,1)),AB4:AB124,1))+0.01%)*SQRT(((('Adjustment Surface'!D14-INDEX(AC4:AC124,MATCH('Adjustment Surface'!D14,AC4:AC124,1)))/360)+INDEX(AE4:AE124,MATCH(INDEX(AC4:AC124,MATCH('Adjustment Surface'!D14,AC4:AC124,1)),AC4:AC124,0))))),0,1,FALSE))))*(1/((1+INDEX(AH4:AH124,MATCH(INDEX(AC4:AC124,MATCH('Adjustment Surface'!D14,AC4:AC124,1)),AB4:AB124,1)))^(('Adjustment Surface'!D14-AB4)/360)))*(('Adjustment Surface'!D14-INDEX(AC4:AC124,MATCH('Adjustment Surface'!D14,AC4:AC124,1)))/360))-(((((IF('Adjustment Surface'!$C$2='Data Validation'!$A$2,INDEX(AH4:AH124,MATCH(INDEX(AC4:AC124,MATCH('Adjustment Surface'!D14,AC4:AC124,1)),AB4:AB124,1)),IF('Adjustment Surface'!$C$2='Data Validation'!$A$3,INDEX(AG4:AG124,MATCH(INDEX(AC4:AC124,MATCH('Adjustment Surface'!D14,AC4:AC124,1)),AB4:AB124,1)),"Unknown Option Type"))-IF('Adjustment Surface'!$C$2='Data Validation'!$A$2,INDEX(AG4:AG124,MATCH(INDEX(AC4:AC124,MATCH('Adjustment Surface'!D14,AC4:AC124,1)),AB4:AB124,1)),IF('Adjustment Surface'!$C$2='Data Validation'!$A$3,INDEX(AH4:AH124,MATCH(INDEX(AC4:AC124,MATCH('Adjustment Surface'!D14,AC4:AC124,1)),AB4:AB124,1)),"Unknown Option Type")))*(NORMDIST((IF('Adjustment Surface'!$C$2='Data Validation'!$A$2,INDEX(AH4:AH124,MATCH(INDEX(AC4:AC124,MATCH('Adjustment Surface'!D14,AC4:AC124,1)),AB4:AB124,1)),IF('Adjustment Surface'!$C$2='Data Validation'!$A$3,INDEX(AG4:AG124,MATCH(INDEX(AC4:AC124,MATCH('Adjustment Surface'!D14,AC4:AC124,1)),AB4:AB124,1)),"Unknown Option Type"))-IF('Adjustment Surface'!$C$2='Data Validation'!$A$2,INDEX(AG4:AG124,MATCH(INDEX(AC4:AC124,MATCH('Adjustment Surface'!D14,AC4:AC124,1)),AB4:AB124,1)),IF('Adjustment Surface'!$C$2='Data Validation'!$A$3,INDEX(AH4:AH124,MATCH(INDEX(AC4:AC124,MATCH('Adjustment Surface'!D14,AC4:AC124,1)),AB4:AB124,1)),"Unknown Option Type")))/(INDEX(AI4:AI124,MATCH(INDEX(AC4:AC124,MATCH('Adjustment Surface'!D14,AC4:AC124,1)),AB4:AB124,1))*SQRT(((('Adjustment Surface'!D14-INDEX(AC4:AC124,MATCH('Adjustment Surface'!D14,AC4:AC124,1)))/360)+INDEX(AE4:AE124,MATCH(INDEX(AC4:AC124,MATCH('Adjustment Surface'!D14,AC4:AC124,1)),AC4:AC124,0))))),0,1,TRUE)))+((INDEX(AI4:AI124,MATCH(INDEX(AC4:AC124,MATCH('Adjustment Surface'!D14,AC4:AC124,1)),AB4:AB124,1))*SQRT(((('Adjustment Surface'!D14-INDEX(AC4:AC124,MATCH('Adjustment Surface'!D14,AC4:AC124,1)))/360)+INDEX(AE4:AE124,MATCH(INDEX(AC4:AC124,MATCH('Adjustment Surface'!D14,AC4:AC124,1)),AC4:AC124,0)))))*(NORMDIST((IF('Adjustment Surface'!$C$2='Data Validation'!$A$2,INDEX(AH4:AH124,MATCH(INDEX(AC4:AC124,MATCH('Adjustment Surface'!D14,AC4:AC124,1)),AB4:AB124,1)),IF('Adjustment Surface'!$C$2='Data Validation'!$A$3,INDEX(AG4:AG124,MATCH(INDEX(AC4:AC124,MATCH('Adjustment Surface'!D14,AC4:AC124,1)),AB4:AB124,1)),"Unknown Option Type"))-IF('Adjustment Surface'!$C$2='Data Validation'!$A$2,INDEX(AG4:AG124,MATCH(INDEX(AC4:AC124,MATCH('Adjustment Surface'!D14,AC4:AC124,1)),AB4:AB124,1)),IF('Adjustment Surface'!$C$2='Data Validation'!$A$3,INDEX(AH4:AH124,MATCH(INDEX(AC4:AC124,MATCH('Adjustment Surface'!D14,AC4:AC124,1)),AB4:AB124,1)),"Unknown Option Type")))/(INDEX(AI4:AI124,MATCH(INDEX(AC4:AC124,MATCH('Adjustment Surface'!D14,AC4:AC124,1)),AB4:AB124,1))*SQRT(((('Adjustment Surface'!D14-INDEX(AC4:AC124,MATCH('Adjustment Surface'!D14,AC4:AC124,1)))/360)+INDEX(AE4:AE124,MATCH(INDEX(AC4:AC124,MATCH('Adjustment Surface'!D14,AC4:AC124,1)),AC4:AC124,0))))),0,1,FALSE))))*(1/((1+INDEX(AH4:AH124,MATCH(INDEX(AC4:AC124,MATCH('Adjustment Surface'!D14,AC4:AC124,1)),AB4:AB124,1)))^(('Adjustment Surface'!D14-AB4)/360)))*(('Adjustment Surface'!D14-INDEX(AC4:AC124,MATCH('Adjustment Surface'!D14,AC4:AC124,1)))/360)*INDEX(AF4:AF124,MATCH(INDEX(AC4:AC124,MATCH('Adjustment Surface'!D14,AC4:AC124,1)),AB4:AB124,1)))/INDEX(AF4:AF124,MATCH(INDEX(AC4:AC124,MATCH('Adjustment Surface'!D14,AC4:AC124,1)),AB4:AB124,1))))*INDEX(AF4:AF124,MATCH(INDEX(AC4:AC124,MATCH('Adjustment Surface'!D14,AC4:AC124,1)),AB4:AB124,1)))*(1/((1+INDEX(AH4:AH124,MATCH(INDEX(AC4:AC124,MATCH('Adjustment Surface'!D14,AC4:AC124,1)),AB4:AB124,1)))^(('Adjustment Surface'!D14-AB4)/360))))</f>
        <v>1607.103273886461</v>
      </c>
      <c r="E11" s="21">
        <f>INDEX(AP4:AP124,MATCH(INDEX(AC4:AC124,MATCH('Adjustment Surface'!E14,AC4:AC124,1)),AC4:AC124,0))+(((((((IF('Adjustment Surface'!$C$2='Data Validation'!$A$2,INDEX(AH4:AH124,MATCH(INDEX(AC4:AC124,MATCH('Adjustment Surface'!E14,AC4:AC124,1)),AB4:AB124,1)),IF('Adjustment Surface'!$C$2='Data Validation'!$A$3,INDEX(AG4:AG124,MATCH(INDEX(AC4:AC124,MATCH('Adjustment Surface'!E14,AC4:AC124,1)),AB4:AB124,1)),"Unknown Option Type"))-IF('Adjustment Surface'!$C$2='Data Validation'!$A$2,INDEX(AG4:AG124,MATCH(INDEX(AC4:AC124,MATCH('Adjustment Surface'!E14,AC4:AC124,1)),AB4:AB124,1)),IF('Adjustment Surface'!$C$2='Data Validation'!$A$3,INDEX(AH4:AH124,MATCH(INDEX(AC4:AC124,MATCH('Adjustment Surface'!E14,AC4:AC124,1)),AB4:AB124,1)),"Unknown Option Type")))*(NORMDIST((IF('Adjustment Surface'!$C$2='Data Validation'!$A$2,INDEX(AH4:AH124,MATCH(INDEX(AC4:AC124,MATCH('Adjustment Surface'!E14,AC4:AC124,1)),AB4:AB124,1)),IF('Adjustment Surface'!$C$2='Data Validation'!$A$3,INDEX(AG4:AG124,MATCH(INDEX(AC4:AC124,MATCH('Adjustment Surface'!E14,AC4:AC124,1)),AB4:AB124,1)),"Unknown Option Type"))-IF('Adjustment Surface'!$C$2='Data Validation'!$A$2,INDEX(AG4:AG124,MATCH(INDEX(AC4:AC124,MATCH('Adjustment Surface'!E14,AC4:AC124,1)),AB4:AB124,1)),IF('Adjustment Surface'!$C$2='Data Validation'!$A$3,INDEX(AH4:AH124,MATCH(INDEX(AC4:AC124,MATCH('Adjustment Surface'!E14,AC4:AC124,1)),AB4:AB124,1)),"Unknown Option Type")))/((INDEX(AI4:AI124,MATCH(INDEX(AC4:AC124,MATCH('Adjustment Surface'!E14,AC4:AC124,1)),AB4:AB124,1))+0.01%)*SQRT(((('Adjustment Surface'!E14-INDEX(AC4:AC124,MATCH('Adjustment Surface'!E14,AC4:AC124,1)))/360)+INDEX(AE4:AE124,MATCH(INDEX(AC4:AC124,MATCH('Adjustment Surface'!E14,AC4:AC124,1)),AC4:AC124,0))))),0,1,TRUE)))+(((INDEX(AI4:AI124,MATCH(INDEX(AC4:AC124,MATCH('Adjustment Surface'!E14,AC4:AC124,1)),AB4:AB124,1))+0.01%)*SQRT(((('Adjustment Surface'!E14-INDEX(AC4:AC124,MATCH('Adjustment Surface'!E14,AC4:AC124,1)))/360)+INDEX(AE4:AE124,MATCH(INDEX(AC4:AC124,MATCH('Adjustment Surface'!E14,AC4:AC124,1)),AC4:AC124,0)))))*(NORMDIST((IF('Adjustment Surface'!$C$2='Data Validation'!$A$2,INDEX(AH4:AH124,MATCH(INDEX(AC4:AC124,MATCH('Adjustment Surface'!E14,AC4:AC124,1)),AB4:AB124,1)),IF('Adjustment Surface'!$C$2='Data Validation'!$A$3,INDEX(AG4:AG124,MATCH(INDEX(AC4:AC124,MATCH('Adjustment Surface'!E14,AC4:AC124,1)),AB4:AB124,1)),"Unknown Option Type"))-IF('Adjustment Surface'!$C$2='Data Validation'!$A$2,INDEX(AG4:AG124,MATCH(INDEX(AC4:AC124,MATCH('Adjustment Surface'!E14,AC4:AC124,1)),AB4:AB124,1)),IF('Adjustment Surface'!$C$2='Data Validation'!$A$3,INDEX(AH4:AH124,MATCH(INDEX(AC4:AC124,MATCH('Adjustment Surface'!E14,AC4:AC124,1)),AB4:AB124,1)),"Unknown Option Type")))/((INDEX(AI4:AI124,MATCH(INDEX(AC4:AC124,MATCH('Adjustment Surface'!E14,AC4:AC124,1)),AB4:AB124,1))+0.01%)*SQRT(((('Adjustment Surface'!E14-INDEX(AC4:AC124,MATCH('Adjustment Surface'!E14,AC4:AC124,1)))/360)+INDEX(AE4:AE124,MATCH(INDEX(AC4:AC124,MATCH('Adjustment Surface'!E14,AC4:AC124,1)),AC4:AC124,0))))),0,1,FALSE))))*(1/((1+INDEX(AH4:AH124,MATCH(INDEX(AC4:AC124,MATCH('Adjustment Surface'!E14,AC4:AC124,1)),AB4:AB124,1)))^(('Adjustment Surface'!E14-AB4)/360)))*(('Adjustment Surface'!E14-INDEX(AC4:AC124,MATCH('Adjustment Surface'!E14,AC4:AC124,1)))/360))-(((((IF('Adjustment Surface'!$C$2='Data Validation'!$A$2,INDEX(AH4:AH124,MATCH(INDEX(AC4:AC124,MATCH('Adjustment Surface'!E14,AC4:AC124,1)),AB4:AB124,1)),IF('Adjustment Surface'!$C$2='Data Validation'!$A$3,INDEX(AG4:AG124,MATCH(INDEX(AC4:AC124,MATCH('Adjustment Surface'!E14,AC4:AC124,1)),AB4:AB124,1)),"Unknown Option Type"))-IF('Adjustment Surface'!$C$2='Data Validation'!$A$2,INDEX(AG4:AG124,MATCH(INDEX(AC4:AC124,MATCH('Adjustment Surface'!E14,AC4:AC124,1)),AB4:AB124,1)),IF('Adjustment Surface'!$C$2='Data Validation'!$A$3,INDEX(AH4:AH124,MATCH(INDEX(AC4:AC124,MATCH('Adjustment Surface'!E14,AC4:AC124,1)),AB4:AB124,1)),"Unknown Option Type")))*(NORMDIST((IF('Adjustment Surface'!$C$2='Data Validation'!$A$2,INDEX(AH4:AH124,MATCH(INDEX(AC4:AC124,MATCH('Adjustment Surface'!E14,AC4:AC124,1)),AB4:AB124,1)),IF('Adjustment Surface'!$C$2='Data Validation'!$A$3,INDEX(AG4:AG124,MATCH(INDEX(AC4:AC124,MATCH('Adjustment Surface'!E14,AC4:AC124,1)),AB4:AB124,1)),"Unknown Option Type"))-IF('Adjustment Surface'!$C$2='Data Validation'!$A$2,INDEX(AG4:AG124,MATCH(INDEX(AC4:AC124,MATCH('Adjustment Surface'!E14,AC4:AC124,1)),AB4:AB124,1)),IF('Adjustment Surface'!$C$2='Data Validation'!$A$3,INDEX(AH4:AH124,MATCH(INDEX(AC4:AC124,MATCH('Adjustment Surface'!E14,AC4:AC124,1)),AB4:AB124,1)),"Unknown Option Type")))/(INDEX(AI4:AI124,MATCH(INDEX(AC4:AC124,MATCH('Adjustment Surface'!E14,AC4:AC124,1)),AB4:AB124,1))*SQRT(((('Adjustment Surface'!E14-INDEX(AC4:AC124,MATCH('Adjustment Surface'!E14,AC4:AC124,1)))/360)+INDEX(AE4:AE124,MATCH(INDEX(AC4:AC124,MATCH('Adjustment Surface'!E14,AC4:AC124,1)),AC4:AC124,0))))),0,1,TRUE)))+((INDEX(AI4:AI124,MATCH(INDEX(AC4:AC124,MATCH('Adjustment Surface'!E14,AC4:AC124,1)),AB4:AB124,1))*SQRT(((('Adjustment Surface'!E14-INDEX(AC4:AC124,MATCH('Adjustment Surface'!E14,AC4:AC124,1)))/360)+INDEX(AE4:AE124,MATCH(INDEX(AC4:AC124,MATCH('Adjustment Surface'!E14,AC4:AC124,1)),AC4:AC124,0)))))*(NORMDIST((IF('Adjustment Surface'!$C$2='Data Validation'!$A$2,INDEX(AH4:AH124,MATCH(INDEX(AC4:AC124,MATCH('Adjustment Surface'!E14,AC4:AC124,1)),AB4:AB124,1)),IF('Adjustment Surface'!$C$2='Data Validation'!$A$3,INDEX(AG4:AG124,MATCH(INDEX(AC4:AC124,MATCH('Adjustment Surface'!E14,AC4:AC124,1)),AB4:AB124,1)),"Unknown Option Type"))-IF('Adjustment Surface'!$C$2='Data Validation'!$A$2,INDEX(AG4:AG124,MATCH(INDEX(AC4:AC124,MATCH('Adjustment Surface'!E14,AC4:AC124,1)),AB4:AB124,1)),IF('Adjustment Surface'!$C$2='Data Validation'!$A$3,INDEX(AH4:AH124,MATCH(INDEX(AC4:AC124,MATCH('Adjustment Surface'!E14,AC4:AC124,1)),AB4:AB124,1)),"Unknown Option Type")))/(INDEX(AI4:AI124,MATCH(INDEX(AC4:AC124,MATCH('Adjustment Surface'!E14,AC4:AC124,1)),AB4:AB124,1))*SQRT(((('Adjustment Surface'!E14-INDEX(AC4:AC124,MATCH('Adjustment Surface'!E14,AC4:AC124,1)))/360)+INDEX(AE4:AE124,MATCH(INDEX(AC4:AC124,MATCH('Adjustment Surface'!E14,AC4:AC124,1)),AC4:AC124,0))))),0,1,FALSE))))*(1/((1+INDEX(AH4:AH124,MATCH(INDEX(AC4:AC124,MATCH('Adjustment Surface'!E14,AC4:AC124,1)),AB4:AB124,1)))^(('Adjustment Surface'!E14-AB4)/360)))*(('Adjustment Surface'!E14-INDEX(AC4:AC124,MATCH('Adjustment Surface'!E14,AC4:AC124,1)))/360)*INDEX(AF4:AF124,MATCH(INDEX(AC4:AC124,MATCH('Adjustment Surface'!E14,AC4:AC124,1)),AB4:AB124,1)))/INDEX(AF4:AF124,MATCH(INDEX(AC4:AC124,MATCH('Adjustment Surface'!E14,AC4:AC124,1)),AB4:AB124,1))))*INDEX(AF4:AF124,MATCH(INDEX(AC4:AC124,MATCH('Adjustment Surface'!E14,AC4:AC124,1)),AB4:AB124,1)))*(1/((1+INDEX(AH4:AH124,MATCH(INDEX(AC4:AC124,MATCH('Adjustment Surface'!E14,AC4:AC124,1)),AB4:AB124,1)))^(('Adjustment Surface'!E14-AB4)/360))))</f>
        <v>2927.2761598013476</v>
      </c>
      <c r="F11" s="21">
        <f>INDEX(AP4:AP124,MATCH(INDEX(AC4:AC124,MATCH('Adjustment Surface'!F14,AC4:AC124,1)),AC4:AC124,0))+(((((((IF('Adjustment Surface'!$C$2='Data Validation'!$A$2,INDEX(AH4:AH124,MATCH(INDEX(AC4:AC124,MATCH('Adjustment Surface'!F14,AC4:AC124,1)),AB4:AB124,1)),IF('Adjustment Surface'!$C$2='Data Validation'!$A$3,INDEX(AG4:AG124,MATCH(INDEX(AC4:AC124,MATCH('Adjustment Surface'!F14,AC4:AC124,1)),AB4:AB124,1)),"Unknown Option Type"))-IF('Adjustment Surface'!$C$2='Data Validation'!$A$2,INDEX(AG4:AG124,MATCH(INDEX(AC4:AC124,MATCH('Adjustment Surface'!F14,AC4:AC124,1)),AB4:AB124,1)),IF('Adjustment Surface'!$C$2='Data Validation'!$A$3,INDEX(AH4:AH124,MATCH(INDEX(AC4:AC124,MATCH('Adjustment Surface'!F14,AC4:AC124,1)),AB4:AB124,1)),"Unknown Option Type")))*(NORMDIST((IF('Adjustment Surface'!$C$2='Data Validation'!$A$2,INDEX(AH4:AH124,MATCH(INDEX(AC4:AC124,MATCH('Adjustment Surface'!F14,AC4:AC124,1)),AB4:AB124,1)),IF('Adjustment Surface'!$C$2='Data Validation'!$A$3,INDEX(AG4:AG124,MATCH(INDEX(AC4:AC124,MATCH('Adjustment Surface'!F14,AC4:AC124,1)),AB4:AB124,1)),"Unknown Option Type"))-IF('Adjustment Surface'!$C$2='Data Validation'!$A$2,INDEX(AG4:AG124,MATCH(INDEX(AC4:AC124,MATCH('Adjustment Surface'!F14,AC4:AC124,1)),AB4:AB124,1)),IF('Adjustment Surface'!$C$2='Data Validation'!$A$3,INDEX(AH4:AH124,MATCH(INDEX(AC4:AC124,MATCH('Adjustment Surface'!F14,AC4:AC124,1)),AB4:AB124,1)),"Unknown Option Type")))/((INDEX(AI4:AI124,MATCH(INDEX(AC4:AC124,MATCH('Adjustment Surface'!F14,AC4:AC124,1)),AB4:AB124,1))+0.01%)*SQRT(((('Adjustment Surface'!F14-INDEX(AC4:AC124,MATCH('Adjustment Surface'!F14,AC4:AC124,1)))/360)+INDEX(AE4:AE124,MATCH(INDEX(AC4:AC124,MATCH('Adjustment Surface'!F14,AC4:AC124,1)),AC4:AC124,0))))),0,1,TRUE)))+(((INDEX(AI4:AI124,MATCH(INDEX(AC4:AC124,MATCH('Adjustment Surface'!F14,AC4:AC124,1)),AB4:AB124,1))+0.01%)*SQRT(((('Adjustment Surface'!F14-INDEX(AC4:AC124,MATCH('Adjustment Surface'!F14,AC4:AC124,1)))/360)+INDEX(AE4:AE124,MATCH(INDEX(AC4:AC124,MATCH('Adjustment Surface'!F14,AC4:AC124,1)),AC4:AC124,0)))))*(NORMDIST((IF('Adjustment Surface'!$C$2='Data Validation'!$A$2,INDEX(AH4:AH124,MATCH(INDEX(AC4:AC124,MATCH('Adjustment Surface'!F14,AC4:AC124,1)),AB4:AB124,1)),IF('Adjustment Surface'!$C$2='Data Validation'!$A$3,INDEX(AG4:AG124,MATCH(INDEX(AC4:AC124,MATCH('Adjustment Surface'!F14,AC4:AC124,1)),AB4:AB124,1)),"Unknown Option Type"))-IF('Adjustment Surface'!$C$2='Data Validation'!$A$2,INDEX(AG4:AG124,MATCH(INDEX(AC4:AC124,MATCH('Adjustment Surface'!F14,AC4:AC124,1)),AB4:AB124,1)),IF('Adjustment Surface'!$C$2='Data Validation'!$A$3,INDEX(AH4:AH124,MATCH(INDEX(AC4:AC124,MATCH('Adjustment Surface'!F14,AC4:AC124,1)),AB4:AB124,1)),"Unknown Option Type")))/((INDEX(AI4:AI124,MATCH(INDEX(AC4:AC124,MATCH('Adjustment Surface'!F14,AC4:AC124,1)),AB4:AB124,1))+0.01%)*SQRT(((('Adjustment Surface'!F14-INDEX(AC4:AC124,MATCH('Adjustment Surface'!F14,AC4:AC124,1)))/360)+INDEX(AE4:AE124,MATCH(INDEX(AC4:AC124,MATCH('Adjustment Surface'!F14,AC4:AC124,1)),AC4:AC124,0))))),0,1,FALSE))))*(1/((1+INDEX(AH4:AH124,MATCH(INDEX(AC4:AC124,MATCH('Adjustment Surface'!F14,AC4:AC124,1)),AB4:AB124,1)))^(('Adjustment Surface'!F14-AB4)/360)))*(('Adjustment Surface'!F14-INDEX(AC4:AC124,MATCH('Adjustment Surface'!F14,AC4:AC124,1)))/360))-(((((IF('Adjustment Surface'!$C$2='Data Validation'!$A$2,INDEX(AH4:AH124,MATCH(INDEX(AC4:AC124,MATCH('Adjustment Surface'!F14,AC4:AC124,1)),AB4:AB124,1)),IF('Adjustment Surface'!$C$2='Data Validation'!$A$3,INDEX(AG4:AG124,MATCH(INDEX(AC4:AC124,MATCH('Adjustment Surface'!F14,AC4:AC124,1)),AB4:AB124,1)),"Unknown Option Type"))-IF('Adjustment Surface'!$C$2='Data Validation'!$A$2,INDEX(AG4:AG124,MATCH(INDEX(AC4:AC124,MATCH('Adjustment Surface'!F14,AC4:AC124,1)),AB4:AB124,1)),IF('Adjustment Surface'!$C$2='Data Validation'!$A$3,INDEX(AH4:AH124,MATCH(INDEX(AC4:AC124,MATCH('Adjustment Surface'!F14,AC4:AC124,1)),AB4:AB124,1)),"Unknown Option Type")))*(NORMDIST((IF('Adjustment Surface'!$C$2='Data Validation'!$A$2,INDEX(AH4:AH124,MATCH(INDEX(AC4:AC124,MATCH('Adjustment Surface'!F14,AC4:AC124,1)),AB4:AB124,1)),IF('Adjustment Surface'!$C$2='Data Validation'!$A$3,INDEX(AG4:AG124,MATCH(INDEX(AC4:AC124,MATCH('Adjustment Surface'!F14,AC4:AC124,1)),AB4:AB124,1)),"Unknown Option Type"))-IF('Adjustment Surface'!$C$2='Data Validation'!$A$2,INDEX(AG4:AG124,MATCH(INDEX(AC4:AC124,MATCH('Adjustment Surface'!F14,AC4:AC124,1)),AB4:AB124,1)),IF('Adjustment Surface'!$C$2='Data Validation'!$A$3,INDEX(AH4:AH124,MATCH(INDEX(AC4:AC124,MATCH('Adjustment Surface'!F14,AC4:AC124,1)),AB4:AB124,1)),"Unknown Option Type")))/(INDEX(AI4:AI124,MATCH(INDEX(AC4:AC124,MATCH('Adjustment Surface'!F14,AC4:AC124,1)),AB4:AB124,1))*SQRT(((('Adjustment Surface'!F14-INDEX(AC4:AC124,MATCH('Adjustment Surface'!F14,AC4:AC124,1)))/360)+INDEX(AE4:AE124,MATCH(INDEX(AC4:AC124,MATCH('Adjustment Surface'!F14,AC4:AC124,1)),AC4:AC124,0))))),0,1,TRUE)))+((INDEX(AI4:AI124,MATCH(INDEX(AC4:AC124,MATCH('Adjustment Surface'!F14,AC4:AC124,1)),AB4:AB124,1))*SQRT(((('Adjustment Surface'!F14-INDEX(AC4:AC124,MATCH('Adjustment Surface'!F14,AC4:AC124,1)))/360)+INDEX(AE4:AE124,MATCH(INDEX(AC4:AC124,MATCH('Adjustment Surface'!F14,AC4:AC124,1)),AC4:AC124,0)))))*(NORMDIST((IF('Adjustment Surface'!$C$2='Data Validation'!$A$2,INDEX(AH4:AH124,MATCH(INDEX(AC4:AC124,MATCH('Adjustment Surface'!F14,AC4:AC124,1)),AB4:AB124,1)),IF('Adjustment Surface'!$C$2='Data Validation'!$A$3,INDEX(AG4:AG124,MATCH(INDEX(AC4:AC124,MATCH('Adjustment Surface'!F14,AC4:AC124,1)),AB4:AB124,1)),"Unknown Option Type"))-IF('Adjustment Surface'!$C$2='Data Validation'!$A$2,INDEX(AG4:AG124,MATCH(INDEX(AC4:AC124,MATCH('Adjustment Surface'!F14,AC4:AC124,1)),AB4:AB124,1)),IF('Adjustment Surface'!$C$2='Data Validation'!$A$3,INDEX(AH4:AH124,MATCH(INDEX(AC4:AC124,MATCH('Adjustment Surface'!F14,AC4:AC124,1)),AB4:AB124,1)),"Unknown Option Type")))/(INDEX(AI4:AI124,MATCH(INDEX(AC4:AC124,MATCH('Adjustment Surface'!F14,AC4:AC124,1)),AB4:AB124,1))*SQRT(((('Adjustment Surface'!F14-INDEX(AC4:AC124,MATCH('Adjustment Surface'!F14,AC4:AC124,1)))/360)+INDEX(AE4:AE124,MATCH(INDEX(AC4:AC124,MATCH('Adjustment Surface'!F14,AC4:AC124,1)),AC4:AC124,0))))),0,1,FALSE))))*(1/((1+INDEX(AH4:AH124,MATCH(INDEX(AC4:AC124,MATCH('Adjustment Surface'!F14,AC4:AC124,1)),AB4:AB124,1)))^(('Adjustment Surface'!F14-AB4)/360)))*(('Adjustment Surface'!F14-INDEX(AC4:AC124,MATCH('Adjustment Surface'!F14,AC4:AC124,1)))/360)*INDEX(AF4:AF124,MATCH(INDEX(AC4:AC124,MATCH('Adjustment Surface'!F14,AC4:AC124,1)),AB4:AB124,1)))/INDEX(AF4:AF124,MATCH(INDEX(AC4:AC124,MATCH('Adjustment Surface'!F14,AC4:AC124,1)),AB4:AB124,1))))*INDEX(AF4:AF124,MATCH(INDEX(AC4:AC124,MATCH('Adjustment Surface'!F14,AC4:AC124,1)),AB4:AB124,1)))*(1/((1+INDEX(AH4:AH124,MATCH(INDEX(AC4:AC124,MATCH('Adjustment Surface'!F14,AC4:AC124,1)),AB4:AB124,1)))^(('Adjustment Surface'!F14-AB4)/360))))</f>
        <v>4333.2968845514233</v>
      </c>
      <c r="G11" s="76"/>
      <c r="I11" s="3">
        <v>8</v>
      </c>
      <c r="J11" s="4">
        <f>IF(K10='Adjustment Surface'!C$8,"",K10)</f>
        <v>46276</v>
      </c>
      <c r="K11" s="4">
        <f>IF(J11="","",IF(J11&lt;'Adjustment Surface'!C$7,EDATE(J$5,COUNT(J$5:J11)),IF(J11='Adjustment Surface'!C$7,'Adjustment Surface'!C$8,'Adjustment Surface'!C$7)))</f>
        <v>46306</v>
      </c>
      <c r="L11" s="3">
        <f t="shared" si="1"/>
        <v>30</v>
      </c>
      <c r="M11" s="5">
        <f>IF(I11="","",(K11-'Rate &amp; Vol Update'!$C$2)/360)</f>
        <v>0.67222222222222228</v>
      </c>
      <c r="N11" s="15">
        <f>IF(I11="","",IF('Adjustment Surface'!C$3='Data Validation'!$C$2,'Adjustment Surface'!C$4,IF(INDEX(Schedules!$E$3:$E$123,MATCH('Bachelier Model'!J11,Schedules!$B$3:$B$123,0))="",N10,INDEX(Schedules!$E$3:$E$123,MATCH('Bachelier Model'!J11,Schedules!$B$3:$B$123,0)))))</f>
        <v>25000000</v>
      </c>
      <c r="O11" s="16">
        <f>IF(I11="","",IF('Adjustment Surface'!C$9='Data Validation'!$D$2,'Adjustment Surface'!C$10,IF(INDEX(Schedules!$H$3:$H$123,MATCH('Bachelier Model'!J11,Schedules!$B$3:$B$123,0))="",O10,INDEX(Schedules!$H$3:$H$123,MATCH('Bachelier Model'!J11,Schedules!$B$3:$B$123,0)))))</f>
        <v>0.02</v>
      </c>
      <c r="P11" s="16" cm="1">
        <f t="array" ref="P11">IF(I11="","",FORECAST(J11,INDEX('Rate &amp; Vol Update'!$C$6:$C$127,MATCH(INDEX('Rate &amp; Vol Update'!$B$6:$B$127,MATCH(J11,'Rate &amp; Vol Update'!$B$6:$B$127,1)),'Rate &amp; Vol Update'!$B$6:$B$127,0)+IF('Adjustment Surface'!C$11='Data Validation'!$E$3,-1,0)):INDEX('Rate &amp; Vol Update'!$C$6:$C$127,MATCH(INDEX('Rate &amp; Vol Update'!$B$6:$B$127,MATCH(J11,'Rate &amp; Vol Update'!$B$6:$B$127,1)+1),'Rate &amp; Vol Update'!$B$6:$B$127,0)+IF('Adjustment Surface'!C$11='Data Validation'!$E$3,-1,0)),INDEX('Rate &amp; Vol Update'!$B$6:$B$127,MATCH(J11,'Rate &amp; Vol Update'!$B$6:$B$127,1)):INDEX('Rate &amp; Vol Update'!$B$6:$B$127,MATCH(J11,'Rate &amp; Vol Update'!$B$6:$B$127,1)+1))/100)</f>
        <v>3.3016426049774027E-2</v>
      </c>
      <c r="Q11" s="16" cm="1">
        <f t="array" ref="Q11">IF(I11="","",IF(J11&lt;'Rate &amp; Vol Update'!$C$2,0.001%,(1/((INDEX('Rate &amp; Vol Update'!$E$6:$Z$6,1,MATCH(O11,'Rate &amp; Vol Update'!$E$6:$Z$6,1)+1)-INDEX('Rate &amp; Vol Update'!$E$6:$Z$6,1,MATCH(O11,'Rate &amp; Vol Update'!$E$6:$Z$6,1)))*(INDEX('Rate &amp; Vol Update'!$B$8:$B$127,MATCH(J11,'Rate &amp; Vol Update'!$B$8:$B$127,1)+1)-INDEX('Rate &amp; Vol Update'!$B$8:$B$127,MATCH(J11,'Rate &amp; Vol Update'!$B$8:$B$127,1))))*(INDEX('Rate &amp; Vol Update'!$E$8:$Z$127,MATCH(INDEX('Rate &amp; Vol Update'!$B$8:$B$127,MATCH(J11,'Rate &amp; Vol Update'!$B$8:$B$127,1)),'Rate &amp; Vol Update'!$B$8:$B$127,0),MATCH(INDEX('Rate &amp; Vol Update'!$E$6:$Z$6,1,MATCH(O11,'Rate &amp; Vol Update'!$E$6:$Z$6,1)),'Rate &amp; Vol Update'!$E$6:$Z$6,0))*(INDEX('Rate &amp; Vol Update'!$E$6:$Z$6,1,MATCH(O11,'Rate &amp; Vol Update'!$E$6:$Z$6,1)+1)-O11)*(INDEX('Rate &amp; Vol Update'!$B$8:$B$127,MATCH(J11,'Rate &amp; Vol Update'!$B$8:$B$127,1)+1)-J11)+INDEX('Rate &amp; Vol Update'!$E$8:$Z$127,MATCH(INDEX('Rate &amp; Vol Update'!$B$8:$B$127,MATCH(J11,'Rate &amp; Vol Update'!$B$8:$B$127,1)),'Rate &amp; Vol Update'!$B$8:$B$127,0),MATCH(INDEX('Rate &amp; Vol Update'!$E$6:$Z$6,1,MATCH(O11,'Rate &amp; Vol Update'!$E$6:$Z$6,1)+1),'Rate &amp; Vol Update'!$E$6:$Z$6,0))*(O11-INDEX('Rate &amp; Vol Update'!$E$6:$Z$6,1,MATCH(O11,'Rate &amp; Vol Update'!$E$6:$Z$6,1)))*(INDEX('Rate &amp; Vol Update'!$B$8:$B$127,MATCH(J11,'Rate &amp; Vol Update'!$B$8:$B$127,1)+1)-J11)+INDEX('Rate &amp; Vol Update'!$E$8:$Z$127,MATCH(INDEX('Rate &amp; Vol Update'!$B$8:$B$127,MATCH(J11,'Rate &amp; Vol Update'!$B$8:$B$127,1)+1),'Rate &amp; Vol Update'!$B$8:$B$127,0),MATCH(INDEX('Rate &amp; Vol Update'!$E$6:$Z$6,1,MATCH(O11,'Rate &amp; Vol Update'!$E$6:$Z$6,1)),'Rate &amp; Vol Update'!$E$6:$Z$6,0))*(INDEX('Rate &amp; Vol Update'!$E$6:$Z$6,1,MATCH(O11,'Rate &amp; Vol Update'!$E$6:$Z$6,1)+1)-O11)*(J11-INDEX('Rate &amp; Vol Update'!$B$8:$B$127,MATCH(J11,'Rate &amp; Vol Update'!$B$8:$B$127,1)))+INDEX('Rate &amp; Vol Update'!$E$8:$Z$127,MATCH(INDEX('Rate &amp; Vol Update'!$B$8:$B$127,MATCH(J11,'Rate &amp; Vol Update'!$B$8:$B$127,1)+1),'Rate &amp; Vol Update'!$B$8:$B$127,0),MATCH(INDEX('Rate &amp; Vol Update'!$E$6:$Z$6,1,MATCH(O11,'Rate &amp; Vol Update'!$E$6:$Z$6,1)+1),'Rate &amp; Vol Update'!$E$6:$Z$6,0))*(O11-INDEX('Rate &amp; Vol Update'!$E$6:$Z$6,1,MATCH(O11,'Rate &amp; Vol Update'!$E$6:$Z$6,1)))*(J11-INDEX('Rate &amp; Vol Update'!$B$8:$B$127,MATCH(J11,'Rate &amp; Vol Update'!$B$8:$B$127,1)))))*0.01%))</f>
        <v>9.1430612442398376E-3</v>
      </c>
      <c r="R11" s="5">
        <f>IF(I11="","",1/((1+P11)^((K11-'Rate &amp; Vol Update'!$C$2)/360)))</f>
        <v>0.97840082066164102</v>
      </c>
      <c r="T11" s="15">
        <f>IF(I11="","",IF(J11&lt;'Rate &amp; Vol Update'!$C$2,MAX(0,P11-O11)*(L11/360)*N11,(((IF('Adjustment Surface'!C$2='Data Validation'!$A$2,P11,IF('Adjustment Surface'!C$2='Data Validation'!$A$3,O11,"Unknown Option Type"))-IF('Adjustment Surface'!C$2='Data Validation'!$A$2,O11,IF('Adjustment Surface'!C$2='Data Validation'!$A$3,P11,"Unknown Option Type")))*(NORMDIST((IF('Adjustment Surface'!C$2='Data Validation'!$A$2,P11,IF('Adjustment Surface'!C$2='Data Validation'!$A$3,O11,"Unknown Option Type"))-IF('Adjustment Surface'!C$2='Data Validation'!$A$2,O11,IF('Adjustment Surface'!C$2='Data Validation'!$A$3,P11,"Unknown Option Type")))/(Q11*SQRT(M11)),0,1,TRUE)))+((Q11*SQRT(M11))*(NORMDIST((IF('Adjustment Surface'!C$2='Data Validation'!$A$2,P11,IF('Adjustment Surface'!C$2='Data Validation'!$A$3,O11,"Unknown Option Type"))-IF('Adjustment Surface'!C$2='Data Validation'!$A$2,O11,IF('Adjustment Surface'!C$2='Data Validation'!$A$3,P11,"Unknown Option Type")))/(Q11*SQRT(M11)),0,1,FALSE))))*R11*(L11/360)*N11))</f>
        <v>26787.435924992282</v>
      </c>
      <c r="U11" s="15">
        <f>IF(I11="","",SUM(T$4:T11))</f>
        <v>253419.71616983469</v>
      </c>
      <c r="W11" s="15">
        <f>IF(I11="","",IF(J11&lt;'Rate &amp; Vol Update'!$C$2,0,((((((IF('Adjustment Surface'!C$2='Data Validation'!$A$2,P11,IF('Adjustment Surface'!C$2='Data Validation'!$A$3,O11,"Unknown Option Type"))-IF('Adjustment Surface'!C$2='Data Validation'!$A$2,O11,IF('Adjustment Surface'!C$2='Data Validation'!$A$3,P11,"Unknown Option Type")))*(NORMDIST((IF('Adjustment Surface'!C$2='Data Validation'!$A$2,P11,IF('Adjustment Surface'!C$2='Data Validation'!$A$3,O11,"Unknown Option Type"))-IF('Adjustment Surface'!C$2='Data Validation'!$A$2,O11,IF('Adjustment Surface'!C$2='Data Validation'!$A$3,P11,"Unknown Option Type")))/((Q11+0.01%)*SQRT(M11)),0,1,TRUE)))+(((Q11+0.01%)*SQRT(M11))*(NORMDIST((IF('Adjustment Surface'!C$2='Data Validation'!$A$2,P11,IF('Adjustment Surface'!C$2='Data Validation'!$A$3,O11,"Unknown Option Type"))-IF('Adjustment Surface'!C$2='Data Validation'!$A$2,O11,IF('Adjustment Surface'!C$2='Data Validation'!$A$3,P11,"Unknown Option Type")))/((Q11+0.01%)*SQRT(M11)),0,1,FALSE))))*R11*(L11/360))-(T11/N11))*N11)*R11))</f>
        <v>14.684596721985525</v>
      </c>
      <c r="X11" s="15">
        <f>IF(I11="","",SUM(W$4:W11))</f>
        <v>31.735743048370868</v>
      </c>
      <c r="Y11" s="15"/>
      <c r="Z11" s="20"/>
      <c r="AA11" s="3">
        <v>8</v>
      </c>
      <c r="AB11" s="4">
        <f>IF(AC10=MAX('Adjustment Surface'!$C$14:$F$14),"",AC10)</f>
        <v>46276</v>
      </c>
      <c r="AC11" s="4">
        <f>IF(AB11="","",IF(AB11&lt;EDATE('Adjustment Surface'!$C$6,DATEDIF('Adjustment Surface'!$C$6,MAX('Adjustment Surface'!$C$14:$F$14),"M")),EDATE(AB$5,COUNT(AB$5:AB11)),IF(AB11=EDATE('Adjustment Surface'!$C$6,DATEDIF('Adjustment Surface'!$C$6,MAX('Adjustment Surface'!$C$14:$F$14),"M")),MAX('Adjustment Surface'!$C$14:$F$14),EDATE('Adjustment Surface'!$C$6,DATEDIF('Adjustment Surface'!$C$6,MAX('Adjustment Surface'!$C$14:$F$14),"M")))))</f>
        <v>46306</v>
      </c>
      <c r="AD11" s="3">
        <f t="shared" si="2"/>
        <v>30</v>
      </c>
      <c r="AE11" s="5">
        <f>IF(AA11="","",(AC11-'Rate &amp; Vol Update'!$C$2)/360)</f>
        <v>0.67222222222222228</v>
      </c>
      <c r="AF11" s="15">
        <f>IF(AA11="","",IF('Adjustment Surface'!$C$3='Data Validation'!$C$2,'Adjustment Surface'!$C$4,_xlfn.IFNA(IF(INDEX(Schedules!$E$3:$E$123,MATCH('Bachelier Model'!AB11,Schedules!$B$3:$B$123,0))="",AF10,INDEX(Schedules!$E$3:$E$123,MATCH('Bachelier Model'!AB11,Schedules!$B$3:$B$123,0))),AF10)))</f>
        <v>25000000</v>
      </c>
      <c r="AG11" s="16">
        <f>IF(AA11="","",'Adjustment Surface'!B$15)</f>
        <v>0.03</v>
      </c>
      <c r="AH11" s="16" cm="1">
        <f t="array" ref="AH11">IF(AA11="","",FORECAST(AB11,INDEX('Rate &amp; Vol Update'!$C$6:$C$127,MATCH(INDEX('Rate &amp; Vol Update'!$B$6:$B$127,MATCH(AB11,'Rate &amp; Vol Update'!$B$6:$B$127,1)),'Rate &amp; Vol Update'!$B$6:$B$127,0)+IF('Adjustment Surface'!$C$11='Data Validation'!$E$3,-1,0)):INDEX('Rate &amp; Vol Update'!$C$6:$C$127,MATCH(INDEX('Rate &amp; Vol Update'!$B$6:$B$127,MATCH(AB11,'Rate &amp; Vol Update'!$B$6:$B$127,1)+1),'Rate &amp; Vol Update'!$B$6:$B$127,0)+IF('Adjustment Surface'!$C$11='Data Validation'!$E$3,-1,0)),INDEX('Rate &amp; Vol Update'!$B$6:$B$127,MATCH(AB11,'Rate &amp; Vol Update'!$B$6:$B$127,1)):INDEX('Rate &amp; Vol Update'!$B$6:$B$127,MATCH(AB11,'Rate &amp; Vol Update'!$B$6:$B$127,1)+1))/100)</f>
        <v>3.3016426049774027E-2</v>
      </c>
      <c r="AI11" s="16" cm="1">
        <f t="array" ref="AI11">IF(AA11="","",IF(AB11&lt;'Rate &amp; Vol Update'!$C$2,0.001%,(1/((INDEX('Rate &amp; Vol Update'!$E$6:$Z$6,1,MATCH(AG11,'Rate &amp; Vol Update'!$E$6:$Z$6,1)+1)-INDEX('Rate &amp; Vol Update'!$E$6:$Z$6,1,MATCH(AG11,'Rate &amp; Vol Update'!$E$6:$Z$6,1)))*(INDEX('Rate &amp; Vol Update'!$B$8:$B$127,MATCH(AB11,'Rate &amp; Vol Update'!$B$8:$B$127,1)+1)-INDEX('Rate &amp; Vol Update'!$B$8:$B$127,MATCH(AB11,'Rate &amp; Vol Update'!$B$8:$B$127,1))))*(INDEX('Rate &amp; Vol Update'!$E$8:$Z$127,MATCH(INDEX('Rate &amp; Vol Update'!$B$8:$B$127,MATCH(AB11,'Rate &amp; Vol Update'!$B$8:$B$127,1)),'Rate &amp; Vol Update'!$B$8:$B$127,0),MATCH(INDEX('Rate &amp; Vol Update'!$E$6:$Z$6,1,MATCH(AG11,'Rate &amp; Vol Update'!$E$6:$Z$6,1)),'Rate &amp; Vol Update'!$E$6:$Z$6,0))*(INDEX('Rate &amp; Vol Update'!$E$6:$Z$6,1,MATCH(AG11,'Rate &amp; Vol Update'!$E$6:$Z$6,1)+1)-AG11)*(INDEX('Rate &amp; Vol Update'!$B$8:$B$127,MATCH(AB11,'Rate &amp; Vol Update'!$B$8:$B$127,1)+1)-AB11)+INDEX('Rate &amp; Vol Update'!$E$8:$Z$127,MATCH(INDEX('Rate &amp; Vol Update'!$B$8:$B$127,MATCH(AB11,'Rate &amp; Vol Update'!$B$8:$B$127,1)),'Rate &amp; Vol Update'!$B$8:$B$127,0),MATCH(INDEX('Rate &amp; Vol Update'!$E$6:$Z$6,1,MATCH(AG11,'Rate &amp; Vol Update'!$E$6:$Z$6,1)+1),'Rate &amp; Vol Update'!$E$6:$Z$6,0))*(AG11-INDEX('Rate &amp; Vol Update'!$E$6:$Z$6,1,MATCH(AG11,'Rate &amp; Vol Update'!$E$6:$Z$6,1)))*(INDEX('Rate &amp; Vol Update'!$B$8:$B$127,MATCH(AB11,'Rate &amp; Vol Update'!$B$8:$B$127,1)+1)-AB11)+INDEX('Rate &amp; Vol Update'!$E$8:$Z$127,MATCH(INDEX('Rate &amp; Vol Update'!$B$8:$B$127,MATCH(AB11,'Rate &amp; Vol Update'!$B$8:$B$127,1)+1),'Rate &amp; Vol Update'!$B$8:$B$127,0),MATCH(INDEX('Rate &amp; Vol Update'!$E$6:$Z$6,1,MATCH(AG11,'Rate &amp; Vol Update'!$E$6:$Z$6,1)),'Rate &amp; Vol Update'!$E$6:$Z$6,0))*(INDEX('Rate &amp; Vol Update'!$E$6:$Z$6,1,MATCH(AG11,'Rate &amp; Vol Update'!$E$6:$Z$6,1)+1)-AG11)*(AB11-INDEX('Rate &amp; Vol Update'!$B$8:$B$127,MATCH(AB11,'Rate &amp; Vol Update'!$B$8:$B$127,1)))+INDEX('Rate &amp; Vol Update'!$E$8:$Z$127,MATCH(INDEX('Rate &amp; Vol Update'!$B$8:$B$127,MATCH(AB11,'Rate &amp; Vol Update'!$B$8:$B$127,1)+1),'Rate &amp; Vol Update'!$B$8:$B$127,0),MATCH(INDEX('Rate &amp; Vol Update'!$E$6:$Z$6,1,MATCH(AG11,'Rate &amp; Vol Update'!$E$6:$Z$6,1)+1),'Rate &amp; Vol Update'!$E$6:$Z$6,0))*(AG11-INDEX('Rate &amp; Vol Update'!$E$6:$Z$6,1,MATCH(AG11,'Rate &amp; Vol Update'!$E$6:$Z$6,1)))*(AB11-INDEX('Rate &amp; Vol Update'!$B$8:$B$127,MATCH(AB11,'Rate &amp; Vol Update'!$B$8:$B$127,1)))))*0.01%))</f>
        <v>6.9474935627880981E-3</v>
      </c>
      <c r="AJ11" s="5">
        <f>IF(AA11="","",1/((1+AH11)^((AC11-'Rate &amp; Vol Update'!$C$2)/360)))</f>
        <v>0.97840082066164102</v>
      </c>
      <c r="AL11" s="15">
        <f>IF(AA11="","",IF(AB11&lt;'Rate &amp; Vol Update'!$C$2,MAX(0,AH11-AG11)*(AD11/360)*AF11,(((IF('Adjustment Surface'!$C$2='Data Validation'!$A$2,AH11,IF('Adjustment Surface'!$C$2='Data Validation'!$A$3,AG11,"Unknown Option Type"))-IF('Adjustment Surface'!$C$2='Data Validation'!$A$2,AG11,IF('Adjustment Surface'!$C$2='Data Validation'!$A$3,AH11,"Unknown Option Type")))*(NORMDIST((IF('Adjustment Surface'!$C$2='Data Validation'!$A$2,AH11,IF('Adjustment Surface'!$C$2='Data Validation'!$A$3,AG11,"Unknown Option Type"))-IF('Adjustment Surface'!$C$2='Data Validation'!$A$2,AG11,IF('Adjustment Surface'!$C$2='Data Validation'!$A$3,AH11,"Unknown Option Type")))/(AI11*SQRT(AE11)),0,1,TRUE)))+((AI11*SQRT(AE11))*(NORMDIST((IF('Adjustment Surface'!$C$2='Data Validation'!$A$2,AH11,IF('Adjustment Surface'!$C$2='Data Validation'!$A$3,AG11,"Unknown Option Type"))-IF('Adjustment Surface'!$C$2='Data Validation'!$A$2,AG11,IF('Adjustment Surface'!$C$2='Data Validation'!$A$3,AH11,"Unknown Option Type")))/(AI11*SQRT(AE11)),0,1,FALSE))))*AJ11*(AD11/360)*AF11))</f>
        <v>8340.9652788812837</v>
      </c>
      <c r="AM11" s="15">
        <f>IF(AA11="","",SUM(AL$4:AL11))</f>
        <v>92887.916803159882</v>
      </c>
      <c r="AO11" s="15">
        <f>IF(AA11="","",IF(AB11&lt;'Rate &amp; Vol Update'!$C$2,0,((((((IF('Adjustment Surface'!$C$2='Data Validation'!$A$2,AH11,IF('Adjustment Surface'!$C$2='Data Validation'!$A$3,AG11,"Unknown Option Type"))-IF('Adjustment Surface'!$C$2='Data Validation'!$A$2,AG11,IF('Adjustment Surface'!$C$2='Data Validation'!$A$3,AH11,"Unknown Option Type")))*(NORMDIST((IF('Adjustment Surface'!$C$2='Data Validation'!$A$2,AH11,IF('Adjustment Surface'!$C$2='Data Validation'!$A$3,AG11,"Unknown Option Type"))-IF('Adjustment Surface'!$C$2='Data Validation'!$A$2,AG11,IF('Adjustment Surface'!$C$2='Data Validation'!$A$3,AH11,"Unknown Option Type")))/((AI11+0.01%)*SQRT(AE11)),0,1,TRUE)))+(((AI11+0.01%)*SQRT(AE11))*(NORMDIST((IF('Adjustment Surface'!$C$2='Data Validation'!$A$2,AH11,IF('Adjustment Surface'!$C$2='Data Validation'!$A$3,AG11,"Unknown Option Type"))-IF('Adjustment Surface'!$C$2='Data Validation'!$A$2,AG11,IF('Adjustment Surface'!$C$2='Data Validation'!$A$3,AH11,"Unknown Option Type")))/((AI11+0.01%)*SQRT(AE11)),0,1,FALSE))))*AJ11*(AD11/360))-(AL11/AF11))*AF11)*AJ11))</f>
        <v>56.810650737070141</v>
      </c>
      <c r="AP11" s="15">
        <f>IF(AA11="","",SUM(AO$4:AO11))</f>
        <v>202.7556316815577</v>
      </c>
      <c r="AQ11" s="15"/>
      <c r="AR11" s="20"/>
      <c r="AS11" s="3">
        <v>8</v>
      </c>
      <c r="AT11" s="4">
        <f>IF(AU10=MAX('Adjustment Surface'!$C$14:$F$14),"",AU10)</f>
        <v>46276</v>
      </c>
      <c r="AU11" s="4">
        <f>IF(AT11="","",IF(AT11&lt;EDATE('Adjustment Surface'!$C$6,DATEDIF('Adjustment Surface'!$C$6,MAX('Adjustment Surface'!$C$14:$F$14),"M")),EDATE(AT$5,COUNT(AT$5:AT11)),IF(AT11=EDATE('Adjustment Surface'!$C$6,DATEDIF('Adjustment Surface'!$C$6,MAX('Adjustment Surface'!$C$14:$F$14),"M")),MAX('Adjustment Surface'!$C$14:$F$14),EDATE('Adjustment Surface'!$C$6,DATEDIF('Adjustment Surface'!$C$6,MAX('Adjustment Surface'!$C$14:$F$14),"M")))))</f>
        <v>46306</v>
      </c>
      <c r="AV11" s="3">
        <f t="shared" si="3"/>
        <v>30</v>
      </c>
      <c r="AW11" s="5">
        <f>IF(AS11="","",(AU11-'Rate &amp; Vol Update'!$C$2)/360)</f>
        <v>0.67222222222222228</v>
      </c>
      <c r="AX11" s="15">
        <f>IF(AS11="","",IF('Adjustment Surface'!$C$3='Data Validation'!$C$2,'Adjustment Surface'!$C$4,_xlfn.IFNA(IF(INDEX(Schedules!$E$3:$E$123,MATCH('Bachelier Model'!AT11,Schedules!$B$3:$B$123,0))="",AX10,INDEX(Schedules!$E$3:$E$123,MATCH('Bachelier Model'!AT11,Schedules!$B$3:$B$123,0))),AX10)))</f>
        <v>25000000</v>
      </c>
      <c r="AY11" s="16">
        <f>IF(AS11="","",'Adjustment Surface'!B$16)</f>
        <v>0.04</v>
      </c>
      <c r="AZ11" s="16" cm="1">
        <f t="array" ref="AZ11">IF(AS11="","",FORECAST(AT11,INDEX('Rate &amp; Vol Update'!$C$6:$C$127,MATCH(INDEX('Rate &amp; Vol Update'!$B$6:$B$127,MATCH(AT11,'Rate &amp; Vol Update'!$B$6:$B$127,1)),'Rate &amp; Vol Update'!$B$6:$B$127,0)+IF('Adjustment Surface'!$C$11='Data Validation'!$E$3,-1,0)):INDEX('Rate &amp; Vol Update'!$C$6:$C$127,MATCH(INDEX('Rate &amp; Vol Update'!$B$6:$B$127,MATCH(AT11,'Rate &amp; Vol Update'!$B$6:$B$127,1)+1),'Rate &amp; Vol Update'!$B$6:$B$127,0)+IF('Adjustment Surface'!$C$11='Data Validation'!$E$3,-1,0)),INDEX('Rate &amp; Vol Update'!$B$6:$B$127,MATCH(AT11,'Rate &amp; Vol Update'!$B$6:$B$127,1)):INDEX('Rate &amp; Vol Update'!$B$6:$B$127,MATCH(AT11,'Rate &amp; Vol Update'!$B$6:$B$127,1)+1))/100)</f>
        <v>3.3016426049774027E-2</v>
      </c>
      <c r="BA11" s="16" cm="1">
        <f t="array" ref="BA11">IF(AS11="","",IF(AT11&lt;'Rate &amp; Vol Update'!$C$2,0.001%,(1/((INDEX('Rate &amp; Vol Update'!$E$6:$Z$6,1,MATCH(AY11,'Rate &amp; Vol Update'!$E$6:$Z$6,1)+1)-INDEX('Rate &amp; Vol Update'!$E$6:$Z$6,1,MATCH(AY11,'Rate &amp; Vol Update'!$E$6:$Z$6,1)))*(INDEX('Rate &amp; Vol Update'!$B$8:$B$127,MATCH(AT11,'Rate &amp; Vol Update'!$B$8:$B$127,1)+1)-INDEX('Rate &amp; Vol Update'!$B$8:$B$127,MATCH(AT11,'Rate &amp; Vol Update'!$B$8:$B$127,1))))*(INDEX('Rate &amp; Vol Update'!$E$8:$Z$127,MATCH(INDEX('Rate &amp; Vol Update'!$B$8:$B$127,MATCH(AT11,'Rate &amp; Vol Update'!$B$8:$B$127,1)),'Rate &amp; Vol Update'!$B$8:$B$127,0),MATCH(INDEX('Rate &amp; Vol Update'!$E$6:$Z$6,1,MATCH(AY11,'Rate &amp; Vol Update'!$E$6:$Z$6,1)),'Rate &amp; Vol Update'!$E$6:$Z$6,0))*(INDEX('Rate &amp; Vol Update'!$E$6:$Z$6,1,MATCH(AY11,'Rate &amp; Vol Update'!$E$6:$Z$6,1)+1)-AY11)*(INDEX('Rate &amp; Vol Update'!$B$8:$B$127,MATCH(AT11,'Rate &amp; Vol Update'!$B$8:$B$127,1)+1)-AT11)+INDEX('Rate &amp; Vol Update'!$E$8:$Z$127,MATCH(INDEX('Rate &amp; Vol Update'!$B$8:$B$127,MATCH(AT11,'Rate &amp; Vol Update'!$B$8:$B$127,1)),'Rate &amp; Vol Update'!$B$8:$B$127,0),MATCH(INDEX('Rate &amp; Vol Update'!$E$6:$Z$6,1,MATCH(AY11,'Rate &amp; Vol Update'!$E$6:$Z$6,1)+1),'Rate &amp; Vol Update'!$E$6:$Z$6,0))*(AY11-INDEX('Rate &amp; Vol Update'!$E$6:$Z$6,1,MATCH(AY11,'Rate &amp; Vol Update'!$E$6:$Z$6,1)))*(INDEX('Rate &amp; Vol Update'!$B$8:$B$127,MATCH(AT11,'Rate &amp; Vol Update'!$B$8:$B$127,1)+1)-AT11)+INDEX('Rate &amp; Vol Update'!$E$8:$Z$127,MATCH(INDEX('Rate &amp; Vol Update'!$B$8:$B$127,MATCH(AT11,'Rate &amp; Vol Update'!$B$8:$B$127,1)+1),'Rate &amp; Vol Update'!$B$8:$B$127,0),MATCH(INDEX('Rate &amp; Vol Update'!$E$6:$Z$6,1,MATCH(AY11,'Rate &amp; Vol Update'!$E$6:$Z$6,1)),'Rate &amp; Vol Update'!$E$6:$Z$6,0))*(INDEX('Rate &amp; Vol Update'!$E$6:$Z$6,1,MATCH(AY11,'Rate &amp; Vol Update'!$E$6:$Z$6,1)+1)-AY11)*(AT11-INDEX('Rate &amp; Vol Update'!$B$8:$B$127,MATCH(AT11,'Rate &amp; Vol Update'!$B$8:$B$127,1)))+INDEX('Rate &amp; Vol Update'!$E$8:$Z$127,MATCH(INDEX('Rate &amp; Vol Update'!$B$8:$B$127,MATCH(AT11,'Rate &amp; Vol Update'!$B$8:$B$127,1)+1),'Rate &amp; Vol Update'!$B$8:$B$127,0),MATCH(INDEX('Rate &amp; Vol Update'!$E$6:$Z$6,1,MATCH(AY11,'Rate &amp; Vol Update'!$E$6:$Z$6,1)+1),'Rate &amp; Vol Update'!$E$6:$Z$6,0))*(AY11-INDEX('Rate &amp; Vol Update'!$E$6:$Z$6,1,MATCH(AY11,'Rate &amp; Vol Update'!$E$6:$Z$6,1)))*(AT11-INDEX('Rate &amp; Vol Update'!$B$8:$B$127,MATCH(AT11,'Rate &amp; Vol Update'!$B$8:$B$127,1)))))*0.01%))</f>
        <v>6.216189506182369E-3</v>
      </c>
      <c r="BB11" s="5">
        <f>IF(AS11="","",1/((1+AZ11)^((AU11-'Rate &amp; Vol Update'!$C$2)/360)))</f>
        <v>0.97840082066164102</v>
      </c>
      <c r="BD11" s="15">
        <f>IF(AS11="","",IF(AT11&lt;'Rate &amp; Vol Update'!$C$2,MAX(0,AZ11-AY11)*(AV11/360)*AX11,(((IF('Adjustment Surface'!$C$2='Data Validation'!$A$2,AZ11,IF('Adjustment Surface'!$C$2='Data Validation'!$A$3,AY11,"Unknown Option Type"))-IF('Adjustment Surface'!$C$2='Data Validation'!$A$2,AY11,IF('Adjustment Surface'!$C$2='Data Validation'!$A$3,AZ11,"Unknown Option Type")))*(NORMDIST((IF('Adjustment Surface'!$C$2='Data Validation'!$A$2,AZ11,IF('Adjustment Surface'!$C$2='Data Validation'!$A$3,AY11,"Unknown Option Type"))-IF('Adjustment Surface'!$C$2='Data Validation'!$A$2,AY11,IF('Adjustment Surface'!$C$2='Data Validation'!$A$3,AZ11,"Unknown Option Type")))/(BA11*SQRT(AW11)),0,1,TRUE)))+((BA11*SQRT(AW11))*(NORMDIST((IF('Adjustment Surface'!$C$2='Data Validation'!$A$2,AZ11,IF('Adjustment Surface'!$C$2='Data Validation'!$A$3,AY11,"Unknown Option Type"))-IF('Adjustment Surface'!$C$2='Data Validation'!$A$2,AY11,IF('Adjustment Surface'!$C$2='Data Validation'!$A$3,AZ11,"Unknown Option Type")))/(BA11*SQRT(AW11)),0,1,FALSE))))*BB11*(AV11/360)*AX11))</f>
        <v>406.59430435842739</v>
      </c>
      <c r="BE11" s="15">
        <f>IF(AS11="","",SUM(BD$4:BD11))</f>
        <v>2840.1408034237729</v>
      </c>
      <c r="BG11" s="15">
        <f>IF(AS11="","",IF(AT11&lt;'Rate &amp; Vol Update'!$C$2,0,((((((IF('Adjustment Surface'!$C$2='Data Validation'!$A$2,AZ11,IF('Adjustment Surface'!$C$2='Data Validation'!$A$3,AY11,"Unknown Option Type"))-IF('Adjustment Surface'!$C$2='Data Validation'!$A$2,AY11,IF('Adjustment Surface'!$C$2='Data Validation'!$A$3,AZ11,"Unknown Option Type")))*(NORMDIST((IF('Adjustment Surface'!$C$2='Data Validation'!$A$2,AZ11,IF('Adjustment Surface'!$C$2='Data Validation'!$A$3,AY11,"Unknown Option Type"))-IF('Adjustment Surface'!$C$2='Data Validation'!$A$2,AY11,IF('Adjustment Surface'!$C$2='Data Validation'!$A$3,AZ11,"Unknown Option Type")))/((BA11+0.01%)*SQRT(AW11)),0,1,TRUE)))+(((BA11+0.01%)*SQRT(AW11))*(NORMDIST((IF('Adjustment Surface'!$C$2='Data Validation'!$A$2,AZ11,IF('Adjustment Surface'!$C$2='Data Validation'!$A$3,AY11,"Unknown Option Type"))-IF('Adjustment Surface'!$C$2='Data Validation'!$A$2,AY11,IF('Adjustment Surface'!$C$2='Data Validation'!$A$3,AZ11,"Unknown Option Type")))/((BA11+0.01%)*SQRT(AW11)),0,1,FALSE))))*BB11*(AV11/360))-(BD11/AX11))*AX11)*BB11))</f>
        <v>25.89538202627913</v>
      </c>
      <c r="BH11" s="15">
        <f>IF(AS11="","",SUM(BG$4:BG11))</f>
        <v>167.72244941405475</v>
      </c>
      <c r="BI11" s="15"/>
      <c r="BJ11" s="20"/>
      <c r="BK11" s="3">
        <v>8</v>
      </c>
      <c r="BL11" s="4">
        <f>IF(BM10=MAX('Adjustment Surface'!$C$14:$F$14),"",BM10)</f>
        <v>46276</v>
      </c>
      <c r="BM11" s="4">
        <f>IF(BL11="","",IF(BL11&lt;EDATE('Adjustment Surface'!$C$6,DATEDIF('Adjustment Surface'!$C$6,MAX('Adjustment Surface'!$C$14:$F$14),"M")),EDATE(BL$5,COUNT(BL$5:BL11)),IF(BL11=EDATE('Adjustment Surface'!$C$6,DATEDIF('Adjustment Surface'!$C$6,MAX('Adjustment Surface'!$C$14:$F$14),"M")),MAX('Adjustment Surface'!$C$14:$F$14),EDATE('Adjustment Surface'!$C$6,DATEDIF('Adjustment Surface'!$C$6,MAX('Adjustment Surface'!$C$14:$F$14),"M")))))</f>
        <v>46306</v>
      </c>
      <c r="BN11" s="3">
        <f t="shared" si="4"/>
        <v>30</v>
      </c>
      <c r="BO11" s="5">
        <f>IF(BK11="","",(BM11-'Rate &amp; Vol Update'!$C$2)/360)</f>
        <v>0.67222222222222228</v>
      </c>
      <c r="BP11" s="15">
        <f>IF(BK11="","",IF('Adjustment Surface'!$C$3='Data Validation'!$C$2,'Adjustment Surface'!$C$4,_xlfn.IFNA(IF(INDEX(Schedules!$E$3:$E$123,MATCH('Bachelier Model'!BL11,Schedules!$B$3:$B$123,0))="",BP10,INDEX(Schedules!$E$3:$E$123,MATCH('Bachelier Model'!BL11,Schedules!$B$3:$B$123,0))),BP10)))</f>
        <v>25000000</v>
      </c>
      <c r="BQ11" s="16">
        <f>IF(BK11="","",'Adjustment Surface'!B$17)</f>
        <v>0.05</v>
      </c>
      <c r="BR11" s="16" cm="1">
        <f t="array" ref="BR11">IF(BK11="","",FORECAST(BL11,INDEX('Rate &amp; Vol Update'!$C$6:$C$127,MATCH(INDEX('Rate &amp; Vol Update'!$B$6:$B$127,MATCH(BL11,'Rate &amp; Vol Update'!$B$6:$B$127,1)),'Rate &amp; Vol Update'!$B$6:$B$127,0)+IF('Adjustment Surface'!$C$11='Data Validation'!$E$3,-1,0)):INDEX('Rate &amp; Vol Update'!$C$6:$C$127,MATCH(INDEX('Rate &amp; Vol Update'!$B$6:$B$127,MATCH(BL11,'Rate &amp; Vol Update'!$B$6:$B$127,1)+1),'Rate &amp; Vol Update'!$B$6:$B$127,0)+IF('Adjustment Surface'!$C$11='Data Validation'!$E$3,-1,0)),INDEX('Rate &amp; Vol Update'!$B$6:$B$127,MATCH(BL11,'Rate &amp; Vol Update'!$B$6:$B$127,1)):INDEX('Rate &amp; Vol Update'!$B$6:$B$127,MATCH(BL11,'Rate &amp; Vol Update'!$B$6:$B$127,1)+1))/100)</f>
        <v>3.3016426049774027E-2</v>
      </c>
      <c r="BS11" s="16" cm="1">
        <f t="array" ref="BS11">IF(BK11="","",IF(BL11&lt;'Rate &amp; Vol Update'!$C$2,0.001%,(1/((INDEX('Rate &amp; Vol Update'!$E$6:$Z$6,1,MATCH(BQ11,'Rate &amp; Vol Update'!$E$6:$Z$6,1)+1)-INDEX('Rate &amp; Vol Update'!$E$6:$Z$6,1,MATCH(BQ11,'Rate &amp; Vol Update'!$E$6:$Z$6,1)))*(INDEX('Rate &amp; Vol Update'!$B$8:$B$127,MATCH(BL11,'Rate &amp; Vol Update'!$B$8:$B$127,1)+1)-INDEX('Rate &amp; Vol Update'!$B$8:$B$127,MATCH(BL11,'Rate &amp; Vol Update'!$B$8:$B$127,1))))*(INDEX('Rate &amp; Vol Update'!$E$8:$Z$127,MATCH(INDEX('Rate &amp; Vol Update'!$B$8:$B$127,MATCH(BL11,'Rate &amp; Vol Update'!$B$8:$B$127,1)),'Rate &amp; Vol Update'!$B$8:$B$127,0),MATCH(INDEX('Rate &amp; Vol Update'!$E$6:$Z$6,1,MATCH(BQ11,'Rate &amp; Vol Update'!$E$6:$Z$6,1)),'Rate &amp; Vol Update'!$E$6:$Z$6,0))*(INDEX('Rate &amp; Vol Update'!$E$6:$Z$6,1,MATCH(BQ11,'Rate &amp; Vol Update'!$E$6:$Z$6,1)+1)-BQ11)*(INDEX('Rate &amp; Vol Update'!$B$8:$B$127,MATCH(BL11,'Rate &amp; Vol Update'!$B$8:$B$127,1)+1)-BL11)+INDEX('Rate &amp; Vol Update'!$E$8:$Z$127,MATCH(INDEX('Rate &amp; Vol Update'!$B$8:$B$127,MATCH(BL11,'Rate &amp; Vol Update'!$B$8:$B$127,1)),'Rate &amp; Vol Update'!$B$8:$B$127,0),MATCH(INDEX('Rate &amp; Vol Update'!$E$6:$Z$6,1,MATCH(BQ11,'Rate &amp; Vol Update'!$E$6:$Z$6,1)+1),'Rate &amp; Vol Update'!$E$6:$Z$6,0))*(BQ11-INDEX('Rate &amp; Vol Update'!$E$6:$Z$6,1,MATCH(BQ11,'Rate &amp; Vol Update'!$E$6:$Z$6,1)))*(INDEX('Rate &amp; Vol Update'!$B$8:$B$127,MATCH(BL11,'Rate &amp; Vol Update'!$B$8:$B$127,1)+1)-BL11)+INDEX('Rate &amp; Vol Update'!$E$8:$Z$127,MATCH(INDEX('Rate &amp; Vol Update'!$B$8:$B$127,MATCH(BL11,'Rate &amp; Vol Update'!$B$8:$B$127,1)+1),'Rate &amp; Vol Update'!$B$8:$B$127,0),MATCH(INDEX('Rate &amp; Vol Update'!$E$6:$Z$6,1,MATCH(BQ11,'Rate &amp; Vol Update'!$E$6:$Z$6,1)),'Rate &amp; Vol Update'!$E$6:$Z$6,0))*(INDEX('Rate &amp; Vol Update'!$E$6:$Z$6,1,MATCH(BQ11,'Rate &amp; Vol Update'!$E$6:$Z$6,1)+1)-BQ11)*(BL11-INDEX('Rate &amp; Vol Update'!$B$8:$B$127,MATCH(BL11,'Rate &amp; Vol Update'!$B$8:$B$127,1)))+INDEX('Rate &amp; Vol Update'!$E$8:$Z$127,MATCH(INDEX('Rate &amp; Vol Update'!$B$8:$B$127,MATCH(BL11,'Rate &amp; Vol Update'!$B$8:$B$127,1)+1),'Rate &amp; Vol Update'!$B$8:$B$127,0),MATCH(INDEX('Rate &amp; Vol Update'!$E$6:$Z$6,1,MATCH(BQ11,'Rate &amp; Vol Update'!$E$6:$Z$6,1)+1),'Rate &amp; Vol Update'!$E$6:$Z$6,0))*(BQ11-INDEX('Rate &amp; Vol Update'!$E$6:$Z$6,1,MATCH(BQ11,'Rate &amp; Vol Update'!$E$6:$Z$6,1)))*(BL11-INDEX('Rate &amp; Vol Update'!$B$8:$B$127,MATCH(BL11,'Rate &amp; Vol Update'!$B$8:$B$127,1)))))*0.01%))</f>
        <v>7.8947477681241343E-3</v>
      </c>
      <c r="BT11" s="5">
        <f>IF(BK11="","",1/((1+BR11)^((BM11-'Rate &amp; Vol Update'!$C$2)/360)))</f>
        <v>0.97840082066164102</v>
      </c>
      <c r="BV11" s="15">
        <f>IF(BK11="","",IF(BL11&lt;'Rate &amp; Vol Update'!$C$2,MAX(0,BR11-BQ11)*(BN11/360)*BP11,(((IF('Adjustment Surface'!$C$2='Data Validation'!$A$2,BR11,IF('Adjustment Surface'!$C$2='Data Validation'!$A$3,BQ11,"Unknown Option Type"))-IF('Adjustment Surface'!$C$2='Data Validation'!$A$2,BQ11,IF('Adjustment Surface'!$C$2='Data Validation'!$A$3,BR11,"Unknown Option Type")))*(NORMDIST((IF('Adjustment Surface'!$C$2='Data Validation'!$A$2,BR11,IF('Adjustment Surface'!$C$2='Data Validation'!$A$3,BQ11,"Unknown Option Type"))-IF('Adjustment Surface'!$C$2='Data Validation'!$A$2,BQ11,IF('Adjustment Surface'!$C$2='Data Validation'!$A$3,BR11,"Unknown Option Type")))/(BS11*SQRT(BO11)),0,1,TRUE)))+((BS11*SQRT(BO11))*(NORMDIST((IF('Adjustment Surface'!$C$2='Data Validation'!$A$2,BR11,IF('Adjustment Surface'!$C$2='Data Validation'!$A$3,BQ11,"Unknown Option Type"))-IF('Adjustment Surface'!$C$2='Data Validation'!$A$2,BQ11,IF('Adjustment Surface'!$C$2='Data Validation'!$A$3,BR11,"Unknown Option Type")))/(BS11*SQRT(BO11)),0,1,FALSE))))*BT11*(BN11/360)*BP11))</f>
        <v>17.8989409733401</v>
      </c>
      <c r="BW11" s="15">
        <f>IF(BK11="","",SUM(BV$4:BV11))</f>
        <v>49.609913789116305</v>
      </c>
      <c r="BY11" s="15">
        <f>IF(BK11="","",IF(BL11&lt;'Rate &amp; Vol Update'!$C$2,0,((((((IF('Adjustment Surface'!$C$2='Data Validation'!$A$2,BR11,IF('Adjustment Surface'!$C$2='Data Validation'!$A$3,BQ11,"Unknown Option Type"))-IF('Adjustment Surface'!$C$2='Data Validation'!$A$2,BQ11,IF('Adjustment Surface'!$C$2='Data Validation'!$A$3,BR11,"Unknown Option Type")))*(NORMDIST((IF('Adjustment Surface'!$C$2='Data Validation'!$A$2,BR11,IF('Adjustment Surface'!$C$2='Data Validation'!$A$3,BQ11,"Unknown Option Type"))-IF('Adjustment Surface'!$C$2='Data Validation'!$A$2,BQ11,IF('Adjustment Surface'!$C$2='Data Validation'!$A$3,BR11,"Unknown Option Type")))/((BS11+0.01%)*SQRT(BO11)),0,1,TRUE)))+(((BS11+0.01%)*SQRT(BO11))*(NORMDIST((IF('Adjustment Surface'!$C$2='Data Validation'!$A$2,BR11,IF('Adjustment Surface'!$C$2='Data Validation'!$A$3,BQ11,"Unknown Option Type"))-IF('Adjustment Surface'!$C$2='Data Validation'!$A$2,BQ11,IF('Adjustment Surface'!$C$2='Data Validation'!$A$3,BR11,"Unknown Option Type")))/((BS11+0.01%)*SQRT(BO11)),0,1,FALSE))))*BT11*(BN11/360))-(BV11/BP11))*BP11)*BT11))</f>
        <v>2.1794786606490377</v>
      </c>
      <c r="BZ11" s="15">
        <f>IF(BK11="","",SUM(BY$4:BY11))</f>
        <v>6.4659403966369879</v>
      </c>
      <c r="CA11" s="15"/>
      <c r="CB11" s="20"/>
      <c r="CC11" s="3">
        <v>8</v>
      </c>
      <c r="CD11" s="4">
        <f>IF(CE10=MAX('Adjustment Surface'!$C$14:$F$14),"",CE10)</f>
        <v>46276</v>
      </c>
      <c r="CE11" s="4">
        <f>IF(CD11="","",IF(CD11&lt;EDATE('Adjustment Surface'!$C$6,DATEDIF('Adjustment Surface'!$C$6,MAX('Adjustment Surface'!$C$14:$F$14),"M")),EDATE(CD$5,COUNT(CD$5:CD11)),IF(CD11=EDATE('Adjustment Surface'!$C$6,DATEDIF('Adjustment Surface'!$C$6,MAX('Adjustment Surface'!$C$14:$F$14),"M")),MAX('Adjustment Surface'!$C$14:$F$14),EDATE('Adjustment Surface'!$C$6,DATEDIF('Adjustment Surface'!$C$6,MAX('Adjustment Surface'!$C$14:$F$14),"M")))))</f>
        <v>46306</v>
      </c>
      <c r="CF11" s="3">
        <f t="shared" si="5"/>
        <v>30</v>
      </c>
      <c r="CG11" s="5">
        <f>IF(CC11="","",(CE11-'Rate &amp; Vol Update'!$C$2)/360)</f>
        <v>0.67222222222222228</v>
      </c>
      <c r="CH11" s="15">
        <f>IF(CC11="","",IF('Adjustment Surface'!$C$3='Data Validation'!$C$2,'Adjustment Surface'!$C$4,_xlfn.IFNA(IF(INDEX(Schedules!$E$3:$E$123,MATCH('Bachelier Model'!CD11,Schedules!$B$3:$B$123,0))="",CH10,INDEX(Schedules!$E$3:$E$123,MATCH('Bachelier Model'!CD11,Schedules!$B$3:$B$123,0))),CH10)))</f>
        <v>25000000</v>
      </c>
      <c r="CI11" s="16">
        <f>IF(CC11="","",'Adjustment Surface'!B$18)</f>
        <v>0.06</v>
      </c>
      <c r="CJ11" s="16" cm="1">
        <f t="array" ref="CJ11">IF(CC11="","",FORECAST(CD11,INDEX('Rate &amp; Vol Update'!$C$6:$C$127,MATCH(INDEX('Rate &amp; Vol Update'!$B$6:$B$127,MATCH(CD11,'Rate &amp; Vol Update'!$B$6:$B$127,1)),'Rate &amp; Vol Update'!$B$6:$B$127,0)+IF('Adjustment Surface'!$C$11='Data Validation'!$E$3,-1,0)):INDEX('Rate &amp; Vol Update'!$C$6:$C$127,MATCH(INDEX('Rate &amp; Vol Update'!$B$6:$B$127,MATCH(CD11,'Rate &amp; Vol Update'!$B$6:$B$127,1)+1),'Rate &amp; Vol Update'!$B$6:$B$127,0)+IF('Adjustment Surface'!$C$11='Data Validation'!$E$3,-1,0)),INDEX('Rate &amp; Vol Update'!$B$6:$B$127,MATCH(CD11,'Rate &amp; Vol Update'!$B$6:$B$127,1)):INDEX('Rate &amp; Vol Update'!$B$6:$B$127,MATCH(CD11,'Rate &amp; Vol Update'!$B$6:$B$127,1)+1))/100)</f>
        <v>3.3016426049774027E-2</v>
      </c>
      <c r="CK11" s="16" cm="1">
        <f t="array" ref="CK11">IF(CC11="","",IF(CD11&lt;'Rate &amp; Vol Update'!$C$2,0.001%,(1/((INDEX('Rate &amp; Vol Update'!$E$6:$Z$6,1,MATCH(CI11,'Rate &amp; Vol Update'!$E$6:$Z$6,1)+1)-INDEX('Rate &amp; Vol Update'!$E$6:$Z$6,1,MATCH(CI11,'Rate &amp; Vol Update'!$E$6:$Z$6,1)))*(INDEX('Rate &amp; Vol Update'!$B$8:$B$127,MATCH(CD11,'Rate &amp; Vol Update'!$B$8:$B$127,1)+1)-INDEX('Rate &amp; Vol Update'!$B$8:$B$127,MATCH(CD11,'Rate &amp; Vol Update'!$B$8:$B$127,1))))*(INDEX('Rate &amp; Vol Update'!$E$8:$Z$127,MATCH(INDEX('Rate &amp; Vol Update'!$B$8:$B$127,MATCH(CD11,'Rate &amp; Vol Update'!$B$8:$B$127,1)),'Rate &amp; Vol Update'!$B$8:$B$127,0),MATCH(INDEX('Rate &amp; Vol Update'!$E$6:$Z$6,1,MATCH(CI11,'Rate &amp; Vol Update'!$E$6:$Z$6,1)),'Rate &amp; Vol Update'!$E$6:$Z$6,0))*(INDEX('Rate &amp; Vol Update'!$E$6:$Z$6,1,MATCH(CI11,'Rate &amp; Vol Update'!$E$6:$Z$6,1)+1)-CI11)*(INDEX('Rate &amp; Vol Update'!$B$8:$B$127,MATCH(CD11,'Rate &amp; Vol Update'!$B$8:$B$127,1)+1)-CD11)+INDEX('Rate &amp; Vol Update'!$E$8:$Z$127,MATCH(INDEX('Rate &amp; Vol Update'!$B$8:$B$127,MATCH(CD11,'Rate &amp; Vol Update'!$B$8:$B$127,1)),'Rate &amp; Vol Update'!$B$8:$B$127,0),MATCH(INDEX('Rate &amp; Vol Update'!$E$6:$Z$6,1,MATCH(CI11,'Rate &amp; Vol Update'!$E$6:$Z$6,1)+1),'Rate &amp; Vol Update'!$E$6:$Z$6,0))*(CI11-INDEX('Rate &amp; Vol Update'!$E$6:$Z$6,1,MATCH(CI11,'Rate &amp; Vol Update'!$E$6:$Z$6,1)))*(INDEX('Rate &amp; Vol Update'!$B$8:$B$127,MATCH(CD11,'Rate &amp; Vol Update'!$B$8:$B$127,1)+1)-CD11)+INDEX('Rate &amp; Vol Update'!$E$8:$Z$127,MATCH(INDEX('Rate &amp; Vol Update'!$B$8:$B$127,MATCH(CD11,'Rate &amp; Vol Update'!$B$8:$B$127,1)+1),'Rate &amp; Vol Update'!$B$8:$B$127,0),MATCH(INDEX('Rate &amp; Vol Update'!$E$6:$Z$6,1,MATCH(CI11,'Rate &amp; Vol Update'!$E$6:$Z$6,1)),'Rate &amp; Vol Update'!$E$6:$Z$6,0))*(INDEX('Rate &amp; Vol Update'!$E$6:$Z$6,1,MATCH(CI11,'Rate &amp; Vol Update'!$E$6:$Z$6,1)+1)-CI11)*(CD11-INDEX('Rate &amp; Vol Update'!$B$8:$B$127,MATCH(CD11,'Rate &amp; Vol Update'!$B$8:$B$127,1)))+INDEX('Rate &amp; Vol Update'!$E$8:$Z$127,MATCH(INDEX('Rate &amp; Vol Update'!$B$8:$B$127,MATCH(CD11,'Rate &amp; Vol Update'!$B$8:$B$127,1)+1),'Rate &amp; Vol Update'!$B$8:$B$127,0),MATCH(INDEX('Rate &amp; Vol Update'!$E$6:$Z$6,1,MATCH(CI11,'Rate &amp; Vol Update'!$E$6:$Z$6,1)+1),'Rate &amp; Vol Update'!$E$6:$Z$6,0))*(CI11-INDEX('Rate &amp; Vol Update'!$E$6:$Z$6,1,MATCH(CI11,'Rate &amp; Vol Update'!$E$6:$Z$6,1)))*(CD11-INDEX('Rate &amp; Vol Update'!$B$8:$B$127,MATCH(CD11,'Rate &amp; Vol Update'!$B$8:$B$127,1)))))*0.01%))</f>
        <v>1.0030367811846104E-2</v>
      </c>
      <c r="CL11" s="5">
        <f>IF(CC11="","",1/((1+CJ11)^((CE11-'Rate &amp; Vol Update'!$C$2)/360)))</f>
        <v>0.97840082066164102</v>
      </c>
      <c r="CN11" s="15">
        <f>IF(CC11="","",IF(CD11&lt;'Rate &amp; Vol Update'!$C$2,MAX(0,CJ11-CI11)*(CF11/360)*CH11,(((IF('Adjustment Surface'!$C$2='Data Validation'!$A$2,CJ11,IF('Adjustment Surface'!$C$2='Data Validation'!$A$3,CI11,"Unknown Option Type"))-IF('Adjustment Surface'!$C$2='Data Validation'!$A$2,CI11,IF('Adjustment Surface'!$C$2='Data Validation'!$A$3,CJ11,"Unknown Option Type")))*(NORMDIST((IF('Adjustment Surface'!$C$2='Data Validation'!$A$2,CJ11,IF('Adjustment Surface'!$C$2='Data Validation'!$A$3,CI11,"Unknown Option Type"))-IF('Adjustment Surface'!$C$2='Data Validation'!$A$2,CI11,IF('Adjustment Surface'!$C$2='Data Validation'!$A$3,CJ11,"Unknown Option Type")))/(CK11*SQRT(CG11)),0,1,TRUE)))+((CK11*SQRT(CG11))*(NORMDIST((IF('Adjustment Surface'!$C$2='Data Validation'!$A$2,CJ11,IF('Adjustment Surface'!$C$2='Data Validation'!$A$3,CI11,"Unknown Option Type"))-IF('Adjustment Surface'!$C$2='Data Validation'!$A$2,CI11,IF('Adjustment Surface'!$C$2='Data Validation'!$A$3,CJ11,"Unknown Option Type")))/(CK11*SQRT(CG11)),0,1,FALSE))))*CL11*(CF11/360)*CH11))</f>
        <v>2.2913848741143172</v>
      </c>
      <c r="CO11" s="15">
        <f>IF(CC11="","",SUM(CN$4:CN11))</f>
        <v>4.6754332636848446</v>
      </c>
      <c r="CQ11" s="15">
        <f>IF(CC11="","",IF(CD11&lt;'Rate &amp; Vol Update'!$C$2,0,((((((IF('Adjustment Surface'!$C$2='Data Validation'!$A$2,CJ11,IF('Adjustment Surface'!$C$2='Data Validation'!$A$3,CI11,"Unknown Option Type"))-IF('Adjustment Surface'!$C$2='Data Validation'!$A$2,CI11,IF('Adjustment Surface'!$C$2='Data Validation'!$A$3,CJ11,"Unknown Option Type")))*(NORMDIST((IF('Adjustment Surface'!$C$2='Data Validation'!$A$2,CJ11,IF('Adjustment Surface'!$C$2='Data Validation'!$A$3,CI11,"Unknown Option Type"))-IF('Adjustment Surface'!$C$2='Data Validation'!$A$2,CI11,IF('Adjustment Surface'!$C$2='Data Validation'!$A$3,CJ11,"Unknown Option Type")))/((CK11+0.01%)*SQRT(CG11)),0,1,TRUE)))+(((CK11+0.01%)*SQRT(CG11))*(NORMDIST((IF('Adjustment Surface'!$C$2='Data Validation'!$A$2,CJ11,IF('Adjustment Surface'!$C$2='Data Validation'!$A$3,CI11,"Unknown Option Type"))-IF('Adjustment Surface'!$C$2='Data Validation'!$A$2,CI11,IF('Adjustment Surface'!$C$2='Data Validation'!$A$3,CJ11,"Unknown Option Type")))/((CK11+0.01%)*SQRT(CG11)),0,1,FALSE))))*CL11*(CF11/360))-(CN11/CH11))*CH11)*CL11))</f>
        <v>0.31618551058903432</v>
      </c>
      <c r="CR11" s="15">
        <f>IF(CC11="","",SUM(CQ$4:CQ11))</f>
        <v>0.6792610673603986</v>
      </c>
    </row>
    <row r="12" spans="2:96" x14ac:dyDescent="0.25">
      <c r="B12" s="16">
        <f>'Adjustment Surface'!B16</f>
        <v>0.04</v>
      </c>
      <c r="C12" s="21">
        <f>INDEX(BH4:BH124,MATCH(INDEX(AU4:AU124,MATCH('Adjustment Surface'!C14,AU4:AU124,1)),AU4:AU124,0))+(((((((IF('Adjustment Surface'!$C$2='Data Validation'!$A$2,INDEX(AZ4:AZ124,MATCH(INDEX(AU4:AU124,MATCH('Adjustment Surface'!C14,AU4:AU124,1)),AT4:AT124,1)),IF('Adjustment Surface'!$C$2='Data Validation'!$A$3,INDEX(AY4:AY124,MATCH(INDEX(AU4:AU124,MATCH('Adjustment Surface'!C14,AU4:AU124,1)),AT4:AT124,1)),"Unknown Option Type"))-IF('Adjustment Surface'!$C$2='Data Validation'!$A$2,INDEX(AY4:AY124,MATCH(INDEX(AU4:AU124,MATCH('Adjustment Surface'!C14,AU4:AU124,1)),AT4:AT124,1)),IF('Adjustment Surface'!$C$2='Data Validation'!$A$3,INDEX(AZ4:AZ124,MATCH(INDEX(AU4:AU124,MATCH('Adjustment Surface'!C14,AU4:AU124,1)),AT4:AT124,1)),"Unknown Option Type")))*(NORMDIST((IF('Adjustment Surface'!$C$2='Data Validation'!$A$2,INDEX(AZ4:AZ124,MATCH(INDEX(AU4:AU124,MATCH('Adjustment Surface'!C14,AU4:AU124,1)),AT4:AT124,1)),IF('Adjustment Surface'!$C$2='Data Validation'!$A$3,INDEX(AY4:AY124,MATCH(INDEX(AU4:AU124,MATCH('Adjustment Surface'!C14,AU4:AU124,1)),AT4:AT124,1)),"Unknown Option Type"))-IF('Adjustment Surface'!$C$2='Data Validation'!$A$2,INDEX(AY4:AY124,MATCH(INDEX(AU4:AU124,MATCH('Adjustment Surface'!C14,AU4:AU124,1)),AT4:AT124,1)),IF('Adjustment Surface'!$C$2='Data Validation'!$A$3,INDEX(AZ4:AZ124,MATCH(INDEX(AU4:AU124,MATCH('Adjustment Surface'!C14,AU4:AU124,1)),AT4:AT124,1)),"Unknown Option Type")))/((INDEX(BA4:BA124,MATCH(INDEX(AU4:AU124,MATCH('Adjustment Surface'!C14,AU4:AU124,1)),AT4:AT124,1))+0.01%)*SQRT(((('Adjustment Surface'!C14-INDEX(AU4:AU124,MATCH('Adjustment Surface'!C14,AU4:AU124,1)))/360)+INDEX(AW4:AW124,MATCH(INDEX(AU4:AU124,MATCH('Adjustment Surface'!C14,AU4:AU124,1)),AU4:AU124,0))))),0,1,TRUE)))+(((INDEX(BA4:BA124,MATCH(INDEX(AU4:AU124,MATCH('Adjustment Surface'!C14,AU4:AU124,1)),AT4:AT124,1))+0.01%)*SQRT(((('Adjustment Surface'!C14-INDEX(AU4:AU124,MATCH('Adjustment Surface'!C14,AU4:AU124,1)))/360)+INDEX(AW4:AW124,MATCH(INDEX(AU4:AU124,MATCH('Adjustment Surface'!C14,AU4:AU124,1)),AU4:AU124,0)))))*(NORMDIST((IF('Adjustment Surface'!$C$2='Data Validation'!$A$2,INDEX(AZ4:AZ124,MATCH(INDEX(AU4:AU124,MATCH('Adjustment Surface'!C14,AU4:AU124,1)),AT4:AT124,1)),IF('Adjustment Surface'!$C$2='Data Validation'!$A$3,INDEX(AY4:AY124,MATCH(INDEX(AU4:AU124,MATCH('Adjustment Surface'!C14,AU4:AU124,1)),AT4:AT124,1)),"Unknown Option Type"))-IF('Adjustment Surface'!$C$2='Data Validation'!$A$2,INDEX(AY4:AY124,MATCH(INDEX(AU4:AU124,MATCH('Adjustment Surface'!C14,AU4:AU124,1)),AT4:AT124,1)),IF('Adjustment Surface'!$C$2='Data Validation'!$A$3,INDEX(AZ4:AZ124,MATCH(INDEX(AU4:AU124,MATCH('Adjustment Surface'!C14,AU4:AU124,1)),AT4:AT124,1)),"Unknown Option Type")))/((INDEX(BA4:BA124,MATCH(INDEX(AU4:AU124,MATCH('Adjustment Surface'!C14,AU4:AU124,1)),AT4:AT124,1))+0.01%)*SQRT(((('Adjustment Surface'!C14-INDEX(AU4:AU124,MATCH('Adjustment Surface'!C14,AU4:AU124,1)))/360)+INDEX(AW4:AW124,MATCH(INDEX(AU4:AU124,MATCH('Adjustment Surface'!C14,AU4:AU124,1)),AU4:AU124,0))))),0,1,FALSE))))*(1/((1+INDEX(AZ4:AZ124,MATCH(INDEX(AU4:AU124,MATCH('Adjustment Surface'!C14,AU4:AU124,1)),AT4:AT124,1)))^(('Adjustment Surface'!C14-AT4)/360)))*(('Adjustment Surface'!C14-INDEX(AU4:AU124,MATCH('Adjustment Surface'!C14,AU4:AU124,1)))/360))-(((((IF('Adjustment Surface'!$C$2='Data Validation'!$A$2,INDEX(AZ4:AZ124,MATCH(INDEX(AU4:AU124,MATCH('Adjustment Surface'!C14,AU4:AU124,1)),AT4:AT124,1)),IF('Adjustment Surface'!$C$2='Data Validation'!$A$3,INDEX(AY4:AY124,MATCH(INDEX(AU4:AU124,MATCH('Adjustment Surface'!C14,AU4:AU124,1)),AT4:AT124,1)),"Unknown Option Type"))-IF('Adjustment Surface'!$C$2='Data Validation'!$A$2,INDEX(AY4:AY124,MATCH(INDEX(AU4:AU124,MATCH('Adjustment Surface'!C14,AU4:AU124,1)),AT4:AT124,1)),IF('Adjustment Surface'!$C$2='Data Validation'!$A$3,INDEX(AZ4:AZ124,MATCH(INDEX(AU4:AU124,MATCH('Adjustment Surface'!C14,AU4:AU124,1)),AT4:AT124,1)),"Unknown Option Type")))*(NORMDIST((IF('Adjustment Surface'!$C$2='Data Validation'!$A$2,INDEX(AZ4:AZ124,MATCH(INDEX(AU4:AU124,MATCH('Adjustment Surface'!C14,AU4:AU124,1)),AT4:AT124,1)),IF('Adjustment Surface'!$C$2='Data Validation'!$A$3,INDEX(AY4:AY124,MATCH(INDEX(AU4:AU124,MATCH('Adjustment Surface'!C14,AU4:AU124,1)),AT4:AT124,1)),"Unknown Option Type"))-IF('Adjustment Surface'!$C$2='Data Validation'!$A$2,INDEX(AY4:AY124,MATCH(INDEX(AU4:AU124,MATCH('Adjustment Surface'!C14,AU4:AU124,1)),AT4:AT124,1)),IF('Adjustment Surface'!$C$2='Data Validation'!$A$3,INDEX(AZ4:AZ124,MATCH(INDEX(AU4:AU124,MATCH('Adjustment Surface'!C14,AU4:AU124,1)),AT4:AT124,1)),"Unknown Option Type")))/(INDEX(BA4:BA124,MATCH(INDEX(AU4:AU124,MATCH('Adjustment Surface'!C14,AU4:AU124,1)),AT4:AT124,1))*SQRT(((('Adjustment Surface'!C14-INDEX(AU4:AU124,MATCH('Adjustment Surface'!C14,AU4:AU124,1)))/360)+INDEX(AW4:AW124,MATCH(INDEX(AU4:AU124,MATCH('Adjustment Surface'!C14,AU4:AU124,1)),AU4:AU124,0))))),0,1,TRUE)))+((INDEX(BA4:BA124,MATCH(INDEX(AU4:AU124,MATCH('Adjustment Surface'!C14,AU4:AU124,1)),AT4:AT124,1))*SQRT(((('Adjustment Surface'!C14-INDEX(AU4:AU124,MATCH('Adjustment Surface'!C14,AU4:AU124,1)))/360)+INDEX(AW4:AW124,MATCH(INDEX(AU4:AU124,MATCH('Adjustment Surface'!C14,AU4:AU124,1)),AU4:AU124,0)))))*(NORMDIST((IF('Adjustment Surface'!$C$2='Data Validation'!$A$2,INDEX(AZ4:AZ124,MATCH(INDEX(AU4:AU124,MATCH('Adjustment Surface'!C14,AU4:AU124,1)),AT4:AT124,1)),IF('Adjustment Surface'!$C$2='Data Validation'!$A$3,INDEX(AY4:AY124,MATCH(INDEX(AU4:AU124,MATCH('Adjustment Surface'!C14,AU4:AU124,1)),AT4:AT124,1)),"Unknown Option Type"))-IF('Adjustment Surface'!$C$2='Data Validation'!$A$2,INDEX(AY4:AY124,MATCH(INDEX(AU4:AU124,MATCH('Adjustment Surface'!C14,AU4:AU124,1)),AT4:AT124,1)),IF('Adjustment Surface'!$C$2='Data Validation'!$A$3,INDEX(AZ4:AZ124,MATCH(INDEX(AU4:AU124,MATCH('Adjustment Surface'!C14,AU4:AU124,1)),AT4:AT124,1)),"Unknown Option Type")))/(INDEX(BA4:BA124,MATCH(INDEX(AU4:AU124,MATCH('Adjustment Surface'!C14,AU4:AU124,1)),AT4:AT124,1))*SQRT(((('Adjustment Surface'!C14-INDEX(AU4:AU124,MATCH('Adjustment Surface'!C14,AU4:AU124,1)))/360)+INDEX(AW4:AW124,MATCH(INDEX(AU4:AU124,MATCH('Adjustment Surface'!C14,AU4:AU124,1)),AU4:AU124,0))))),0,1,FALSE))))*(1/((1+INDEX(AZ4:AZ124,MATCH(INDEX(AU4:AU124,MATCH('Adjustment Surface'!C14,AU4:AU124,1)),AT4:AT124,1)))^(('Adjustment Surface'!C14-AT4)/360)))*(('Adjustment Surface'!C14-INDEX(AU4:AU124,MATCH('Adjustment Surface'!C14,AU4:AU124,1)))/360)*INDEX(AX4:AX124,MATCH(INDEX(AU4:AU124,MATCH('Adjustment Surface'!C14,AU4:AU124,1)),AT4:AT124,1)))/INDEX(AX4:AX124,MATCH(INDEX(AU4:AU124,MATCH('Adjustment Surface'!C14,AU4:AU124,1)),AT4:AT124,1))))*INDEX(AX4:AX124,MATCH(INDEX(AU4:AU124,MATCH('Adjustment Surface'!C14,AU4:AU124,1)),AT4:AT124,1)))*(1/((1+INDEX(AZ4:AZ124,MATCH(INDEX(AU4:AU124,MATCH('Adjustment Surface'!C14,AU4:AU124,1)),AT4:AT124,1)))^(('Adjustment Surface'!C14-AT4)/360))))</f>
        <v>302.44346193241211</v>
      </c>
      <c r="D12" s="21">
        <f>INDEX(BH4:BH124,MATCH(INDEX(AU4:AU124,MATCH('Adjustment Surface'!D14,AU4:AU124,1)),AU4:AU124,0))+(((((((IF('Adjustment Surface'!$C$2='Data Validation'!$A$2,INDEX(AZ4:AZ124,MATCH(INDEX(AU4:AU124,MATCH('Adjustment Surface'!D14,AU4:AU124,1)),AT4:AT124,1)),IF('Adjustment Surface'!$C$2='Data Validation'!$A$3,INDEX(AY4:AY124,MATCH(INDEX(AU4:AU124,MATCH('Adjustment Surface'!D14,AU4:AU124,1)),AT4:AT124,1)),"Unknown Option Type"))-IF('Adjustment Surface'!$C$2='Data Validation'!$A$2,INDEX(AY4:AY124,MATCH(INDEX(AU4:AU124,MATCH('Adjustment Surface'!D14,AU4:AU124,1)),AT4:AT124,1)),IF('Adjustment Surface'!$C$2='Data Validation'!$A$3,INDEX(AZ4:AZ124,MATCH(INDEX(AU4:AU124,MATCH('Adjustment Surface'!D14,AU4:AU124,1)),AT4:AT124,1)),"Unknown Option Type")))*(NORMDIST((IF('Adjustment Surface'!$C$2='Data Validation'!$A$2,INDEX(AZ4:AZ124,MATCH(INDEX(AU4:AU124,MATCH('Adjustment Surface'!D14,AU4:AU124,1)),AT4:AT124,1)),IF('Adjustment Surface'!$C$2='Data Validation'!$A$3,INDEX(AY4:AY124,MATCH(INDEX(AU4:AU124,MATCH('Adjustment Surface'!D14,AU4:AU124,1)),AT4:AT124,1)),"Unknown Option Type"))-IF('Adjustment Surface'!$C$2='Data Validation'!$A$2,INDEX(AY4:AY124,MATCH(INDEX(AU4:AU124,MATCH('Adjustment Surface'!D14,AU4:AU124,1)),AT4:AT124,1)),IF('Adjustment Surface'!$C$2='Data Validation'!$A$3,INDEX(AZ4:AZ124,MATCH(INDEX(AU4:AU124,MATCH('Adjustment Surface'!D14,AU4:AU124,1)),AT4:AT124,1)),"Unknown Option Type")))/((INDEX(BA4:BA124,MATCH(INDEX(AU4:AU124,MATCH('Adjustment Surface'!D14,AU4:AU124,1)),AT4:AT124,1))+0.01%)*SQRT(((('Adjustment Surface'!D14-INDEX(AU4:AU124,MATCH('Adjustment Surface'!D14,AU4:AU124,1)))/360)+INDEX(AW4:AW124,MATCH(INDEX(AU4:AU124,MATCH('Adjustment Surface'!D14,AU4:AU124,1)),AU4:AU124,0))))),0,1,TRUE)))+(((INDEX(BA4:BA124,MATCH(INDEX(AU4:AU124,MATCH('Adjustment Surface'!D14,AU4:AU124,1)),AT4:AT124,1))+0.01%)*SQRT(((('Adjustment Surface'!D14-INDEX(AU4:AU124,MATCH('Adjustment Surface'!D14,AU4:AU124,1)))/360)+INDEX(AW4:AW124,MATCH(INDEX(AU4:AU124,MATCH('Adjustment Surface'!D14,AU4:AU124,1)),AU4:AU124,0)))))*(NORMDIST((IF('Adjustment Surface'!$C$2='Data Validation'!$A$2,INDEX(AZ4:AZ124,MATCH(INDEX(AU4:AU124,MATCH('Adjustment Surface'!D14,AU4:AU124,1)),AT4:AT124,1)),IF('Adjustment Surface'!$C$2='Data Validation'!$A$3,INDEX(AY4:AY124,MATCH(INDEX(AU4:AU124,MATCH('Adjustment Surface'!D14,AU4:AU124,1)),AT4:AT124,1)),"Unknown Option Type"))-IF('Adjustment Surface'!$C$2='Data Validation'!$A$2,INDEX(AY4:AY124,MATCH(INDEX(AU4:AU124,MATCH('Adjustment Surface'!D14,AU4:AU124,1)),AT4:AT124,1)),IF('Adjustment Surface'!$C$2='Data Validation'!$A$3,INDEX(AZ4:AZ124,MATCH(INDEX(AU4:AU124,MATCH('Adjustment Surface'!D14,AU4:AU124,1)),AT4:AT124,1)),"Unknown Option Type")))/((INDEX(BA4:BA124,MATCH(INDEX(AU4:AU124,MATCH('Adjustment Surface'!D14,AU4:AU124,1)),AT4:AT124,1))+0.01%)*SQRT(((('Adjustment Surface'!D14-INDEX(AU4:AU124,MATCH('Adjustment Surface'!D14,AU4:AU124,1)))/360)+INDEX(AW4:AW124,MATCH(INDEX(AU4:AU124,MATCH('Adjustment Surface'!D14,AU4:AU124,1)),AU4:AU124,0))))),0,1,FALSE))))*(1/((1+INDEX(AZ4:AZ124,MATCH(INDEX(AU4:AU124,MATCH('Adjustment Surface'!D14,AU4:AU124,1)),AT4:AT124,1)))^(('Adjustment Surface'!D14-AT4)/360)))*(('Adjustment Surface'!D14-INDEX(AU4:AU124,MATCH('Adjustment Surface'!D14,AU4:AU124,1)))/360))-(((((IF('Adjustment Surface'!$C$2='Data Validation'!$A$2,INDEX(AZ4:AZ124,MATCH(INDEX(AU4:AU124,MATCH('Adjustment Surface'!D14,AU4:AU124,1)),AT4:AT124,1)),IF('Adjustment Surface'!$C$2='Data Validation'!$A$3,INDEX(AY4:AY124,MATCH(INDEX(AU4:AU124,MATCH('Adjustment Surface'!D14,AU4:AU124,1)),AT4:AT124,1)),"Unknown Option Type"))-IF('Adjustment Surface'!$C$2='Data Validation'!$A$2,INDEX(AY4:AY124,MATCH(INDEX(AU4:AU124,MATCH('Adjustment Surface'!D14,AU4:AU124,1)),AT4:AT124,1)),IF('Adjustment Surface'!$C$2='Data Validation'!$A$3,INDEX(AZ4:AZ124,MATCH(INDEX(AU4:AU124,MATCH('Adjustment Surface'!D14,AU4:AU124,1)),AT4:AT124,1)),"Unknown Option Type")))*(NORMDIST((IF('Adjustment Surface'!$C$2='Data Validation'!$A$2,INDEX(AZ4:AZ124,MATCH(INDEX(AU4:AU124,MATCH('Adjustment Surface'!D14,AU4:AU124,1)),AT4:AT124,1)),IF('Adjustment Surface'!$C$2='Data Validation'!$A$3,INDEX(AY4:AY124,MATCH(INDEX(AU4:AU124,MATCH('Adjustment Surface'!D14,AU4:AU124,1)),AT4:AT124,1)),"Unknown Option Type"))-IF('Adjustment Surface'!$C$2='Data Validation'!$A$2,INDEX(AY4:AY124,MATCH(INDEX(AU4:AU124,MATCH('Adjustment Surface'!D14,AU4:AU124,1)),AT4:AT124,1)),IF('Adjustment Surface'!$C$2='Data Validation'!$A$3,INDEX(AZ4:AZ124,MATCH(INDEX(AU4:AU124,MATCH('Adjustment Surface'!D14,AU4:AU124,1)),AT4:AT124,1)),"Unknown Option Type")))/(INDEX(BA4:BA124,MATCH(INDEX(AU4:AU124,MATCH('Adjustment Surface'!D14,AU4:AU124,1)),AT4:AT124,1))*SQRT(((('Adjustment Surface'!D14-INDEX(AU4:AU124,MATCH('Adjustment Surface'!D14,AU4:AU124,1)))/360)+INDEX(AW4:AW124,MATCH(INDEX(AU4:AU124,MATCH('Adjustment Surface'!D14,AU4:AU124,1)),AU4:AU124,0))))),0,1,TRUE)))+((INDEX(BA4:BA124,MATCH(INDEX(AU4:AU124,MATCH('Adjustment Surface'!D14,AU4:AU124,1)),AT4:AT124,1))*SQRT(((('Adjustment Surface'!D14-INDEX(AU4:AU124,MATCH('Adjustment Surface'!D14,AU4:AU124,1)))/360)+INDEX(AW4:AW124,MATCH(INDEX(AU4:AU124,MATCH('Adjustment Surface'!D14,AU4:AU124,1)),AU4:AU124,0)))))*(NORMDIST((IF('Adjustment Surface'!$C$2='Data Validation'!$A$2,INDEX(AZ4:AZ124,MATCH(INDEX(AU4:AU124,MATCH('Adjustment Surface'!D14,AU4:AU124,1)),AT4:AT124,1)),IF('Adjustment Surface'!$C$2='Data Validation'!$A$3,INDEX(AY4:AY124,MATCH(INDEX(AU4:AU124,MATCH('Adjustment Surface'!D14,AU4:AU124,1)),AT4:AT124,1)),"Unknown Option Type"))-IF('Adjustment Surface'!$C$2='Data Validation'!$A$2,INDEX(AY4:AY124,MATCH(INDEX(AU4:AU124,MATCH('Adjustment Surface'!D14,AU4:AU124,1)),AT4:AT124,1)),IF('Adjustment Surface'!$C$2='Data Validation'!$A$3,INDEX(AZ4:AZ124,MATCH(INDEX(AU4:AU124,MATCH('Adjustment Surface'!D14,AU4:AU124,1)),AT4:AT124,1)),"Unknown Option Type")))/(INDEX(BA4:BA124,MATCH(INDEX(AU4:AU124,MATCH('Adjustment Surface'!D14,AU4:AU124,1)),AT4:AT124,1))*SQRT(((('Adjustment Surface'!D14-INDEX(AU4:AU124,MATCH('Adjustment Surface'!D14,AU4:AU124,1)))/360)+INDEX(AW4:AW124,MATCH(INDEX(AU4:AU124,MATCH('Adjustment Surface'!D14,AU4:AU124,1)),AU4:AU124,0))))),0,1,FALSE))))*(1/((1+INDEX(AZ4:AZ124,MATCH(INDEX(AU4:AU124,MATCH('Adjustment Surface'!D14,AU4:AU124,1)),AT4:AT124,1)))^(('Adjustment Surface'!D14-AT4)/360)))*(('Adjustment Surface'!D14-INDEX(AU4:AU124,MATCH('Adjustment Surface'!D14,AU4:AU124,1)))/360)*INDEX(AX4:AX124,MATCH(INDEX(AU4:AU124,MATCH('Adjustment Surface'!D14,AU4:AU124,1)),AT4:AT124,1)))/INDEX(AX4:AX124,MATCH(INDEX(AU4:AU124,MATCH('Adjustment Surface'!D14,AU4:AU124,1)),AT4:AT124,1))))*INDEX(AX4:AX124,MATCH(INDEX(AU4:AU124,MATCH('Adjustment Surface'!D14,AU4:AU124,1)),AT4:AT124,1)))*(1/((1+INDEX(AZ4:AZ124,MATCH(INDEX(AU4:AU124,MATCH('Adjustment Surface'!D14,AU4:AU124,1)),AT4:AT124,1)))^(('Adjustment Surface'!D14-AT4)/360))))</f>
        <v>1092.24475692906</v>
      </c>
      <c r="E12" s="21">
        <f>INDEX(BH4:BH124,MATCH(INDEX(AU4:AU124,MATCH('Adjustment Surface'!E14,AU4:AU124,1)),AU4:AU124,0))+(((((((IF('Adjustment Surface'!$C$2='Data Validation'!$A$2,INDEX(AZ4:AZ124,MATCH(INDEX(AU4:AU124,MATCH('Adjustment Surface'!E14,AU4:AU124,1)),AT4:AT124,1)),IF('Adjustment Surface'!$C$2='Data Validation'!$A$3,INDEX(AY4:AY124,MATCH(INDEX(AU4:AU124,MATCH('Adjustment Surface'!E14,AU4:AU124,1)),AT4:AT124,1)),"Unknown Option Type"))-IF('Adjustment Surface'!$C$2='Data Validation'!$A$2,INDEX(AY4:AY124,MATCH(INDEX(AU4:AU124,MATCH('Adjustment Surface'!E14,AU4:AU124,1)),AT4:AT124,1)),IF('Adjustment Surface'!$C$2='Data Validation'!$A$3,INDEX(AZ4:AZ124,MATCH(INDEX(AU4:AU124,MATCH('Adjustment Surface'!E14,AU4:AU124,1)),AT4:AT124,1)),"Unknown Option Type")))*(NORMDIST((IF('Adjustment Surface'!$C$2='Data Validation'!$A$2,INDEX(AZ4:AZ124,MATCH(INDEX(AU4:AU124,MATCH('Adjustment Surface'!E14,AU4:AU124,1)),AT4:AT124,1)),IF('Adjustment Surface'!$C$2='Data Validation'!$A$3,INDEX(AY4:AY124,MATCH(INDEX(AU4:AU124,MATCH('Adjustment Surface'!E14,AU4:AU124,1)),AT4:AT124,1)),"Unknown Option Type"))-IF('Adjustment Surface'!$C$2='Data Validation'!$A$2,INDEX(AY4:AY124,MATCH(INDEX(AU4:AU124,MATCH('Adjustment Surface'!E14,AU4:AU124,1)),AT4:AT124,1)),IF('Adjustment Surface'!$C$2='Data Validation'!$A$3,INDEX(AZ4:AZ124,MATCH(INDEX(AU4:AU124,MATCH('Adjustment Surface'!E14,AU4:AU124,1)),AT4:AT124,1)),"Unknown Option Type")))/((INDEX(BA4:BA124,MATCH(INDEX(AU4:AU124,MATCH('Adjustment Surface'!E14,AU4:AU124,1)),AT4:AT124,1))+0.01%)*SQRT(((('Adjustment Surface'!E14-INDEX(AU4:AU124,MATCH('Adjustment Surface'!E14,AU4:AU124,1)))/360)+INDEX(AW4:AW124,MATCH(INDEX(AU4:AU124,MATCH('Adjustment Surface'!E14,AU4:AU124,1)),AU4:AU124,0))))),0,1,TRUE)))+(((INDEX(BA4:BA124,MATCH(INDEX(AU4:AU124,MATCH('Adjustment Surface'!E14,AU4:AU124,1)),AT4:AT124,1))+0.01%)*SQRT(((('Adjustment Surface'!E14-INDEX(AU4:AU124,MATCH('Adjustment Surface'!E14,AU4:AU124,1)))/360)+INDEX(AW4:AW124,MATCH(INDEX(AU4:AU124,MATCH('Adjustment Surface'!E14,AU4:AU124,1)),AU4:AU124,0)))))*(NORMDIST((IF('Adjustment Surface'!$C$2='Data Validation'!$A$2,INDEX(AZ4:AZ124,MATCH(INDEX(AU4:AU124,MATCH('Adjustment Surface'!E14,AU4:AU124,1)),AT4:AT124,1)),IF('Adjustment Surface'!$C$2='Data Validation'!$A$3,INDEX(AY4:AY124,MATCH(INDEX(AU4:AU124,MATCH('Adjustment Surface'!E14,AU4:AU124,1)),AT4:AT124,1)),"Unknown Option Type"))-IF('Adjustment Surface'!$C$2='Data Validation'!$A$2,INDEX(AY4:AY124,MATCH(INDEX(AU4:AU124,MATCH('Adjustment Surface'!E14,AU4:AU124,1)),AT4:AT124,1)),IF('Adjustment Surface'!$C$2='Data Validation'!$A$3,INDEX(AZ4:AZ124,MATCH(INDEX(AU4:AU124,MATCH('Adjustment Surface'!E14,AU4:AU124,1)),AT4:AT124,1)),"Unknown Option Type")))/((INDEX(BA4:BA124,MATCH(INDEX(AU4:AU124,MATCH('Adjustment Surface'!E14,AU4:AU124,1)),AT4:AT124,1))+0.01%)*SQRT(((('Adjustment Surface'!E14-INDEX(AU4:AU124,MATCH('Adjustment Surface'!E14,AU4:AU124,1)))/360)+INDEX(AW4:AW124,MATCH(INDEX(AU4:AU124,MATCH('Adjustment Surface'!E14,AU4:AU124,1)),AU4:AU124,0))))),0,1,FALSE))))*(1/((1+INDEX(AZ4:AZ124,MATCH(INDEX(AU4:AU124,MATCH('Adjustment Surface'!E14,AU4:AU124,1)),AT4:AT124,1)))^(('Adjustment Surface'!E14-AT4)/360)))*(('Adjustment Surface'!E14-INDEX(AU4:AU124,MATCH('Adjustment Surface'!E14,AU4:AU124,1)))/360))-(((((IF('Adjustment Surface'!$C$2='Data Validation'!$A$2,INDEX(AZ4:AZ124,MATCH(INDEX(AU4:AU124,MATCH('Adjustment Surface'!E14,AU4:AU124,1)),AT4:AT124,1)),IF('Adjustment Surface'!$C$2='Data Validation'!$A$3,INDEX(AY4:AY124,MATCH(INDEX(AU4:AU124,MATCH('Adjustment Surface'!E14,AU4:AU124,1)),AT4:AT124,1)),"Unknown Option Type"))-IF('Adjustment Surface'!$C$2='Data Validation'!$A$2,INDEX(AY4:AY124,MATCH(INDEX(AU4:AU124,MATCH('Adjustment Surface'!E14,AU4:AU124,1)),AT4:AT124,1)),IF('Adjustment Surface'!$C$2='Data Validation'!$A$3,INDEX(AZ4:AZ124,MATCH(INDEX(AU4:AU124,MATCH('Adjustment Surface'!E14,AU4:AU124,1)),AT4:AT124,1)),"Unknown Option Type")))*(NORMDIST((IF('Adjustment Surface'!$C$2='Data Validation'!$A$2,INDEX(AZ4:AZ124,MATCH(INDEX(AU4:AU124,MATCH('Adjustment Surface'!E14,AU4:AU124,1)),AT4:AT124,1)),IF('Adjustment Surface'!$C$2='Data Validation'!$A$3,INDEX(AY4:AY124,MATCH(INDEX(AU4:AU124,MATCH('Adjustment Surface'!E14,AU4:AU124,1)),AT4:AT124,1)),"Unknown Option Type"))-IF('Adjustment Surface'!$C$2='Data Validation'!$A$2,INDEX(AY4:AY124,MATCH(INDEX(AU4:AU124,MATCH('Adjustment Surface'!E14,AU4:AU124,1)),AT4:AT124,1)),IF('Adjustment Surface'!$C$2='Data Validation'!$A$3,INDEX(AZ4:AZ124,MATCH(INDEX(AU4:AU124,MATCH('Adjustment Surface'!E14,AU4:AU124,1)),AT4:AT124,1)),"Unknown Option Type")))/(INDEX(BA4:BA124,MATCH(INDEX(AU4:AU124,MATCH('Adjustment Surface'!E14,AU4:AU124,1)),AT4:AT124,1))*SQRT(((('Adjustment Surface'!E14-INDEX(AU4:AU124,MATCH('Adjustment Surface'!E14,AU4:AU124,1)))/360)+INDEX(AW4:AW124,MATCH(INDEX(AU4:AU124,MATCH('Adjustment Surface'!E14,AU4:AU124,1)),AU4:AU124,0))))),0,1,TRUE)))+((INDEX(BA4:BA124,MATCH(INDEX(AU4:AU124,MATCH('Adjustment Surface'!E14,AU4:AU124,1)),AT4:AT124,1))*SQRT(((('Adjustment Surface'!E14-INDEX(AU4:AU124,MATCH('Adjustment Surface'!E14,AU4:AU124,1)))/360)+INDEX(AW4:AW124,MATCH(INDEX(AU4:AU124,MATCH('Adjustment Surface'!E14,AU4:AU124,1)),AU4:AU124,0)))))*(NORMDIST((IF('Adjustment Surface'!$C$2='Data Validation'!$A$2,INDEX(AZ4:AZ124,MATCH(INDEX(AU4:AU124,MATCH('Adjustment Surface'!E14,AU4:AU124,1)),AT4:AT124,1)),IF('Adjustment Surface'!$C$2='Data Validation'!$A$3,INDEX(AY4:AY124,MATCH(INDEX(AU4:AU124,MATCH('Adjustment Surface'!E14,AU4:AU124,1)),AT4:AT124,1)),"Unknown Option Type"))-IF('Adjustment Surface'!$C$2='Data Validation'!$A$2,INDEX(AY4:AY124,MATCH(INDEX(AU4:AU124,MATCH('Adjustment Surface'!E14,AU4:AU124,1)),AT4:AT124,1)),IF('Adjustment Surface'!$C$2='Data Validation'!$A$3,INDEX(AZ4:AZ124,MATCH(INDEX(AU4:AU124,MATCH('Adjustment Surface'!E14,AU4:AU124,1)),AT4:AT124,1)),"Unknown Option Type")))/(INDEX(BA4:BA124,MATCH(INDEX(AU4:AU124,MATCH('Adjustment Surface'!E14,AU4:AU124,1)),AT4:AT124,1))*SQRT(((('Adjustment Surface'!E14-INDEX(AU4:AU124,MATCH('Adjustment Surface'!E14,AU4:AU124,1)))/360)+INDEX(AW4:AW124,MATCH(INDEX(AU4:AU124,MATCH('Adjustment Surface'!E14,AU4:AU124,1)),AU4:AU124,0))))),0,1,FALSE))))*(1/((1+INDEX(AZ4:AZ124,MATCH(INDEX(AU4:AU124,MATCH('Adjustment Surface'!E14,AU4:AU124,1)),AT4:AT124,1)))^(('Adjustment Surface'!E14-AT4)/360)))*(('Adjustment Surface'!E14-INDEX(AU4:AU124,MATCH('Adjustment Surface'!E14,AU4:AU124,1)))/360)*INDEX(AX4:AX124,MATCH(INDEX(AU4:AU124,MATCH('Adjustment Surface'!E14,AU4:AU124,1)),AT4:AT124,1)))/INDEX(AX4:AX124,MATCH(INDEX(AU4:AU124,MATCH('Adjustment Surface'!E14,AU4:AU124,1)),AT4:AT124,1))))*INDEX(AX4:AX124,MATCH(INDEX(AU4:AU124,MATCH('Adjustment Surface'!E14,AU4:AU124,1)),AT4:AT124,1)))*(1/((1+INDEX(AZ4:AZ124,MATCH(INDEX(AU4:AU124,MATCH('Adjustment Surface'!E14,AU4:AU124,1)),AT4:AT124,1)))^(('Adjustment Surface'!E14-AT4)/360))))</f>
        <v>2313.703031559291</v>
      </c>
      <c r="F12" s="21">
        <f>INDEX(BH4:BH124,MATCH(INDEX(AU4:AU124,MATCH('Adjustment Surface'!F14,AU4:AU124,1)),AU4:AU124,0))+(((((((IF('Adjustment Surface'!$C$2='Data Validation'!$A$2,INDEX(AZ4:AZ124,MATCH(INDEX(AU4:AU124,MATCH('Adjustment Surface'!F14,AU4:AU124,1)),AT4:AT124,1)),IF('Adjustment Surface'!$C$2='Data Validation'!$A$3,INDEX(AY4:AY124,MATCH(INDEX(AU4:AU124,MATCH('Adjustment Surface'!F14,AU4:AU124,1)),AT4:AT124,1)),"Unknown Option Type"))-IF('Adjustment Surface'!$C$2='Data Validation'!$A$2,INDEX(AY4:AY124,MATCH(INDEX(AU4:AU124,MATCH('Adjustment Surface'!F14,AU4:AU124,1)),AT4:AT124,1)),IF('Adjustment Surface'!$C$2='Data Validation'!$A$3,INDEX(AZ4:AZ124,MATCH(INDEX(AU4:AU124,MATCH('Adjustment Surface'!F14,AU4:AU124,1)),AT4:AT124,1)),"Unknown Option Type")))*(NORMDIST((IF('Adjustment Surface'!$C$2='Data Validation'!$A$2,INDEX(AZ4:AZ124,MATCH(INDEX(AU4:AU124,MATCH('Adjustment Surface'!F14,AU4:AU124,1)),AT4:AT124,1)),IF('Adjustment Surface'!$C$2='Data Validation'!$A$3,INDEX(AY4:AY124,MATCH(INDEX(AU4:AU124,MATCH('Adjustment Surface'!F14,AU4:AU124,1)),AT4:AT124,1)),"Unknown Option Type"))-IF('Adjustment Surface'!$C$2='Data Validation'!$A$2,INDEX(AY4:AY124,MATCH(INDEX(AU4:AU124,MATCH('Adjustment Surface'!F14,AU4:AU124,1)),AT4:AT124,1)),IF('Adjustment Surface'!$C$2='Data Validation'!$A$3,INDEX(AZ4:AZ124,MATCH(INDEX(AU4:AU124,MATCH('Adjustment Surface'!F14,AU4:AU124,1)),AT4:AT124,1)),"Unknown Option Type")))/((INDEX(BA4:BA124,MATCH(INDEX(AU4:AU124,MATCH('Adjustment Surface'!F14,AU4:AU124,1)),AT4:AT124,1))+0.01%)*SQRT(((('Adjustment Surface'!F14-INDEX(AU4:AU124,MATCH('Adjustment Surface'!F14,AU4:AU124,1)))/360)+INDEX(AW4:AW124,MATCH(INDEX(AU4:AU124,MATCH('Adjustment Surface'!F14,AU4:AU124,1)),AU4:AU124,0))))),0,1,TRUE)))+(((INDEX(BA4:BA124,MATCH(INDEX(AU4:AU124,MATCH('Adjustment Surface'!F14,AU4:AU124,1)),AT4:AT124,1))+0.01%)*SQRT(((('Adjustment Surface'!F14-INDEX(AU4:AU124,MATCH('Adjustment Surface'!F14,AU4:AU124,1)))/360)+INDEX(AW4:AW124,MATCH(INDEX(AU4:AU124,MATCH('Adjustment Surface'!F14,AU4:AU124,1)),AU4:AU124,0)))))*(NORMDIST((IF('Adjustment Surface'!$C$2='Data Validation'!$A$2,INDEX(AZ4:AZ124,MATCH(INDEX(AU4:AU124,MATCH('Adjustment Surface'!F14,AU4:AU124,1)),AT4:AT124,1)),IF('Adjustment Surface'!$C$2='Data Validation'!$A$3,INDEX(AY4:AY124,MATCH(INDEX(AU4:AU124,MATCH('Adjustment Surface'!F14,AU4:AU124,1)),AT4:AT124,1)),"Unknown Option Type"))-IF('Adjustment Surface'!$C$2='Data Validation'!$A$2,INDEX(AY4:AY124,MATCH(INDEX(AU4:AU124,MATCH('Adjustment Surface'!F14,AU4:AU124,1)),AT4:AT124,1)),IF('Adjustment Surface'!$C$2='Data Validation'!$A$3,INDEX(AZ4:AZ124,MATCH(INDEX(AU4:AU124,MATCH('Adjustment Surface'!F14,AU4:AU124,1)),AT4:AT124,1)),"Unknown Option Type")))/((INDEX(BA4:BA124,MATCH(INDEX(AU4:AU124,MATCH('Adjustment Surface'!F14,AU4:AU124,1)),AT4:AT124,1))+0.01%)*SQRT(((('Adjustment Surface'!F14-INDEX(AU4:AU124,MATCH('Adjustment Surface'!F14,AU4:AU124,1)))/360)+INDEX(AW4:AW124,MATCH(INDEX(AU4:AU124,MATCH('Adjustment Surface'!F14,AU4:AU124,1)),AU4:AU124,0))))),0,1,FALSE))))*(1/((1+INDEX(AZ4:AZ124,MATCH(INDEX(AU4:AU124,MATCH('Adjustment Surface'!F14,AU4:AU124,1)),AT4:AT124,1)))^(('Adjustment Surface'!F14-AT4)/360)))*(('Adjustment Surface'!F14-INDEX(AU4:AU124,MATCH('Adjustment Surface'!F14,AU4:AU124,1)))/360))-(((((IF('Adjustment Surface'!$C$2='Data Validation'!$A$2,INDEX(AZ4:AZ124,MATCH(INDEX(AU4:AU124,MATCH('Adjustment Surface'!F14,AU4:AU124,1)),AT4:AT124,1)),IF('Adjustment Surface'!$C$2='Data Validation'!$A$3,INDEX(AY4:AY124,MATCH(INDEX(AU4:AU124,MATCH('Adjustment Surface'!F14,AU4:AU124,1)),AT4:AT124,1)),"Unknown Option Type"))-IF('Adjustment Surface'!$C$2='Data Validation'!$A$2,INDEX(AY4:AY124,MATCH(INDEX(AU4:AU124,MATCH('Adjustment Surface'!F14,AU4:AU124,1)),AT4:AT124,1)),IF('Adjustment Surface'!$C$2='Data Validation'!$A$3,INDEX(AZ4:AZ124,MATCH(INDEX(AU4:AU124,MATCH('Adjustment Surface'!F14,AU4:AU124,1)),AT4:AT124,1)),"Unknown Option Type")))*(NORMDIST((IF('Adjustment Surface'!$C$2='Data Validation'!$A$2,INDEX(AZ4:AZ124,MATCH(INDEX(AU4:AU124,MATCH('Adjustment Surface'!F14,AU4:AU124,1)),AT4:AT124,1)),IF('Adjustment Surface'!$C$2='Data Validation'!$A$3,INDEX(AY4:AY124,MATCH(INDEX(AU4:AU124,MATCH('Adjustment Surface'!F14,AU4:AU124,1)),AT4:AT124,1)),"Unknown Option Type"))-IF('Adjustment Surface'!$C$2='Data Validation'!$A$2,INDEX(AY4:AY124,MATCH(INDEX(AU4:AU124,MATCH('Adjustment Surface'!F14,AU4:AU124,1)),AT4:AT124,1)),IF('Adjustment Surface'!$C$2='Data Validation'!$A$3,INDEX(AZ4:AZ124,MATCH(INDEX(AU4:AU124,MATCH('Adjustment Surface'!F14,AU4:AU124,1)),AT4:AT124,1)),"Unknown Option Type")))/(INDEX(BA4:BA124,MATCH(INDEX(AU4:AU124,MATCH('Adjustment Surface'!F14,AU4:AU124,1)),AT4:AT124,1))*SQRT(((('Adjustment Surface'!F14-INDEX(AU4:AU124,MATCH('Adjustment Surface'!F14,AU4:AU124,1)))/360)+INDEX(AW4:AW124,MATCH(INDEX(AU4:AU124,MATCH('Adjustment Surface'!F14,AU4:AU124,1)),AU4:AU124,0))))),0,1,TRUE)))+((INDEX(BA4:BA124,MATCH(INDEX(AU4:AU124,MATCH('Adjustment Surface'!F14,AU4:AU124,1)),AT4:AT124,1))*SQRT(((('Adjustment Surface'!F14-INDEX(AU4:AU124,MATCH('Adjustment Surface'!F14,AU4:AU124,1)))/360)+INDEX(AW4:AW124,MATCH(INDEX(AU4:AU124,MATCH('Adjustment Surface'!F14,AU4:AU124,1)),AU4:AU124,0)))))*(NORMDIST((IF('Adjustment Surface'!$C$2='Data Validation'!$A$2,INDEX(AZ4:AZ124,MATCH(INDEX(AU4:AU124,MATCH('Adjustment Surface'!F14,AU4:AU124,1)),AT4:AT124,1)),IF('Adjustment Surface'!$C$2='Data Validation'!$A$3,INDEX(AY4:AY124,MATCH(INDEX(AU4:AU124,MATCH('Adjustment Surface'!F14,AU4:AU124,1)),AT4:AT124,1)),"Unknown Option Type"))-IF('Adjustment Surface'!$C$2='Data Validation'!$A$2,INDEX(AY4:AY124,MATCH(INDEX(AU4:AU124,MATCH('Adjustment Surface'!F14,AU4:AU124,1)),AT4:AT124,1)),IF('Adjustment Surface'!$C$2='Data Validation'!$A$3,INDEX(AZ4:AZ124,MATCH(INDEX(AU4:AU124,MATCH('Adjustment Surface'!F14,AU4:AU124,1)),AT4:AT124,1)),"Unknown Option Type")))/(INDEX(BA4:BA124,MATCH(INDEX(AU4:AU124,MATCH('Adjustment Surface'!F14,AU4:AU124,1)),AT4:AT124,1))*SQRT(((('Adjustment Surface'!F14-INDEX(AU4:AU124,MATCH('Adjustment Surface'!F14,AU4:AU124,1)))/360)+INDEX(AW4:AW124,MATCH(INDEX(AU4:AU124,MATCH('Adjustment Surface'!F14,AU4:AU124,1)),AU4:AU124,0))))),0,1,FALSE))))*(1/((1+INDEX(AZ4:AZ124,MATCH(INDEX(AU4:AU124,MATCH('Adjustment Surface'!F14,AU4:AU124,1)),AT4:AT124,1)))^(('Adjustment Surface'!F14-AT4)/360)))*(('Adjustment Surface'!F14-INDEX(AU4:AU124,MATCH('Adjustment Surface'!F14,AU4:AU124,1)))/360)*INDEX(AX4:AX124,MATCH(INDEX(AU4:AU124,MATCH('Adjustment Surface'!F14,AU4:AU124,1)),AT4:AT124,1)))/INDEX(AX4:AX124,MATCH(INDEX(AU4:AU124,MATCH('Adjustment Surface'!F14,AU4:AU124,1)),AT4:AT124,1))))*INDEX(AX4:AX124,MATCH(INDEX(AU4:AU124,MATCH('Adjustment Surface'!F14,AU4:AU124,1)),AT4:AT124,1)))*(1/((1+INDEX(AZ4:AZ124,MATCH(INDEX(AU4:AU124,MATCH('Adjustment Surface'!F14,AU4:AU124,1)),AT4:AT124,1)))^(('Adjustment Surface'!F14-AT4)/360))))</f>
        <v>3745.4077809344108</v>
      </c>
      <c r="G12" s="76"/>
      <c r="I12" s="3">
        <v>9</v>
      </c>
      <c r="J12" s="4">
        <f>IF(K11='Adjustment Surface'!C$8,"",K11)</f>
        <v>46306</v>
      </c>
      <c r="K12" s="4">
        <f>IF(J12="","",IF(J12&lt;'Adjustment Surface'!C$7,EDATE(J$5,COUNT(J$5:J12)),IF(J12='Adjustment Surface'!C$7,'Adjustment Surface'!C$8,'Adjustment Surface'!C$7)))</f>
        <v>46337</v>
      </c>
      <c r="L12" s="3">
        <f t="shared" si="1"/>
        <v>31</v>
      </c>
      <c r="M12" s="5">
        <f>IF(I12="","",(K12-'Rate &amp; Vol Update'!$C$2)/360)</f>
        <v>0.7583333333333333</v>
      </c>
      <c r="N12" s="15">
        <f>IF(I12="","",IF('Adjustment Surface'!C$3='Data Validation'!$C$2,'Adjustment Surface'!C$4,IF(INDEX(Schedules!$E$3:$E$123,MATCH('Bachelier Model'!J12,Schedules!$B$3:$B$123,0))="",N11,INDEX(Schedules!$E$3:$E$123,MATCH('Bachelier Model'!J12,Schedules!$B$3:$B$123,0)))))</f>
        <v>25000000</v>
      </c>
      <c r="O12" s="16">
        <f>IF(I12="","",IF('Adjustment Surface'!C$9='Data Validation'!$D$2,'Adjustment Surface'!C$10,IF(INDEX(Schedules!$H$3:$H$123,MATCH('Bachelier Model'!J12,Schedules!$B$3:$B$123,0))="",O11,INDEX(Schedules!$H$3:$H$123,MATCH('Bachelier Model'!J12,Schedules!$B$3:$B$123,0)))))</f>
        <v>0.02</v>
      </c>
      <c r="P12" s="16" cm="1">
        <f t="array" ref="P12">IF(I12="","",FORECAST(J12,INDEX('Rate &amp; Vol Update'!$C$6:$C$127,MATCH(INDEX('Rate &amp; Vol Update'!$B$6:$B$127,MATCH(J12,'Rate &amp; Vol Update'!$B$6:$B$127,1)),'Rate &amp; Vol Update'!$B$6:$B$127,0)+IF('Adjustment Surface'!C$11='Data Validation'!$E$3,-1,0)):INDEX('Rate &amp; Vol Update'!$C$6:$C$127,MATCH(INDEX('Rate &amp; Vol Update'!$B$6:$B$127,MATCH(J12,'Rate &amp; Vol Update'!$B$6:$B$127,1)+1),'Rate &amp; Vol Update'!$B$6:$B$127,0)+IF('Adjustment Surface'!C$11='Data Validation'!$E$3,-1,0)),INDEX('Rate &amp; Vol Update'!$B$6:$B$127,MATCH(J12,'Rate &amp; Vol Update'!$B$6:$B$127,1)):INDEX('Rate &amp; Vol Update'!$B$6:$B$127,MATCH(J12,'Rate &amp; Vol Update'!$B$6:$B$127,1)+1))/100)</f>
        <v>3.2551878288218393E-2</v>
      </c>
      <c r="Q12" s="16" cm="1">
        <f t="array" ref="Q12">IF(I12="","",IF(J12&lt;'Rate &amp; Vol Update'!$C$2,0.001%,(1/((INDEX('Rate &amp; Vol Update'!$E$6:$Z$6,1,MATCH(O12,'Rate &amp; Vol Update'!$E$6:$Z$6,1)+1)-INDEX('Rate &amp; Vol Update'!$E$6:$Z$6,1,MATCH(O12,'Rate &amp; Vol Update'!$E$6:$Z$6,1)))*(INDEX('Rate &amp; Vol Update'!$B$8:$B$127,MATCH(J12,'Rate &amp; Vol Update'!$B$8:$B$127,1)+1)-INDEX('Rate &amp; Vol Update'!$B$8:$B$127,MATCH(J12,'Rate &amp; Vol Update'!$B$8:$B$127,1))))*(INDEX('Rate &amp; Vol Update'!$E$8:$Z$127,MATCH(INDEX('Rate &amp; Vol Update'!$B$8:$B$127,MATCH(J12,'Rate &amp; Vol Update'!$B$8:$B$127,1)),'Rate &amp; Vol Update'!$B$8:$B$127,0),MATCH(INDEX('Rate &amp; Vol Update'!$E$6:$Z$6,1,MATCH(O12,'Rate &amp; Vol Update'!$E$6:$Z$6,1)),'Rate &amp; Vol Update'!$E$6:$Z$6,0))*(INDEX('Rate &amp; Vol Update'!$E$6:$Z$6,1,MATCH(O12,'Rate &amp; Vol Update'!$E$6:$Z$6,1)+1)-O12)*(INDEX('Rate &amp; Vol Update'!$B$8:$B$127,MATCH(J12,'Rate &amp; Vol Update'!$B$8:$B$127,1)+1)-J12)+INDEX('Rate &amp; Vol Update'!$E$8:$Z$127,MATCH(INDEX('Rate &amp; Vol Update'!$B$8:$B$127,MATCH(J12,'Rate &amp; Vol Update'!$B$8:$B$127,1)),'Rate &amp; Vol Update'!$B$8:$B$127,0),MATCH(INDEX('Rate &amp; Vol Update'!$E$6:$Z$6,1,MATCH(O12,'Rate &amp; Vol Update'!$E$6:$Z$6,1)+1),'Rate &amp; Vol Update'!$E$6:$Z$6,0))*(O12-INDEX('Rate &amp; Vol Update'!$E$6:$Z$6,1,MATCH(O12,'Rate &amp; Vol Update'!$E$6:$Z$6,1)))*(INDEX('Rate &amp; Vol Update'!$B$8:$B$127,MATCH(J12,'Rate &amp; Vol Update'!$B$8:$B$127,1)+1)-J12)+INDEX('Rate &amp; Vol Update'!$E$8:$Z$127,MATCH(INDEX('Rate &amp; Vol Update'!$B$8:$B$127,MATCH(J12,'Rate &amp; Vol Update'!$B$8:$B$127,1)+1),'Rate &amp; Vol Update'!$B$8:$B$127,0),MATCH(INDEX('Rate &amp; Vol Update'!$E$6:$Z$6,1,MATCH(O12,'Rate &amp; Vol Update'!$E$6:$Z$6,1)),'Rate &amp; Vol Update'!$E$6:$Z$6,0))*(INDEX('Rate &amp; Vol Update'!$E$6:$Z$6,1,MATCH(O12,'Rate &amp; Vol Update'!$E$6:$Z$6,1)+1)-O12)*(J12-INDEX('Rate &amp; Vol Update'!$B$8:$B$127,MATCH(J12,'Rate &amp; Vol Update'!$B$8:$B$127,1)))+INDEX('Rate &amp; Vol Update'!$E$8:$Z$127,MATCH(INDEX('Rate &amp; Vol Update'!$B$8:$B$127,MATCH(J12,'Rate &amp; Vol Update'!$B$8:$B$127,1)+1),'Rate &amp; Vol Update'!$B$8:$B$127,0),MATCH(INDEX('Rate &amp; Vol Update'!$E$6:$Z$6,1,MATCH(O12,'Rate &amp; Vol Update'!$E$6:$Z$6,1)+1),'Rate &amp; Vol Update'!$E$6:$Z$6,0))*(O12-INDEX('Rate &amp; Vol Update'!$E$6:$Z$6,1,MATCH(O12,'Rate &amp; Vol Update'!$E$6:$Z$6,1)))*(J12-INDEX('Rate &amp; Vol Update'!$B$8:$B$127,MATCH(J12,'Rate &amp; Vol Update'!$B$8:$B$127,1)))))*0.01%))</f>
        <v>9.2104960373021686E-3</v>
      </c>
      <c r="R12" s="5">
        <f>IF(I12="","",1/((1+P12)^((K12-'Rate &amp; Vol Update'!$C$2)/360)))</f>
        <v>0.97600076231172972</v>
      </c>
      <c r="T12" s="15">
        <f>IF(I12="","",IF(J12&lt;'Rate &amp; Vol Update'!$C$2,MAX(0,P12-O12)*(L12/360)*N12,(((IF('Adjustment Surface'!C$2='Data Validation'!$A$2,P12,IF('Adjustment Surface'!C$2='Data Validation'!$A$3,O12,"Unknown Option Type"))-IF('Adjustment Surface'!C$2='Data Validation'!$A$2,O12,IF('Adjustment Surface'!C$2='Data Validation'!$A$3,P12,"Unknown Option Type")))*(NORMDIST((IF('Adjustment Surface'!C$2='Data Validation'!$A$2,P12,IF('Adjustment Surface'!C$2='Data Validation'!$A$3,O12,"Unknown Option Type"))-IF('Adjustment Surface'!C$2='Data Validation'!$A$2,O12,IF('Adjustment Surface'!C$2='Data Validation'!$A$3,P12,"Unknown Option Type")))/(Q12*SQRT(M12)),0,1,TRUE)))+((Q12*SQRT(M12))*(NORMDIST((IF('Adjustment Surface'!C$2='Data Validation'!$A$2,P12,IF('Adjustment Surface'!C$2='Data Validation'!$A$3,O12,"Unknown Option Type"))-IF('Adjustment Surface'!C$2='Data Validation'!$A$2,O12,IF('Adjustment Surface'!C$2='Data Validation'!$A$3,P12,"Unknown Option Type")))/(Q12*SQRT(M12)),0,1,FALSE))))*R12*(L12/360)*N12))</f>
        <v>26798.150953370478</v>
      </c>
      <c r="U12" s="15">
        <f>IF(I12="","",SUM(T$4:T12))</f>
        <v>280217.86712320516</v>
      </c>
      <c r="W12" s="15">
        <f>IF(I12="","",IF(J12&lt;'Rate &amp; Vol Update'!$C$2,0,((((((IF('Adjustment Surface'!C$2='Data Validation'!$A$2,P12,IF('Adjustment Surface'!C$2='Data Validation'!$A$3,O12,"Unknown Option Type"))-IF('Adjustment Surface'!C$2='Data Validation'!$A$2,O12,IF('Adjustment Surface'!C$2='Data Validation'!$A$3,P12,"Unknown Option Type")))*(NORMDIST((IF('Adjustment Surface'!C$2='Data Validation'!$A$2,P12,IF('Adjustment Surface'!C$2='Data Validation'!$A$3,O12,"Unknown Option Type"))-IF('Adjustment Surface'!C$2='Data Validation'!$A$2,O12,IF('Adjustment Surface'!C$2='Data Validation'!$A$3,P12,"Unknown Option Type")))/((Q12+0.01%)*SQRT(M12)),0,1,TRUE)))+(((Q12+0.01%)*SQRT(M12))*(NORMDIST((IF('Adjustment Surface'!C$2='Data Validation'!$A$2,P12,IF('Adjustment Surface'!C$2='Data Validation'!$A$3,O12,"Unknown Option Type"))-IF('Adjustment Surface'!C$2='Data Validation'!$A$2,O12,IF('Adjustment Surface'!C$2='Data Validation'!$A$3,P12,"Unknown Option Type")))/((Q12+0.01%)*SQRT(M12)),0,1,FALSE))))*R12*(L12/360))-(T12/N12))*N12)*R12))</f>
        <v>21.216181509553998</v>
      </c>
      <c r="X12" s="15">
        <f>IF(I12="","",SUM(W$4:W12))</f>
        <v>52.951924557924869</v>
      </c>
      <c r="Y12" s="15"/>
      <c r="Z12" s="20"/>
      <c r="AA12" s="3">
        <v>9</v>
      </c>
      <c r="AB12" s="4">
        <f>IF(AC11=MAX('Adjustment Surface'!$C$14:$F$14),"",AC11)</f>
        <v>46306</v>
      </c>
      <c r="AC12" s="4">
        <f>IF(AB12="","",IF(AB12&lt;EDATE('Adjustment Surface'!$C$6,DATEDIF('Adjustment Surface'!$C$6,MAX('Adjustment Surface'!$C$14:$F$14),"M")),EDATE(AB$5,COUNT(AB$5:AB12)),IF(AB12=EDATE('Adjustment Surface'!$C$6,DATEDIF('Adjustment Surface'!$C$6,MAX('Adjustment Surface'!$C$14:$F$14),"M")),MAX('Adjustment Surface'!$C$14:$F$14),EDATE('Adjustment Surface'!$C$6,DATEDIF('Adjustment Surface'!$C$6,MAX('Adjustment Surface'!$C$14:$F$14),"M")))))</f>
        <v>46337</v>
      </c>
      <c r="AD12" s="3">
        <f t="shared" si="2"/>
        <v>31</v>
      </c>
      <c r="AE12" s="5">
        <f>IF(AA12="","",(AC12-'Rate &amp; Vol Update'!$C$2)/360)</f>
        <v>0.7583333333333333</v>
      </c>
      <c r="AF12" s="15">
        <f>IF(AA12="","",IF('Adjustment Surface'!$C$3='Data Validation'!$C$2,'Adjustment Surface'!$C$4,_xlfn.IFNA(IF(INDEX(Schedules!$E$3:$E$123,MATCH('Bachelier Model'!AB12,Schedules!$B$3:$B$123,0))="",AF11,INDEX(Schedules!$E$3:$E$123,MATCH('Bachelier Model'!AB12,Schedules!$B$3:$B$123,0))),AF11)))</f>
        <v>25000000</v>
      </c>
      <c r="AG12" s="16">
        <f>IF(AA12="","",'Adjustment Surface'!B$15)</f>
        <v>0.03</v>
      </c>
      <c r="AH12" s="16" cm="1">
        <f t="array" ref="AH12">IF(AA12="","",FORECAST(AB12,INDEX('Rate &amp; Vol Update'!$C$6:$C$127,MATCH(INDEX('Rate &amp; Vol Update'!$B$6:$B$127,MATCH(AB12,'Rate &amp; Vol Update'!$B$6:$B$127,1)),'Rate &amp; Vol Update'!$B$6:$B$127,0)+IF('Adjustment Surface'!$C$11='Data Validation'!$E$3,-1,0)):INDEX('Rate &amp; Vol Update'!$C$6:$C$127,MATCH(INDEX('Rate &amp; Vol Update'!$B$6:$B$127,MATCH(AB12,'Rate &amp; Vol Update'!$B$6:$B$127,1)+1),'Rate &amp; Vol Update'!$B$6:$B$127,0)+IF('Adjustment Surface'!$C$11='Data Validation'!$E$3,-1,0)),INDEX('Rate &amp; Vol Update'!$B$6:$B$127,MATCH(AB12,'Rate &amp; Vol Update'!$B$6:$B$127,1)):INDEX('Rate &amp; Vol Update'!$B$6:$B$127,MATCH(AB12,'Rate &amp; Vol Update'!$B$6:$B$127,1)+1))/100)</f>
        <v>3.2551878288218393E-2</v>
      </c>
      <c r="AI12" s="16" cm="1">
        <f t="array" ref="AI12">IF(AA12="","",IF(AB12&lt;'Rate &amp; Vol Update'!$C$2,0.001%,(1/((INDEX('Rate &amp; Vol Update'!$E$6:$Z$6,1,MATCH(AG12,'Rate &amp; Vol Update'!$E$6:$Z$6,1)+1)-INDEX('Rate &amp; Vol Update'!$E$6:$Z$6,1,MATCH(AG12,'Rate &amp; Vol Update'!$E$6:$Z$6,1)))*(INDEX('Rate &amp; Vol Update'!$B$8:$B$127,MATCH(AB12,'Rate &amp; Vol Update'!$B$8:$B$127,1)+1)-INDEX('Rate &amp; Vol Update'!$B$8:$B$127,MATCH(AB12,'Rate &amp; Vol Update'!$B$8:$B$127,1))))*(INDEX('Rate &amp; Vol Update'!$E$8:$Z$127,MATCH(INDEX('Rate &amp; Vol Update'!$B$8:$B$127,MATCH(AB12,'Rate &amp; Vol Update'!$B$8:$B$127,1)),'Rate &amp; Vol Update'!$B$8:$B$127,0),MATCH(INDEX('Rate &amp; Vol Update'!$E$6:$Z$6,1,MATCH(AG12,'Rate &amp; Vol Update'!$E$6:$Z$6,1)),'Rate &amp; Vol Update'!$E$6:$Z$6,0))*(INDEX('Rate &amp; Vol Update'!$E$6:$Z$6,1,MATCH(AG12,'Rate &amp; Vol Update'!$E$6:$Z$6,1)+1)-AG12)*(INDEX('Rate &amp; Vol Update'!$B$8:$B$127,MATCH(AB12,'Rate &amp; Vol Update'!$B$8:$B$127,1)+1)-AB12)+INDEX('Rate &amp; Vol Update'!$E$8:$Z$127,MATCH(INDEX('Rate &amp; Vol Update'!$B$8:$B$127,MATCH(AB12,'Rate &amp; Vol Update'!$B$8:$B$127,1)),'Rate &amp; Vol Update'!$B$8:$B$127,0),MATCH(INDEX('Rate &amp; Vol Update'!$E$6:$Z$6,1,MATCH(AG12,'Rate &amp; Vol Update'!$E$6:$Z$6,1)+1),'Rate &amp; Vol Update'!$E$6:$Z$6,0))*(AG12-INDEX('Rate &amp; Vol Update'!$E$6:$Z$6,1,MATCH(AG12,'Rate &amp; Vol Update'!$E$6:$Z$6,1)))*(INDEX('Rate &amp; Vol Update'!$B$8:$B$127,MATCH(AB12,'Rate &amp; Vol Update'!$B$8:$B$127,1)+1)-AB12)+INDEX('Rate &amp; Vol Update'!$E$8:$Z$127,MATCH(INDEX('Rate &amp; Vol Update'!$B$8:$B$127,MATCH(AB12,'Rate &amp; Vol Update'!$B$8:$B$127,1)+1),'Rate &amp; Vol Update'!$B$8:$B$127,0),MATCH(INDEX('Rate &amp; Vol Update'!$E$6:$Z$6,1,MATCH(AG12,'Rate &amp; Vol Update'!$E$6:$Z$6,1)),'Rate &amp; Vol Update'!$E$6:$Z$6,0))*(INDEX('Rate &amp; Vol Update'!$E$6:$Z$6,1,MATCH(AG12,'Rate &amp; Vol Update'!$E$6:$Z$6,1)+1)-AG12)*(AB12-INDEX('Rate &amp; Vol Update'!$B$8:$B$127,MATCH(AB12,'Rate &amp; Vol Update'!$B$8:$B$127,1)))+INDEX('Rate &amp; Vol Update'!$E$8:$Z$127,MATCH(INDEX('Rate &amp; Vol Update'!$B$8:$B$127,MATCH(AB12,'Rate &amp; Vol Update'!$B$8:$B$127,1)+1),'Rate &amp; Vol Update'!$B$8:$B$127,0),MATCH(INDEX('Rate &amp; Vol Update'!$E$6:$Z$6,1,MATCH(AG12,'Rate &amp; Vol Update'!$E$6:$Z$6,1)+1),'Rate &amp; Vol Update'!$E$6:$Z$6,0))*(AG12-INDEX('Rate &amp; Vol Update'!$E$6:$Z$6,1,MATCH(AG12,'Rate &amp; Vol Update'!$E$6:$Z$6,1)))*(AB12-INDEX('Rate &amp; Vol Update'!$B$8:$B$127,MATCH(AB12,'Rate &amp; Vol Update'!$B$8:$B$127,1)))))*0.01%))</f>
        <v>6.984940828309763E-3</v>
      </c>
      <c r="AJ12" s="5">
        <f>IF(AA12="","",1/((1+AH12)^((AC12-'Rate &amp; Vol Update'!$C$2)/360)))</f>
        <v>0.97600076231172972</v>
      </c>
      <c r="AL12" s="15">
        <f>IF(AA12="","",IF(AB12&lt;'Rate &amp; Vol Update'!$C$2,MAX(0,AH12-AG12)*(AD12/360)*AF12,(((IF('Adjustment Surface'!$C$2='Data Validation'!$A$2,AH12,IF('Adjustment Surface'!$C$2='Data Validation'!$A$3,AG12,"Unknown Option Type"))-IF('Adjustment Surface'!$C$2='Data Validation'!$A$2,AG12,IF('Adjustment Surface'!$C$2='Data Validation'!$A$3,AH12,"Unknown Option Type")))*(NORMDIST((IF('Adjustment Surface'!$C$2='Data Validation'!$A$2,AH12,IF('Adjustment Surface'!$C$2='Data Validation'!$A$3,AG12,"Unknown Option Type"))-IF('Adjustment Surface'!$C$2='Data Validation'!$A$2,AG12,IF('Adjustment Surface'!$C$2='Data Validation'!$A$3,AH12,"Unknown Option Type")))/(AI12*SQRT(AE12)),0,1,TRUE)))+((AI12*SQRT(AE12))*(NORMDIST((IF('Adjustment Surface'!$C$2='Data Validation'!$A$2,AH12,IF('Adjustment Surface'!$C$2='Data Validation'!$A$3,AG12,"Unknown Option Type"))-IF('Adjustment Surface'!$C$2='Data Validation'!$A$2,AG12,IF('Adjustment Surface'!$C$2='Data Validation'!$A$3,AH12,"Unknown Option Type")))/(AI12*SQRT(AE12)),0,1,FALSE))))*AJ12*(AD12/360)*AF12))</f>
        <v>8221.7403761975074</v>
      </c>
      <c r="AM12" s="15">
        <f>IF(AA12="","",SUM(AL$4:AL12))</f>
        <v>101109.6571793574</v>
      </c>
      <c r="AO12" s="15">
        <f>IF(AA12="","",IF(AB12&lt;'Rate &amp; Vol Update'!$C$2,0,((((((IF('Adjustment Surface'!$C$2='Data Validation'!$A$2,AH12,IF('Adjustment Surface'!$C$2='Data Validation'!$A$3,AG12,"Unknown Option Type"))-IF('Adjustment Surface'!$C$2='Data Validation'!$A$2,AG12,IF('Adjustment Surface'!$C$2='Data Validation'!$A$3,AH12,"Unknown Option Type")))*(NORMDIST((IF('Adjustment Surface'!$C$2='Data Validation'!$A$2,AH12,IF('Adjustment Surface'!$C$2='Data Validation'!$A$3,AG12,"Unknown Option Type"))-IF('Adjustment Surface'!$C$2='Data Validation'!$A$2,AG12,IF('Adjustment Surface'!$C$2='Data Validation'!$A$3,AH12,"Unknown Option Type")))/((AI12+0.01%)*SQRT(AE12)),0,1,TRUE)))+(((AI12+0.01%)*SQRT(AE12))*(NORMDIST((IF('Adjustment Surface'!$C$2='Data Validation'!$A$2,AH12,IF('Adjustment Surface'!$C$2='Data Validation'!$A$3,AG12,"Unknown Option Type"))-IF('Adjustment Surface'!$C$2='Data Validation'!$A$2,AG12,IF('Adjustment Surface'!$C$2='Data Validation'!$A$3,AH12,"Unknown Option Type")))/((AI12+0.01%)*SQRT(AE12)),0,1,FALSE))))*AJ12*(AD12/360))-(AL12/AF12))*AF12)*AJ12))</f>
        <v>65.321988604069574</v>
      </c>
      <c r="AP12" s="15">
        <f>IF(AA12="","",SUM(AO$4:AO12))</f>
        <v>268.07762028562729</v>
      </c>
      <c r="AQ12" s="15"/>
      <c r="AR12" s="20"/>
      <c r="AS12" s="3">
        <v>9</v>
      </c>
      <c r="AT12" s="4">
        <f>IF(AU11=MAX('Adjustment Surface'!$C$14:$F$14),"",AU11)</f>
        <v>46306</v>
      </c>
      <c r="AU12" s="4">
        <f>IF(AT12="","",IF(AT12&lt;EDATE('Adjustment Surface'!$C$6,DATEDIF('Adjustment Surface'!$C$6,MAX('Adjustment Surface'!$C$14:$F$14),"M")),EDATE(AT$5,COUNT(AT$5:AT12)),IF(AT12=EDATE('Adjustment Surface'!$C$6,DATEDIF('Adjustment Surface'!$C$6,MAX('Adjustment Surface'!$C$14:$F$14),"M")),MAX('Adjustment Surface'!$C$14:$F$14),EDATE('Adjustment Surface'!$C$6,DATEDIF('Adjustment Surface'!$C$6,MAX('Adjustment Surface'!$C$14:$F$14),"M")))))</f>
        <v>46337</v>
      </c>
      <c r="AV12" s="3">
        <f t="shared" si="3"/>
        <v>31</v>
      </c>
      <c r="AW12" s="5">
        <f>IF(AS12="","",(AU12-'Rate &amp; Vol Update'!$C$2)/360)</f>
        <v>0.7583333333333333</v>
      </c>
      <c r="AX12" s="15">
        <f>IF(AS12="","",IF('Adjustment Surface'!$C$3='Data Validation'!$C$2,'Adjustment Surface'!$C$4,_xlfn.IFNA(IF(INDEX(Schedules!$E$3:$E$123,MATCH('Bachelier Model'!AT12,Schedules!$B$3:$B$123,0))="",AX11,INDEX(Schedules!$E$3:$E$123,MATCH('Bachelier Model'!AT12,Schedules!$B$3:$B$123,0))),AX11)))</f>
        <v>25000000</v>
      </c>
      <c r="AY12" s="16">
        <f>IF(AS12="","",'Adjustment Surface'!B$16)</f>
        <v>0.04</v>
      </c>
      <c r="AZ12" s="16" cm="1">
        <f t="array" ref="AZ12">IF(AS12="","",FORECAST(AT12,INDEX('Rate &amp; Vol Update'!$C$6:$C$127,MATCH(INDEX('Rate &amp; Vol Update'!$B$6:$B$127,MATCH(AT12,'Rate &amp; Vol Update'!$B$6:$B$127,1)),'Rate &amp; Vol Update'!$B$6:$B$127,0)+IF('Adjustment Surface'!$C$11='Data Validation'!$E$3,-1,0)):INDEX('Rate &amp; Vol Update'!$C$6:$C$127,MATCH(INDEX('Rate &amp; Vol Update'!$B$6:$B$127,MATCH(AT12,'Rate &amp; Vol Update'!$B$6:$B$127,1)+1),'Rate &amp; Vol Update'!$B$6:$B$127,0)+IF('Adjustment Surface'!$C$11='Data Validation'!$E$3,-1,0)),INDEX('Rate &amp; Vol Update'!$B$6:$B$127,MATCH(AT12,'Rate &amp; Vol Update'!$B$6:$B$127,1)):INDEX('Rate &amp; Vol Update'!$B$6:$B$127,MATCH(AT12,'Rate &amp; Vol Update'!$B$6:$B$127,1)+1))/100)</f>
        <v>3.2551878288218393E-2</v>
      </c>
      <c r="BA12" s="16" cm="1">
        <f t="array" ref="BA12">IF(AS12="","",IF(AT12&lt;'Rate &amp; Vol Update'!$C$2,0.001%,(1/((INDEX('Rate &amp; Vol Update'!$E$6:$Z$6,1,MATCH(AY12,'Rate &amp; Vol Update'!$E$6:$Z$6,1)+1)-INDEX('Rate &amp; Vol Update'!$E$6:$Z$6,1,MATCH(AY12,'Rate &amp; Vol Update'!$E$6:$Z$6,1)))*(INDEX('Rate &amp; Vol Update'!$B$8:$B$127,MATCH(AT12,'Rate &amp; Vol Update'!$B$8:$B$127,1)+1)-INDEX('Rate &amp; Vol Update'!$B$8:$B$127,MATCH(AT12,'Rate &amp; Vol Update'!$B$8:$B$127,1))))*(INDEX('Rate &amp; Vol Update'!$E$8:$Z$127,MATCH(INDEX('Rate &amp; Vol Update'!$B$8:$B$127,MATCH(AT12,'Rate &amp; Vol Update'!$B$8:$B$127,1)),'Rate &amp; Vol Update'!$B$8:$B$127,0),MATCH(INDEX('Rate &amp; Vol Update'!$E$6:$Z$6,1,MATCH(AY12,'Rate &amp; Vol Update'!$E$6:$Z$6,1)),'Rate &amp; Vol Update'!$E$6:$Z$6,0))*(INDEX('Rate &amp; Vol Update'!$E$6:$Z$6,1,MATCH(AY12,'Rate &amp; Vol Update'!$E$6:$Z$6,1)+1)-AY12)*(INDEX('Rate &amp; Vol Update'!$B$8:$B$127,MATCH(AT12,'Rate &amp; Vol Update'!$B$8:$B$127,1)+1)-AT12)+INDEX('Rate &amp; Vol Update'!$E$8:$Z$127,MATCH(INDEX('Rate &amp; Vol Update'!$B$8:$B$127,MATCH(AT12,'Rate &amp; Vol Update'!$B$8:$B$127,1)),'Rate &amp; Vol Update'!$B$8:$B$127,0),MATCH(INDEX('Rate &amp; Vol Update'!$E$6:$Z$6,1,MATCH(AY12,'Rate &amp; Vol Update'!$E$6:$Z$6,1)+1),'Rate &amp; Vol Update'!$E$6:$Z$6,0))*(AY12-INDEX('Rate &amp; Vol Update'!$E$6:$Z$6,1,MATCH(AY12,'Rate &amp; Vol Update'!$E$6:$Z$6,1)))*(INDEX('Rate &amp; Vol Update'!$B$8:$B$127,MATCH(AT12,'Rate &amp; Vol Update'!$B$8:$B$127,1)+1)-AT12)+INDEX('Rate &amp; Vol Update'!$E$8:$Z$127,MATCH(INDEX('Rate &amp; Vol Update'!$B$8:$B$127,MATCH(AT12,'Rate &amp; Vol Update'!$B$8:$B$127,1)+1),'Rate &amp; Vol Update'!$B$8:$B$127,0),MATCH(INDEX('Rate &amp; Vol Update'!$E$6:$Z$6,1,MATCH(AY12,'Rate &amp; Vol Update'!$E$6:$Z$6,1)),'Rate &amp; Vol Update'!$E$6:$Z$6,0))*(INDEX('Rate &amp; Vol Update'!$E$6:$Z$6,1,MATCH(AY12,'Rate &amp; Vol Update'!$E$6:$Z$6,1)+1)-AY12)*(AT12-INDEX('Rate &amp; Vol Update'!$B$8:$B$127,MATCH(AT12,'Rate &amp; Vol Update'!$B$8:$B$127,1)))+INDEX('Rate &amp; Vol Update'!$E$8:$Z$127,MATCH(INDEX('Rate &amp; Vol Update'!$B$8:$B$127,MATCH(AT12,'Rate &amp; Vol Update'!$B$8:$B$127,1)+1),'Rate &amp; Vol Update'!$B$8:$B$127,0),MATCH(INDEX('Rate &amp; Vol Update'!$E$6:$Z$6,1,MATCH(AY12,'Rate &amp; Vol Update'!$E$6:$Z$6,1)+1),'Rate &amp; Vol Update'!$E$6:$Z$6,0))*(AY12-INDEX('Rate &amp; Vol Update'!$E$6:$Z$6,1,MATCH(AY12,'Rate &amp; Vol Update'!$E$6:$Z$6,1)))*(AT12-INDEX('Rate &amp; Vol Update'!$B$8:$B$127,MATCH(AT12,'Rate &amp; Vol Update'!$B$8:$B$127,1)))))*0.01%))</f>
        <v>6.1961294242155827E-3</v>
      </c>
      <c r="BB12" s="5">
        <f>IF(AS12="","",1/((1+AZ12)^((AU12-'Rate &amp; Vol Update'!$C$2)/360)))</f>
        <v>0.97600076231172972</v>
      </c>
      <c r="BD12" s="15">
        <f>IF(AS12="","",IF(AT12&lt;'Rate &amp; Vol Update'!$C$2,MAX(0,AZ12-AY12)*(AV12/360)*AX12,(((IF('Adjustment Surface'!$C$2='Data Validation'!$A$2,AZ12,IF('Adjustment Surface'!$C$2='Data Validation'!$A$3,AY12,"Unknown Option Type"))-IF('Adjustment Surface'!$C$2='Data Validation'!$A$2,AY12,IF('Adjustment Surface'!$C$2='Data Validation'!$A$3,AZ12,"Unknown Option Type")))*(NORMDIST((IF('Adjustment Surface'!$C$2='Data Validation'!$A$2,AZ12,IF('Adjustment Surface'!$C$2='Data Validation'!$A$3,AY12,"Unknown Option Type"))-IF('Adjustment Surface'!$C$2='Data Validation'!$A$2,AY12,IF('Adjustment Surface'!$C$2='Data Validation'!$A$3,AZ12,"Unknown Option Type")))/(BA12*SQRT(AW12)),0,1,TRUE)))+((BA12*SQRT(AW12))*(NORMDIST((IF('Adjustment Surface'!$C$2='Data Validation'!$A$2,AZ12,IF('Adjustment Surface'!$C$2='Data Validation'!$A$3,AY12,"Unknown Option Type"))-IF('Adjustment Surface'!$C$2='Data Validation'!$A$2,AY12,IF('Adjustment Surface'!$C$2='Data Validation'!$A$3,AZ12,"Unknown Option Type")))/(BA12*SQRT(AW12)),0,1,FALSE))))*BB12*(AV12/360)*AX12))</f>
        <v>434.00845801136614</v>
      </c>
      <c r="BE12" s="15">
        <f>IF(AS12="","",SUM(BD$4:BD12))</f>
        <v>3274.1492614351391</v>
      </c>
      <c r="BG12" s="15">
        <f>IF(AS12="","",IF(AT12&lt;'Rate &amp; Vol Update'!$C$2,0,((((((IF('Adjustment Surface'!$C$2='Data Validation'!$A$2,AZ12,IF('Adjustment Surface'!$C$2='Data Validation'!$A$3,AY12,"Unknown Option Type"))-IF('Adjustment Surface'!$C$2='Data Validation'!$A$2,AY12,IF('Adjustment Surface'!$C$2='Data Validation'!$A$3,AZ12,"Unknown Option Type")))*(NORMDIST((IF('Adjustment Surface'!$C$2='Data Validation'!$A$2,AZ12,IF('Adjustment Surface'!$C$2='Data Validation'!$A$3,AY12,"Unknown Option Type"))-IF('Adjustment Surface'!$C$2='Data Validation'!$A$2,AY12,IF('Adjustment Surface'!$C$2='Data Validation'!$A$3,AZ12,"Unknown Option Type")))/((BA12+0.01%)*SQRT(AW12)),0,1,TRUE)))+(((BA12+0.01%)*SQRT(AW12))*(NORMDIST((IF('Adjustment Surface'!$C$2='Data Validation'!$A$2,AZ12,IF('Adjustment Surface'!$C$2='Data Validation'!$A$3,AY12,"Unknown Option Type"))-IF('Adjustment Surface'!$C$2='Data Validation'!$A$2,AY12,IF('Adjustment Surface'!$C$2='Data Validation'!$A$3,AZ12,"Unknown Option Type")))/((BA12+0.01%)*SQRT(AW12)),0,1,FALSE))))*BB12*(AV12/360))-(BD12/AX12))*AX12)*BB12))</f>
        <v>27.89775624385975</v>
      </c>
      <c r="BH12" s="15">
        <f>IF(AS12="","",SUM(BG$4:BG12))</f>
        <v>195.62020565791451</v>
      </c>
      <c r="BI12" s="15"/>
      <c r="BJ12" s="20"/>
      <c r="BK12" s="3">
        <v>9</v>
      </c>
      <c r="BL12" s="4">
        <f>IF(BM11=MAX('Adjustment Surface'!$C$14:$F$14),"",BM11)</f>
        <v>46306</v>
      </c>
      <c r="BM12" s="4">
        <f>IF(BL12="","",IF(BL12&lt;EDATE('Adjustment Surface'!$C$6,DATEDIF('Adjustment Surface'!$C$6,MAX('Adjustment Surface'!$C$14:$F$14),"M")),EDATE(BL$5,COUNT(BL$5:BL12)),IF(BL12=EDATE('Adjustment Surface'!$C$6,DATEDIF('Adjustment Surface'!$C$6,MAX('Adjustment Surface'!$C$14:$F$14),"M")),MAX('Adjustment Surface'!$C$14:$F$14),EDATE('Adjustment Surface'!$C$6,DATEDIF('Adjustment Surface'!$C$6,MAX('Adjustment Surface'!$C$14:$F$14),"M")))))</f>
        <v>46337</v>
      </c>
      <c r="BN12" s="3">
        <f t="shared" si="4"/>
        <v>31</v>
      </c>
      <c r="BO12" s="5">
        <f>IF(BK12="","",(BM12-'Rate &amp; Vol Update'!$C$2)/360)</f>
        <v>0.7583333333333333</v>
      </c>
      <c r="BP12" s="15">
        <f>IF(BK12="","",IF('Adjustment Surface'!$C$3='Data Validation'!$C$2,'Adjustment Surface'!$C$4,_xlfn.IFNA(IF(INDEX(Schedules!$E$3:$E$123,MATCH('Bachelier Model'!BL12,Schedules!$B$3:$B$123,0))="",BP11,INDEX(Schedules!$E$3:$E$123,MATCH('Bachelier Model'!BL12,Schedules!$B$3:$B$123,0))),BP11)))</f>
        <v>25000000</v>
      </c>
      <c r="BQ12" s="16">
        <f>IF(BK12="","",'Adjustment Surface'!B$17)</f>
        <v>0.05</v>
      </c>
      <c r="BR12" s="16" cm="1">
        <f t="array" ref="BR12">IF(BK12="","",FORECAST(BL12,INDEX('Rate &amp; Vol Update'!$C$6:$C$127,MATCH(INDEX('Rate &amp; Vol Update'!$B$6:$B$127,MATCH(BL12,'Rate &amp; Vol Update'!$B$6:$B$127,1)),'Rate &amp; Vol Update'!$B$6:$B$127,0)+IF('Adjustment Surface'!$C$11='Data Validation'!$E$3,-1,0)):INDEX('Rate &amp; Vol Update'!$C$6:$C$127,MATCH(INDEX('Rate &amp; Vol Update'!$B$6:$B$127,MATCH(BL12,'Rate &amp; Vol Update'!$B$6:$B$127,1)+1),'Rate &amp; Vol Update'!$B$6:$B$127,0)+IF('Adjustment Surface'!$C$11='Data Validation'!$E$3,-1,0)),INDEX('Rate &amp; Vol Update'!$B$6:$B$127,MATCH(BL12,'Rate &amp; Vol Update'!$B$6:$B$127,1)):INDEX('Rate &amp; Vol Update'!$B$6:$B$127,MATCH(BL12,'Rate &amp; Vol Update'!$B$6:$B$127,1)+1))/100)</f>
        <v>3.2551878288218393E-2</v>
      </c>
      <c r="BS12" s="16" cm="1">
        <f t="array" ref="BS12">IF(BK12="","",IF(BL12&lt;'Rate &amp; Vol Update'!$C$2,0.001%,(1/((INDEX('Rate &amp; Vol Update'!$E$6:$Z$6,1,MATCH(BQ12,'Rate &amp; Vol Update'!$E$6:$Z$6,1)+1)-INDEX('Rate &amp; Vol Update'!$E$6:$Z$6,1,MATCH(BQ12,'Rate &amp; Vol Update'!$E$6:$Z$6,1)))*(INDEX('Rate &amp; Vol Update'!$B$8:$B$127,MATCH(BL12,'Rate &amp; Vol Update'!$B$8:$B$127,1)+1)-INDEX('Rate &amp; Vol Update'!$B$8:$B$127,MATCH(BL12,'Rate &amp; Vol Update'!$B$8:$B$127,1))))*(INDEX('Rate &amp; Vol Update'!$E$8:$Z$127,MATCH(INDEX('Rate &amp; Vol Update'!$B$8:$B$127,MATCH(BL12,'Rate &amp; Vol Update'!$B$8:$B$127,1)),'Rate &amp; Vol Update'!$B$8:$B$127,0),MATCH(INDEX('Rate &amp; Vol Update'!$E$6:$Z$6,1,MATCH(BQ12,'Rate &amp; Vol Update'!$E$6:$Z$6,1)),'Rate &amp; Vol Update'!$E$6:$Z$6,0))*(INDEX('Rate &amp; Vol Update'!$E$6:$Z$6,1,MATCH(BQ12,'Rate &amp; Vol Update'!$E$6:$Z$6,1)+1)-BQ12)*(INDEX('Rate &amp; Vol Update'!$B$8:$B$127,MATCH(BL12,'Rate &amp; Vol Update'!$B$8:$B$127,1)+1)-BL12)+INDEX('Rate &amp; Vol Update'!$E$8:$Z$127,MATCH(INDEX('Rate &amp; Vol Update'!$B$8:$B$127,MATCH(BL12,'Rate &amp; Vol Update'!$B$8:$B$127,1)),'Rate &amp; Vol Update'!$B$8:$B$127,0),MATCH(INDEX('Rate &amp; Vol Update'!$E$6:$Z$6,1,MATCH(BQ12,'Rate &amp; Vol Update'!$E$6:$Z$6,1)+1),'Rate &amp; Vol Update'!$E$6:$Z$6,0))*(BQ12-INDEX('Rate &amp; Vol Update'!$E$6:$Z$6,1,MATCH(BQ12,'Rate &amp; Vol Update'!$E$6:$Z$6,1)))*(INDEX('Rate &amp; Vol Update'!$B$8:$B$127,MATCH(BL12,'Rate &amp; Vol Update'!$B$8:$B$127,1)+1)-BL12)+INDEX('Rate &amp; Vol Update'!$E$8:$Z$127,MATCH(INDEX('Rate &amp; Vol Update'!$B$8:$B$127,MATCH(BL12,'Rate &amp; Vol Update'!$B$8:$B$127,1)+1),'Rate &amp; Vol Update'!$B$8:$B$127,0),MATCH(INDEX('Rate &amp; Vol Update'!$E$6:$Z$6,1,MATCH(BQ12,'Rate &amp; Vol Update'!$E$6:$Z$6,1)),'Rate &amp; Vol Update'!$E$6:$Z$6,0))*(INDEX('Rate &amp; Vol Update'!$E$6:$Z$6,1,MATCH(BQ12,'Rate &amp; Vol Update'!$E$6:$Z$6,1)+1)-BQ12)*(BL12-INDEX('Rate &amp; Vol Update'!$B$8:$B$127,MATCH(BL12,'Rate &amp; Vol Update'!$B$8:$B$127,1)))+INDEX('Rate &amp; Vol Update'!$E$8:$Z$127,MATCH(INDEX('Rate &amp; Vol Update'!$B$8:$B$127,MATCH(BL12,'Rate &amp; Vol Update'!$B$8:$B$127,1)+1),'Rate &amp; Vol Update'!$B$8:$B$127,0),MATCH(INDEX('Rate &amp; Vol Update'!$E$6:$Z$6,1,MATCH(BQ12,'Rate &amp; Vol Update'!$E$6:$Z$6,1)+1),'Rate &amp; Vol Update'!$E$6:$Z$6,0))*(BQ12-INDEX('Rate &amp; Vol Update'!$E$6:$Z$6,1,MATCH(BQ12,'Rate &amp; Vol Update'!$E$6:$Z$6,1)))*(BL12-INDEX('Rate &amp; Vol Update'!$B$8:$B$127,MATCH(BL12,'Rate &amp; Vol Update'!$B$8:$B$127,1)))))*0.01%))</f>
        <v>7.8513141603793381E-3</v>
      </c>
      <c r="BT12" s="5">
        <f>IF(BK12="","",1/((1+BR12)^((BM12-'Rate &amp; Vol Update'!$C$2)/360)))</f>
        <v>0.97600076231172972</v>
      </c>
      <c r="BV12" s="15">
        <f>IF(BK12="","",IF(BL12&lt;'Rate &amp; Vol Update'!$C$2,MAX(0,BR12-BQ12)*(BN12/360)*BP12,(((IF('Adjustment Surface'!$C$2='Data Validation'!$A$2,BR12,IF('Adjustment Surface'!$C$2='Data Validation'!$A$3,BQ12,"Unknown Option Type"))-IF('Adjustment Surface'!$C$2='Data Validation'!$A$2,BQ12,IF('Adjustment Surface'!$C$2='Data Validation'!$A$3,BR12,"Unknown Option Type")))*(NORMDIST((IF('Adjustment Surface'!$C$2='Data Validation'!$A$2,BR12,IF('Adjustment Surface'!$C$2='Data Validation'!$A$3,BQ12,"Unknown Option Type"))-IF('Adjustment Surface'!$C$2='Data Validation'!$A$2,BQ12,IF('Adjustment Surface'!$C$2='Data Validation'!$A$3,BR12,"Unknown Option Type")))/(BS12*SQRT(BO12)),0,1,TRUE)))+((BS12*SQRT(BO12))*(NORMDIST((IF('Adjustment Surface'!$C$2='Data Validation'!$A$2,BR12,IF('Adjustment Surface'!$C$2='Data Validation'!$A$3,BQ12,"Unknown Option Type"))-IF('Adjustment Surface'!$C$2='Data Validation'!$A$2,BQ12,IF('Adjustment Surface'!$C$2='Data Validation'!$A$3,BR12,"Unknown Option Type")))/(BS12*SQRT(BO12)),0,1,FALSE))))*BT12*(BN12/360)*BP12))</f>
        <v>24.47991209312773</v>
      </c>
      <c r="BW12" s="15">
        <f>IF(BK12="","",SUM(BV$4:BV12))</f>
        <v>74.089825882244043</v>
      </c>
      <c r="BY12" s="15">
        <f>IF(BK12="","",IF(BL12&lt;'Rate &amp; Vol Update'!$C$2,0,((((((IF('Adjustment Surface'!$C$2='Data Validation'!$A$2,BR12,IF('Adjustment Surface'!$C$2='Data Validation'!$A$3,BQ12,"Unknown Option Type"))-IF('Adjustment Surface'!$C$2='Data Validation'!$A$2,BQ12,IF('Adjustment Surface'!$C$2='Data Validation'!$A$3,BR12,"Unknown Option Type")))*(NORMDIST((IF('Adjustment Surface'!$C$2='Data Validation'!$A$2,BR12,IF('Adjustment Surface'!$C$2='Data Validation'!$A$3,BQ12,"Unknown Option Type"))-IF('Adjustment Surface'!$C$2='Data Validation'!$A$2,BQ12,IF('Adjustment Surface'!$C$2='Data Validation'!$A$3,BR12,"Unknown Option Type")))/((BS12+0.01%)*SQRT(BO12)),0,1,TRUE)))+(((BS12+0.01%)*SQRT(BO12))*(NORMDIST((IF('Adjustment Surface'!$C$2='Data Validation'!$A$2,BR12,IF('Adjustment Surface'!$C$2='Data Validation'!$A$3,BQ12,"Unknown Option Type"))-IF('Adjustment Surface'!$C$2='Data Validation'!$A$2,BQ12,IF('Adjustment Surface'!$C$2='Data Validation'!$A$3,BR12,"Unknown Option Type")))/((BS12+0.01%)*SQRT(BO12)),0,1,FALSE))))*BT12*(BN12/360))-(BV12/BP12))*BP12)*BT12))</f>
        <v>2.8606066071092489</v>
      </c>
      <c r="BZ12" s="15">
        <f>IF(BK12="","",SUM(BY$4:BY12))</f>
        <v>9.3265470037462368</v>
      </c>
      <c r="CA12" s="15"/>
      <c r="CB12" s="20"/>
      <c r="CC12" s="3">
        <v>9</v>
      </c>
      <c r="CD12" s="4">
        <f>IF(CE11=MAX('Adjustment Surface'!$C$14:$F$14),"",CE11)</f>
        <v>46306</v>
      </c>
      <c r="CE12" s="4">
        <f>IF(CD12="","",IF(CD12&lt;EDATE('Adjustment Surface'!$C$6,DATEDIF('Adjustment Surface'!$C$6,MAX('Adjustment Surface'!$C$14:$F$14),"M")),EDATE(CD$5,COUNT(CD$5:CD12)),IF(CD12=EDATE('Adjustment Surface'!$C$6,DATEDIF('Adjustment Surface'!$C$6,MAX('Adjustment Surface'!$C$14:$F$14),"M")),MAX('Adjustment Surface'!$C$14:$F$14),EDATE('Adjustment Surface'!$C$6,DATEDIF('Adjustment Surface'!$C$6,MAX('Adjustment Surface'!$C$14:$F$14),"M")))))</f>
        <v>46337</v>
      </c>
      <c r="CF12" s="3">
        <f t="shared" si="5"/>
        <v>31</v>
      </c>
      <c r="CG12" s="5">
        <f>IF(CC12="","",(CE12-'Rate &amp; Vol Update'!$C$2)/360)</f>
        <v>0.7583333333333333</v>
      </c>
      <c r="CH12" s="15">
        <f>IF(CC12="","",IF('Adjustment Surface'!$C$3='Data Validation'!$C$2,'Adjustment Surface'!$C$4,_xlfn.IFNA(IF(INDEX(Schedules!$E$3:$E$123,MATCH('Bachelier Model'!CD12,Schedules!$B$3:$B$123,0))="",CH11,INDEX(Schedules!$E$3:$E$123,MATCH('Bachelier Model'!CD12,Schedules!$B$3:$B$123,0))),CH11)))</f>
        <v>25000000</v>
      </c>
      <c r="CI12" s="16">
        <f>IF(CC12="","",'Adjustment Surface'!B$18)</f>
        <v>0.06</v>
      </c>
      <c r="CJ12" s="16" cm="1">
        <f t="array" ref="CJ12">IF(CC12="","",FORECAST(CD12,INDEX('Rate &amp; Vol Update'!$C$6:$C$127,MATCH(INDEX('Rate &amp; Vol Update'!$B$6:$B$127,MATCH(CD12,'Rate &amp; Vol Update'!$B$6:$B$127,1)),'Rate &amp; Vol Update'!$B$6:$B$127,0)+IF('Adjustment Surface'!$C$11='Data Validation'!$E$3,-1,0)):INDEX('Rate &amp; Vol Update'!$C$6:$C$127,MATCH(INDEX('Rate &amp; Vol Update'!$B$6:$B$127,MATCH(CD12,'Rate &amp; Vol Update'!$B$6:$B$127,1)+1),'Rate &amp; Vol Update'!$B$6:$B$127,0)+IF('Adjustment Surface'!$C$11='Data Validation'!$E$3,-1,0)),INDEX('Rate &amp; Vol Update'!$B$6:$B$127,MATCH(CD12,'Rate &amp; Vol Update'!$B$6:$B$127,1)):INDEX('Rate &amp; Vol Update'!$B$6:$B$127,MATCH(CD12,'Rate &amp; Vol Update'!$B$6:$B$127,1)+1))/100)</f>
        <v>3.2551878288218393E-2</v>
      </c>
      <c r="CK12" s="16" cm="1">
        <f t="array" ref="CK12">IF(CC12="","",IF(CD12&lt;'Rate &amp; Vol Update'!$C$2,0.001%,(1/((INDEX('Rate &amp; Vol Update'!$E$6:$Z$6,1,MATCH(CI12,'Rate &amp; Vol Update'!$E$6:$Z$6,1)+1)-INDEX('Rate &amp; Vol Update'!$E$6:$Z$6,1,MATCH(CI12,'Rate &amp; Vol Update'!$E$6:$Z$6,1)))*(INDEX('Rate &amp; Vol Update'!$B$8:$B$127,MATCH(CD12,'Rate &amp; Vol Update'!$B$8:$B$127,1)+1)-INDEX('Rate &amp; Vol Update'!$B$8:$B$127,MATCH(CD12,'Rate &amp; Vol Update'!$B$8:$B$127,1))))*(INDEX('Rate &amp; Vol Update'!$E$8:$Z$127,MATCH(INDEX('Rate &amp; Vol Update'!$B$8:$B$127,MATCH(CD12,'Rate &amp; Vol Update'!$B$8:$B$127,1)),'Rate &amp; Vol Update'!$B$8:$B$127,0),MATCH(INDEX('Rate &amp; Vol Update'!$E$6:$Z$6,1,MATCH(CI12,'Rate &amp; Vol Update'!$E$6:$Z$6,1)),'Rate &amp; Vol Update'!$E$6:$Z$6,0))*(INDEX('Rate &amp; Vol Update'!$E$6:$Z$6,1,MATCH(CI12,'Rate &amp; Vol Update'!$E$6:$Z$6,1)+1)-CI12)*(INDEX('Rate &amp; Vol Update'!$B$8:$B$127,MATCH(CD12,'Rate &amp; Vol Update'!$B$8:$B$127,1)+1)-CD12)+INDEX('Rate &amp; Vol Update'!$E$8:$Z$127,MATCH(INDEX('Rate &amp; Vol Update'!$B$8:$B$127,MATCH(CD12,'Rate &amp; Vol Update'!$B$8:$B$127,1)),'Rate &amp; Vol Update'!$B$8:$B$127,0),MATCH(INDEX('Rate &amp; Vol Update'!$E$6:$Z$6,1,MATCH(CI12,'Rate &amp; Vol Update'!$E$6:$Z$6,1)+1),'Rate &amp; Vol Update'!$E$6:$Z$6,0))*(CI12-INDEX('Rate &amp; Vol Update'!$E$6:$Z$6,1,MATCH(CI12,'Rate &amp; Vol Update'!$E$6:$Z$6,1)))*(INDEX('Rate &amp; Vol Update'!$B$8:$B$127,MATCH(CD12,'Rate &amp; Vol Update'!$B$8:$B$127,1)+1)-CD12)+INDEX('Rate &amp; Vol Update'!$E$8:$Z$127,MATCH(INDEX('Rate &amp; Vol Update'!$B$8:$B$127,MATCH(CD12,'Rate &amp; Vol Update'!$B$8:$B$127,1)+1),'Rate &amp; Vol Update'!$B$8:$B$127,0),MATCH(INDEX('Rate &amp; Vol Update'!$E$6:$Z$6,1,MATCH(CI12,'Rate &amp; Vol Update'!$E$6:$Z$6,1)),'Rate &amp; Vol Update'!$E$6:$Z$6,0))*(INDEX('Rate &amp; Vol Update'!$E$6:$Z$6,1,MATCH(CI12,'Rate &amp; Vol Update'!$E$6:$Z$6,1)+1)-CI12)*(CD12-INDEX('Rate &amp; Vol Update'!$B$8:$B$127,MATCH(CD12,'Rate &amp; Vol Update'!$B$8:$B$127,1)))+INDEX('Rate &amp; Vol Update'!$E$8:$Z$127,MATCH(INDEX('Rate &amp; Vol Update'!$B$8:$B$127,MATCH(CD12,'Rate &amp; Vol Update'!$B$8:$B$127,1)+1),'Rate &amp; Vol Update'!$B$8:$B$127,0),MATCH(INDEX('Rate &amp; Vol Update'!$E$6:$Z$6,1,MATCH(CI12,'Rate &amp; Vol Update'!$E$6:$Z$6,1)+1),'Rate &amp; Vol Update'!$E$6:$Z$6,0))*(CI12-INDEX('Rate &amp; Vol Update'!$E$6:$Z$6,1,MATCH(CI12,'Rate &amp; Vol Update'!$E$6:$Z$6,1)))*(CD12-INDEX('Rate &amp; Vol Update'!$B$8:$B$127,MATCH(CD12,'Rate &amp; Vol Update'!$B$8:$B$127,1)))))*0.01%))</f>
        <v>9.9601348519794027E-3</v>
      </c>
      <c r="CL12" s="5">
        <f>IF(CC12="","",1/((1+CJ12)^((CE12-'Rate &amp; Vol Update'!$C$2)/360)))</f>
        <v>0.97600076231172972</v>
      </c>
      <c r="CN12" s="15">
        <f>IF(CC12="","",IF(CD12&lt;'Rate &amp; Vol Update'!$C$2,MAX(0,CJ12-CI12)*(CF12/360)*CH12,(((IF('Adjustment Surface'!$C$2='Data Validation'!$A$2,CJ12,IF('Adjustment Surface'!$C$2='Data Validation'!$A$3,CI12,"Unknown Option Type"))-IF('Adjustment Surface'!$C$2='Data Validation'!$A$2,CI12,IF('Adjustment Surface'!$C$2='Data Validation'!$A$3,CJ12,"Unknown Option Type")))*(NORMDIST((IF('Adjustment Surface'!$C$2='Data Validation'!$A$2,CJ12,IF('Adjustment Surface'!$C$2='Data Validation'!$A$3,CI12,"Unknown Option Type"))-IF('Adjustment Surface'!$C$2='Data Validation'!$A$2,CI12,IF('Adjustment Surface'!$C$2='Data Validation'!$A$3,CJ12,"Unknown Option Type")))/(CK12*SQRT(CG12)),0,1,TRUE)))+((CK12*SQRT(CG12))*(NORMDIST((IF('Adjustment Surface'!$C$2='Data Validation'!$A$2,CJ12,IF('Adjustment Surface'!$C$2='Data Validation'!$A$3,CI12,"Unknown Option Type"))-IF('Adjustment Surface'!$C$2='Data Validation'!$A$2,CI12,IF('Adjustment Surface'!$C$2='Data Validation'!$A$3,CJ12,"Unknown Option Type")))/(CK12*SQRT(CG12)),0,1,FALSE))))*CL12*(CF12/360)*CH12))</f>
        <v>3.8476702495988082</v>
      </c>
      <c r="CO12" s="15">
        <f>IF(CC12="","",SUM(CN$4:CN12))</f>
        <v>8.5231035132836528</v>
      </c>
      <c r="CQ12" s="15">
        <f>IF(CC12="","",IF(CD12&lt;'Rate &amp; Vol Update'!$C$2,0,((((((IF('Adjustment Surface'!$C$2='Data Validation'!$A$2,CJ12,IF('Adjustment Surface'!$C$2='Data Validation'!$A$3,CI12,"Unknown Option Type"))-IF('Adjustment Surface'!$C$2='Data Validation'!$A$2,CI12,IF('Adjustment Surface'!$C$2='Data Validation'!$A$3,CJ12,"Unknown Option Type")))*(NORMDIST((IF('Adjustment Surface'!$C$2='Data Validation'!$A$2,CJ12,IF('Adjustment Surface'!$C$2='Data Validation'!$A$3,CI12,"Unknown Option Type"))-IF('Adjustment Surface'!$C$2='Data Validation'!$A$2,CI12,IF('Adjustment Surface'!$C$2='Data Validation'!$A$3,CJ12,"Unknown Option Type")))/((CK12+0.01%)*SQRT(CG12)),0,1,TRUE)))+(((CK12+0.01%)*SQRT(CG12))*(NORMDIST((IF('Adjustment Surface'!$C$2='Data Validation'!$A$2,CJ12,IF('Adjustment Surface'!$C$2='Data Validation'!$A$3,CI12,"Unknown Option Type"))-IF('Adjustment Surface'!$C$2='Data Validation'!$A$2,CI12,IF('Adjustment Surface'!$C$2='Data Validation'!$A$3,CJ12,"Unknown Option Type")))/((CK12+0.01%)*SQRT(CG12)),0,1,FALSE))))*CL12*(CF12/360))-(CN12/CH12))*CH12)*CL12))</f>
        <v>0.50105515122630739</v>
      </c>
      <c r="CR12" s="15">
        <f>IF(CC12="","",SUM(CQ$4:CQ12))</f>
        <v>1.180316218586706</v>
      </c>
    </row>
    <row r="13" spans="2:96" x14ac:dyDescent="0.25">
      <c r="B13" s="16">
        <f>'Adjustment Surface'!B17</f>
        <v>0.05</v>
      </c>
      <c r="C13" s="21">
        <f>INDEX(BZ4:BZ124,MATCH(INDEX(BM4:BM124,MATCH('Adjustment Surface'!C14,BM4:BM124,1)),BM4:BM124,0))+(((((((IF('Adjustment Surface'!$C$2='Data Validation'!$A$2,INDEX(BR4:BR124,MATCH(INDEX(BM4:BM124,MATCH('Adjustment Surface'!C14,BM4:BM124,1)),BL4:BL124,1)),IF('Adjustment Surface'!$C$2='Data Validation'!$A$3,INDEX(BQ4:BQ124,MATCH(INDEX(BM4:BM124,MATCH('Adjustment Surface'!C14,BM4:BM124,1)),BL4:BL124,1)),"Unknown Option Type"))-IF('Adjustment Surface'!$C$2='Data Validation'!$A$2,INDEX(BQ4:BQ124,MATCH(INDEX(BM4:BM124,MATCH('Adjustment Surface'!C14,BM4:BM124,1)),BL4:BL124,1)),IF('Adjustment Surface'!$C$2='Data Validation'!$A$3,INDEX(BR4:BR124,MATCH(INDEX(BM4:BM124,MATCH('Adjustment Surface'!C14,BM4:BM124,1)),BL4:BL124,1)),"Unknown Option Type")))*(NORMDIST((IF('Adjustment Surface'!$C$2='Data Validation'!$A$2,INDEX(BR4:BR124,MATCH(INDEX(BM4:BM124,MATCH('Adjustment Surface'!C14,BM4:BM124,1)),BL4:BL124,1)),IF('Adjustment Surface'!$C$2='Data Validation'!$A$3,INDEX(BQ4:BQ124,MATCH(INDEX(BM4:BM124,MATCH('Adjustment Surface'!C14,BM4:BM124,1)),BL4:BL124,1)),"Unknown Option Type"))-IF('Adjustment Surface'!$C$2='Data Validation'!$A$2,INDEX(BQ4:BQ124,MATCH(INDEX(BM4:BM124,MATCH('Adjustment Surface'!C14,BM4:BM124,1)),BL4:BL124,1)),IF('Adjustment Surface'!$C$2='Data Validation'!$A$3,INDEX(BR4:BR124,MATCH(INDEX(BM4:BM124,MATCH('Adjustment Surface'!C14,BM4:BM124,1)),BL4:BL124,1)),"Unknown Option Type")))/((INDEX(BS4:BS124,MATCH(INDEX(BM4:BM124,MATCH('Adjustment Surface'!C14,BM4:BM124,1)),BL4:BL124,1))+0.01%)*SQRT(((('Adjustment Surface'!C14-INDEX(BM4:BM124,MATCH('Adjustment Surface'!C14,BM4:BM124,1)))/360)+INDEX(BO4:BO124,MATCH(INDEX(BM4:BM124,MATCH('Adjustment Surface'!C14,BM4:BM124,1)),BM4:BM124,0))))),0,1,TRUE)))+(((INDEX(BS4:BS124,MATCH(INDEX(BM4:BM124,MATCH('Adjustment Surface'!C14,BM4:BM124,1)),BL4:BL124,1))+0.01%)*SQRT(((('Adjustment Surface'!C14-INDEX(BM4:BM124,MATCH('Adjustment Surface'!C14,BM4:BM124,1)))/360)+INDEX(BO4:BO124,MATCH(INDEX(BM4:BM124,MATCH('Adjustment Surface'!C14,BM4:BM124,1)),BM4:BM124,0)))))*(NORMDIST((IF('Adjustment Surface'!$C$2='Data Validation'!$A$2,INDEX(BR4:BR124,MATCH(INDEX(BM4:BM124,MATCH('Adjustment Surface'!C14,BM4:BM124,1)),BL4:BL124,1)),IF('Adjustment Surface'!$C$2='Data Validation'!$A$3,INDEX(BQ4:BQ124,MATCH(INDEX(BM4:BM124,MATCH('Adjustment Surface'!C14,BM4:BM124,1)),BL4:BL124,1)),"Unknown Option Type"))-IF('Adjustment Surface'!$C$2='Data Validation'!$A$2,INDEX(BQ4:BQ124,MATCH(INDEX(BM4:BM124,MATCH('Adjustment Surface'!C14,BM4:BM124,1)),BL4:BL124,1)),IF('Adjustment Surface'!$C$2='Data Validation'!$A$3,INDEX(BR4:BR124,MATCH(INDEX(BM4:BM124,MATCH('Adjustment Surface'!C14,BM4:BM124,1)),BL4:BL124,1)),"Unknown Option Type")))/((INDEX(BS4:BS124,MATCH(INDEX(BM4:BM124,MATCH('Adjustment Surface'!C14,BM4:BM124,1)),BL4:BL124,1))+0.01%)*SQRT(((('Adjustment Surface'!C14-INDEX(BM4:BM124,MATCH('Adjustment Surface'!C14,BM4:BM124,1)))/360)+INDEX(BO4:BO124,MATCH(INDEX(BM4:BM124,MATCH('Adjustment Surface'!C14,BM4:BM124,1)),BM4:BM124,0))))),0,1,FALSE))))*(1/((1+INDEX(BR4:BR124,MATCH(INDEX(BM4:BM124,MATCH('Adjustment Surface'!C14,BM4:BM124,1)),BL4:BL124,1)))^(('Adjustment Surface'!C14-BL4)/360)))*(('Adjustment Surface'!C14-INDEX(BM4:BM124,MATCH('Adjustment Surface'!C14,BM4:BM124,1)))/360))-(((((IF('Adjustment Surface'!$C$2='Data Validation'!$A$2,INDEX(BR4:BR124,MATCH(INDEX(BM4:BM124,MATCH('Adjustment Surface'!C14,BM4:BM124,1)),BL4:BL124,1)),IF('Adjustment Surface'!$C$2='Data Validation'!$A$3,INDEX(BQ4:BQ124,MATCH(INDEX(BM4:BM124,MATCH('Adjustment Surface'!C14,BM4:BM124,1)),BL4:BL124,1)),"Unknown Option Type"))-IF('Adjustment Surface'!$C$2='Data Validation'!$A$2,INDEX(BQ4:BQ124,MATCH(INDEX(BM4:BM124,MATCH('Adjustment Surface'!C14,BM4:BM124,1)),BL4:BL124,1)),IF('Adjustment Surface'!$C$2='Data Validation'!$A$3,INDEX(BR4:BR124,MATCH(INDEX(BM4:BM124,MATCH('Adjustment Surface'!C14,BM4:BM124,1)),BL4:BL124,1)),"Unknown Option Type")))*(NORMDIST((IF('Adjustment Surface'!$C$2='Data Validation'!$A$2,INDEX(BR4:BR124,MATCH(INDEX(BM4:BM124,MATCH('Adjustment Surface'!C14,BM4:BM124,1)),BL4:BL124,1)),IF('Adjustment Surface'!$C$2='Data Validation'!$A$3,INDEX(BQ4:BQ124,MATCH(INDEX(BM4:BM124,MATCH('Adjustment Surface'!C14,BM4:BM124,1)),BL4:BL124,1)),"Unknown Option Type"))-IF('Adjustment Surface'!$C$2='Data Validation'!$A$2,INDEX(BQ4:BQ124,MATCH(INDEX(BM4:BM124,MATCH('Adjustment Surface'!C14,BM4:BM124,1)),BL4:BL124,1)),IF('Adjustment Surface'!$C$2='Data Validation'!$A$3,INDEX(BR4:BR124,MATCH(INDEX(BM4:BM124,MATCH('Adjustment Surface'!C14,BM4:BM124,1)),BL4:BL124,1)),"Unknown Option Type")))/(INDEX(BS4:BS124,MATCH(INDEX(BM4:BM124,MATCH('Adjustment Surface'!C14,BM4:BM124,1)),BL4:BL124,1))*SQRT(((('Adjustment Surface'!C14-INDEX(BM4:BM124,MATCH('Adjustment Surface'!C14,BM4:BM124,1)))/360)+INDEX(BO4:BO124,MATCH(INDEX(BM4:BM124,MATCH('Adjustment Surface'!C14,BM4:BM124,1)),BM4:BM124,0))))),0,1,TRUE)))+((INDEX(BS4:BS124,MATCH(INDEX(BM4:BM124,MATCH('Adjustment Surface'!C14,BM4:BM124,1)),BL4:BL124,1))*SQRT(((('Adjustment Surface'!C14-INDEX(BM4:BM124,MATCH('Adjustment Surface'!C14,BM4:BM124,1)))/360)+INDEX(BO4:BO124,MATCH(INDEX(BM4:BM124,MATCH('Adjustment Surface'!C14,BM4:BM124,1)),BM4:BM124,0)))))*(NORMDIST((IF('Adjustment Surface'!$C$2='Data Validation'!$A$2,INDEX(BR4:BR124,MATCH(INDEX(BM4:BM124,MATCH('Adjustment Surface'!C14,BM4:BM124,1)),BL4:BL124,1)),IF('Adjustment Surface'!$C$2='Data Validation'!$A$3,INDEX(BQ4:BQ124,MATCH(INDEX(BM4:BM124,MATCH('Adjustment Surface'!C14,BM4:BM124,1)),BL4:BL124,1)),"Unknown Option Type"))-IF('Adjustment Surface'!$C$2='Data Validation'!$A$2,INDEX(BQ4:BQ124,MATCH(INDEX(BM4:BM124,MATCH('Adjustment Surface'!C14,BM4:BM124,1)),BL4:BL124,1)),IF('Adjustment Surface'!$C$2='Data Validation'!$A$3,INDEX(BR4:BR124,MATCH(INDEX(BM4:BM124,MATCH('Adjustment Surface'!C14,BM4:BM124,1)),BL4:BL124,1)),"Unknown Option Type")))/(INDEX(BS4:BS124,MATCH(INDEX(BM4:BM124,MATCH('Adjustment Surface'!C14,BM4:BM124,1)),BL4:BL124,1))*SQRT(((('Adjustment Surface'!C14-INDEX(BM4:BM124,MATCH('Adjustment Surface'!C14,BM4:BM124,1)))/360)+INDEX(BO4:BO124,MATCH(INDEX(BM4:BM124,MATCH('Adjustment Surface'!C14,BM4:BM124,1)),BM4:BM124,0))))),0,1,FALSE))))*(1/((1+INDEX(BR4:BR124,MATCH(INDEX(BM4:BM124,MATCH('Adjustment Surface'!C14,BM4:BM124,1)),BL4:BL124,1)))^(('Adjustment Surface'!C14-BL4)/360)))*(('Adjustment Surface'!C14-INDEX(BM4:BM124,MATCH('Adjustment Surface'!C14,BM4:BM124,1)))/360)*INDEX(BP4:BP124,MATCH(INDEX(BM4:BM124,MATCH('Adjustment Surface'!C14,BM4:BM124,1)),BL4:BL124,1)))/INDEX(BP4:BP124,MATCH(INDEX(BM4:BM124,MATCH('Adjustment Surface'!C14,BM4:BM124,1)),BL4:BL124,1))))*INDEX(BP4:BP124,MATCH(INDEX(BM4:BM124,MATCH('Adjustment Surface'!C14,BM4:BM124,1)),BL4:BL124,1)))*(1/((1+INDEX(BR4:BR124,MATCH(INDEX(BM4:BM124,MATCH('Adjustment Surface'!C14,BM4:BM124,1)),BL4:BL124,1)))^(('Adjustment Surface'!C14-BL4)/360))))</f>
        <v>29.727464016263539</v>
      </c>
      <c r="D13" s="21">
        <f>INDEX(BZ4:BZ124,MATCH(INDEX(BM4:BM124,MATCH('Adjustment Surface'!D14,BM4:BM124,1)),BM4:BM124,0))+(((((((IF('Adjustment Surface'!$C$2='Data Validation'!$A$2,INDEX(BR4:BR124,MATCH(INDEX(BM4:BM124,MATCH('Adjustment Surface'!D14,BM4:BM124,1)),BL4:BL124,1)),IF('Adjustment Surface'!$C$2='Data Validation'!$A$3,INDEX(BQ4:BQ124,MATCH(INDEX(BM4:BM124,MATCH('Adjustment Surface'!D14,BM4:BM124,1)),BL4:BL124,1)),"Unknown Option Type"))-IF('Adjustment Surface'!$C$2='Data Validation'!$A$2,INDEX(BQ4:BQ124,MATCH(INDEX(BM4:BM124,MATCH('Adjustment Surface'!D14,BM4:BM124,1)),BL4:BL124,1)),IF('Adjustment Surface'!$C$2='Data Validation'!$A$3,INDEX(BR4:BR124,MATCH(INDEX(BM4:BM124,MATCH('Adjustment Surface'!D14,BM4:BM124,1)),BL4:BL124,1)),"Unknown Option Type")))*(NORMDIST((IF('Adjustment Surface'!$C$2='Data Validation'!$A$2,INDEX(BR4:BR124,MATCH(INDEX(BM4:BM124,MATCH('Adjustment Surface'!D14,BM4:BM124,1)),BL4:BL124,1)),IF('Adjustment Surface'!$C$2='Data Validation'!$A$3,INDEX(BQ4:BQ124,MATCH(INDEX(BM4:BM124,MATCH('Adjustment Surface'!D14,BM4:BM124,1)),BL4:BL124,1)),"Unknown Option Type"))-IF('Adjustment Surface'!$C$2='Data Validation'!$A$2,INDEX(BQ4:BQ124,MATCH(INDEX(BM4:BM124,MATCH('Adjustment Surface'!D14,BM4:BM124,1)),BL4:BL124,1)),IF('Adjustment Surface'!$C$2='Data Validation'!$A$3,INDEX(BR4:BR124,MATCH(INDEX(BM4:BM124,MATCH('Adjustment Surface'!D14,BM4:BM124,1)),BL4:BL124,1)),"Unknown Option Type")))/((INDEX(BS4:BS124,MATCH(INDEX(BM4:BM124,MATCH('Adjustment Surface'!D14,BM4:BM124,1)),BL4:BL124,1))+0.01%)*SQRT(((('Adjustment Surface'!D14-INDEX(BM4:BM124,MATCH('Adjustment Surface'!D14,BM4:BM124,1)))/360)+INDEX(BO4:BO124,MATCH(INDEX(BM4:BM124,MATCH('Adjustment Surface'!D14,BM4:BM124,1)),BM4:BM124,0))))),0,1,TRUE)))+(((INDEX(BS4:BS124,MATCH(INDEX(BM4:BM124,MATCH('Adjustment Surface'!D14,BM4:BM124,1)),BL4:BL124,1))+0.01%)*SQRT(((('Adjustment Surface'!D14-INDEX(BM4:BM124,MATCH('Adjustment Surface'!D14,BM4:BM124,1)))/360)+INDEX(BO4:BO124,MATCH(INDEX(BM4:BM124,MATCH('Adjustment Surface'!D14,BM4:BM124,1)),BM4:BM124,0)))))*(NORMDIST((IF('Adjustment Surface'!$C$2='Data Validation'!$A$2,INDEX(BR4:BR124,MATCH(INDEX(BM4:BM124,MATCH('Adjustment Surface'!D14,BM4:BM124,1)),BL4:BL124,1)),IF('Adjustment Surface'!$C$2='Data Validation'!$A$3,INDEX(BQ4:BQ124,MATCH(INDEX(BM4:BM124,MATCH('Adjustment Surface'!D14,BM4:BM124,1)),BL4:BL124,1)),"Unknown Option Type"))-IF('Adjustment Surface'!$C$2='Data Validation'!$A$2,INDEX(BQ4:BQ124,MATCH(INDEX(BM4:BM124,MATCH('Adjustment Surface'!D14,BM4:BM124,1)),BL4:BL124,1)),IF('Adjustment Surface'!$C$2='Data Validation'!$A$3,INDEX(BR4:BR124,MATCH(INDEX(BM4:BM124,MATCH('Adjustment Surface'!D14,BM4:BM124,1)),BL4:BL124,1)),"Unknown Option Type")))/((INDEX(BS4:BS124,MATCH(INDEX(BM4:BM124,MATCH('Adjustment Surface'!D14,BM4:BM124,1)),BL4:BL124,1))+0.01%)*SQRT(((('Adjustment Surface'!D14-INDEX(BM4:BM124,MATCH('Adjustment Surface'!D14,BM4:BM124,1)))/360)+INDEX(BO4:BO124,MATCH(INDEX(BM4:BM124,MATCH('Adjustment Surface'!D14,BM4:BM124,1)),BM4:BM124,0))))),0,1,FALSE))))*(1/((1+INDEX(BR4:BR124,MATCH(INDEX(BM4:BM124,MATCH('Adjustment Surface'!D14,BM4:BM124,1)),BL4:BL124,1)))^(('Adjustment Surface'!D14-BL4)/360)))*(('Adjustment Surface'!D14-INDEX(BM4:BM124,MATCH('Adjustment Surface'!D14,BM4:BM124,1)))/360))-(((((IF('Adjustment Surface'!$C$2='Data Validation'!$A$2,INDEX(BR4:BR124,MATCH(INDEX(BM4:BM124,MATCH('Adjustment Surface'!D14,BM4:BM124,1)),BL4:BL124,1)),IF('Adjustment Surface'!$C$2='Data Validation'!$A$3,INDEX(BQ4:BQ124,MATCH(INDEX(BM4:BM124,MATCH('Adjustment Surface'!D14,BM4:BM124,1)),BL4:BL124,1)),"Unknown Option Type"))-IF('Adjustment Surface'!$C$2='Data Validation'!$A$2,INDEX(BQ4:BQ124,MATCH(INDEX(BM4:BM124,MATCH('Adjustment Surface'!D14,BM4:BM124,1)),BL4:BL124,1)),IF('Adjustment Surface'!$C$2='Data Validation'!$A$3,INDEX(BR4:BR124,MATCH(INDEX(BM4:BM124,MATCH('Adjustment Surface'!D14,BM4:BM124,1)),BL4:BL124,1)),"Unknown Option Type")))*(NORMDIST((IF('Adjustment Surface'!$C$2='Data Validation'!$A$2,INDEX(BR4:BR124,MATCH(INDEX(BM4:BM124,MATCH('Adjustment Surface'!D14,BM4:BM124,1)),BL4:BL124,1)),IF('Adjustment Surface'!$C$2='Data Validation'!$A$3,INDEX(BQ4:BQ124,MATCH(INDEX(BM4:BM124,MATCH('Adjustment Surface'!D14,BM4:BM124,1)),BL4:BL124,1)),"Unknown Option Type"))-IF('Adjustment Surface'!$C$2='Data Validation'!$A$2,INDEX(BQ4:BQ124,MATCH(INDEX(BM4:BM124,MATCH('Adjustment Surface'!D14,BM4:BM124,1)),BL4:BL124,1)),IF('Adjustment Surface'!$C$2='Data Validation'!$A$3,INDEX(BR4:BR124,MATCH(INDEX(BM4:BM124,MATCH('Adjustment Surface'!D14,BM4:BM124,1)),BL4:BL124,1)),"Unknown Option Type")))/(INDEX(BS4:BS124,MATCH(INDEX(BM4:BM124,MATCH('Adjustment Surface'!D14,BM4:BM124,1)),BL4:BL124,1))*SQRT(((('Adjustment Surface'!D14-INDEX(BM4:BM124,MATCH('Adjustment Surface'!D14,BM4:BM124,1)))/360)+INDEX(BO4:BO124,MATCH(INDEX(BM4:BM124,MATCH('Adjustment Surface'!D14,BM4:BM124,1)),BM4:BM124,0))))),0,1,TRUE)))+((INDEX(BS4:BS124,MATCH(INDEX(BM4:BM124,MATCH('Adjustment Surface'!D14,BM4:BM124,1)),BL4:BL124,1))*SQRT(((('Adjustment Surface'!D14-INDEX(BM4:BM124,MATCH('Adjustment Surface'!D14,BM4:BM124,1)))/360)+INDEX(BO4:BO124,MATCH(INDEX(BM4:BM124,MATCH('Adjustment Surface'!D14,BM4:BM124,1)),BM4:BM124,0)))))*(NORMDIST((IF('Adjustment Surface'!$C$2='Data Validation'!$A$2,INDEX(BR4:BR124,MATCH(INDEX(BM4:BM124,MATCH('Adjustment Surface'!D14,BM4:BM124,1)),BL4:BL124,1)),IF('Adjustment Surface'!$C$2='Data Validation'!$A$3,INDEX(BQ4:BQ124,MATCH(INDEX(BM4:BM124,MATCH('Adjustment Surface'!D14,BM4:BM124,1)),BL4:BL124,1)),"Unknown Option Type"))-IF('Adjustment Surface'!$C$2='Data Validation'!$A$2,INDEX(BQ4:BQ124,MATCH(INDEX(BM4:BM124,MATCH('Adjustment Surface'!D14,BM4:BM124,1)),BL4:BL124,1)),IF('Adjustment Surface'!$C$2='Data Validation'!$A$3,INDEX(BR4:BR124,MATCH(INDEX(BM4:BM124,MATCH('Adjustment Surface'!D14,BM4:BM124,1)),BL4:BL124,1)),"Unknown Option Type")))/(INDEX(BS4:BS124,MATCH(INDEX(BM4:BM124,MATCH('Adjustment Surface'!D14,BM4:BM124,1)),BL4:BL124,1))*SQRT(((('Adjustment Surface'!D14-INDEX(BM4:BM124,MATCH('Adjustment Surface'!D14,BM4:BM124,1)))/360)+INDEX(BO4:BO124,MATCH(INDEX(BM4:BM124,MATCH('Adjustment Surface'!D14,BM4:BM124,1)),BM4:BM124,0))))),0,1,FALSE))))*(1/((1+INDEX(BR4:BR124,MATCH(INDEX(BM4:BM124,MATCH('Adjustment Surface'!D14,BM4:BM124,1)),BL4:BL124,1)))^(('Adjustment Surface'!D14-BL4)/360)))*(('Adjustment Surface'!D14-INDEX(BM4:BM124,MATCH('Adjustment Surface'!D14,BM4:BM124,1)))/360)*INDEX(BP4:BP124,MATCH(INDEX(BM4:BM124,MATCH('Adjustment Surface'!D14,BM4:BM124,1)),BL4:BL124,1)))/INDEX(BP4:BP124,MATCH(INDEX(BM4:BM124,MATCH('Adjustment Surface'!D14,BM4:BM124,1)),BL4:BL124,1))))*INDEX(BP4:BP124,MATCH(INDEX(BM4:BM124,MATCH('Adjustment Surface'!D14,BM4:BM124,1)),BL4:BL124,1)))*(1/((1+INDEX(BR4:BR124,MATCH(INDEX(BM4:BM124,MATCH('Adjustment Surface'!D14,BM4:BM124,1)),BL4:BL124,1)))^(('Adjustment Surface'!D14-BL4)/360))))</f>
        <v>360.01128678759557</v>
      </c>
      <c r="E13" s="21">
        <f>INDEX(BZ4:BZ124,MATCH(INDEX(BM4:BM124,MATCH('Adjustment Surface'!E14,BM4:BM124,1)),BM4:BM124,0))+(((((((IF('Adjustment Surface'!$C$2='Data Validation'!$A$2,INDEX(BR4:BR124,MATCH(INDEX(BM4:BM124,MATCH('Adjustment Surface'!E14,BM4:BM124,1)),BL4:BL124,1)),IF('Adjustment Surface'!$C$2='Data Validation'!$A$3,INDEX(BQ4:BQ124,MATCH(INDEX(BM4:BM124,MATCH('Adjustment Surface'!E14,BM4:BM124,1)),BL4:BL124,1)),"Unknown Option Type"))-IF('Adjustment Surface'!$C$2='Data Validation'!$A$2,INDEX(BQ4:BQ124,MATCH(INDEX(BM4:BM124,MATCH('Adjustment Surface'!E14,BM4:BM124,1)),BL4:BL124,1)),IF('Adjustment Surface'!$C$2='Data Validation'!$A$3,INDEX(BR4:BR124,MATCH(INDEX(BM4:BM124,MATCH('Adjustment Surface'!E14,BM4:BM124,1)),BL4:BL124,1)),"Unknown Option Type")))*(NORMDIST((IF('Adjustment Surface'!$C$2='Data Validation'!$A$2,INDEX(BR4:BR124,MATCH(INDEX(BM4:BM124,MATCH('Adjustment Surface'!E14,BM4:BM124,1)),BL4:BL124,1)),IF('Adjustment Surface'!$C$2='Data Validation'!$A$3,INDEX(BQ4:BQ124,MATCH(INDEX(BM4:BM124,MATCH('Adjustment Surface'!E14,BM4:BM124,1)),BL4:BL124,1)),"Unknown Option Type"))-IF('Adjustment Surface'!$C$2='Data Validation'!$A$2,INDEX(BQ4:BQ124,MATCH(INDEX(BM4:BM124,MATCH('Adjustment Surface'!E14,BM4:BM124,1)),BL4:BL124,1)),IF('Adjustment Surface'!$C$2='Data Validation'!$A$3,INDEX(BR4:BR124,MATCH(INDEX(BM4:BM124,MATCH('Adjustment Surface'!E14,BM4:BM124,1)),BL4:BL124,1)),"Unknown Option Type")))/((INDEX(BS4:BS124,MATCH(INDEX(BM4:BM124,MATCH('Adjustment Surface'!E14,BM4:BM124,1)),BL4:BL124,1))+0.01%)*SQRT(((('Adjustment Surface'!E14-INDEX(BM4:BM124,MATCH('Adjustment Surface'!E14,BM4:BM124,1)))/360)+INDEX(BO4:BO124,MATCH(INDEX(BM4:BM124,MATCH('Adjustment Surface'!E14,BM4:BM124,1)),BM4:BM124,0))))),0,1,TRUE)))+(((INDEX(BS4:BS124,MATCH(INDEX(BM4:BM124,MATCH('Adjustment Surface'!E14,BM4:BM124,1)),BL4:BL124,1))+0.01%)*SQRT(((('Adjustment Surface'!E14-INDEX(BM4:BM124,MATCH('Adjustment Surface'!E14,BM4:BM124,1)))/360)+INDEX(BO4:BO124,MATCH(INDEX(BM4:BM124,MATCH('Adjustment Surface'!E14,BM4:BM124,1)),BM4:BM124,0)))))*(NORMDIST((IF('Adjustment Surface'!$C$2='Data Validation'!$A$2,INDEX(BR4:BR124,MATCH(INDEX(BM4:BM124,MATCH('Adjustment Surface'!E14,BM4:BM124,1)),BL4:BL124,1)),IF('Adjustment Surface'!$C$2='Data Validation'!$A$3,INDEX(BQ4:BQ124,MATCH(INDEX(BM4:BM124,MATCH('Adjustment Surface'!E14,BM4:BM124,1)),BL4:BL124,1)),"Unknown Option Type"))-IF('Adjustment Surface'!$C$2='Data Validation'!$A$2,INDEX(BQ4:BQ124,MATCH(INDEX(BM4:BM124,MATCH('Adjustment Surface'!E14,BM4:BM124,1)),BL4:BL124,1)),IF('Adjustment Surface'!$C$2='Data Validation'!$A$3,INDEX(BR4:BR124,MATCH(INDEX(BM4:BM124,MATCH('Adjustment Surface'!E14,BM4:BM124,1)),BL4:BL124,1)),"Unknown Option Type")))/((INDEX(BS4:BS124,MATCH(INDEX(BM4:BM124,MATCH('Adjustment Surface'!E14,BM4:BM124,1)),BL4:BL124,1))+0.01%)*SQRT(((('Adjustment Surface'!E14-INDEX(BM4:BM124,MATCH('Adjustment Surface'!E14,BM4:BM124,1)))/360)+INDEX(BO4:BO124,MATCH(INDEX(BM4:BM124,MATCH('Adjustment Surface'!E14,BM4:BM124,1)),BM4:BM124,0))))),0,1,FALSE))))*(1/((1+INDEX(BR4:BR124,MATCH(INDEX(BM4:BM124,MATCH('Adjustment Surface'!E14,BM4:BM124,1)),BL4:BL124,1)))^(('Adjustment Surface'!E14-BL4)/360)))*(('Adjustment Surface'!E14-INDEX(BM4:BM124,MATCH('Adjustment Surface'!E14,BM4:BM124,1)))/360))-(((((IF('Adjustment Surface'!$C$2='Data Validation'!$A$2,INDEX(BR4:BR124,MATCH(INDEX(BM4:BM124,MATCH('Adjustment Surface'!E14,BM4:BM124,1)),BL4:BL124,1)),IF('Adjustment Surface'!$C$2='Data Validation'!$A$3,INDEX(BQ4:BQ124,MATCH(INDEX(BM4:BM124,MATCH('Adjustment Surface'!E14,BM4:BM124,1)),BL4:BL124,1)),"Unknown Option Type"))-IF('Adjustment Surface'!$C$2='Data Validation'!$A$2,INDEX(BQ4:BQ124,MATCH(INDEX(BM4:BM124,MATCH('Adjustment Surface'!E14,BM4:BM124,1)),BL4:BL124,1)),IF('Adjustment Surface'!$C$2='Data Validation'!$A$3,INDEX(BR4:BR124,MATCH(INDEX(BM4:BM124,MATCH('Adjustment Surface'!E14,BM4:BM124,1)),BL4:BL124,1)),"Unknown Option Type")))*(NORMDIST((IF('Adjustment Surface'!$C$2='Data Validation'!$A$2,INDEX(BR4:BR124,MATCH(INDEX(BM4:BM124,MATCH('Adjustment Surface'!E14,BM4:BM124,1)),BL4:BL124,1)),IF('Adjustment Surface'!$C$2='Data Validation'!$A$3,INDEX(BQ4:BQ124,MATCH(INDEX(BM4:BM124,MATCH('Adjustment Surface'!E14,BM4:BM124,1)),BL4:BL124,1)),"Unknown Option Type"))-IF('Adjustment Surface'!$C$2='Data Validation'!$A$2,INDEX(BQ4:BQ124,MATCH(INDEX(BM4:BM124,MATCH('Adjustment Surface'!E14,BM4:BM124,1)),BL4:BL124,1)),IF('Adjustment Surface'!$C$2='Data Validation'!$A$3,INDEX(BR4:BR124,MATCH(INDEX(BM4:BM124,MATCH('Adjustment Surface'!E14,BM4:BM124,1)),BL4:BL124,1)),"Unknown Option Type")))/(INDEX(BS4:BS124,MATCH(INDEX(BM4:BM124,MATCH('Adjustment Surface'!E14,BM4:BM124,1)),BL4:BL124,1))*SQRT(((('Adjustment Surface'!E14-INDEX(BM4:BM124,MATCH('Adjustment Surface'!E14,BM4:BM124,1)))/360)+INDEX(BO4:BO124,MATCH(INDEX(BM4:BM124,MATCH('Adjustment Surface'!E14,BM4:BM124,1)),BM4:BM124,0))))),0,1,TRUE)))+((INDEX(BS4:BS124,MATCH(INDEX(BM4:BM124,MATCH('Adjustment Surface'!E14,BM4:BM124,1)),BL4:BL124,1))*SQRT(((('Adjustment Surface'!E14-INDEX(BM4:BM124,MATCH('Adjustment Surface'!E14,BM4:BM124,1)))/360)+INDEX(BO4:BO124,MATCH(INDEX(BM4:BM124,MATCH('Adjustment Surface'!E14,BM4:BM124,1)),BM4:BM124,0)))))*(NORMDIST((IF('Adjustment Surface'!$C$2='Data Validation'!$A$2,INDEX(BR4:BR124,MATCH(INDEX(BM4:BM124,MATCH('Adjustment Surface'!E14,BM4:BM124,1)),BL4:BL124,1)),IF('Adjustment Surface'!$C$2='Data Validation'!$A$3,INDEX(BQ4:BQ124,MATCH(INDEX(BM4:BM124,MATCH('Adjustment Surface'!E14,BM4:BM124,1)),BL4:BL124,1)),"Unknown Option Type"))-IF('Adjustment Surface'!$C$2='Data Validation'!$A$2,INDEX(BQ4:BQ124,MATCH(INDEX(BM4:BM124,MATCH('Adjustment Surface'!E14,BM4:BM124,1)),BL4:BL124,1)),IF('Adjustment Surface'!$C$2='Data Validation'!$A$3,INDEX(BR4:BR124,MATCH(INDEX(BM4:BM124,MATCH('Adjustment Surface'!E14,BM4:BM124,1)),BL4:BL124,1)),"Unknown Option Type")))/(INDEX(BS4:BS124,MATCH(INDEX(BM4:BM124,MATCH('Adjustment Surface'!E14,BM4:BM124,1)),BL4:BL124,1))*SQRT(((('Adjustment Surface'!E14-INDEX(BM4:BM124,MATCH('Adjustment Surface'!E14,BM4:BM124,1)))/360)+INDEX(BO4:BO124,MATCH(INDEX(BM4:BM124,MATCH('Adjustment Surface'!E14,BM4:BM124,1)),BM4:BM124,0))))),0,1,FALSE))))*(1/((1+INDEX(BR4:BR124,MATCH(INDEX(BM4:BM124,MATCH('Adjustment Surface'!E14,BM4:BM124,1)),BL4:BL124,1)))^(('Adjustment Surface'!E14-BL4)/360)))*(('Adjustment Surface'!E14-INDEX(BM4:BM124,MATCH('Adjustment Surface'!E14,BM4:BM124,1)))/360)*INDEX(BP4:BP124,MATCH(INDEX(BM4:BM124,MATCH('Adjustment Surface'!E14,BM4:BM124,1)),BL4:BL124,1)))/INDEX(BP4:BP124,MATCH(INDEX(BM4:BM124,MATCH('Adjustment Surface'!E14,BM4:BM124,1)),BL4:BL124,1))))*INDEX(BP4:BP124,MATCH(INDEX(BM4:BM124,MATCH('Adjustment Surface'!E14,BM4:BM124,1)),BL4:BL124,1)))*(1/((1+INDEX(BR4:BR124,MATCH(INDEX(BM4:BM124,MATCH('Adjustment Surface'!E14,BM4:BM124,1)),BL4:BL124,1)))^(('Adjustment Surface'!E14-BL4)/360))))</f>
        <v>1138.0800928488256</v>
      </c>
      <c r="F13" s="21">
        <f>INDEX(BZ4:BZ124,MATCH(INDEX(BM4:BM124,MATCH('Adjustment Surface'!F14,BM4:BM124,1)),BM4:BM124,0))+(((((((IF('Adjustment Surface'!$C$2='Data Validation'!$A$2,INDEX(BR4:BR124,MATCH(INDEX(BM4:BM124,MATCH('Adjustment Surface'!F14,BM4:BM124,1)),BL4:BL124,1)),IF('Adjustment Surface'!$C$2='Data Validation'!$A$3,INDEX(BQ4:BQ124,MATCH(INDEX(BM4:BM124,MATCH('Adjustment Surface'!F14,BM4:BM124,1)),BL4:BL124,1)),"Unknown Option Type"))-IF('Adjustment Surface'!$C$2='Data Validation'!$A$2,INDEX(BQ4:BQ124,MATCH(INDEX(BM4:BM124,MATCH('Adjustment Surface'!F14,BM4:BM124,1)),BL4:BL124,1)),IF('Adjustment Surface'!$C$2='Data Validation'!$A$3,INDEX(BR4:BR124,MATCH(INDEX(BM4:BM124,MATCH('Adjustment Surface'!F14,BM4:BM124,1)),BL4:BL124,1)),"Unknown Option Type")))*(NORMDIST((IF('Adjustment Surface'!$C$2='Data Validation'!$A$2,INDEX(BR4:BR124,MATCH(INDEX(BM4:BM124,MATCH('Adjustment Surface'!F14,BM4:BM124,1)),BL4:BL124,1)),IF('Adjustment Surface'!$C$2='Data Validation'!$A$3,INDEX(BQ4:BQ124,MATCH(INDEX(BM4:BM124,MATCH('Adjustment Surface'!F14,BM4:BM124,1)),BL4:BL124,1)),"Unknown Option Type"))-IF('Adjustment Surface'!$C$2='Data Validation'!$A$2,INDEX(BQ4:BQ124,MATCH(INDEX(BM4:BM124,MATCH('Adjustment Surface'!F14,BM4:BM124,1)),BL4:BL124,1)),IF('Adjustment Surface'!$C$2='Data Validation'!$A$3,INDEX(BR4:BR124,MATCH(INDEX(BM4:BM124,MATCH('Adjustment Surface'!F14,BM4:BM124,1)),BL4:BL124,1)),"Unknown Option Type")))/((INDEX(BS4:BS124,MATCH(INDEX(BM4:BM124,MATCH('Adjustment Surface'!F14,BM4:BM124,1)),BL4:BL124,1))+0.01%)*SQRT(((('Adjustment Surface'!F14-INDEX(BM4:BM124,MATCH('Adjustment Surface'!F14,BM4:BM124,1)))/360)+INDEX(BO4:BO124,MATCH(INDEX(BM4:BM124,MATCH('Adjustment Surface'!F14,BM4:BM124,1)),BM4:BM124,0))))),0,1,TRUE)))+(((INDEX(BS4:BS124,MATCH(INDEX(BM4:BM124,MATCH('Adjustment Surface'!F14,BM4:BM124,1)),BL4:BL124,1))+0.01%)*SQRT(((('Adjustment Surface'!F14-INDEX(BM4:BM124,MATCH('Adjustment Surface'!F14,BM4:BM124,1)))/360)+INDEX(BO4:BO124,MATCH(INDEX(BM4:BM124,MATCH('Adjustment Surface'!F14,BM4:BM124,1)),BM4:BM124,0)))))*(NORMDIST((IF('Adjustment Surface'!$C$2='Data Validation'!$A$2,INDEX(BR4:BR124,MATCH(INDEX(BM4:BM124,MATCH('Adjustment Surface'!F14,BM4:BM124,1)),BL4:BL124,1)),IF('Adjustment Surface'!$C$2='Data Validation'!$A$3,INDEX(BQ4:BQ124,MATCH(INDEX(BM4:BM124,MATCH('Adjustment Surface'!F14,BM4:BM124,1)),BL4:BL124,1)),"Unknown Option Type"))-IF('Adjustment Surface'!$C$2='Data Validation'!$A$2,INDEX(BQ4:BQ124,MATCH(INDEX(BM4:BM124,MATCH('Adjustment Surface'!F14,BM4:BM124,1)),BL4:BL124,1)),IF('Adjustment Surface'!$C$2='Data Validation'!$A$3,INDEX(BR4:BR124,MATCH(INDEX(BM4:BM124,MATCH('Adjustment Surface'!F14,BM4:BM124,1)),BL4:BL124,1)),"Unknown Option Type")))/((INDEX(BS4:BS124,MATCH(INDEX(BM4:BM124,MATCH('Adjustment Surface'!F14,BM4:BM124,1)),BL4:BL124,1))+0.01%)*SQRT(((('Adjustment Surface'!F14-INDEX(BM4:BM124,MATCH('Adjustment Surface'!F14,BM4:BM124,1)))/360)+INDEX(BO4:BO124,MATCH(INDEX(BM4:BM124,MATCH('Adjustment Surface'!F14,BM4:BM124,1)),BM4:BM124,0))))),0,1,FALSE))))*(1/((1+INDEX(BR4:BR124,MATCH(INDEX(BM4:BM124,MATCH('Adjustment Surface'!F14,BM4:BM124,1)),BL4:BL124,1)))^(('Adjustment Surface'!F14-BL4)/360)))*(('Adjustment Surface'!F14-INDEX(BM4:BM124,MATCH('Adjustment Surface'!F14,BM4:BM124,1)))/360))-(((((IF('Adjustment Surface'!$C$2='Data Validation'!$A$2,INDEX(BR4:BR124,MATCH(INDEX(BM4:BM124,MATCH('Adjustment Surface'!F14,BM4:BM124,1)),BL4:BL124,1)),IF('Adjustment Surface'!$C$2='Data Validation'!$A$3,INDEX(BQ4:BQ124,MATCH(INDEX(BM4:BM124,MATCH('Adjustment Surface'!F14,BM4:BM124,1)),BL4:BL124,1)),"Unknown Option Type"))-IF('Adjustment Surface'!$C$2='Data Validation'!$A$2,INDEX(BQ4:BQ124,MATCH(INDEX(BM4:BM124,MATCH('Adjustment Surface'!F14,BM4:BM124,1)),BL4:BL124,1)),IF('Adjustment Surface'!$C$2='Data Validation'!$A$3,INDEX(BR4:BR124,MATCH(INDEX(BM4:BM124,MATCH('Adjustment Surface'!F14,BM4:BM124,1)),BL4:BL124,1)),"Unknown Option Type")))*(NORMDIST((IF('Adjustment Surface'!$C$2='Data Validation'!$A$2,INDEX(BR4:BR124,MATCH(INDEX(BM4:BM124,MATCH('Adjustment Surface'!F14,BM4:BM124,1)),BL4:BL124,1)),IF('Adjustment Surface'!$C$2='Data Validation'!$A$3,INDEX(BQ4:BQ124,MATCH(INDEX(BM4:BM124,MATCH('Adjustment Surface'!F14,BM4:BM124,1)),BL4:BL124,1)),"Unknown Option Type"))-IF('Adjustment Surface'!$C$2='Data Validation'!$A$2,INDEX(BQ4:BQ124,MATCH(INDEX(BM4:BM124,MATCH('Adjustment Surface'!F14,BM4:BM124,1)),BL4:BL124,1)),IF('Adjustment Surface'!$C$2='Data Validation'!$A$3,INDEX(BR4:BR124,MATCH(INDEX(BM4:BM124,MATCH('Adjustment Surface'!F14,BM4:BM124,1)),BL4:BL124,1)),"Unknown Option Type")))/(INDEX(BS4:BS124,MATCH(INDEX(BM4:BM124,MATCH('Adjustment Surface'!F14,BM4:BM124,1)),BL4:BL124,1))*SQRT(((('Adjustment Surface'!F14-INDEX(BM4:BM124,MATCH('Adjustment Surface'!F14,BM4:BM124,1)))/360)+INDEX(BO4:BO124,MATCH(INDEX(BM4:BM124,MATCH('Adjustment Surface'!F14,BM4:BM124,1)),BM4:BM124,0))))),0,1,TRUE)))+((INDEX(BS4:BS124,MATCH(INDEX(BM4:BM124,MATCH('Adjustment Surface'!F14,BM4:BM124,1)),BL4:BL124,1))*SQRT(((('Adjustment Surface'!F14-INDEX(BM4:BM124,MATCH('Adjustment Surface'!F14,BM4:BM124,1)))/360)+INDEX(BO4:BO124,MATCH(INDEX(BM4:BM124,MATCH('Adjustment Surface'!F14,BM4:BM124,1)),BM4:BM124,0)))))*(NORMDIST((IF('Adjustment Surface'!$C$2='Data Validation'!$A$2,INDEX(BR4:BR124,MATCH(INDEX(BM4:BM124,MATCH('Adjustment Surface'!F14,BM4:BM124,1)),BL4:BL124,1)),IF('Adjustment Surface'!$C$2='Data Validation'!$A$3,INDEX(BQ4:BQ124,MATCH(INDEX(BM4:BM124,MATCH('Adjustment Surface'!F14,BM4:BM124,1)),BL4:BL124,1)),"Unknown Option Type"))-IF('Adjustment Surface'!$C$2='Data Validation'!$A$2,INDEX(BQ4:BQ124,MATCH(INDEX(BM4:BM124,MATCH('Adjustment Surface'!F14,BM4:BM124,1)),BL4:BL124,1)),IF('Adjustment Surface'!$C$2='Data Validation'!$A$3,INDEX(BR4:BR124,MATCH(INDEX(BM4:BM124,MATCH('Adjustment Surface'!F14,BM4:BM124,1)),BL4:BL124,1)),"Unknown Option Type")))/(INDEX(BS4:BS124,MATCH(INDEX(BM4:BM124,MATCH('Adjustment Surface'!F14,BM4:BM124,1)),BL4:BL124,1))*SQRT(((('Adjustment Surface'!F14-INDEX(BM4:BM124,MATCH('Adjustment Surface'!F14,BM4:BM124,1)))/360)+INDEX(BO4:BO124,MATCH(INDEX(BM4:BM124,MATCH('Adjustment Surface'!F14,BM4:BM124,1)),BM4:BM124,0))))),0,1,FALSE))))*(1/((1+INDEX(BR4:BR124,MATCH(INDEX(BM4:BM124,MATCH('Adjustment Surface'!F14,BM4:BM124,1)),BL4:BL124,1)))^(('Adjustment Surface'!F14-BL4)/360)))*(('Adjustment Surface'!F14-INDEX(BM4:BM124,MATCH('Adjustment Surface'!F14,BM4:BM124,1)))/360)*INDEX(BP4:BP124,MATCH(INDEX(BM4:BM124,MATCH('Adjustment Surface'!F14,BM4:BM124,1)),BL4:BL124,1)))/INDEX(BP4:BP124,MATCH(INDEX(BM4:BM124,MATCH('Adjustment Surface'!F14,BM4:BM124,1)),BL4:BL124,1))))*INDEX(BP4:BP124,MATCH(INDEX(BM4:BM124,MATCH('Adjustment Surface'!F14,BM4:BM124,1)),BL4:BL124,1)))*(1/((1+INDEX(BR4:BR124,MATCH(INDEX(BM4:BM124,MATCH('Adjustment Surface'!F14,BM4:BM124,1)),BL4:BL124,1)))^(('Adjustment Surface'!F14-BL4)/360))))</f>
        <v>2223.985462098904</v>
      </c>
      <c r="G13" s="76"/>
      <c r="I13" s="3">
        <v>10</v>
      </c>
      <c r="J13" s="4">
        <f>IF(K12='Adjustment Surface'!C$8,"",K12)</f>
        <v>46337</v>
      </c>
      <c r="K13" s="4">
        <f>IF(J13="","",IF(J13&lt;'Adjustment Surface'!C$7,EDATE(J$5,COUNT(J$5:J13)),IF(J13='Adjustment Surface'!C$7,'Adjustment Surface'!C$8,'Adjustment Surface'!C$7)))</f>
        <v>46367</v>
      </c>
      <c r="L13" s="3">
        <f t="shared" si="1"/>
        <v>30</v>
      </c>
      <c r="M13" s="5">
        <f>IF(I13="","",(K13-'Rate &amp; Vol Update'!$C$2)/360)</f>
        <v>0.84166666666666667</v>
      </c>
      <c r="N13" s="15">
        <f>IF(I13="","",IF('Adjustment Surface'!C$3='Data Validation'!$C$2,'Adjustment Surface'!C$4,IF(INDEX(Schedules!$E$3:$E$123,MATCH('Bachelier Model'!J13,Schedules!$B$3:$B$123,0))="",N12,INDEX(Schedules!$E$3:$E$123,MATCH('Bachelier Model'!J13,Schedules!$B$3:$B$123,0)))))</f>
        <v>25000000</v>
      </c>
      <c r="O13" s="16">
        <f>IF(I13="","",IF('Adjustment Surface'!C$9='Data Validation'!$D$2,'Adjustment Surface'!C$10,IF(INDEX(Schedules!$H$3:$H$123,MATCH('Bachelier Model'!J13,Schedules!$B$3:$B$123,0))="",O12,INDEX(Schedules!$H$3:$H$123,MATCH('Bachelier Model'!J13,Schedules!$B$3:$B$123,0)))))</f>
        <v>0.02</v>
      </c>
      <c r="P13" s="16" cm="1">
        <f t="array" ref="P13">IF(I13="","",FORECAST(J13,INDEX('Rate &amp; Vol Update'!$C$6:$C$127,MATCH(INDEX('Rate &amp; Vol Update'!$B$6:$B$127,MATCH(J13,'Rate &amp; Vol Update'!$B$6:$B$127,1)),'Rate &amp; Vol Update'!$B$6:$B$127,0)+IF('Adjustment Surface'!C$11='Data Validation'!$E$3,-1,0)):INDEX('Rate &amp; Vol Update'!$C$6:$C$127,MATCH(INDEX('Rate &amp; Vol Update'!$B$6:$B$127,MATCH(J13,'Rate &amp; Vol Update'!$B$6:$B$127,1)+1),'Rate &amp; Vol Update'!$B$6:$B$127,0)+IF('Adjustment Surface'!C$11='Data Validation'!$E$3,-1,0)),INDEX('Rate &amp; Vol Update'!$B$6:$B$127,MATCH(J13,'Rate &amp; Vol Update'!$B$6:$B$127,1)):INDEX('Rate &amp; Vol Update'!$B$6:$B$127,MATCH(J13,'Rate &amp; Vol Update'!$B$6:$B$127,1)+1))/100)</f>
        <v>3.2135881179584658E-2</v>
      </c>
      <c r="Q13" s="16" cm="1">
        <f t="array" ref="Q13">IF(I13="","",IF(J13&lt;'Rate &amp; Vol Update'!$C$2,0.001%,(1/((INDEX('Rate &amp; Vol Update'!$E$6:$Z$6,1,MATCH(O13,'Rate &amp; Vol Update'!$E$6:$Z$6,1)+1)-INDEX('Rate &amp; Vol Update'!$E$6:$Z$6,1,MATCH(O13,'Rate &amp; Vol Update'!$E$6:$Z$6,1)))*(INDEX('Rate &amp; Vol Update'!$B$8:$B$127,MATCH(J13,'Rate &amp; Vol Update'!$B$8:$B$127,1)+1)-INDEX('Rate &amp; Vol Update'!$B$8:$B$127,MATCH(J13,'Rate &amp; Vol Update'!$B$8:$B$127,1))))*(INDEX('Rate &amp; Vol Update'!$E$8:$Z$127,MATCH(INDEX('Rate &amp; Vol Update'!$B$8:$B$127,MATCH(J13,'Rate &amp; Vol Update'!$B$8:$B$127,1)),'Rate &amp; Vol Update'!$B$8:$B$127,0),MATCH(INDEX('Rate &amp; Vol Update'!$E$6:$Z$6,1,MATCH(O13,'Rate &amp; Vol Update'!$E$6:$Z$6,1)),'Rate &amp; Vol Update'!$E$6:$Z$6,0))*(INDEX('Rate &amp; Vol Update'!$E$6:$Z$6,1,MATCH(O13,'Rate &amp; Vol Update'!$E$6:$Z$6,1)+1)-O13)*(INDEX('Rate &amp; Vol Update'!$B$8:$B$127,MATCH(J13,'Rate &amp; Vol Update'!$B$8:$B$127,1)+1)-J13)+INDEX('Rate &amp; Vol Update'!$E$8:$Z$127,MATCH(INDEX('Rate &amp; Vol Update'!$B$8:$B$127,MATCH(J13,'Rate &amp; Vol Update'!$B$8:$B$127,1)),'Rate &amp; Vol Update'!$B$8:$B$127,0),MATCH(INDEX('Rate &amp; Vol Update'!$E$6:$Z$6,1,MATCH(O13,'Rate &amp; Vol Update'!$E$6:$Z$6,1)+1),'Rate &amp; Vol Update'!$E$6:$Z$6,0))*(O13-INDEX('Rate &amp; Vol Update'!$E$6:$Z$6,1,MATCH(O13,'Rate &amp; Vol Update'!$E$6:$Z$6,1)))*(INDEX('Rate &amp; Vol Update'!$B$8:$B$127,MATCH(J13,'Rate &amp; Vol Update'!$B$8:$B$127,1)+1)-J13)+INDEX('Rate &amp; Vol Update'!$E$8:$Z$127,MATCH(INDEX('Rate &amp; Vol Update'!$B$8:$B$127,MATCH(J13,'Rate &amp; Vol Update'!$B$8:$B$127,1)+1),'Rate &amp; Vol Update'!$B$8:$B$127,0),MATCH(INDEX('Rate &amp; Vol Update'!$E$6:$Z$6,1,MATCH(O13,'Rate &amp; Vol Update'!$E$6:$Z$6,1)),'Rate &amp; Vol Update'!$E$6:$Z$6,0))*(INDEX('Rate &amp; Vol Update'!$E$6:$Z$6,1,MATCH(O13,'Rate &amp; Vol Update'!$E$6:$Z$6,1)+1)-O13)*(J13-INDEX('Rate &amp; Vol Update'!$B$8:$B$127,MATCH(J13,'Rate &amp; Vol Update'!$B$8:$B$127,1)))+INDEX('Rate &amp; Vol Update'!$E$8:$Z$127,MATCH(INDEX('Rate &amp; Vol Update'!$B$8:$B$127,MATCH(J13,'Rate &amp; Vol Update'!$B$8:$B$127,1)+1),'Rate &amp; Vol Update'!$B$8:$B$127,0),MATCH(INDEX('Rate &amp; Vol Update'!$E$6:$Z$6,1,MATCH(O13,'Rate &amp; Vol Update'!$E$6:$Z$6,1)+1),'Rate &amp; Vol Update'!$E$6:$Z$6,0))*(O13-INDEX('Rate &amp; Vol Update'!$E$6:$Z$6,1,MATCH(O13,'Rate &amp; Vol Update'!$E$6:$Z$6,1)))*(J13-INDEX('Rate &amp; Vol Update'!$B$8:$B$127,MATCH(J13,'Rate &amp; Vol Update'!$B$8:$B$127,1)))))*0.01%))</f>
        <v>8.9514728277087976E-3</v>
      </c>
      <c r="R13" s="5">
        <f>IF(I13="","",1/((1+P13)^((K13-'Rate &amp; Vol Update'!$C$2)/360)))</f>
        <v>0.9737290554250928</v>
      </c>
      <c r="T13" s="15">
        <f>IF(I13="","",IF(J13&lt;'Rate &amp; Vol Update'!$C$2,MAX(0,P13-O13)*(L13/360)*N13,(((IF('Adjustment Surface'!C$2='Data Validation'!$A$2,P13,IF('Adjustment Surface'!C$2='Data Validation'!$A$3,O13,"Unknown Option Type"))-IF('Adjustment Surface'!C$2='Data Validation'!$A$2,O13,IF('Adjustment Surface'!C$2='Data Validation'!$A$3,P13,"Unknown Option Type")))*(NORMDIST((IF('Adjustment Surface'!C$2='Data Validation'!$A$2,P13,IF('Adjustment Surface'!C$2='Data Validation'!$A$3,O13,"Unknown Option Type"))-IF('Adjustment Surface'!C$2='Data Validation'!$A$2,O13,IF('Adjustment Surface'!C$2='Data Validation'!$A$3,P13,"Unknown Option Type")))/(Q13*SQRT(M13)),0,1,TRUE)))+((Q13*SQRT(M13))*(NORMDIST((IF('Adjustment Surface'!C$2='Data Validation'!$A$2,P13,IF('Adjustment Surface'!C$2='Data Validation'!$A$3,O13,"Unknown Option Type"))-IF('Adjustment Surface'!C$2='Data Validation'!$A$2,O13,IF('Adjustment Surface'!C$2='Data Validation'!$A$3,P13,"Unknown Option Type")))/(Q13*SQRT(M13)),0,1,FALSE))))*R13*(L13/360)*N13))</f>
        <v>25132.392051806295</v>
      </c>
      <c r="U13" s="15">
        <f>IF(I13="","",SUM(T$4:T13))</f>
        <v>305350.25917501142</v>
      </c>
      <c r="W13" s="15">
        <f>IF(I13="","",IF(J13&lt;'Rate &amp; Vol Update'!$C$2,0,((((((IF('Adjustment Surface'!C$2='Data Validation'!$A$2,P13,IF('Adjustment Surface'!C$2='Data Validation'!$A$3,O13,"Unknown Option Type"))-IF('Adjustment Surface'!C$2='Data Validation'!$A$2,O13,IF('Adjustment Surface'!C$2='Data Validation'!$A$3,P13,"Unknown Option Type")))*(NORMDIST((IF('Adjustment Surface'!C$2='Data Validation'!$A$2,P13,IF('Adjustment Surface'!C$2='Data Validation'!$A$3,O13,"Unknown Option Type"))-IF('Adjustment Surface'!C$2='Data Validation'!$A$2,O13,IF('Adjustment Surface'!C$2='Data Validation'!$A$3,P13,"Unknown Option Type")))/((Q13+0.01%)*SQRT(M13)),0,1,TRUE)))+(((Q13+0.01%)*SQRT(M13))*(NORMDIST((IF('Adjustment Surface'!C$2='Data Validation'!$A$2,P13,IF('Adjustment Surface'!C$2='Data Validation'!$A$3,O13,"Unknown Option Type"))-IF('Adjustment Surface'!C$2='Data Validation'!$A$2,O13,IF('Adjustment Surface'!C$2='Data Validation'!$A$3,P13,"Unknown Option Type")))/((Q13+0.01%)*SQRT(M13)),0,1,FALSE))))*R13*(L13/360))-(T13/N13))*N13)*R13))</f>
        <v>24.556005310963265</v>
      </c>
      <c r="X13" s="15">
        <f>IF(I13="","",SUM(W$4:W13))</f>
        <v>77.507929868888141</v>
      </c>
      <c r="Y13" s="15"/>
      <c r="Z13" s="20"/>
      <c r="AA13" s="3">
        <v>10</v>
      </c>
      <c r="AB13" s="4">
        <f>IF(AC12=MAX('Adjustment Surface'!$C$14:$F$14),"",AC12)</f>
        <v>46337</v>
      </c>
      <c r="AC13" s="4">
        <f>IF(AB13="","",IF(AB13&lt;EDATE('Adjustment Surface'!$C$6,DATEDIF('Adjustment Surface'!$C$6,MAX('Adjustment Surface'!$C$14:$F$14),"M")),EDATE(AB$5,COUNT(AB$5:AB13)),IF(AB13=EDATE('Adjustment Surface'!$C$6,DATEDIF('Adjustment Surface'!$C$6,MAX('Adjustment Surface'!$C$14:$F$14),"M")),MAX('Adjustment Surface'!$C$14:$F$14),EDATE('Adjustment Surface'!$C$6,DATEDIF('Adjustment Surface'!$C$6,MAX('Adjustment Surface'!$C$14:$F$14),"M")))))</f>
        <v>46367</v>
      </c>
      <c r="AD13" s="3">
        <f t="shared" si="2"/>
        <v>30</v>
      </c>
      <c r="AE13" s="5">
        <f>IF(AA13="","",(AC13-'Rate &amp; Vol Update'!$C$2)/360)</f>
        <v>0.84166666666666667</v>
      </c>
      <c r="AF13" s="15">
        <f>IF(AA13="","",IF('Adjustment Surface'!$C$3='Data Validation'!$C$2,'Adjustment Surface'!$C$4,_xlfn.IFNA(IF(INDEX(Schedules!$E$3:$E$123,MATCH('Bachelier Model'!AB13,Schedules!$B$3:$B$123,0))="",AF12,INDEX(Schedules!$E$3:$E$123,MATCH('Bachelier Model'!AB13,Schedules!$B$3:$B$123,0))),AF12)))</f>
        <v>25000000</v>
      </c>
      <c r="AG13" s="16">
        <f>IF(AA13="","",'Adjustment Surface'!B$15)</f>
        <v>0.03</v>
      </c>
      <c r="AH13" s="16" cm="1">
        <f t="array" ref="AH13">IF(AA13="","",FORECAST(AB13,INDEX('Rate &amp; Vol Update'!$C$6:$C$127,MATCH(INDEX('Rate &amp; Vol Update'!$B$6:$B$127,MATCH(AB13,'Rate &amp; Vol Update'!$B$6:$B$127,1)),'Rate &amp; Vol Update'!$B$6:$B$127,0)+IF('Adjustment Surface'!$C$11='Data Validation'!$E$3,-1,0)):INDEX('Rate &amp; Vol Update'!$C$6:$C$127,MATCH(INDEX('Rate &amp; Vol Update'!$B$6:$B$127,MATCH(AB13,'Rate &amp; Vol Update'!$B$6:$B$127,1)+1),'Rate &amp; Vol Update'!$B$6:$B$127,0)+IF('Adjustment Surface'!$C$11='Data Validation'!$E$3,-1,0)),INDEX('Rate &amp; Vol Update'!$B$6:$B$127,MATCH(AB13,'Rate &amp; Vol Update'!$B$6:$B$127,1)):INDEX('Rate &amp; Vol Update'!$B$6:$B$127,MATCH(AB13,'Rate &amp; Vol Update'!$B$6:$B$127,1)+1))/100)</f>
        <v>3.2135881179584658E-2</v>
      </c>
      <c r="AI13" s="16" cm="1">
        <f t="array" ref="AI13">IF(AA13="","",IF(AB13&lt;'Rate &amp; Vol Update'!$C$2,0.001%,(1/((INDEX('Rate &amp; Vol Update'!$E$6:$Z$6,1,MATCH(AG13,'Rate &amp; Vol Update'!$E$6:$Z$6,1)+1)-INDEX('Rate &amp; Vol Update'!$E$6:$Z$6,1,MATCH(AG13,'Rate &amp; Vol Update'!$E$6:$Z$6,1)))*(INDEX('Rate &amp; Vol Update'!$B$8:$B$127,MATCH(AB13,'Rate &amp; Vol Update'!$B$8:$B$127,1)+1)-INDEX('Rate &amp; Vol Update'!$B$8:$B$127,MATCH(AB13,'Rate &amp; Vol Update'!$B$8:$B$127,1))))*(INDEX('Rate &amp; Vol Update'!$E$8:$Z$127,MATCH(INDEX('Rate &amp; Vol Update'!$B$8:$B$127,MATCH(AB13,'Rate &amp; Vol Update'!$B$8:$B$127,1)),'Rate &amp; Vol Update'!$B$8:$B$127,0),MATCH(INDEX('Rate &amp; Vol Update'!$E$6:$Z$6,1,MATCH(AG13,'Rate &amp; Vol Update'!$E$6:$Z$6,1)),'Rate &amp; Vol Update'!$E$6:$Z$6,0))*(INDEX('Rate &amp; Vol Update'!$E$6:$Z$6,1,MATCH(AG13,'Rate &amp; Vol Update'!$E$6:$Z$6,1)+1)-AG13)*(INDEX('Rate &amp; Vol Update'!$B$8:$B$127,MATCH(AB13,'Rate &amp; Vol Update'!$B$8:$B$127,1)+1)-AB13)+INDEX('Rate &amp; Vol Update'!$E$8:$Z$127,MATCH(INDEX('Rate &amp; Vol Update'!$B$8:$B$127,MATCH(AB13,'Rate &amp; Vol Update'!$B$8:$B$127,1)),'Rate &amp; Vol Update'!$B$8:$B$127,0),MATCH(INDEX('Rate &amp; Vol Update'!$E$6:$Z$6,1,MATCH(AG13,'Rate &amp; Vol Update'!$E$6:$Z$6,1)+1),'Rate &amp; Vol Update'!$E$6:$Z$6,0))*(AG13-INDEX('Rate &amp; Vol Update'!$E$6:$Z$6,1,MATCH(AG13,'Rate &amp; Vol Update'!$E$6:$Z$6,1)))*(INDEX('Rate &amp; Vol Update'!$B$8:$B$127,MATCH(AB13,'Rate &amp; Vol Update'!$B$8:$B$127,1)+1)-AB13)+INDEX('Rate &amp; Vol Update'!$E$8:$Z$127,MATCH(INDEX('Rate &amp; Vol Update'!$B$8:$B$127,MATCH(AB13,'Rate &amp; Vol Update'!$B$8:$B$127,1)+1),'Rate &amp; Vol Update'!$B$8:$B$127,0),MATCH(INDEX('Rate &amp; Vol Update'!$E$6:$Z$6,1,MATCH(AG13,'Rate &amp; Vol Update'!$E$6:$Z$6,1)),'Rate &amp; Vol Update'!$E$6:$Z$6,0))*(INDEX('Rate &amp; Vol Update'!$E$6:$Z$6,1,MATCH(AG13,'Rate &amp; Vol Update'!$E$6:$Z$6,1)+1)-AG13)*(AB13-INDEX('Rate &amp; Vol Update'!$B$8:$B$127,MATCH(AB13,'Rate &amp; Vol Update'!$B$8:$B$127,1)))+INDEX('Rate &amp; Vol Update'!$E$8:$Z$127,MATCH(INDEX('Rate &amp; Vol Update'!$B$8:$B$127,MATCH(AB13,'Rate &amp; Vol Update'!$B$8:$B$127,1)+1),'Rate &amp; Vol Update'!$B$8:$B$127,0),MATCH(INDEX('Rate &amp; Vol Update'!$E$6:$Z$6,1,MATCH(AG13,'Rate &amp; Vol Update'!$E$6:$Z$6,1)+1),'Rate &amp; Vol Update'!$E$6:$Z$6,0))*(AG13-INDEX('Rate &amp; Vol Update'!$E$6:$Z$6,1,MATCH(AG13,'Rate &amp; Vol Update'!$E$6:$Z$6,1)))*(AB13-INDEX('Rate &amp; Vol Update'!$B$8:$B$127,MATCH(AB13,'Rate &amp; Vol Update'!$B$8:$B$127,1)))))*0.01%))</f>
        <v>6.7472832750445433E-3</v>
      </c>
      <c r="AJ13" s="5">
        <f>IF(AA13="","",1/((1+AH13)^((AC13-'Rate &amp; Vol Update'!$C$2)/360)))</f>
        <v>0.9737290554250928</v>
      </c>
      <c r="AL13" s="15">
        <f>IF(AA13="","",IF(AB13&lt;'Rate &amp; Vol Update'!$C$2,MAX(0,AH13-AG13)*(AD13/360)*AF13,(((IF('Adjustment Surface'!$C$2='Data Validation'!$A$2,AH13,IF('Adjustment Surface'!$C$2='Data Validation'!$A$3,AG13,"Unknown Option Type"))-IF('Adjustment Surface'!$C$2='Data Validation'!$A$2,AG13,IF('Adjustment Surface'!$C$2='Data Validation'!$A$3,AH13,"Unknown Option Type")))*(NORMDIST((IF('Adjustment Surface'!$C$2='Data Validation'!$A$2,AH13,IF('Adjustment Surface'!$C$2='Data Validation'!$A$3,AG13,"Unknown Option Type"))-IF('Adjustment Surface'!$C$2='Data Validation'!$A$2,AG13,IF('Adjustment Surface'!$C$2='Data Validation'!$A$3,AH13,"Unknown Option Type")))/(AI13*SQRT(AE13)),0,1,TRUE)))+((AI13*SQRT(AE13))*(NORMDIST((IF('Adjustment Surface'!$C$2='Data Validation'!$A$2,AH13,IF('Adjustment Surface'!$C$2='Data Validation'!$A$3,AG13,"Unknown Option Type"))-IF('Adjustment Surface'!$C$2='Data Validation'!$A$2,AG13,IF('Adjustment Surface'!$C$2='Data Validation'!$A$3,AH13,"Unknown Option Type")))/(AI13*SQRT(AE13)),0,1,FALSE))))*AJ13*(AD13/360)*AF13))</f>
        <v>7471.3531857095559</v>
      </c>
      <c r="AM13" s="15">
        <f>IF(AA13="","",SUM(AL$4:AL13))</f>
        <v>108581.01036506695</v>
      </c>
      <c r="AO13" s="15">
        <f>IF(AA13="","",IF(AB13&lt;'Rate &amp; Vol Update'!$C$2,0,((((((IF('Adjustment Surface'!$C$2='Data Validation'!$A$2,AH13,IF('Adjustment Surface'!$C$2='Data Validation'!$A$3,AG13,"Unknown Option Type"))-IF('Adjustment Surface'!$C$2='Data Validation'!$A$2,AG13,IF('Adjustment Surface'!$C$2='Data Validation'!$A$3,AH13,"Unknown Option Type")))*(NORMDIST((IF('Adjustment Surface'!$C$2='Data Validation'!$A$2,AH13,IF('Adjustment Surface'!$C$2='Data Validation'!$A$3,AG13,"Unknown Option Type"))-IF('Adjustment Surface'!$C$2='Data Validation'!$A$2,AG13,IF('Adjustment Surface'!$C$2='Data Validation'!$A$3,AH13,"Unknown Option Type")))/((AI13+0.01%)*SQRT(AE13)),0,1,TRUE)))+(((AI13+0.01%)*SQRT(AE13))*(NORMDIST((IF('Adjustment Surface'!$C$2='Data Validation'!$A$2,AH13,IF('Adjustment Surface'!$C$2='Data Validation'!$A$3,AG13,"Unknown Option Type"))-IF('Adjustment Surface'!$C$2='Data Validation'!$A$2,AG13,IF('Adjustment Surface'!$C$2='Data Validation'!$A$3,AH13,"Unknown Option Type")))/((AI13+0.01%)*SQRT(AE13)),0,1,FALSE))))*AJ13*(AD13/360))-(AL13/AF13))*AF13)*AJ13))</f>
        <v>68.177299992666036</v>
      </c>
      <c r="AP13" s="15">
        <f>IF(AA13="","",SUM(AO$4:AO13))</f>
        <v>336.2549202782933</v>
      </c>
      <c r="AQ13" s="15"/>
      <c r="AR13" s="20"/>
      <c r="AS13" s="3">
        <v>10</v>
      </c>
      <c r="AT13" s="4">
        <f>IF(AU12=MAX('Adjustment Surface'!$C$14:$F$14),"",AU12)</f>
        <v>46337</v>
      </c>
      <c r="AU13" s="4">
        <f>IF(AT13="","",IF(AT13&lt;EDATE('Adjustment Surface'!$C$6,DATEDIF('Adjustment Surface'!$C$6,MAX('Adjustment Surface'!$C$14:$F$14),"M")),EDATE(AT$5,COUNT(AT$5:AT13)),IF(AT13=EDATE('Adjustment Surface'!$C$6,DATEDIF('Adjustment Surface'!$C$6,MAX('Adjustment Surface'!$C$14:$F$14),"M")),MAX('Adjustment Surface'!$C$14:$F$14),EDATE('Adjustment Surface'!$C$6,DATEDIF('Adjustment Surface'!$C$6,MAX('Adjustment Surface'!$C$14:$F$14),"M")))))</f>
        <v>46367</v>
      </c>
      <c r="AV13" s="3">
        <f t="shared" si="3"/>
        <v>30</v>
      </c>
      <c r="AW13" s="5">
        <f>IF(AS13="","",(AU13-'Rate &amp; Vol Update'!$C$2)/360)</f>
        <v>0.84166666666666667</v>
      </c>
      <c r="AX13" s="15">
        <f>IF(AS13="","",IF('Adjustment Surface'!$C$3='Data Validation'!$C$2,'Adjustment Surface'!$C$4,_xlfn.IFNA(IF(INDEX(Schedules!$E$3:$E$123,MATCH('Bachelier Model'!AT13,Schedules!$B$3:$B$123,0))="",AX12,INDEX(Schedules!$E$3:$E$123,MATCH('Bachelier Model'!AT13,Schedules!$B$3:$B$123,0))),AX12)))</f>
        <v>25000000</v>
      </c>
      <c r="AY13" s="16">
        <f>IF(AS13="","",'Adjustment Surface'!B$16)</f>
        <v>0.04</v>
      </c>
      <c r="AZ13" s="16" cm="1">
        <f t="array" ref="AZ13">IF(AS13="","",FORECAST(AT13,INDEX('Rate &amp; Vol Update'!$C$6:$C$127,MATCH(INDEX('Rate &amp; Vol Update'!$B$6:$B$127,MATCH(AT13,'Rate &amp; Vol Update'!$B$6:$B$127,1)),'Rate &amp; Vol Update'!$B$6:$B$127,0)+IF('Adjustment Surface'!$C$11='Data Validation'!$E$3,-1,0)):INDEX('Rate &amp; Vol Update'!$C$6:$C$127,MATCH(INDEX('Rate &amp; Vol Update'!$B$6:$B$127,MATCH(AT13,'Rate &amp; Vol Update'!$B$6:$B$127,1)+1),'Rate &amp; Vol Update'!$B$6:$B$127,0)+IF('Adjustment Surface'!$C$11='Data Validation'!$E$3,-1,0)),INDEX('Rate &amp; Vol Update'!$B$6:$B$127,MATCH(AT13,'Rate &amp; Vol Update'!$B$6:$B$127,1)):INDEX('Rate &amp; Vol Update'!$B$6:$B$127,MATCH(AT13,'Rate &amp; Vol Update'!$B$6:$B$127,1)+1))/100)</f>
        <v>3.2135881179584658E-2</v>
      </c>
      <c r="BA13" s="16" cm="1">
        <f t="array" ref="BA13">IF(AS13="","",IF(AT13&lt;'Rate &amp; Vol Update'!$C$2,0.001%,(1/((INDEX('Rate &amp; Vol Update'!$E$6:$Z$6,1,MATCH(AY13,'Rate &amp; Vol Update'!$E$6:$Z$6,1)+1)-INDEX('Rate &amp; Vol Update'!$E$6:$Z$6,1,MATCH(AY13,'Rate &amp; Vol Update'!$E$6:$Z$6,1)))*(INDEX('Rate &amp; Vol Update'!$B$8:$B$127,MATCH(AT13,'Rate &amp; Vol Update'!$B$8:$B$127,1)+1)-INDEX('Rate &amp; Vol Update'!$B$8:$B$127,MATCH(AT13,'Rate &amp; Vol Update'!$B$8:$B$127,1))))*(INDEX('Rate &amp; Vol Update'!$E$8:$Z$127,MATCH(INDEX('Rate &amp; Vol Update'!$B$8:$B$127,MATCH(AT13,'Rate &amp; Vol Update'!$B$8:$B$127,1)),'Rate &amp; Vol Update'!$B$8:$B$127,0),MATCH(INDEX('Rate &amp; Vol Update'!$E$6:$Z$6,1,MATCH(AY13,'Rate &amp; Vol Update'!$E$6:$Z$6,1)),'Rate &amp; Vol Update'!$E$6:$Z$6,0))*(INDEX('Rate &amp; Vol Update'!$E$6:$Z$6,1,MATCH(AY13,'Rate &amp; Vol Update'!$E$6:$Z$6,1)+1)-AY13)*(INDEX('Rate &amp; Vol Update'!$B$8:$B$127,MATCH(AT13,'Rate &amp; Vol Update'!$B$8:$B$127,1)+1)-AT13)+INDEX('Rate &amp; Vol Update'!$E$8:$Z$127,MATCH(INDEX('Rate &amp; Vol Update'!$B$8:$B$127,MATCH(AT13,'Rate &amp; Vol Update'!$B$8:$B$127,1)),'Rate &amp; Vol Update'!$B$8:$B$127,0),MATCH(INDEX('Rate &amp; Vol Update'!$E$6:$Z$6,1,MATCH(AY13,'Rate &amp; Vol Update'!$E$6:$Z$6,1)+1),'Rate &amp; Vol Update'!$E$6:$Z$6,0))*(AY13-INDEX('Rate &amp; Vol Update'!$E$6:$Z$6,1,MATCH(AY13,'Rate &amp; Vol Update'!$E$6:$Z$6,1)))*(INDEX('Rate &amp; Vol Update'!$B$8:$B$127,MATCH(AT13,'Rate &amp; Vol Update'!$B$8:$B$127,1)+1)-AT13)+INDEX('Rate &amp; Vol Update'!$E$8:$Z$127,MATCH(INDEX('Rate &amp; Vol Update'!$B$8:$B$127,MATCH(AT13,'Rate &amp; Vol Update'!$B$8:$B$127,1)+1),'Rate &amp; Vol Update'!$B$8:$B$127,0),MATCH(INDEX('Rate &amp; Vol Update'!$E$6:$Z$6,1,MATCH(AY13,'Rate &amp; Vol Update'!$E$6:$Z$6,1)),'Rate &amp; Vol Update'!$E$6:$Z$6,0))*(INDEX('Rate &amp; Vol Update'!$E$6:$Z$6,1,MATCH(AY13,'Rate &amp; Vol Update'!$E$6:$Z$6,1)+1)-AY13)*(AT13-INDEX('Rate &amp; Vol Update'!$B$8:$B$127,MATCH(AT13,'Rate &amp; Vol Update'!$B$8:$B$127,1)))+INDEX('Rate &amp; Vol Update'!$E$8:$Z$127,MATCH(INDEX('Rate &amp; Vol Update'!$B$8:$B$127,MATCH(AT13,'Rate &amp; Vol Update'!$B$8:$B$127,1)+1),'Rate &amp; Vol Update'!$B$8:$B$127,0),MATCH(INDEX('Rate &amp; Vol Update'!$E$6:$Z$6,1,MATCH(AY13,'Rate &amp; Vol Update'!$E$6:$Z$6,1)+1),'Rate &amp; Vol Update'!$E$6:$Z$6,0))*(AY13-INDEX('Rate &amp; Vol Update'!$E$6:$Z$6,1,MATCH(AY13,'Rate &amp; Vol Update'!$E$6:$Z$6,1)))*(AT13-INDEX('Rate &amp; Vol Update'!$B$8:$B$127,MATCH(AT13,'Rate &amp; Vol Update'!$B$8:$B$127,1)))))*0.01%))</f>
        <v>6.3329466863017835E-3</v>
      </c>
      <c r="BB13" s="5">
        <f>IF(AS13="","",1/((1+AZ13)^((AU13-'Rate &amp; Vol Update'!$C$2)/360)))</f>
        <v>0.9737290554250928</v>
      </c>
      <c r="BD13" s="15">
        <f>IF(AS13="","",IF(AT13&lt;'Rate &amp; Vol Update'!$C$2,MAX(0,AZ13-AY13)*(AV13/360)*AX13,(((IF('Adjustment Surface'!$C$2='Data Validation'!$A$2,AZ13,IF('Adjustment Surface'!$C$2='Data Validation'!$A$3,AY13,"Unknown Option Type"))-IF('Adjustment Surface'!$C$2='Data Validation'!$A$2,AY13,IF('Adjustment Surface'!$C$2='Data Validation'!$A$3,AZ13,"Unknown Option Type")))*(NORMDIST((IF('Adjustment Surface'!$C$2='Data Validation'!$A$2,AZ13,IF('Adjustment Surface'!$C$2='Data Validation'!$A$3,AY13,"Unknown Option Type"))-IF('Adjustment Surface'!$C$2='Data Validation'!$A$2,AY13,IF('Adjustment Surface'!$C$2='Data Validation'!$A$3,AZ13,"Unknown Option Type")))/(BA13*SQRT(AW13)),0,1,TRUE)))+((BA13*SQRT(AW13))*(NORMDIST((IF('Adjustment Surface'!$C$2='Data Validation'!$A$2,AZ13,IF('Adjustment Surface'!$C$2='Data Validation'!$A$3,AY13,"Unknown Option Type"))-IF('Adjustment Surface'!$C$2='Data Validation'!$A$2,AY13,IF('Adjustment Surface'!$C$2='Data Validation'!$A$3,AZ13,"Unknown Option Type")))/(BA13*SQRT(AW13)),0,1,FALSE))))*BB13*(AV13/360)*AX13))</f>
        <v>478.33450696991179</v>
      </c>
      <c r="BE13" s="15">
        <f>IF(AS13="","",SUM(BD$4:BD13))</f>
        <v>3752.4837684050508</v>
      </c>
      <c r="BG13" s="15">
        <f>IF(AS13="","",IF(AT13&lt;'Rate &amp; Vol Update'!$C$2,0,((((((IF('Adjustment Surface'!$C$2='Data Validation'!$A$2,AZ13,IF('Adjustment Surface'!$C$2='Data Validation'!$A$3,AY13,"Unknown Option Type"))-IF('Adjustment Surface'!$C$2='Data Validation'!$A$2,AY13,IF('Adjustment Surface'!$C$2='Data Validation'!$A$3,AZ13,"Unknown Option Type")))*(NORMDIST((IF('Adjustment Surface'!$C$2='Data Validation'!$A$2,AZ13,IF('Adjustment Surface'!$C$2='Data Validation'!$A$3,AY13,"Unknown Option Type"))-IF('Adjustment Surface'!$C$2='Data Validation'!$A$2,AY13,IF('Adjustment Surface'!$C$2='Data Validation'!$A$3,AZ13,"Unknown Option Type")))/((BA13+0.01%)*SQRT(AW13)),0,1,TRUE)))+(((BA13+0.01%)*SQRT(AW13))*(NORMDIST((IF('Adjustment Surface'!$C$2='Data Validation'!$A$2,AZ13,IF('Adjustment Surface'!$C$2='Data Validation'!$A$3,AY13,"Unknown Option Type"))-IF('Adjustment Surface'!$C$2='Data Validation'!$A$2,AY13,IF('Adjustment Surface'!$C$2='Data Validation'!$A$3,AZ13,"Unknown Option Type")))/((BA13+0.01%)*SQRT(AW13)),0,1,FALSE))))*BB13*(AV13/360))-(BD13/AX13))*AX13)*BB13))</f>
        <v>29.341291964955346</v>
      </c>
      <c r="BH13" s="15">
        <f>IF(AS13="","",SUM(BG$4:BG13))</f>
        <v>224.96149762286984</v>
      </c>
      <c r="BI13" s="15"/>
      <c r="BJ13" s="20"/>
      <c r="BK13" s="3">
        <v>10</v>
      </c>
      <c r="BL13" s="4">
        <f>IF(BM12=MAX('Adjustment Surface'!$C$14:$F$14),"",BM12)</f>
        <v>46337</v>
      </c>
      <c r="BM13" s="4">
        <f>IF(BL13="","",IF(BL13&lt;EDATE('Adjustment Surface'!$C$6,DATEDIF('Adjustment Surface'!$C$6,MAX('Adjustment Surface'!$C$14:$F$14),"M")),EDATE(BL$5,COUNT(BL$5:BL13)),IF(BL13=EDATE('Adjustment Surface'!$C$6,DATEDIF('Adjustment Surface'!$C$6,MAX('Adjustment Surface'!$C$14:$F$14),"M")),MAX('Adjustment Surface'!$C$14:$F$14),EDATE('Adjustment Surface'!$C$6,DATEDIF('Adjustment Surface'!$C$6,MAX('Adjustment Surface'!$C$14:$F$14),"M")))))</f>
        <v>46367</v>
      </c>
      <c r="BN13" s="3">
        <f t="shared" si="4"/>
        <v>30</v>
      </c>
      <c r="BO13" s="5">
        <f>IF(BK13="","",(BM13-'Rate &amp; Vol Update'!$C$2)/360)</f>
        <v>0.84166666666666667</v>
      </c>
      <c r="BP13" s="15">
        <f>IF(BK13="","",IF('Adjustment Surface'!$C$3='Data Validation'!$C$2,'Adjustment Surface'!$C$4,_xlfn.IFNA(IF(INDEX(Schedules!$E$3:$E$123,MATCH('Bachelier Model'!BL13,Schedules!$B$3:$B$123,0))="",BP12,INDEX(Schedules!$E$3:$E$123,MATCH('Bachelier Model'!BL13,Schedules!$B$3:$B$123,0))),BP12)))</f>
        <v>25000000</v>
      </c>
      <c r="BQ13" s="16">
        <f>IF(BK13="","",'Adjustment Surface'!B$17)</f>
        <v>0.05</v>
      </c>
      <c r="BR13" s="16" cm="1">
        <f t="array" ref="BR13">IF(BK13="","",FORECAST(BL13,INDEX('Rate &amp; Vol Update'!$C$6:$C$127,MATCH(INDEX('Rate &amp; Vol Update'!$B$6:$B$127,MATCH(BL13,'Rate &amp; Vol Update'!$B$6:$B$127,1)),'Rate &amp; Vol Update'!$B$6:$B$127,0)+IF('Adjustment Surface'!$C$11='Data Validation'!$E$3,-1,0)):INDEX('Rate &amp; Vol Update'!$C$6:$C$127,MATCH(INDEX('Rate &amp; Vol Update'!$B$6:$B$127,MATCH(BL13,'Rate &amp; Vol Update'!$B$6:$B$127,1)+1),'Rate &amp; Vol Update'!$B$6:$B$127,0)+IF('Adjustment Surface'!$C$11='Data Validation'!$E$3,-1,0)),INDEX('Rate &amp; Vol Update'!$B$6:$B$127,MATCH(BL13,'Rate &amp; Vol Update'!$B$6:$B$127,1)):INDEX('Rate &amp; Vol Update'!$B$6:$B$127,MATCH(BL13,'Rate &amp; Vol Update'!$B$6:$B$127,1)+1))/100)</f>
        <v>3.2135881179584658E-2</v>
      </c>
      <c r="BS13" s="16" cm="1">
        <f t="array" ref="BS13">IF(BK13="","",IF(BL13&lt;'Rate &amp; Vol Update'!$C$2,0.001%,(1/((INDEX('Rate &amp; Vol Update'!$E$6:$Z$6,1,MATCH(BQ13,'Rate &amp; Vol Update'!$E$6:$Z$6,1)+1)-INDEX('Rate &amp; Vol Update'!$E$6:$Z$6,1,MATCH(BQ13,'Rate &amp; Vol Update'!$E$6:$Z$6,1)))*(INDEX('Rate &amp; Vol Update'!$B$8:$B$127,MATCH(BL13,'Rate &amp; Vol Update'!$B$8:$B$127,1)+1)-INDEX('Rate &amp; Vol Update'!$B$8:$B$127,MATCH(BL13,'Rate &amp; Vol Update'!$B$8:$B$127,1))))*(INDEX('Rate &amp; Vol Update'!$E$8:$Z$127,MATCH(INDEX('Rate &amp; Vol Update'!$B$8:$B$127,MATCH(BL13,'Rate &amp; Vol Update'!$B$8:$B$127,1)),'Rate &amp; Vol Update'!$B$8:$B$127,0),MATCH(INDEX('Rate &amp; Vol Update'!$E$6:$Z$6,1,MATCH(BQ13,'Rate &amp; Vol Update'!$E$6:$Z$6,1)),'Rate &amp; Vol Update'!$E$6:$Z$6,0))*(INDEX('Rate &amp; Vol Update'!$E$6:$Z$6,1,MATCH(BQ13,'Rate &amp; Vol Update'!$E$6:$Z$6,1)+1)-BQ13)*(INDEX('Rate &amp; Vol Update'!$B$8:$B$127,MATCH(BL13,'Rate &amp; Vol Update'!$B$8:$B$127,1)+1)-BL13)+INDEX('Rate &amp; Vol Update'!$E$8:$Z$127,MATCH(INDEX('Rate &amp; Vol Update'!$B$8:$B$127,MATCH(BL13,'Rate &amp; Vol Update'!$B$8:$B$127,1)),'Rate &amp; Vol Update'!$B$8:$B$127,0),MATCH(INDEX('Rate &amp; Vol Update'!$E$6:$Z$6,1,MATCH(BQ13,'Rate &amp; Vol Update'!$E$6:$Z$6,1)+1),'Rate &amp; Vol Update'!$E$6:$Z$6,0))*(BQ13-INDEX('Rate &amp; Vol Update'!$E$6:$Z$6,1,MATCH(BQ13,'Rate &amp; Vol Update'!$E$6:$Z$6,1)))*(INDEX('Rate &amp; Vol Update'!$B$8:$B$127,MATCH(BL13,'Rate &amp; Vol Update'!$B$8:$B$127,1)+1)-BL13)+INDEX('Rate &amp; Vol Update'!$E$8:$Z$127,MATCH(INDEX('Rate &amp; Vol Update'!$B$8:$B$127,MATCH(BL13,'Rate &amp; Vol Update'!$B$8:$B$127,1)+1),'Rate &amp; Vol Update'!$B$8:$B$127,0),MATCH(INDEX('Rate &amp; Vol Update'!$E$6:$Z$6,1,MATCH(BQ13,'Rate &amp; Vol Update'!$E$6:$Z$6,1)),'Rate &amp; Vol Update'!$E$6:$Z$6,0))*(INDEX('Rate &amp; Vol Update'!$E$6:$Z$6,1,MATCH(BQ13,'Rate &amp; Vol Update'!$E$6:$Z$6,1)+1)-BQ13)*(BL13-INDEX('Rate &amp; Vol Update'!$B$8:$B$127,MATCH(BL13,'Rate &amp; Vol Update'!$B$8:$B$127,1)))+INDEX('Rate &amp; Vol Update'!$E$8:$Z$127,MATCH(INDEX('Rate &amp; Vol Update'!$B$8:$B$127,MATCH(BL13,'Rate &amp; Vol Update'!$B$8:$B$127,1)+1),'Rate &amp; Vol Update'!$B$8:$B$127,0),MATCH(INDEX('Rate &amp; Vol Update'!$E$6:$Z$6,1,MATCH(BQ13,'Rate &amp; Vol Update'!$E$6:$Z$6,1)+1),'Rate &amp; Vol Update'!$E$6:$Z$6,0))*(BQ13-INDEX('Rate &amp; Vol Update'!$E$6:$Z$6,1,MATCH(BQ13,'Rate &amp; Vol Update'!$E$6:$Z$6,1)))*(BL13-INDEX('Rate &amp; Vol Update'!$B$8:$B$127,MATCH(BL13,'Rate &amp; Vol Update'!$B$8:$B$127,1)))))*0.01%))</f>
        <v>8.1181744107494992E-3</v>
      </c>
      <c r="BT13" s="5">
        <f>IF(BK13="","",1/((1+BR13)^((BM13-'Rate &amp; Vol Update'!$C$2)/360)))</f>
        <v>0.9737290554250928</v>
      </c>
      <c r="BV13" s="15">
        <f>IF(BK13="","",IF(BL13&lt;'Rate &amp; Vol Update'!$C$2,MAX(0,BR13-BQ13)*(BN13/360)*BP13,(((IF('Adjustment Surface'!$C$2='Data Validation'!$A$2,BR13,IF('Adjustment Surface'!$C$2='Data Validation'!$A$3,BQ13,"Unknown Option Type"))-IF('Adjustment Surface'!$C$2='Data Validation'!$A$2,BQ13,IF('Adjustment Surface'!$C$2='Data Validation'!$A$3,BR13,"Unknown Option Type")))*(NORMDIST((IF('Adjustment Surface'!$C$2='Data Validation'!$A$2,BR13,IF('Adjustment Surface'!$C$2='Data Validation'!$A$3,BQ13,"Unknown Option Type"))-IF('Adjustment Surface'!$C$2='Data Validation'!$A$2,BQ13,IF('Adjustment Surface'!$C$2='Data Validation'!$A$3,BR13,"Unknown Option Type")))/(BS13*SQRT(BO13)),0,1,TRUE)))+((BS13*SQRT(BO13))*(NORMDIST((IF('Adjustment Surface'!$C$2='Data Validation'!$A$2,BR13,IF('Adjustment Surface'!$C$2='Data Validation'!$A$3,BQ13,"Unknown Option Type"))-IF('Adjustment Surface'!$C$2='Data Validation'!$A$2,BQ13,IF('Adjustment Surface'!$C$2='Data Validation'!$A$3,BR13,"Unknown Option Type")))/(BS13*SQRT(BO13)),0,1,FALSE))))*BT13*(BN13/360)*BP13))</f>
        <v>41.279141550988378</v>
      </c>
      <c r="BW13" s="15">
        <f>IF(BK13="","",SUM(BV$4:BV13))</f>
        <v>115.36896743323243</v>
      </c>
      <c r="BY13" s="15">
        <f>IF(BK13="","",IF(BL13&lt;'Rate &amp; Vol Update'!$C$2,0,((((((IF('Adjustment Surface'!$C$2='Data Validation'!$A$2,BR13,IF('Adjustment Surface'!$C$2='Data Validation'!$A$3,BQ13,"Unknown Option Type"))-IF('Adjustment Surface'!$C$2='Data Validation'!$A$2,BQ13,IF('Adjustment Surface'!$C$2='Data Validation'!$A$3,BR13,"Unknown Option Type")))*(NORMDIST((IF('Adjustment Surface'!$C$2='Data Validation'!$A$2,BR13,IF('Adjustment Surface'!$C$2='Data Validation'!$A$3,BQ13,"Unknown Option Type"))-IF('Adjustment Surface'!$C$2='Data Validation'!$A$2,BQ13,IF('Adjustment Surface'!$C$2='Data Validation'!$A$3,BR13,"Unknown Option Type")))/((BS13+0.01%)*SQRT(BO13)),0,1,TRUE)))+(((BS13+0.01%)*SQRT(BO13))*(NORMDIST((IF('Adjustment Surface'!$C$2='Data Validation'!$A$2,BR13,IF('Adjustment Surface'!$C$2='Data Validation'!$A$3,BQ13,"Unknown Option Type"))-IF('Adjustment Surface'!$C$2='Data Validation'!$A$2,BQ13,IF('Adjustment Surface'!$C$2='Data Validation'!$A$3,BR13,"Unknown Option Type")))/((BS13+0.01%)*SQRT(BO13)),0,1,FALSE))))*BT13*(BN13/360))-(BV13/BP13))*BP13)*BT13))</f>
        <v>4.2181476405916509</v>
      </c>
      <c r="BZ13" s="15">
        <f>IF(BK13="","",SUM(BY$4:BY13))</f>
        <v>13.544694644337888</v>
      </c>
      <c r="CA13" s="15"/>
      <c r="CB13" s="20"/>
      <c r="CC13" s="3">
        <v>10</v>
      </c>
      <c r="CD13" s="4">
        <f>IF(CE12=MAX('Adjustment Surface'!$C$14:$F$14),"",CE12)</f>
        <v>46337</v>
      </c>
      <c r="CE13" s="4">
        <f>IF(CD13="","",IF(CD13&lt;EDATE('Adjustment Surface'!$C$6,DATEDIF('Adjustment Surface'!$C$6,MAX('Adjustment Surface'!$C$14:$F$14),"M")),EDATE(CD$5,COUNT(CD$5:CD13)),IF(CD13=EDATE('Adjustment Surface'!$C$6,DATEDIF('Adjustment Surface'!$C$6,MAX('Adjustment Surface'!$C$14:$F$14),"M")),MAX('Adjustment Surface'!$C$14:$F$14),EDATE('Adjustment Surface'!$C$6,DATEDIF('Adjustment Surface'!$C$6,MAX('Adjustment Surface'!$C$14:$F$14),"M")))))</f>
        <v>46367</v>
      </c>
      <c r="CF13" s="3">
        <f t="shared" si="5"/>
        <v>30</v>
      </c>
      <c r="CG13" s="5">
        <f>IF(CC13="","",(CE13-'Rate &amp; Vol Update'!$C$2)/360)</f>
        <v>0.84166666666666667</v>
      </c>
      <c r="CH13" s="15">
        <f>IF(CC13="","",IF('Adjustment Surface'!$C$3='Data Validation'!$C$2,'Adjustment Surface'!$C$4,_xlfn.IFNA(IF(INDEX(Schedules!$E$3:$E$123,MATCH('Bachelier Model'!CD13,Schedules!$B$3:$B$123,0))="",CH12,INDEX(Schedules!$E$3:$E$123,MATCH('Bachelier Model'!CD13,Schedules!$B$3:$B$123,0))),CH12)))</f>
        <v>25000000</v>
      </c>
      <c r="CI13" s="16">
        <f>IF(CC13="","",'Adjustment Surface'!B$18)</f>
        <v>0.06</v>
      </c>
      <c r="CJ13" s="16" cm="1">
        <f t="array" ref="CJ13">IF(CC13="","",FORECAST(CD13,INDEX('Rate &amp; Vol Update'!$C$6:$C$127,MATCH(INDEX('Rate &amp; Vol Update'!$B$6:$B$127,MATCH(CD13,'Rate &amp; Vol Update'!$B$6:$B$127,1)),'Rate &amp; Vol Update'!$B$6:$B$127,0)+IF('Adjustment Surface'!$C$11='Data Validation'!$E$3,-1,0)):INDEX('Rate &amp; Vol Update'!$C$6:$C$127,MATCH(INDEX('Rate &amp; Vol Update'!$B$6:$B$127,MATCH(CD13,'Rate &amp; Vol Update'!$B$6:$B$127,1)+1),'Rate &amp; Vol Update'!$B$6:$B$127,0)+IF('Adjustment Surface'!$C$11='Data Validation'!$E$3,-1,0)),INDEX('Rate &amp; Vol Update'!$B$6:$B$127,MATCH(CD13,'Rate &amp; Vol Update'!$B$6:$B$127,1)):INDEX('Rate &amp; Vol Update'!$B$6:$B$127,MATCH(CD13,'Rate &amp; Vol Update'!$B$6:$B$127,1)+1))/100)</f>
        <v>3.2135881179584658E-2</v>
      </c>
      <c r="CK13" s="16" cm="1">
        <f t="array" ref="CK13">IF(CC13="","",IF(CD13&lt;'Rate &amp; Vol Update'!$C$2,0.001%,(1/((INDEX('Rate &amp; Vol Update'!$E$6:$Z$6,1,MATCH(CI13,'Rate &amp; Vol Update'!$E$6:$Z$6,1)+1)-INDEX('Rate &amp; Vol Update'!$E$6:$Z$6,1,MATCH(CI13,'Rate &amp; Vol Update'!$E$6:$Z$6,1)))*(INDEX('Rate &amp; Vol Update'!$B$8:$B$127,MATCH(CD13,'Rate &amp; Vol Update'!$B$8:$B$127,1)+1)-INDEX('Rate &amp; Vol Update'!$B$8:$B$127,MATCH(CD13,'Rate &amp; Vol Update'!$B$8:$B$127,1))))*(INDEX('Rate &amp; Vol Update'!$E$8:$Z$127,MATCH(INDEX('Rate &amp; Vol Update'!$B$8:$B$127,MATCH(CD13,'Rate &amp; Vol Update'!$B$8:$B$127,1)),'Rate &amp; Vol Update'!$B$8:$B$127,0),MATCH(INDEX('Rate &amp; Vol Update'!$E$6:$Z$6,1,MATCH(CI13,'Rate &amp; Vol Update'!$E$6:$Z$6,1)),'Rate &amp; Vol Update'!$E$6:$Z$6,0))*(INDEX('Rate &amp; Vol Update'!$E$6:$Z$6,1,MATCH(CI13,'Rate &amp; Vol Update'!$E$6:$Z$6,1)+1)-CI13)*(INDEX('Rate &amp; Vol Update'!$B$8:$B$127,MATCH(CD13,'Rate &amp; Vol Update'!$B$8:$B$127,1)+1)-CD13)+INDEX('Rate &amp; Vol Update'!$E$8:$Z$127,MATCH(INDEX('Rate &amp; Vol Update'!$B$8:$B$127,MATCH(CD13,'Rate &amp; Vol Update'!$B$8:$B$127,1)),'Rate &amp; Vol Update'!$B$8:$B$127,0),MATCH(INDEX('Rate &amp; Vol Update'!$E$6:$Z$6,1,MATCH(CI13,'Rate &amp; Vol Update'!$E$6:$Z$6,1)+1),'Rate &amp; Vol Update'!$E$6:$Z$6,0))*(CI13-INDEX('Rate &amp; Vol Update'!$E$6:$Z$6,1,MATCH(CI13,'Rate &amp; Vol Update'!$E$6:$Z$6,1)))*(INDEX('Rate &amp; Vol Update'!$B$8:$B$127,MATCH(CD13,'Rate &amp; Vol Update'!$B$8:$B$127,1)+1)-CD13)+INDEX('Rate &amp; Vol Update'!$E$8:$Z$127,MATCH(INDEX('Rate &amp; Vol Update'!$B$8:$B$127,MATCH(CD13,'Rate &amp; Vol Update'!$B$8:$B$127,1)+1),'Rate &amp; Vol Update'!$B$8:$B$127,0),MATCH(INDEX('Rate &amp; Vol Update'!$E$6:$Z$6,1,MATCH(CI13,'Rate &amp; Vol Update'!$E$6:$Z$6,1)),'Rate &amp; Vol Update'!$E$6:$Z$6,0))*(INDEX('Rate &amp; Vol Update'!$E$6:$Z$6,1,MATCH(CI13,'Rate &amp; Vol Update'!$E$6:$Z$6,1)+1)-CI13)*(CD13-INDEX('Rate &amp; Vol Update'!$B$8:$B$127,MATCH(CD13,'Rate &amp; Vol Update'!$B$8:$B$127,1)))+INDEX('Rate &amp; Vol Update'!$E$8:$Z$127,MATCH(INDEX('Rate &amp; Vol Update'!$B$8:$B$127,MATCH(CD13,'Rate &amp; Vol Update'!$B$8:$B$127,1)+1),'Rate &amp; Vol Update'!$B$8:$B$127,0),MATCH(INDEX('Rate &amp; Vol Update'!$E$6:$Z$6,1,MATCH(CI13,'Rate &amp; Vol Update'!$E$6:$Z$6,1)+1),'Rate &amp; Vol Update'!$E$6:$Z$6,0))*(CI13-INDEX('Rate &amp; Vol Update'!$E$6:$Z$6,1,MATCH(CI13,'Rate &amp; Vol Update'!$E$6:$Z$6,1)))*(CD13-INDEX('Rate &amp; Vol Update'!$B$8:$B$127,MATCH(CD13,'Rate &amp; Vol Update'!$B$8:$B$127,1)))))*0.01%))</f>
        <v>1.02098367894003E-2</v>
      </c>
      <c r="CL13" s="5">
        <f>IF(CC13="","",1/((1+CJ13)^((CE13-'Rate &amp; Vol Update'!$C$2)/360)))</f>
        <v>0.9737290554250928</v>
      </c>
      <c r="CN13" s="15">
        <f>IF(CC13="","",IF(CD13&lt;'Rate &amp; Vol Update'!$C$2,MAX(0,CJ13-CI13)*(CF13/360)*CH13,(((IF('Adjustment Surface'!$C$2='Data Validation'!$A$2,CJ13,IF('Adjustment Surface'!$C$2='Data Validation'!$A$3,CI13,"Unknown Option Type"))-IF('Adjustment Surface'!$C$2='Data Validation'!$A$2,CI13,IF('Adjustment Surface'!$C$2='Data Validation'!$A$3,CJ13,"Unknown Option Type")))*(NORMDIST((IF('Adjustment Surface'!$C$2='Data Validation'!$A$2,CJ13,IF('Adjustment Surface'!$C$2='Data Validation'!$A$3,CI13,"Unknown Option Type"))-IF('Adjustment Surface'!$C$2='Data Validation'!$A$2,CI13,IF('Adjustment Surface'!$C$2='Data Validation'!$A$3,CJ13,"Unknown Option Type")))/(CK13*SQRT(CG13)),0,1,TRUE)))+((CK13*SQRT(CG13))*(NORMDIST((IF('Adjustment Surface'!$C$2='Data Validation'!$A$2,CJ13,IF('Adjustment Surface'!$C$2='Data Validation'!$A$3,CI13,"Unknown Option Type"))-IF('Adjustment Surface'!$C$2='Data Validation'!$A$2,CI13,IF('Adjustment Surface'!$C$2='Data Validation'!$A$3,CJ13,"Unknown Option Type")))/(CK13*SQRT(CG13)),0,1,FALSE))))*CL13*(CF13/360)*CH13))</f>
        <v>7.9355251337249655</v>
      </c>
      <c r="CO13" s="15">
        <f>IF(CC13="","",SUM(CN$4:CN13))</f>
        <v>16.458628647008616</v>
      </c>
      <c r="CQ13" s="15">
        <f>IF(CC13="","",IF(CD13&lt;'Rate &amp; Vol Update'!$C$2,0,((((((IF('Adjustment Surface'!$C$2='Data Validation'!$A$2,CJ13,IF('Adjustment Surface'!$C$2='Data Validation'!$A$3,CI13,"Unknown Option Type"))-IF('Adjustment Surface'!$C$2='Data Validation'!$A$2,CI13,IF('Adjustment Surface'!$C$2='Data Validation'!$A$3,CJ13,"Unknown Option Type")))*(NORMDIST((IF('Adjustment Surface'!$C$2='Data Validation'!$A$2,CJ13,IF('Adjustment Surface'!$C$2='Data Validation'!$A$3,CI13,"Unknown Option Type"))-IF('Adjustment Surface'!$C$2='Data Validation'!$A$2,CI13,IF('Adjustment Surface'!$C$2='Data Validation'!$A$3,CJ13,"Unknown Option Type")))/((CK13+0.01%)*SQRT(CG13)),0,1,TRUE)))+(((CK13+0.01%)*SQRT(CG13))*(NORMDIST((IF('Adjustment Surface'!$C$2='Data Validation'!$A$2,CJ13,IF('Adjustment Surface'!$C$2='Data Validation'!$A$3,CI13,"Unknown Option Type"))-IF('Adjustment Surface'!$C$2='Data Validation'!$A$2,CI13,IF('Adjustment Surface'!$C$2='Data Validation'!$A$3,CJ13,"Unknown Option Type")))/((CK13+0.01%)*SQRT(CG13)),0,1,FALSE))))*CL13*(CF13/360))-(CN13/CH13))*CH13)*CL13))</f>
        <v>0.9042055216785142</v>
      </c>
      <c r="CR13" s="15">
        <f>IF(CC13="","",SUM(CQ$4:CQ13))</f>
        <v>2.0845217402652203</v>
      </c>
    </row>
    <row r="14" spans="2:96" x14ac:dyDescent="0.25">
      <c r="B14" s="16">
        <f>'Adjustment Surface'!B18</f>
        <v>0.06</v>
      </c>
      <c r="C14" s="21">
        <f>INDEX(CR4:CR124,MATCH(INDEX(CE4:CE124,MATCH('Adjustment Surface'!C14,CE4:CE124,1)),CE4:CE124,0))+(((((((IF('Adjustment Surface'!$C$2='Data Validation'!$A$2,INDEX(CJ4:CJ124,MATCH(INDEX(CE4:CE124,MATCH('Adjustment Surface'!C14,CE4:CE124,1)),CD4:CD124,1)),IF('Adjustment Surface'!$C$2='Data Validation'!$A$3,INDEX(CI4:CI124,MATCH(INDEX(CE4:CE124,MATCH('Adjustment Surface'!C14,CE4:CE124,1)),CD4:CD124,1)),"Unknown Option Type"))-IF('Adjustment Surface'!$C$2='Data Validation'!$A$2,INDEX(CI4:CI124,MATCH(INDEX(CE4:CE124,MATCH('Adjustment Surface'!C14,CE4:CE124,1)),CD4:CD124,1)),IF('Adjustment Surface'!$C$2='Data Validation'!$A$3,INDEX(CJ4:CJ124,MATCH(INDEX(CE4:CE124,MATCH('Adjustment Surface'!C14,CE4:CE124,1)),CD4:CD124,1)),"Unknown Option Type")))*(NORMDIST((IF('Adjustment Surface'!$C$2='Data Validation'!$A$2,INDEX(CJ4:CJ124,MATCH(INDEX(CE4:CE124,MATCH('Adjustment Surface'!C14,CE4:CE124,1)),CD4:CD124,1)),IF('Adjustment Surface'!$C$2='Data Validation'!$A$3,INDEX(CI4:CI124,MATCH(INDEX(CE4:CE124,MATCH('Adjustment Surface'!C14,CE4:CE124,1)),CD4:CD124,1)),"Unknown Option Type"))-IF('Adjustment Surface'!$C$2='Data Validation'!$A$2,INDEX(CI4:CI124,MATCH(INDEX(CE4:CE124,MATCH('Adjustment Surface'!C14,CE4:CE124,1)),CD4:CD124,1)),IF('Adjustment Surface'!$C$2='Data Validation'!$A$3,INDEX(CJ4:CJ124,MATCH(INDEX(CE4:CE124,MATCH('Adjustment Surface'!C14,CE4:CE124,1)),CD4:CD124,1)),"Unknown Option Type")))/((INDEX(CK4:CK124,MATCH(INDEX(CE4:CE124,MATCH('Adjustment Surface'!C14,CE4:CE124,1)),CD4:CD124,1))+0.01%)*SQRT(((('Adjustment Surface'!C14-INDEX(CE4:CE124,MATCH('Adjustment Surface'!C14,CE4:CE124,1)))/360)+INDEX(CG4:CG124,MATCH(INDEX(CE4:CE124,MATCH('Adjustment Surface'!C14,CE4:CE124,1)),CE4:CE124,0))))),0,1,TRUE)))+(((INDEX(CK4:CK124,MATCH(INDEX(CE4:CE124,MATCH('Adjustment Surface'!C14,CE4:CE124,1)),CD4:CD124,1))+0.01%)*SQRT(((('Adjustment Surface'!C14-INDEX(CE4:CE124,MATCH('Adjustment Surface'!C14,CE4:CE124,1)))/360)+INDEX(CG4:CG124,MATCH(INDEX(CE4:CE124,MATCH('Adjustment Surface'!C14,CE4:CE124,1)),CE4:CE124,0)))))*(NORMDIST((IF('Adjustment Surface'!$C$2='Data Validation'!$A$2,INDEX(CJ4:CJ124,MATCH(INDEX(CE4:CE124,MATCH('Adjustment Surface'!C14,CE4:CE124,1)),CD4:CD124,1)),IF('Adjustment Surface'!$C$2='Data Validation'!$A$3,INDEX(CI4:CI124,MATCH(INDEX(CE4:CE124,MATCH('Adjustment Surface'!C14,CE4:CE124,1)),CD4:CD124,1)),"Unknown Option Type"))-IF('Adjustment Surface'!$C$2='Data Validation'!$A$2,INDEX(CI4:CI124,MATCH(INDEX(CE4:CE124,MATCH('Adjustment Surface'!C14,CE4:CE124,1)),CD4:CD124,1)),IF('Adjustment Surface'!$C$2='Data Validation'!$A$3,INDEX(CJ4:CJ124,MATCH(INDEX(CE4:CE124,MATCH('Adjustment Surface'!C14,CE4:CE124,1)),CD4:CD124,1)),"Unknown Option Type")))/((INDEX(CK4:CK124,MATCH(INDEX(CE4:CE124,MATCH('Adjustment Surface'!C14,CE4:CE124,1)),CD4:CD124,1))+0.01%)*SQRT(((('Adjustment Surface'!C14-INDEX(CE4:CE124,MATCH('Adjustment Surface'!C14,CE4:CE124,1)))/360)+INDEX(CG4:CG124,MATCH(INDEX(CE4:CE124,MATCH('Adjustment Surface'!C14,CE4:CE124,1)),CE4:CE124,0))))),0,1,FALSE))))*(1/((1+INDEX(CJ4:CJ124,MATCH(INDEX(CE4:CE124,MATCH('Adjustment Surface'!C14,CE4:CE124,1)),CD4:CD124,1)))^(('Adjustment Surface'!C14-CD4)/360)))*(('Adjustment Surface'!C14-INDEX(CE4:CE124,MATCH('Adjustment Surface'!C14,CE4:CE124,1)))/360))-(((((IF('Adjustment Surface'!$C$2='Data Validation'!$A$2,INDEX(CJ4:CJ124,MATCH(INDEX(CE4:CE124,MATCH('Adjustment Surface'!C14,CE4:CE124,1)),CD4:CD124,1)),IF('Adjustment Surface'!$C$2='Data Validation'!$A$3,INDEX(CI4:CI124,MATCH(INDEX(CE4:CE124,MATCH('Adjustment Surface'!C14,CE4:CE124,1)),CD4:CD124,1)),"Unknown Option Type"))-IF('Adjustment Surface'!$C$2='Data Validation'!$A$2,INDEX(CI4:CI124,MATCH(INDEX(CE4:CE124,MATCH('Adjustment Surface'!C14,CE4:CE124,1)),CD4:CD124,1)),IF('Adjustment Surface'!$C$2='Data Validation'!$A$3,INDEX(CJ4:CJ124,MATCH(INDEX(CE4:CE124,MATCH('Adjustment Surface'!C14,CE4:CE124,1)),CD4:CD124,1)),"Unknown Option Type")))*(NORMDIST((IF('Adjustment Surface'!$C$2='Data Validation'!$A$2,INDEX(CJ4:CJ124,MATCH(INDEX(CE4:CE124,MATCH('Adjustment Surface'!C14,CE4:CE124,1)),CD4:CD124,1)),IF('Adjustment Surface'!$C$2='Data Validation'!$A$3,INDEX(CI4:CI124,MATCH(INDEX(CE4:CE124,MATCH('Adjustment Surface'!C14,CE4:CE124,1)),CD4:CD124,1)),"Unknown Option Type"))-IF('Adjustment Surface'!$C$2='Data Validation'!$A$2,INDEX(CI4:CI124,MATCH(INDEX(CE4:CE124,MATCH('Adjustment Surface'!C14,CE4:CE124,1)),CD4:CD124,1)),IF('Adjustment Surface'!$C$2='Data Validation'!$A$3,INDEX(CJ4:CJ124,MATCH(INDEX(CE4:CE124,MATCH('Adjustment Surface'!C14,CE4:CE124,1)),CD4:CD124,1)),"Unknown Option Type")))/(INDEX(CK4:CK124,MATCH(INDEX(CE4:CE124,MATCH('Adjustment Surface'!C14,CE4:CE124,1)),CD4:CD124,1))*SQRT(((('Adjustment Surface'!C14-INDEX(CE4:CE124,MATCH('Adjustment Surface'!C14,CE4:CE124,1)))/360)+INDEX(CG4:CG124,MATCH(INDEX(CE4:CE124,MATCH('Adjustment Surface'!C14,CE4:CE124,1)),CE4:CE124,0))))),0,1,TRUE)))+((INDEX(CK4:CK124,MATCH(INDEX(CE4:CE124,MATCH('Adjustment Surface'!C14,CE4:CE124,1)),CD4:CD124,1))*SQRT(((('Adjustment Surface'!C14-INDEX(CE4:CE124,MATCH('Adjustment Surface'!C14,CE4:CE124,1)))/360)+INDEX(CG4:CG124,MATCH(INDEX(CE4:CE124,MATCH('Adjustment Surface'!C14,CE4:CE124,1)),CE4:CE124,0)))))*(NORMDIST((IF('Adjustment Surface'!$C$2='Data Validation'!$A$2,INDEX(CJ4:CJ124,MATCH(INDEX(CE4:CE124,MATCH('Adjustment Surface'!C14,CE4:CE124,1)),CD4:CD124,1)),IF('Adjustment Surface'!$C$2='Data Validation'!$A$3,INDEX(CI4:CI124,MATCH(INDEX(CE4:CE124,MATCH('Adjustment Surface'!C14,CE4:CE124,1)),CD4:CD124,1)),"Unknown Option Type"))-IF('Adjustment Surface'!$C$2='Data Validation'!$A$2,INDEX(CI4:CI124,MATCH(INDEX(CE4:CE124,MATCH('Adjustment Surface'!C14,CE4:CE124,1)),CD4:CD124,1)),IF('Adjustment Surface'!$C$2='Data Validation'!$A$3,INDEX(CJ4:CJ124,MATCH(INDEX(CE4:CE124,MATCH('Adjustment Surface'!C14,CE4:CE124,1)),CD4:CD124,1)),"Unknown Option Type")))/(INDEX(CK4:CK124,MATCH(INDEX(CE4:CE124,MATCH('Adjustment Surface'!C14,CE4:CE124,1)),CD4:CD124,1))*SQRT(((('Adjustment Surface'!C14-INDEX(CE4:CE124,MATCH('Adjustment Surface'!C14,CE4:CE124,1)))/360)+INDEX(CG4:CG124,MATCH(INDEX(CE4:CE124,MATCH('Adjustment Surface'!C14,CE4:CE124,1)),CE4:CE124,0))))),0,1,FALSE))))*(1/((1+INDEX(CJ4:CJ124,MATCH(INDEX(CE4:CE124,MATCH('Adjustment Surface'!C14,CE4:CE124,1)),CD4:CD124,1)))^(('Adjustment Surface'!C14-CD4)/360)))*(('Adjustment Surface'!C14-INDEX(CE4:CE124,MATCH('Adjustment Surface'!C14,CE4:CE124,1)))/360)*INDEX(CH4:CH124,MATCH(INDEX(CE4:CE124,MATCH('Adjustment Surface'!C14,CE4:CE124,1)),CD4:CD124,1)))/INDEX(CH4:CH124,MATCH(INDEX(CE4:CE124,MATCH('Adjustment Surface'!C14,CE4:CE124,1)),CD4:CD124,1))))*INDEX(CH4:CH124,MATCH(INDEX(CE4:CE124,MATCH('Adjustment Surface'!C14,CE4:CE124,1)),CD4:CD124,1)))*(1/((1+INDEX(CJ4:CJ124,MATCH(INDEX(CE4:CE124,MATCH('Adjustment Surface'!C14,CE4:CE124,1)),CD4:CD124,1)))^(('Adjustment Surface'!C14-CD4)/360))))</f>
        <v>6.5062207876727687</v>
      </c>
      <c r="D14" s="21">
        <f>INDEX(CR4:CR124,MATCH(INDEX(CE4:CE124,MATCH('Adjustment Surface'!D14,CE4:CE124,1)),CE4:CE124,0))+(((((((IF('Adjustment Surface'!$C$2='Data Validation'!$A$2,INDEX(CJ4:CJ124,MATCH(INDEX(CE4:CE124,MATCH('Adjustment Surface'!D14,CE4:CE124,1)),CD4:CD124,1)),IF('Adjustment Surface'!$C$2='Data Validation'!$A$3,INDEX(CI4:CI124,MATCH(INDEX(CE4:CE124,MATCH('Adjustment Surface'!D14,CE4:CE124,1)),CD4:CD124,1)),"Unknown Option Type"))-IF('Adjustment Surface'!$C$2='Data Validation'!$A$2,INDEX(CI4:CI124,MATCH(INDEX(CE4:CE124,MATCH('Adjustment Surface'!D14,CE4:CE124,1)),CD4:CD124,1)),IF('Adjustment Surface'!$C$2='Data Validation'!$A$3,INDEX(CJ4:CJ124,MATCH(INDEX(CE4:CE124,MATCH('Adjustment Surface'!D14,CE4:CE124,1)),CD4:CD124,1)),"Unknown Option Type")))*(NORMDIST((IF('Adjustment Surface'!$C$2='Data Validation'!$A$2,INDEX(CJ4:CJ124,MATCH(INDEX(CE4:CE124,MATCH('Adjustment Surface'!D14,CE4:CE124,1)),CD4:CD124,1)),IF('Adjustment Surface'!$C$2='Data Validation'!$A$3,INDEX(CI4:CI124,MATCH(INDEX(CE4:CE124,MATCH('Adjustment Surface'!D14,CE4:CE124,1)),CD4:CD124,1)),"Unknown Option Type"))-IF('Adjustment Surface'!$C$2='Data Validation'!$A$2,INDEX(CI4:CI124,MATCH(INDEX(CE4:CE124,MATCH('Adjustment Surface'!D14,CE4:CE124,1)),CD4:CD124,1)),IF('Adjustment Surface'!$C$2='Data Validation'!$A$3,INDEX(CJ4:CJ124,MATCH(INDEX(CE4:CE124,MATCH('Adjustment Surface'!D14,CE4:CE124,1)),CD4:CD124,1)),"Unknown Option Type")))/((INDEX(CK4:CK124,MATCH(INDEX(CE4:CE124,MATCH('Adjustment Surface'!D14,CE4:CE124,1)),CD4:CD124,1))+0.01%)*SQRT(((('Adjustment Surface'!D14-INDEX(CE4:CE124,MATCH('Adjustment Surface'!D14,CE4:CE124,1)))/360)+INDEX(CG4:CG124,MATCH(INDEX(CE4:CE124,MATCH('Adjustment Surface'!D14,CE4:CE124,1)),CE4:CE124,0))))),0,1,TRUE)))+(((INDEX(CK4:CK124,MATCH(INDEX(CE4:CE124,MATCH('Adjustment Surface'!D14,CE4:CE124,1)),CD4:CD124,1))+0.01%)*SQRT(((('Adjustment Surface'!D14-INDEX(CE4:CE124,MATCH('Adjustment Surface'!D14,CE4:CE124,1)))/360)+INDEX(CG4:CG124,MATCH(INDEX(CE4:CE124,MATCH('Adjustment Surface'!D14,CE4:CE124,1)),CE4:CE124,0)))))*(NORMDIST((IF('Adjustment Surface'!$C$2='Data Validation'!$A$2,INDEX(CJ4:CJ124,MATCH(INDEX(CE4:CE124,MATCH('Adjustment Surface'!D14,CE4:CE124,1)),CD4:CD124,1)),IF('Adjustment Surface'!$C$2='Data Validation'!$A$3,INDEX(CI4:CI124,MATCH(INDEX(CE4:CE124,MATCH('Adjustment Surface'!D14,CE4:CE124,1)),CD4:CD124,1)),"Unknown Option Type"))-IF('Adjustment Surface'!$C$2='Data Validation'!$A$2,INDEX(CI4:CI124,MATCH(INDEX(CE4:CE124,MATCH('Adjustment Surface'!D14,CE4:CE124,1)),CD4:CD124,1)),IF('Adjustment Surface'!$C$2='Data Validation'!$A$3,INDEX(CJ4:CJ124,MATCH(INDEX(CE4:CE124,MATCH('Adjustment Surface'!D14,CE4:CE124,1)),CD4:CD124,1)),"Unknown Option Type")))/((INDEX(CK4:CK124,MATCH(INDEX(CE4:CE124,MATCH('Adjustment Surface'!D14,CE4:CE124,1)),CD4:CD124,1))+0.01%)*SQRT(((('Adjustment Surface'!D14-INDEX(CE4:CE124,MATCH('Adjustment Surface'!D14,CE4:CE124,1)))/360)+INDEX(CG4:CG124,MATCH(INDEX(CE4:CE124,MATCH('Adjustment Surface'!D14,CE4:CE124,1)),CE4:CE124,0))))),0,1,FALSE))))*(1/((1+INDEX(CJ4:CJ124,MATCH(INDEX(CE4:CE124,MATCH('Adjustment Surface'!D14,CE4:CE124,1)),CD4:CD124,1)))^(('Adjustment Surface'!D14-CD4)/360)))*(('Adjustment Surface'!D14-INDEX(CE4:CE124,MATCH('Adjustment Surface'!D14,CE4:CE124,1)))/360))-(((((IF('Adjustment Surface'!$C$2='Data Validation'!$A$2,INDEX(CJ4:CJ124,MATCH(INDEX(CE4:CE124,MATCH('Adjustment Surface'!D14,CE4:CE124,1)),CD4:CD124,1)),IF('Adjustment Surface'!$C$2='Data Validation'!$A$3,INDEX(CI4:CI124,MATCH(INDEX(CE4:CE124,MATCH('Adjustment Surface'!D14,CE4:CE124,1)),CD4:CD124,1)),"Unknown Option Type"))-IF('Adjustment Surface'!$C$2='Data Validation'!$A$2,INDEX(CI4:CI124,MATCH(INDEX(CE4:CE124,MATCH('Adjustment Surface'!D14,CE4:CE124,1)),CD4:CD124,1)),IF('Adjustment Surface'!$C$2='Data Validation'!$A$3,INDEX(CJ4:CJ124,MATCH(INDEX(CE4:CE124,MATCH('Adjustment Surface'!D14,CE4:CE124,1)),CD4:CD124,1)),"Unknown Option Type")))*(NORMDIST((IF('Adjustment Surface'!$C$2='Data Validation'!$A$2,INDEX(CJ4:CJ124,MATCH(INDEX(CE4:CE124,MATCH('Adjustment Surface'!D14,CE4:CE124,1)),CD4:CD124,1)),IF('Adjustment Surface'!$C$2='Data Validation'!$A$3,INDEX(CI4:CI124,MATCH(INDEX(CE4:CE124,MATCH('Adjustment Surface'!D14,CE4:CE124,1)),CD4:CD124,1)),"Unknown Option Type"))-IF('Adjustment Surface'!$C$2='Data Validation'!$A$2,INDEX(CI4:CI124,MATCH(INDEX(CE4:CE124,MATCH('Adjustment Surface'!D14,CE4:CE124,1)),CD4:CD124,1)),IF('Adjustment Surface'!$C$2='Data Validation'!$A$3,INDEX(CJ4:CJ124,MATCH(INDEX(CE4:CE124,MATCH('Adjustment Surface'!D14,CE4:CE124,1)),CD4:CD124,1)),"Unknown Option Type")))/(INDEX(CK4:CK124,MATCH(INDEX(CE4:CE124,MATCH('Adjustment Surface'!D14,CE4:CE124,1)),CD4:CD124,1))*SQRT(((('Adjustment Surface'!D14-INDEX(CE4:CE124,MATCH('Adjustment Surface'!D14,CE4:CE124,1)))/360)+INDEX(CG4:CG124,MATCH(INDEX(CE4:CE124,MATCH('Adjustment Surface'!D14,CE4:CE124,1)),CE4:CE124,0))))),0,1,TRUE)))+((INDEX(CK4:CK124,MATCH(INDEX(CE4:CE124,MATCH('Adjustment Surface'!D14,CE4:CE124,1)),CD4:CD124,1))*SQRT(((('Adjustment Surface'!D14-INDEX(CE4:CE124,MATCH('Adjustment Surface'!D14,CE4:CE124,1)))/360)+INDEX(CG4:CG124,MATCH(INDEX(CE4:CE124,MATCH('Adjustment Surface'!D14,CE4:CE124,1)),CE4:CE124,0)))))*(NORMDIST((IF('Adjustment Surface'!$C$2='Data Validation'!$A$2,INDEX(CJ4:CJ124,MATCH(INDEX(CE4:CE124,MATCH('Adjustment Surface'!D14,CE4:CE124,1)),CD4:CD124,1)),IF('Adjustment Surface'!$C$2='Data Validation'!$A$3,INDEX(CI4:CI124,MATCH(INDEX(CE4:CE124,MATCH('Adjustment Surface'!D14,CE4:CE124,1)),CD4:CD124,1)),"Unknown Option Type"))-IF('Adjustment Surface'!$C$2='Data Validation'!$A$2,INDEX(CI4:CI124,MATCH(INDEX(CE4:CE124,MATCH('Adjustment Surface'!D14,CE4:CE124,1)),CD4:CD124,1)),IF('Adjustment Surface'!$C$2='Data Validation'!$A$3,INDEX(CJ4:CJ124,MATCH(INDEX(CE4:CE124,MATCH('Adjustment Surface'!D14,CE4:CE124,1)),CD4:CD124,1)),"Unknown Option Type")))/(INDEX(CK4:CK124,MATCH(INDEX(CE4:CE124,MATCH('Adjustment Surface'!D14,CE4:CE124,1)),CD4:CD124,1))*SQRT(((('Adjustment Surface'!D14-INDEX(CE4:CE124,MATCH('Adjustment Surface'!D14,CE4:CE124,1)))/360)+INDEX(CG4:CG124,MATCH(INDEX(CE4:CE124,MATCH('Adjustment Surface'!D14,CE4:CE124,1)),CE4:CE124,0))))),0,1,FALSE))))*(1/((1+INDEX(CJ4:CJ124,MATCH(INDEX(CE4:CE124,MATCH('Adjustment Surface'!D14,CE4:CE124,1)),CD4:CD124,1)))^(('Adjustment Surface'!D14-CD4)/360)))*(('Adjustment Surface'!D14-INDEX(CE4:CE124,MATCH('Adjustment Surface'!D14,CE4:CE124,1)))/360)*INDEX(CH4:CH124,MATCH(INDEX(CE4:CE124,MATCH('Adjustment Surface'!D14,CE4:CE124,1)),CD4:CD124,1)))/INDEX(CH4:CH124,MATCH(INDEX(CE4:CE124,MATCH('Adjustment Surface'!D14,CE4:CE124,1)),CD4:CD124,1))))*INDEX(CH4:CH124,MATCH(INDEX(CE4:CE124,MATCH('Adjustment Surface'!D14,CE4:CE124,1)),CD4:CD124,1)))*(1/((1+INDEX(CJ4:CJ124,MATCH(INDEX(CE4:CE124,MATCH('Adjustment Surface'!D14,CE4:CE124,1)),CD4:CD124,1)))^(('Adjustment Surface'!D14-CD4)/360))))</f>
        <v>161.16618806185906</v>
      </c>
      <c r="E14" s="21">
        <f>INDEX(CR4:CR124,MATCH(INDEX(CE4:CE124,MATCH('Adjustment Surface'!E14,CE4:CE124,1)),CE4:CE124,0))+(((((((IF('Adjustment Surface'!$C$2='Data Validation'!$A$2,INDEX(CJ4:CJ124,MATCH(INDEX(CE4:CE124,MATCH('Adjustment Surface'!E14,CE4:CE124,1)),CD4:CD124,1)),IF('Adjustment Surface'!$C$2='Data Validation'!$A$3,INDEX(CI4:CI124,MATCH(INDEX(CE4:CE124,MATCH('Adjustment Surface'!E14,CE4:CE124,1)),CD4:CD124,1)),"Unknown Option Type"))-IF('Adjustment Surface'!$C$2='Data Validation'!$A$2,INDEX(CI4:CI124,MATCH(INDEX(CE4:CE124,MATCH('Adjustment Surface'!E14,CE4:CE124,1)),CD4:CD124,1)),IF('Adjustment Surface'!$C$2='Data Validation'!$A$3,INDEX(CJ4:CJ124,MATCH(INDEX(CE4:CE124,MATCH('Adjustment Surface'!E14,CE4:CE124,1)),CD4:CD124,1)),"Unknown Option Type")))*(NORMDIST((IF('Adjustment Surface'!$C$2='Data Validation'!$A$2,INDEX(CJ4:CJ124,MATCH(INDEX(CE4:CE124,MATCH('Adjustment Surface'!E14,CE4:CE124,1)),CD4:CD124,1)),IF('Adjustment Surface'!$C$2='Data Validation'!$A$3,INDEX(CI4:CI124,MATCH(INDEX(CE4:CE124,MATCH('Adjustment Surface'!E14,CE4:CE124,1)),CD4:CD124,1)),"Unknown Option Type"))-IF('Adjustment Surface'!$C$2='Data Validation'!$A$2,INDEX(CI4:CI124,MATCH(INDEX(CE4:CE124,MATCH('Adjustment Surface'!E14,CE4:CE124,1)),CD4:CD124,1)),IF('Adjustment Surface'!$C$2='Data Validation'!$A$3,INDEX(CJ4:CJ124,MATCH(INDEX(CE4:CE124,MATCH('Adjustment Surface'!E14,CE4:CE124,1)),CD4:CD124,1)),"Unknown Option Type")))/((INDEX(CK4:CK124,MATCH(INDEX(CE4:CE124,MATCH('Adjustment Surface'!E14,CE4:CE124,1)),CD4:CD124,1))+0.01%)*SQRT(((('Adjustment Surface'!E14-INDEX(CE4:CE124,MATCH('Adjustment Surface'!E14,CE4:CE124,1)))/360)+INDEX(CG4:CG124,MATCH(INDEX(CE4:CE124,MATCH('Adjustment Surface'!E14,CE4:CE124,1)),CE4:CE124,0))))),0,1,TRUE)))+(((INDEX(CK4:CK124,MATCH(INDEX(CE4:CE124,MATCH('Adjustment Surface'!E14,CE4:CE124,1)),CD4:CD124,1))+0.01%)*SQRT(((('Adjustment Surface'!E14-INDEX(CE4:CE124,MATCH('Adjustment Surface'!E14,CE4:CE124,1)))/360)+INDEX(CG4:CG124,MATCH(INDEX(CE4:CE124,MATCH('Adjustment Surface'!E14,CE4:CE124,1)),CE4:CE124,0)))))*(NORMDIST((IF('Adjustment Surface'!$C$2='Data Validation'!$A$2,INDEX(CJ4:CJ124,MATCH(INDEX(CE4:CE124,MATCH('Adjustment Surface'!E14,CE4:CE124,1)),CD4:CD124,1)),IF('Adjustment Surface'!$C$2='Data Validation'!$A$3,INDEX(CI4:CI124,MATCH(INDEX(CE4:CE124,MATCH('Adjustment Surface'!E14,CE4:CE124,1)),CD4:CD124,1)),"Unknown Option Type"))-IF('Adjustment Surface'!$C$2='Data Validation'!$A$2,INDEX(CI4:CI124,MATCH(INDEX(CE4:CE124,MATCH('Adjustment Surface'!E14,CE4:CE124,1)),CD4:CD124,1)),IF('Adjustment Surface'!$C$2='Data Validation'!$A$3,INDEX(CJ4:CJ124,MATCH(INDEX(CE4:CE124,MATCH('Adjustment Surface'!E14,CE4:CE124,1)),CD4:CD124,1)),"Unknown Option Type")))/((INDEX(CK4:CK124,MATCH(INDEX(CE4:CE124,MATCH('Adjustment Surface'!E14,CE4:CE124,1)),CD4:CD124,1))+0.01%)*SQRT(((('Adjustment Surface'!E14-INDEX(CE4:CE124,MATCH('Adjustment Surface'!E14,CE4:CE124,1)))/360)+INDEX(CG4:CG124,MATCH(INDEX(CE4:CE124,MATCH('Adjustment Surface'!E14,CE4:CE124,1)),CE4:CE124,0))))),0,1,FALSE))))*(1/((1+INDEX(CJ4:CJ124,MATCH(INDEX(CE4:CE124,MATCH('Adjustment Surface'!E14,CE4:CE124,1)),CD4:CD124,1)))^(('Adjustment Surface'!E14-CD4)/360)))*(('Adjustment Surface'!E14-INDEX(CE4:CE124,MATCH('Adjustment Surface'!E14,CE4:CE124,1)))/360))-(((((IF('Adjustment Surface'!$C$2='Data Validation'!$A$2,INDEX(CJ4:CJ124,MATCH(INDEX(CE4:CE124,MATCH('Adjustment Surface'!E14,CE4:CE124,1)),CD4:CD124,1)),IF('Adjustment Surface'!$C$2='Data Validation'!$A$3,INDEX(CI4:CI124,MATCH(INDEX(CE4:CE124,MATCH('Adjustment Surface'!E14,CE4:CE124,1)),CD4:CD124,1)),"Unknown Option Type"))-IF('Adjustment Surface'!$C$2='Data Validation'!$A$2,INDEX(CI4:CI124,MATCH(INDEX(CE4:CE124,MATCH('Adjustment Surface'!E14,CE4:CE124,1)),CD4:CD124,1)),IF('Adjustment Surface'!$C$2='Data Validation'!$A$3,INDEX(CJ4:CJ124,MATCH(INDEX(CE4:CE124,MATCH('Adjustment Surface'!E14,CE4:CE124,1)),CD4:CD124,1)),"Unknown Option Type")))*(NORMDIST((IF('Adjustment Surface'!$C$2='Data Validation'!$A$2,INDEX(CJ4:CJ124,MATCH(INDEX(CE4:CE124,MATCH('Adjustment Surface'!E14,CE4:CE124,1)),CD4:CD124,1)),IF('Adjustment Surface'!$C$2='Data Validation'!$A$3,INDEX(CI4:CI124,MATCH(INDEX(CE4:CE124,MATCH('Adjustment Surface'!E14,CE4:CE124,1)),CD4:CD124,1)),"Unknown Option Type"))-IF('Adjustment Surface'!$C$2='Data Validation'!$A$2,INDEX(CI4:CI124,MATCH(INDEX(CE4:CE124,MATCH('Adjustment Surface'!E14,CE4:CE124,1)),CD4:CD124,1)),IF('Adjustment Surface'!$C$2='Data Validation'!$A$3,INDEX(CJ4:CJ124,MATCH(INDEX(CE4:CE124,MATCH('Adjustment Surface'!E14,CE4:CE124,1)),CD4:CD124,1)),"Unknown Option Type")))/(INDEX(CK4:CK124,MATCH(INDEX(CE4:CE124,MATCH('Adjustment Surface'!E14,CE4:CE124,1)),CD4:CD124,1))*SQRT(((('Adjustment Surface'!E14-INDEX(CE4:CE124,MATCH('Adjustment Surface'!E14,CE4:CE124,1)))/360)+INDEX(CG4:CG124,MATCH(INDEX(CE4:CE124,MATCH('Adjustment Surface'!E14,CE4:CE124,1)),CE4:CE124,0))))),0,1,TRUE)))+((INDEX(CK4:CK124,MATCH(INDEX(CE4:CE124,MATCH('Adjustment Surface'!E14,CE4:CE124,1)),CD4:CD124,1))*SQRT(((('Adjustment Surface'!E14-INDEX(CE4:CE124,MATCH('Adjustment Surface'!E14,CE4:CE124,1)))/360)+INDEX(CG4:CG124,MATCH(INDEX(CE4:CE124,MATCH('Adjustment Surface'!E14,CE4:CE124,1)),CE4:CE124,0)))))*(NORMDIST((IF('Adjustment Surface'!$C$2='Data Validation'!$A$2,INDEX(CJ4:CJ124,MATCH(INDEX(CE4:CE124,MATCH('Adjustment Surface'!E14,CE4:CE124,1)),CD4:CD124,1)),IF('Adjustment Surface'!$C$2='Data Validation'!$A$3,INDEX(CI4:CI124,MATCH(INDEX(CE4:CE124,MATCH('Adjustment Surface'!E14,CE4:CE124,1)),CD4:CD124,1)),"Unknown Option Type"))-IF('Adjustment Surface'!$C$2='Data Validation'!$A$2,INDEX(CI4:CI124,MATCH(INDEX(CE4:CE124,MATCH('Adjustment Surface'!E14,CE4:CE124,1)),CD4:CD124,1)),IF('Adjustment Surface'!$C$2='Data Validation'!$A$3,INDEX(CJ4:CJ124,MATCH(INDEX(CE4:CE124,MATCH('Adjustment Surface'!E14,CE4:CE124,1)),CD4:CD124,1)),"Unknown Option Type")))/(INDEX(CK4:CK124,MATCH(INDEX(CE4:CE124,MATCH('Adjustment Surface'!E14,CE4:CE124,1)),CD4:CD124,1))*SQRT(((('Adjustment Surface'!E14-INDEX(CE4:CE124,MATCH('Adjustment Surface'!E14,CE4:CE124,1)))/360)+INDEX(CG4:CG124,MATCH(INDEX(CE4:CE124,MATCH('Adjustment Surface'!E14,CE4:CE124,1)),CE4:CE124,0))))),0,1,FALSE))))*(1/((1+INDEX(CJ4:CJ124,MATCH(INDEX(CE4:CE124,MATCH('Adjustment Surface'!E14,CE4:CE124,1)),CD4:CD124,1)))^(('Adjustment Surface'!E14-CD4)/360)))*(('Adjustment Surface'!E14-INDEX(CE4:CE124,MATCH('Adjustment Surface'!E14,CE4:CE124,1)))/360)*INDEX(CH4:CH124,MATCH(INDEX(CE4:CE124,MATCH('Adjustment Surface'!E14,CE4:CE124,1)),CD4:CD124,1)))/INDEX(CH4:CH124,MATCH(INDEX(CE4:CE124,MATCH('Adjustment Surface'!E14,CE4:CE124,1)),CD4:CD124,1))))*INDEX(CH4:CH124,MATCH(INDEX(CE4:CE124,MATCH('Adjustment Surface'!E14,CE4:CE124,1)),CD4:CD124,1)))*(1/((1+INDEX(CJ4:CJ124,MATCH(INDEX(CE4:CE124,MATCH('Adjustment Surface'!E14,CE4:CE124,1)),CD4:CD124,1)))^(('Adjustment Surface'!E14-CD4)/360))))</f>
        <v>631.84728482701155</v>
      </c>
      <c r="F14" s="21">
        <f>INDEX(CR4:CR124,MATCH(INDEX(CE4:CE124,MATCH('Adjustment Surface'!F14,CE4:CE124,1)),CE4:CE124,0))+(((((((IF('Adjustment Surface'!$C$2='Data Validation'!$A$2,INDEX(CJ4:CJ124,MATCH(INDEX(CE4:CE124,MATCH('Adjustment Surface'!F14,CE4:CE124,1)),CD4:CD124,1)),IF('Adjustment Surface'!$C$2='Data Validation'!$A$3,INDEX(CI4:CI124,MATCH(INDEX(CE4:CE124,MATCH('Adjustment Surface'!F14,CE4:CE124,1)),CD4:CD124,1)),"Unknown Option Type"))-IF('Adjustment Surface'!$C$2='Data Validation'!$A$2,INDEX(CI4:CI124,MATCH(INDEX(CE4:CE124,MATCH('Adjustment Surface'!F14,CE4:CE124,1)),CD4:CD124,1)),IF('Adjustment Surface'!$C$2='Data Validation'!$A$3,INDEX(CJ4:CJ124,MATCH(INDEX(CE4:CE124,MATCH('Adjustment Surface'!F14,CE4:CE124,1)),CD4:CD124,1)),"Unknown Option Type")))*(NORMDIST((IF('Adjustment Surface'!$C$2='Data Validation'!$A$2,INDEX(CJ4:CJ124,MATCH(INDEX(CE4:CE124,MATCH('Adjustment Surface'!F14,CE4:CE124,1)),CD4:CD124,1)),IF('Adjustment Surface'!$C$2='Data Validation'!$A$3,INDEX(CI4:CI124,MATCH(INDEX(CE4:CE124,MATCH('Adjustment Surface'!F14,CE4:CE124,1)),CD4:CD124,1)),"Unknown Option Type"))-IF('Adjustment Surface'!$C$2='Data Validation'!$A$2,INDEX(CI4:CI124,MATCH(INDEX(CE4:CE124,MATCH('Adjustment Surface'!F14,CE4:CE124,1)),CD4:CD124,1)),IF('Adjustment Surface'!$C$2='Data Validation'!$A$3,INDEX(CJ4:CJ124,MATCH(INDEX(CE4:CE124,MATCH('Adjustment Surface'!F14,CE4:CE124,1)),CD4:CD124,1)),"Unknown Option Type")))/((INDEX(CK4:CK124,MATCH(INDEX(CE4:CE124,MATCH('Adjustment Surface'!F14,CE4:CE124,1)),CD4:CD124,1))+0.01%)*SQRT(((('Adjustment Surface'!F14-INDEX(CE4:CE124,MATCH('Adjustment Surface'!F14,CE4:CE124,1)))/360)+INDEX(CG4:CG124,MATCH(INDEX(CE4:CE124,MATCH('Adjustment Surface'!F14,CE4:CE124,1)),CE4:CE124,0))))),0,1,TRUE)))+(((INDEX(CK4:CK124,MATCH(INDEX(CE4:CE124,MATCH('Adjustment Surface'!F14,CE4:CE124,1)),CD4:CD124,1))+0.01%)*SQRT(((('Adjustment Surface'!F14-INDEX(CE4:CE124,MATCH('Adjustment Surface'!F14,CE4:CE124,1)))/360)+INDEX(CG4:CG124,MATCH(INDEX(CE4:CE124,MATCH('Adjustment Surface'!F14,CE4:CE124,1)),CE4:CE124,0)))))*(NORMDIST((IF('Adjustment Surface'!$C$2='Data Validation'!$A$2,INDEX(CJ4:CJ124,MATCH(INDEX(CE4:CE124,MATCH('Adjustment Surface'!F14,CE4:CE124,1)),CD4:CD124,1)),IF('Adjustment Surface'!$C$2='Data Validation'!$A$3,INDEX(CI4:CI124,MATCH(INDEX(CE4:CE124,MATCH('Adjustment Surface'!F14,CE4:CE124,1)),CD4:CD124,1)),"Unknown Option Type"))-IF('Adjustment Surface'!$C$2='Data Validation'!$A$2,INDEX(CI4:CI124,MATCH(INDEX(CE4:CE124,MATCH('Adjustment Surface'!F14,CE4:CE124,1)),CD4:CD124,1)),IF('Adjustment Surface'!$C$2='Data Validation'!$A$3,INDEX(CJ4:CJ124,MATCH(INDEX(CE4:CE124,MATCH('Adjustment Surface'!F14,CE4:CE124,1)),CD4:CD124,1)),"Unknown Option Type")))/((INDEX(CK4:CK124,MATCH(INDEX(CE4:CE124,MATCH('Adjustment Surface'!F14,CE4:CE124,1)),CD4:CD124,1))+0.01%)*SQRT(((('Adjustment Surface'!F14-INDEX(CE4:CE124,MATCH('Adjustment Surface'!F14,CE4:CE124,1)))/360)+INDEX(CG4:CG124,MATCH(INDEX(CE4:CE124,MATCH('Adjustment Surface'!F14,CE4:CE124,1)),CE4:CE124,0))))),0,1,FALSE))))*(1/((1+INDEX(CJ4:CJ124,MATCH(INDEX(CE4:CE124,MATCH('Adjustment Surface'!F14,CE4:CE124,1)),CD4:CD124,1)))^(('Adjustment Surface'!F14-CD4)/360)))*(('Adjustment Surface'!F14-INDEX(CE4:CE124,MATCH('Adjustment Surface'!F14,CE4:CE124,1)))/360))-(((((IF('Adjustment Surface'!$C$2='Data Validation'!$A$2,INDEX(CJ4:CJ124,MATCH(INDEX(CE4:CE124,MATCH('Adjustment Surface'!F14,CE4:CE124,1)),CD4:CD124,1)),IF('Adjustment Surface'!$C$2='Data Validation'!$A$3,INDEX(CI4:CI124,MATCH(INDEX(CE4:CE124,MATCH('Adjustment Surface'!F14,CE4:CE124,1)),CD4:CD124,1)),"Unknown Option Type"))-IF('Adjustment Surface'!$C$2='Data Validation'!$A$2,INDEX(CI4:CI124,MATCH(INDEX(CE4:CE124,MATCH('Adjustment Surface'!F14,CE4:CE124,1)),CD4:CD124,1)),IF('Adjustment Surface'!$C$2='Data Validation'!$A$3,INDEX(CJ4:CJ124,MATCH(INDEX(CE4:CE124,MATCH('Adjustment Surface'!F14,CE4:CE124,1)),CD4:CD124,1)),"Unknown Option Type")))*(NORMDIST((IF('Adjustment Surface'!$C$2='Data Validation'!$A$2,INDEX(CJ4:CJ124,MATCH(INDEX(CE4:CE124,MATCH('Adjustment Surface'!F14,CE4:CE124,1)),CD4:CD124,1)),IF('Adjustment Surface'!$C$2='Data Validation'!$A$3,INDEX(CI4:CI124,MATCH(INDEX(CE4:CE124,MATCH('Adjustment Surface'!F14,CE4:CE124,1)),CD4:CD124,1)),"Unknown Option Type"))-IF('Adjustment Surface'!$C$2='Data Validation'!$A$2,INDEX(CI4:CI124,MATCH(INDEX(CE4:CE124,MATCH('Adjustment Surface'!F14,CE4:CE124,1)),CD4:CD124,1)),IF('Adjustment Surface'!$C$2='Data Validation'!$A$3,INDEX(CJ4:CJ124,MATCH(INDEX(CE4:CE124,MATCH('Adjustment Surface'!F14,CE4:CE124,1)),CD4:CD124,1)),"Unknown Option Type")))/(INDEX(CK4:CK124,MATCH(INDEX(CE4:CE124,MATCH('Adjustment Surface'!F14,CE4:CE124,1)),CD4:CD124,1))*SQRT(((('Adjustment Surface'!F14-INDEX(CE4:CE124,MATCH('Adjustment Surface'!F14,CE4:CE124,1)))/360)+INDEX(CG4:CG124,MATCH(INDEX(CE4:CE124,MATCH('Adjustment Surface'!F14,CE4:CE124,1)),CE4:CE124,0))))),0,1,TRUE)))+((INDEX(CK4:CK124,MATCH(INDEX(CE4:CE124,MATCH('Adjustment Surface'!F14,CE4:CE124,1)),CD4:CD124,1))*SQRT(((('Adjustment Surface'!F14-INDEX(CE4:CE124,MATCH('Adjustment Surface'!F14,CE4:CE124,1)))/360)+INDEX(CG4:CG124,MATCH(INDEX(CE4:CE124,MATCH('Adjustment Surface'!F14,CE4:CE124,1)),CE4:CE124,0)))))*(NORMDIST((IF('Adjustment Surface'!$C$2='Data Validation'!$A$2,INDEX(CJ4:CJ124,MATCH(INDEX(CE4:CE124,MATCH('Adjustment Surface'!F14,CE4:CE124,1)),CD4:CD124,1)),IF('Adjustment Surface'!$C$2='Data Validation'!$A$3,INDEX(CI4:CI124,MATCH(INDEX(CE4:CE124,MATCH('Adjustment Surface'!F14,CE4:CE124,1)),CD4:CD124,1)),"Unknown Option Type"))-IF('Adjustment Surface'!$C$2='Data Validation'!$A$2,INDEX(CI4:CI124,MATCH(INDEX(CE4:CE124,MATCH('Adjustment Surface'!F14,CE4:CE124,1)),CD4:CD124,1)),IF('Adjustment Surface'!$C$2='Data Validation'!$A$3,INDEX(CJ4:CJ124,MATCH(INDEX(CE4:CE124,MATCH('Adjustment Surface'!F14,CE4:CE124,1)),CD4:CD124,1)),"Unknown Option Type")))/(INDEX(CK4:CK124,MATCH(INDEX(CE4:CE124,MATCH('Adjustment Surface'!F14,CE4:CE124,1)),CD4:CD124,1))*SQRT(((('Adjustment Surface'!F14-INDEX(CE4:CE124,MATCH('Adjustment Surface'!F14,CE4:CE124,1)))/360)+INDEX(CG4:CG124,MATCH(INDEX(CE4:CE124,MATCH('Adjustment Surface'!F14,CE4:CE124,1)),CE4:CE124,0))))),0,1,FALSE))))*(1/((1+INDEX(CJ4:CJ124,MATCH(INDEX(CE4:CE124,MATCH('Adjustment Surface'!F14,CE4:CE124,1)),CD4:CD124,1)))^(('Adjustment Surface'!F14-CD4)/360)))*(('Adjustment Surface'!F14-INDEX(CE4:CE124,MATCH('Adjustment Surface'!F14,CE4:CE124,1)))/360)*INDEX(CH4:CH124,MATCH(INDEX(CE4:CE124,MATCH('Adjustment Surface'!F14,CE4:CE124,1)),CD4:CD124,1)))/INDEX(CH4:CH124,MATCH(INDEX(CE4:CE124,MATCH('Adjustment Surface'!F14,CE4:CE124,1)),CD4:CD124,1))))*INDEX(CH4:CH124,MATCH(INDEX(CE4:CE124,MATCH('Adjustment Surface'!F14,CE4:CE124,1)),CD4:CD124,1)))*(1/((1+INDEX(CJ4:CJ124,MATCH(INDEX(CE4:CE124,MATCH('Adjustment Surface'!F14,CE4:CE124,1)),CD4:CD124,1)))^(('Adjustment Surface'!F14-CD4)/360))))</f>
        <v>1379.6543584507094</v>
      </c>
      <c r="G14" s="76"/>
      <c r="I14" s="3">
        <v>11</v>
      </c>
      <c r="J14" s="4">
        <f>IF(K13='Adjustment Surface'!C$8,"",K13)</f>
        <v>46367</v>
      </c>
      <c r="K14" s="4">
        <f>IF(J14="","",IF(J14&lt;'Adjustment Surface'!C$7,EDATE(J$5,COUNT(J$5:J14)),IF(J14='Adjustment Surface'!C$7,'Adjustment Surface'!C$8,'Adjustment Surface'!C$7)))</f>
        <v>46398</v>
      </c>
      <c r="L14" s="3">
        <f t="shared" si="1"/>
        <v>31</v>
      </c>
      <c r="M14" s="5">
        <f>IF(I14="","",(K14-'Rate &amp; Vol Update'!$C$2)/360)</f>
        <v>0.92777777777777781</v>
      </c>
      <c r="N14" s="15">
        <f>IF(I14="","",IF('Adjustment Surface'!C$3='Data Validation'!$C$2,'Adjustment Surface'!C$4,IF(INDEX(Schedules!$E$3:$E$123,MATCH('Bachelier Model'!J14,Schedules!$B$3:$B$123,0))="",N13,INDEX(Schedules!$E$3:$E$123,MATCH('Bachelier Model'!J14,Schedules!$B$3:$B$123,0)))))</f>
        <v>25000000</v>
      </c>
      <c r="O14" s="16">
        <f>IF(I14="","",IF('Adjustment Surface'!C$9='Data Validation'!$D$2,'Adjustment Surface'!C$10,IF(INDEX(Schedules!$H$3:$H$123,MATCH('Bachelier Model'!J14,Schedules!$B$3:$B$123,0))="",O13,INDEX(Schedules!$H$3:$H$123,MATCH('Bachelier Model'!J14,Schedules!$B$3:$B$123,0)))))</f>
        <v>0.02</v>
      </c>
      <c r="P14" s="16" cm="1">
        <f t="array" ref="P14">IF(I14="","",FORECAST(J14,INDEX('Rate &amp; Vol Update'!$C$6:$C$127,MATCH(INDEX('Rate &amp; Vol Update'!$B$6:$B$127,MATCH(J14,'Rate &amp; Vol Update'!$B$6:$B$127,1)),'Rate &amp; Vol Update'!$B$6:$B$127,0)+IF('Adjustment Surface'!C$11='Data Validation'!$E$3,-1,0)):INDEX('Rate &amp; Vol Update'!$C$6:$C$127,MATCH(INDEX('Rate &amp; Vol Update'!$B$6:$B$127,MATCH(J14,'Rate &amp; Vol Update'!$B$6:$B$127,1)+1),'Rate &amp; Vol Update'!$B$6:$B$127,0)+IF('Adjustment Surface'!C$11='Data Validation'!$E$3,-1,0)),INDEX('Rate &amp; Vol Update'!$B$6:$B$127,MATCH(J14,'Rate &amp; Vol Update'!$B$6:$B$127,1)):INDEX('Rate &amp; Vol Update'!$B$6:$B$127,MATCH(J14,'Rate &amp; Vol Update'!$B$6:$B$127,1)+1))/100)</f>
        <v>3.1915661082672034E-2</v>
      </c>
      <c r="Q14" s="16" cm="1">
        <f t="array" ref="Q14">IF(I14="","",IF(J14&lt;'Rate &amp; Vol Update'!$C$2,0.001%,(1/((INDEX('Rate &amp; Vol Update'!$E$6:$Z$6,1,MATCH(O14,'Rate &amp; Vol Update'!$E$6:$Z$6,1)+1)-INDEX('Rate &amp; Vol Update'!$E$6:$Z$6,1,MATCH(O14,'Rate &amp; Vol Update'!$E$6:$Z$6,1)))*(INDEX('Rate &amp; Vol Update'!$B$8:$B$127,MATCH(J14,'Rate &amp; Vol Update'!$B$8:$B$127,1)+1)-INDEX('Rate &amp; Vol Update'!$B$8:$B$127,MATCH(J14,'Rate &amp; Vol Update'!$B$8:$B$127,1))))*(INDEX('Rate &amp; Vol Update'!$E$8:$Z$127,MATCH(INDEX('Rate &amp; Vol Update'!$B$8:$B$127,MATCH(J14,'Rate &amp; Vol Update'!$B$8:$B$127,1)),'Rate &amp; Vol Update'!$B$8:$B$127,0),MATCH(INDEX('Rate &amp; Vol Update'!$E$6:$Z$6,1,MATCH(O14,'Rate &amp; Vol Update'!$E$6:$Z$6,1)),'Rate &amp; Vol Update'!$E$6:$Z$6,0))*(INDEX('Rate &amp; Vol Update'!$E$6:$Z$6,1,MATCH(O14,'Rate &amp; Vol Update'!$E$6:$Z$6,1)+1)-O14)*(INDEX('Rate &amp; Vol Update'!$B$8:$B$127,MATCH(J14,'Rate &amp; Vol Update'!$B$8:$B$127,1)+1)-J14)+INDEX('Rate &amp; Vol Update'!$E$8:$Z$127,MATCH(INDEX('Rate &amp; Vol Update'!$B$8:$B$127,MATCH(J14,'Rate &amp; Vol Update'!$B$8:$B$127,1)),'Rate &amp; Vol Update'!$B$8:$B$127,0),MATCH(INDEX('Rate &amp; Vol Update'!$E$6:$Z$6,1,MATCH(O14,'Rate &amp; Vol Update'!$E$6:$Z$6,1)+1),'Rate &amp; Vol Update'!$E$6:$Z$6,0))*(O14-INDEX('Rate &amp; Vol Update'!$E$6:$Z$6,1,MATCH(O14,'Rate &amp; Vol Update'!$E$6:$Z$6,1)))*(INDEX('Rate &amp; Vol Update'!$B$8:$B$127,MATCH(J14,'Rate &amp; Vol Update'!$B$8:$B$127,1)+1)-J14)+INDEX('Rate &amp; Vol Update'!$E$8:$Z$127,MATCH(INDEX('Rate &amp; Vol Update'!$B$8:$B$127,MATCH(J14,'Rate &amp; Vol Update'!$B$8:$B$127,1)+1),'Rate &amp; Vol Update'!$B$8:$B$127,0),MATCH(INDEX('Rate &amp; Vol Update'!$E$6:$Z$6,1,MATCH(O14,'Rate &amp; Vol Update'!$E$6:$Z$6,1)),'Rate &amp; Vol Update'!$E$6:$Z$6,0))*(INDEX('Rate &amp; Vol Update'!$E$6:$Z$6,1,MATCH(O14,'Rate &amp; Vol Update'!$E$6:$Z$6,1)+1)-O14)*(J14-INDEX('Rate &amp; Vol Update'!$B$8:$B$127,MATCH(J14,'Rate &amp; Vol Update'!$B$8:$B$127,1)))+INDEX('Rate &amp; Vol Update'!$E$8:$Z$127,MATCH(INDEX('Rate &amp; Vol Update'!$B$8:$B$127,MATCH(J14,'Rate &amp; Vol Update'!$B$8:$B$127,1)+1),'Rate &amp; Vol Update'!$B$8:$B$127,0),MATCH(INDEX('Rate &amp; Vol Update'!$E$6:$Z$6,1,MATCH(O14,'Rate &amp; Vol Update'!$E$6:$Z$6,1)+1),'Rate &amp; Vol Update'!$E$6:$Z$6,0))*(O14-INDEX('Rate &amp; Vol Update'!$E$6:$Z$6,1,MATCH(O14,'Rate &amp; Vol Update'!$E$6:$Z$6,1)))*(J14-INDEX('Rate &amp; Vol Update'!$B$8:$B$127,MATCH(J14,'Rate &amp; Vol Update'!$B$8:$B$127,1)))))*0.01%))</f>
        <v>9.1185787767847672E-3</v>
      </c>
      <c r="R14" s="5">
        <f>IF(I14="","",1/((1+P14)^((K14-'Rate &amp; Vol Update'!$C$2)/360)))</f>
        <v>0.97127276496537729</v>
      </c>
      <c r="T14" s="15">
        <f>IF(I14="","",IF(J14&lt;'Rate &amp; Vol Update'!$C$2,MAX(0,P14-O14)*(L14/360)*N14,(((IF('Adjustment Surface'!C$2='Data Validation'!$A$2,P14,IF('Adjustment Surface'!C$2='Data Validation'!$A$3,O14,"Unknown Option Type"))-IF('Adjustment Surface'!C$2='Data Validation'!$A$2,O14,IF('Adjustment Surface'!C$2='Data Validation'!$A$3,P14,"Unknown Option Type")))*(NORMDIST((IF('Adjustment Surface'!C$2='Data Validation'!$A$2,P14,IF('Adjustment Surface'!C$2='Data Validation'!$A$3,O14,"Unknown Option Type"))-IF('Adjustment Surface'!C$2='Data Validation'!$A$2,O14,IF('Adjustment Surface'!C$2='Data Validation'!$A$3,P14,"Unknown Option Type")))/(Q14*SQRT(M14)),0,1,TRUE)))+((Q14*SQRT(M14))*(NORMDIST((IF('Adjustment Surface'!C$2='Data Validation'!$A$2,P14,IF('Adjustment Surface'!C$2='Data Validation'!$A$3,O14,"Unknown Option Type"))-IF('Adjustment Surface'!C$2='Data Validation'!$A$2,O14,IF('Adjustment Surface'!C$2='Data Validation'!$A$3,P14,"Unknown Option Type")))/(Q14*SQRT(M14)),0,1,FALSE))))*R14*(L14/360)*N14))</f>
        <v>25655.196642416482</v>
      </c>
      <c r="U14" s="15">
        <f>IF(I14="","",SUM(T$4:T14))</f>
        <v>331005.45581742789</v>
      </c>
      <c r="W14" s="15">
        <f>IF(I14="","",IF(J14&lt;'Rate &amp; Vol Update'!$C$2,0,((((((IF('Adjustment Surface'!C$2='Data Validation'!$A$2,P14,IF('Adjustment Surface'!C$2='Data Validation'!$A$3,O14,"Unknown Option Type"))-IF('Adjustment Surface'!C$2='Data Validation'!$A$2,O14,IF('Adjustment Surface'!C$2='Data Validation'!$A$3,P14,"Unknown Option Type")))*(NORMDIST((IF('Adjustment Surface'!C$2='Data Validation'!$A$2,P14,IF('Adjustment Surface'!C$2='Data Validation'!$A$3,O14,"Unknown Option Type"))-IF('Adjustment Surface'!C$2='Data Validation'!$A$2,O14,IF('Adjustment Surface'!C$2='Data Validation'!$A$3,P14,"Unknown Option Type")))/((Q14+0.01%)*SQRT(M14)),0,1,TRUE)))+(((Q14+0.01%)*SQRT(M14))*(NORMDIST((IF('Adjustment Surface'!C$2='Data Validation'!$A$2,P14,IF('Adjustment Surface'!C$2='Data Validation'!$A$3,O14,"Unknown Option Type"))-IF('Adjustment Surface'!C$2='Data Validation'!$A$2,O14,IF('Adjustment Surface'!C$2='Data Validation'!$A$3,P14,"Unknown Option Type")))/((Q14+0.01%)*SQRT(M14)),0,1,FALSE))))*R14*(L14/360))-(T14/N14))*N14)*R14))</f>
        <v>31.404702894362362</v>
      </c>
      <c r="X14" s="15">
        <f>IF(I14="","",SUM(W$4:W14))</f>
        <v>108.9126327632505</v>
      </c>
      <c r="Y14" s="15"/>
      <c r="Z14" s="20"/>
      <c r="AA14" s="3">
        <v>11</v>
      </c>
      <c r="AB14" s="4">
        <f>IF(AC13=MAX('Adjustment Surface'!$C$14:$F$14),"",AC13)</f>
        <v>46367</v>
      </c>
      <c r="AC14" s="4">
        <f>IF(AB14="","",IF(AB14&lt;EDATE('Adjustment Surface'!$C$6,DATEDIF('Adjustment Surface'!$C$6,MAX('Adjustment Surface'!$C$14:$F$14),"M")),EDATE(AB$5,COUNT(AB$5:AB14)),IF(AB14=EDATE('Adjustment Surface'!$C$6,DATEDIF('Adjustment Surface'!$C$6,MAX('Adjustment Surface'!$C$14:$F$14),"M")),MAX('Adjustment Surface'!$C$14:$F$14),EDATE('Adjustment Surface'!$C$6,DATEDIF('Adjustment Surface'!$C$6,MAX('Adjustment Surface'!$C$14:$F$14),"M")))))</f>
        <v>46398</v>
      </c>
      <c r="AD14" s="3">
        <f t="shared" si="2"/>
        <v>31</v>
      </c>
      <c r="AE14" s="5">
        <f>IF(AA14="","",(AC14-'Rate &amp; Vol Update'!$C$2)/360)</f>
        <v>0.92777777777777781</v>
      </c>
      <c r="AF14" s="15">
        <f>IF(AA14="","",IF('Adjustment Surface'!$C$3='Data Validation'!$C$2,'Adjustment Surface'!$C$4,_xlfn.IFNA(IF(INDEX(Schedules!$E$3:$E$123,MATCH('Bachelier Model'!AB14,Schedules!$B$3:$B$123,0))="",AF13,INDEX(Schedules!$E$3:$E$123,MATCH('Bachelier Model'!AB14,Schedules!$B$3:$B$123,0))),AF13)))</f>
        <v>25000000</v>
      </c>
      <c r="AG14" s="16">
        <f>IF(AA14="","",'Adjustment Surface'!B$15)</f>
        <v>0.03</v>
      </c>
      <c r="AH14" s="16" cm="1">
        <f t="array" ref="AH14">IF(AA14="","",FORECAST(AB14,INDEX('Rate &amp; Vol Update'!$C$6:$C$127,MATCH(INDEX('Rate &amp; Vol Update'!$B$6:$B$127,MATCH(AB14,'Rate &amp; Vol Update'!$B$6:$B$127,1)),'Rate &amp; Vol Update'!$B$6:$B$127,0)+IF('Adjustment Surface'!$C$11='Data Validation'!$E$3,-1,0)):INDEX('Rate &amp; Vol Update'!$C$6:$C$127,MATCH(INDEX('Rate &amp; Vol Update'!$B$6:$B$127,MATCH(AB14,'Rate &amp; Vol Update'!$B$6:$B$127,1)+1),'Rate &amp; Vol Update'!$B$6:$B$127,0)+IF('Adjustment Surface'!$C$11='Data Validation'!$E$3,-1,0)),INDEX('Rate &amp; Vol Update'!$B$6:$B$127,MATCH(AB14,'Rate &amp; Vol Update'!$B$6:$B$127,1)):INDEX('Rate &amp; Vol Update'!$B$6:$B$127,MATCH(AB14,'Rate &amp; Vol Update'!$B$6:$B$127,1)+1))/100)</f>
        <v>3.1915661082672034E-2</v>
      </c>
      <c r="AI14" s="16" cm="1">
        <f t="array" ref="AI14">IF(AA14="","",IF(AB14&lt;'Rate &amp; Vol Update'!$C$2,0.001%,(1/((INDEX('Rate &amp; Vol Update'!$E$6:$Z$6,1,MATCH(AG14,'Rate &amp; Vol Update'!$E$6:$Z$6,1)+1)-INDEX('Rate &amp; Vol Update'!$E$6:$Z$6,1,MATCH(AG14,'Rate &amp; Vol Update'!$E$6:$Z$6,1)))*(INDEX('Rate &amp; Vol Update'!$B$8:$B$127,MATCH(AB14,'Rate &amp; Vol Update'!$B$8:$B$127,1)+1)-INDEX('Rate &amp; Vol Update'!$B$8:$B$127,MATCH(AB14,'Rate &amp; Vol Update'!$B$8:$B$127,1))))*(INDEX('Rate &amp; Vol Update'!$E$8:$Z$127,MATCH(INDEX('Rate &amp; Vol Update'!$B$8:$B$127,MATCH(AB14,'Rate &amp; Vol Update'!$B$8:$B$127,1)),'Rate &amp; Vol Update'!$B$8:$B$127,0),MATCH(INDEX('Rate &amp; Vol Update'!$E$6:$Z$6,1,MATCH(AG14,'Rate &amp; Vol Update'!$E$6:$Z$6,1)),'Rate &amp; Vol Update'!$E$6:$Z$6,0))*(INDEX('Rate &amp; Vol Update'!$E$6:$Z$6,1,MATCH(AG14,'Rate &amp; Vol Update'!$E$6:$Z$6,1)+1)-AG14)*(INDEX('Rate &amp; Vol Update'!$B$8:$B$127,MATCH(AB14,'Rate &amp; Vol Update'!$B$8:$B$127,1)+1)-AB14)+INDEX('Rate &amp; Vol Update'!$E$8:$Z$127,MATCH(INDEX('Rate &amp; Vol Update'!$B$8:$B$127,MATCH(AB14,'Rate &amp; Vol Update'!$B$8:$B$127,1)),'Rate &amp; Vol Update'!$B$8:$B$127,0),MATCH(INDEX('Rate &amp; Vol Update'!$E$6:$Z$6,1,MATCH(AG14,'Rate &amp; Vol Update'!$E$6:$Z$6,1)+1),'Rate &amp; Vol Update'!$E$6:$Z$6,0))*(AG14-INDEX('Rate &amp; Vol Update'!$E$6:$Z$6,1,MATCH(AG14,'Rate &amp; Vol Update'!$E$6:$Z$6,1)))*(INDEX('Rate &amp; Vol Update'!$B$8:$B$127,MATCH(AB14,'Rate &amp; Vol Update'!$B$8:$B$127,1)+1)-AB14)+INDEX('Rate &amp; Vol Update'!$E$8:$Z$127,MATCH(INDEX('Rate &amp; Vol Update'!$B$8:$B$127,MATCH(AB14,'Rate &amp; Vol Update'!$B$8:$B$127,1)+1),'Rate &amp; Vol Update'!$B$8:$B$127,0),MATCH(INDEX('Rate &amp; Vol Update'!$E$6:$Z$6,1,MATCH(AG14,'Rate &amp; Vol Update'!$E$6:$Z$6,1)),'Rate &amp; Vol Update'!$E$6:$Z$6,0))*(INDEX('Rate &amp; Vol Update'!$E$6:$Z$6,1,MATCH(AG14,'Rate &amp; Vol Update'!$E$6:$Z$6,1)+1)-AG14)*(AB14-INDEX('Rate &amp; Vol Update'!$B$8:$B$127,MATCH(AB14,'Rate &amp; Vol Update'!$B$8:$B$127,1)))+INDEX('Rate &amp; Vol Update'!$E$8:$Z$127,MATCH(INDEX('Rate &amp; Vol Update'!$B$8:$B$127,MATCH(AB14,'Rate &amp; Vol Update'!$B$8:$B$127,1)+1),'Rate &amp; Vol Update'!$B$8:$B$127,0),MATCH(INDEX('Rate &amp; Vol Update'!$E$6:$Z$6,1,MATCH(AG14,'Rate &amp; Vol Update'!$E$6:$Z$6,1)+1),'Rate &amp; Vol Update'!$E$6:$Z$6,0))*(AG14-INDEX('Rate &amp; Vol Update'!$E$6:$Z$6,1,MATCH(AG14,'Rate &amp; Vol Update'!$E$6:$Z$6,1)))*(AB14-INDEX('Rate &amp; Vol Update'!$B$8:$B$127,MATCH(AB14,'Rate &amp; Vol Update'!$B$8:$B$127,1)))))*0.01%))</f>
        <v>7.0493259238290484E-3</v>
      </c>
      <c r="AJ14" s="5">
        <f>IF(AA14="","",1/((1+AH14)^((AC14-'Rate &amp; Vol Update'!$C$2)/360)))</f>
        <v>0.97127276496537729</v>
      </c>
      <c r="AL14" s="15">
        <f>IF(AA14="","",IF(AB14&lt;'Rate &amp; Vol Update'!$C$2,MAX(0,AH14-AG14)*(AD14/360)*AF14,(((IF('Adjustment Surface'!$C$2='Data Validation'!$A$2,AH14,IF('Adjustment Surface'!$C$2='Data Validation'!$A$3,AG14,"Unknown Option Type"))-IF('Adjustment Surface'!$C$2='Data Validation'!$A$2,AG14,IF('Adjustment Surface'!$C$2='Data Validation'!$A$3,AH14,"Unknown Option Type")))*(NORMDIST((IF('Adjustment Surface'!$C$2='Data Validation'!$A$2,AH14,IF('Adjustment Surface'!$C$2='Data Validation'!$A$3,AG14,"Unknown Option Type"))-IF('Adjustment Surface'!$C$2='Data Validation'!$A$2,AG14,IF('Adjustment Surface'!$C$2='Data Validation'!$A$3,AH14,"Unknown Option Type")))/(AI14*SQRT(AE14)),0,1,TRUE)))+((AI14*SQRT(AE14))*(NORMDIST((IF('Adjustment Surface'!$C$2='Data Validation'!$A$2,AH14,IF('Adjustment Surface'!$C$2='Data Validation'!$A$3,AG14,"Unknown Option Type"))-IF('Adjustment Surface'!$C$2='Data Validation'!$A$2,AG14,IF('Adjustment Surface'!$C$2='Data Validation'!$A$3,AH14,"Unknown Option Type")))/(AI14*SQRT(AE14)),0,1,FALSE))))*AJ14*(AD14/360)*AF14))</f>
        <v>7890.6536413726008</v>
      </c>
      <c r="AM14" s="15">
        <f>IF(AA14="","",SUM(AL$4:AL14))</f>
        <v>116471.66400643955</v>
      </c>
      <c r="AO14" s="15">
        <f>IF(AA14="","",IF(AB14&lt;'Rate &amp; Vol Update'!$C$2,0,((((((IF('Adjustment Surface'!$C$2='Data Validation'!$A$2,AH14,IF('Adjustment Surface'!$C$2='Data Validation'!$A$3,AG14,"Unknown Option Type"))-IF('Adjustment Surface'!$C$2='Data Validation'!$A$2,AG14,IF('Adjustment Surface'!$C$2='Data Validation'!$A$3,AH14,"Unknown Option Type")))*(NORMDIST((IF('Adjustment Surface'!$C$2='Data Validation'!$A$2,AH14,IF('Adjustment Surface'!$C$2='Data Validation'!$A$3,AG14,"Unknown Option Type"))-IF('Adjustment Surface'!$C$2='Data Validation'!$A$2,AG14,IF('Adjustment Surface'!$C$2='Data Validation'!$A$3,AH14,"Unknown Option Type")))/((AI14+0.01%)*SQRT(AE14)),0,1,TRUE)))+(((AI14+0.01%)*SQRT(AE14))*(NORMDIST((IF('Adjustment Surface'!$C$2='Data Validation'!$A$2,AH14,IF('Adjustment Surface'!$C$2='Data Validation'!$A$3,AG14,"Unknown Option Type"))-IF('Adjustment Surface'!$C$2='Data Validation'!$A$2,AG14,IF('Adjustment Surface'!$C$2='Data Validation'!$A$3,AH14,"Unknown Option Type")))/((AI14+0.01%)*SQRT(AE14)),0,1,FALSE))))*AJ14*(AD14/360))-(AL14/AF14))*AF14)*AJ14))</f>
        <v>75.036251015913265</v>
      </c>
      <c r="AP14" s="15">
        <f>IF(AA14="","",SUM(AO$4:AO14))</f>
        <v>411.29117129420655</v>
      </c>
      <c r="AQ14" s="15"/>
      <c r="AR14" s="20"/>
      <c r="AS14" s="3">
        <v>11</v>
      </c>
      <c r="AT14" s="4">
        <f>IF(AU13=MAX('Adjustment Surface'!$C$14:$F$14),"",AU13)</f>
        <v>46367</v>
      </c>
      <c r="AU14" s="4">
        <f>IF(AT14="","",IF(AT14&lt;EDATE('Adjustment Surface'!$C$6,DATEDIF('Adjustment Surface'!$C$6,MAX('Adjustment Surface'!$C$14:$F$14),"M")),EDATE(AT$5,COUNT(AT$5:AT14)),IF(AT14=EDATE('Adjustment Surface'!$C$6,DATEDIF('Adjustment Surface'!$C$6,MAX('Adjustment Surface'!$C$14:$F$14),"M")),MAX('Adjustment Surface'!$C$14:$F$14),EDATE('Adjustment Surface'!$C$6,DATEDIF('Adjustment Surface'!$C$6,MAX('Adjustment Surface'!$C$14:$F$14),"M")))))</f>
        <v>46398</v>
      </c>
      <c r="AV14" s="3">
        <f t="shared" si="3"/>
        <v>31</v>
      </c>
      <c r="AW14" s="5">
        <f>IF(AS14="","",(AU14-'Rate &amp; Vol Update'!$C$2)/360)</f>
        <v>0.92777777777777781</v>
      </c>
      <c r="AX14" s="15">
        <f>IF(AS14="","",IF('Adjustment Surface'!$C$3='Data Validation'!$C$2,'Adjustment Surface'!$C$4,_xlfn.IFNA(IF(INDEX(Schedules!$E$3:$E$123,MATCH('Bachelier Model'!AT14,Schedules!$B$3:$B$123,0))="",AX13,INDEX(Schedules!$E$3:$E$123,MATCH('Bachelier Model'!AT14,Schedules!$B$3:$B$123,0))),AX13)))</f>
        <v>25000000</v>
      </c>
      <c r="AY14" s="16">
        <f>IF(AS14="","",'Adjustment Surface'!B$16)</f>
        <v>0.04</v>
      </c>
      <c r="AZ14" s="16" cm="1">
        <f t="array" ref="AZ14">IF(AS14="","",FORECAST(AT14,INDEX('Rate &amp; Vol Update'!$C$6:$C$127,MATCH(INDEX('Rate &amp; Vol Update'!$B$6:$B$127,MATCH(AT14,'Rate &amp; Vol Update'!$B$6:$B$127,1)),'Rate &amp; Vol Update'!$B$6:$B$127,0)+IF('Adjustment Surface'!$C$11='Data Validation'!$E$3,-1,0)):INDEX('Rate &amp; Vol Update'!$C$6:$C$127,MATCH(INDEX('Rate &amp; Vol Update'!$B$6:$B$127,MATCH(AT14,'Rate &amp; Vol Update'!$B$6:$B$127,1)+1),'Rate &amp; Vol Update'!$B$6:$B$127,0)+IF('Adjustment Surface'!$C$11='Data Validation'!$E$3,-1,0)),INDEX('Rate &amp; Vol Update'!$B$6:$B$127,MATCH(AT14,'Rate &amp; Vol Update'!$B$6:$B$127,1)):INDEX('Rate &amp; Vol Update'!$B$6:$B$127,MATCH(AT14,'Rate &amp; Vol Update'!$B$6:$B$127,1)+1))/100)</f>
        <v>3.1915661082672034E-2</v>
      </c>
      <c r="BA14" s="16" cm="1">
        <f t="array" ref="BA14">IF(AS14="","",IF(AT14&lt;'Rate &amp; Vol Update'!$C$2,0.001%,(1/((INDEX('Rate &amp; Vol Update'!$E$6:$Z$6,1,MATCH(AY14,'Rate &amp; Vol Update'!$E$6:$Z$6,1)+1)-INDEX('Rate &amp; Vol Update'!$E$6:$Z$6,1,MATCH(AY14,'Rate &amp; Vol Update'!$E$6:$Z$6,1)))*(INDEX('Rate &amp; Vol Update'!$B$8:$B$127,MATCH(AT14,'Rate &amp; Vol Update'!$B$8:$B$127,1)+1)-INDEX('Rate &amp; Vol Update'!$B$8:$B$127,MATCH(AT14,'Rate &amp; Vol Update'!$B$8:$B$127,1))))*(INDEX('Rate &amp; Vol Update'!$E$8:$Z$127,MATCH(INDEX('Rate &amp; Vol Update'!$B$8:$B$127,MATCH(AT14,'Rate &amp; Vol Update'!$B$8:$B$127,1)),'Rate &amp; Vol Update'!$B$8:$B$127,0),MATCH(INDEX('Rate &amp; Vol Update'!$E$6:$Z$6,1,MATCH(AY14,'Rate &amp; Vol Update'!$E$6:$Z$6,1)),'Rate &amp; Vol Update'!$E$6:$Z$6,0))*(INDEX('Rate &amp; Vol Update'!$E$6:$Z$6,1,MATCH(AY14,'Rate &amp; Vol Update'!$E$6:$Z$6,1)+1)-AY14)*(INDEX('Rate &amp; Vol Update'!$B$8:$B$127,MATCH(AT14,'Rate &amp; Vol Update'!$B$8:$B$127,1)+1)-AT14)+INDEX('Rate &amp; Vol Update'!$E$8:$Z$127,MATCH(INDEX('Rate &amp; Vol Update'!$B$8:$B$127,MATCH(AT14,'Rate &amp; Vol Update'!$B$8:$B$127,1)),'Rate &amp; Vol Update'!$B$8:$B$127,0),MATCH(INDEX('Rate &amp; Vol Update'!$E$6:$Z$6,1,MATCH(AY14,'Rate &amp; Vol Update'!$E$6:$Z$6,1)+1),'Rate &amp; Vol Update'!$E$6:$Z$6,0))*(AY14-INDEX('Rate &amp; Vol Update'!$E$6:$Z$6,1,MATCH(AY14,'Rate &amp; Vol Update'!$E$6:$Z$6,1)))*(INDEX('Rate &amp; Vol Update'!$B$8:$B$127,MATCH(AT14,'Rate &amp; Vol Update'!$B$8:$B$127,1)+1)-AT14)+INDEX('Rate &amp; Vol Update'!$E$8:$Z$127,MATCH(INDEX('Rate &amp; Vol Update'!$B$8:$B$127,MATCH(AT14,'Rate &amp; Vol Update'!$B$8:$B$127,1)+1),'Rate &amp; Vol Update'!$B$8:$B$127,0),MATCH(INDEX('Rate &amp; Vol Update'!$E$6:$Z$6,1,MATCH(AY14,'Rate &amp; Vol Update'!$E$6:$Z$6,1)),'Rate &amp; Vol Update'!$E$6:$Z$6,0))*(INDEX('Rate &amp; Vol Update'!$E$6:$Z$6,1,MATCH(AY14,'Rate &amp; Vol Update'!$E$6:$Z$6,1)+1)-AY14)*(AT14-INDEX('Rate &amp; Vol Update'!$B$8:$B$127,MATCH(AT14,'Rate &amp; Vol Update'!$B$8:$B$127,1)))+INDEX('Rate &amp; Vol Update'!$E$8:$Z$127,MATCH(INDEX('Rate &amp; Vol Update'!$B$8:$B$127,MATCH(AT14,'Rate &amp; Vol Update'!$B$8:$B$127,1)+1),'Rate &amp; Vol Update'!$B$8:$B$127,0),MATCH(INDEX('Rate &amp; Vol Update'!$E$6:$Z$6,1,MATCH(AY14,'Rate &amp; Vol Update'!$E$6:$Z$6,1)+1),'Rate &amp; Vol Update'!$E$6:$Z$6,0))*(AY14-INDEX('Rate &amp; Vol Update'!$E$6:$Z$6,1,MATCH(AY14,'Rate &amp; Vol Update'!$E$6:$Z$6,1)))*(AT14-INDEX('Rate &amp; Vol Update'!$B$8:$B$127,MATCH(AT14,'Rate &amp; Vol Update'!$B$8:$B$127,1)))))*0.01%))</f>
        <v>6.704166467515418E-3</v>
      </c>
      <c r="BB14" s="5">
        <f>IF(AS14="","",1/((1+AZ14)^((AU14-'Rate &amp; Vol Update'!$C$2)/360)))</f>
        <v>0.97127276496537729</v>
      </c>
      <c r="BD14" s="15">
        <f>IF(AS14="","",IF(AT14&lt;'Rate &amp; Vol Update'!$C$2,MAX(0,AZ14-AY14)*(AV14/360)*AX14,(((IF('Adjustment Surface'!$C$2='Data Validation'!$A$2,AZ14,IF('Adjustment Surface'!$C$2='Data Validation'!$A$3,AY14,"Unknown Option Type"))-IF('Adjustment Surface'!$C$2='Data Validation'!$A$2,AY14,IF('Adjustment Surface'!$C$2='Data Validation'!$A$3,AZ14,"Unknown Option Type")))*(NORMDIST((IF('Adjustment Surface'!$C$2='Data Validation'!$A$2,AZ14,IF('Adjustment Surface'!$C$2='Data Validation'!$A$3,AY14,"Unknown Option Type"))-IF('Adjustment Surface'!$C$2='Data Validation'!$A$2,AY14,IF('Adjustment Surface'!$C$2='Data Validation'!$A$3,AZ14,"Unknown Option Type")))/(BA14*SQRT(AW14)),0,1,TRUE)))+((BA14*SQRT(AW14))*(NORMDIST((IF('Adjustment Surface'!$C$2='Data Validation'!$A$2,AZ14,IF('Adjustment Surface'!$C$2='Data Validation'!$A$3,AY14,"Unknown Option Type"))-IF('Adjustment Surface'!$C$2='Data Validation'!$A$2,AY14,IF('Adjustment Surface'!$C$2='Data Validation'!$A$3,AZ14,"Unknown Option Type")))/(BA14*SQRT(AW14)),0,1,FALSE))))*BB14*(AV14/360)*AX14))</f>
        <v>680.29905346953524</v>
      </c>
      <c r="BE14" s="15">
        <f>IF(AS14="","",SUM(BD$4:BD14))</f>
        <v>4432.7828218745863</v>
      </c>
      <c r="BG14" s="15">
        <f>IF(AS14="","",IF(AT14&lt;'Rate &amp; Vol Update'!$C$2,0,((((((IF('Adjustment Surface'!$C$2='Data Validation'!$A$2,AZ14,IF('Adjustment Surface'!$C$2='Data Validation'!$A$3,AY14,"Unknown Option Type"))-IF('Adjustment Surface'!$C$2='Data Validation'!$A$2,AY14,IF('Adjustment Surface'!$C$2='Data Validation'!$A$3,AZ14,"Unknown Option Type")))*(NORMDIST((IF('Adjustment Surface'!$C$2='Data Validation'!$A$2,AZ14,IF('Adjustment Surface'!$C$2='Data Validation'!$A$3,AY14,"Unknown Option Type"))-IF('Adjustment Surface'!$C$2='Data Validation'!$A$2,AY14,IF('Adjustment Surface'!$C$2='Data Validation'!$A$3,AZ14,"Unknown Option Type")))/((BA14+0.01%)*SQRT(AW14)),0,1,TRUE)))+(((BA14+0.01%)*SQRT(AW14))*(NORMDIST((IF('Adjustment Surface'!$C$2='Data Validation'!$A$2,AZ14,IF('Adjustment Surface'!$C$2='Data Validation'!$A$3,AY14,"Unknown Option Type"))-IF('Adjustment Surface'!$C$2='Data Validation'!$A$2,AY14,IF('Adjustment Surface'!$C$2='Data Validation'!$A$3,AZ14,"Unknown Option Type")))/((BA14+0.01%)*SQRT(AW14)),0,1,FALSE))))*BB14*(AV14/360))-(BD14/AX14))*AX14)*BB14))</f>
        <v>36.056829690471652</v>
      </c>
      <c r="BH14" s="15">
        <f>IF(AS14="","",SUM(BG$4:BG14))</f>
        <v>261.0183273133415</v>
      </c>
      <c r="BI14" s="15"/>
      <c r="BJ14" s="20"/>
      <c r="BK14" s="3">
        <v>11</v>
      </c>
      <c r="BL14" s="4">
        <f>IF(BM13=MAX('Adjustment Surface'!$C$14:$F$14),"",BM13)</f>
        <v>46367</v>
      </c>
      <c r="BM14" s="4">
        <f>IF(BL14="","",IF(BL14&lt;EDATE('Adjustment Surface'!$C$6,DATEDIF('Adjustment Surface'!$C$6,MAX('Adjustment Surface'!$C$14:$F$14),"M")),EDATE(BL$5,COUNT(BL$5:BL14)),IF(BL14=EDATE('Adjustment Surface'!$C$6,DATEDIF('Adjustment Surface'!$C$6,MAX('Adjustment Surface'!$C$14:$F$14),"M")),MAX('Adjustment Surface'!$C$14:$F$14),EDATE('Adjustment Surface'!$C$6,DATEDIF('Adjustment Surface'!$C$6,MAX('Adjustment Surface'!$C$14:$F$14),"M")))))</f>
        <v>46398</v>
      </c>
      <c r="BN14" s="3">
        <f t="shared" si="4"/>
        <v>31</v>
      </c>
      <c r="BO14" s="5">
        <f>IF(BK14="","",(BM14-'Rate &amp; Vol Update'!$C$2)/360)</f>
        <v>0.92777777777777781</v>
      </c>
      <c r="BP14" s="15">
        <f>IF(BK14="","",IF('Adjustment Surface'!$C$3='Data Validation'!$C$2,'Adjustment Surface'!$C$4,_xlfn.IFNA(IF(INDEX(Schedules!$E$3:$E$123,MATCH('Bachelier Model'!BL14,Schedules!$B$3:$B$123,0))="",BP13,INDEX(Schedules!$E$3:$E$123,MATCH('Bachelier Model'!BL14,Schedules!$B$3:$B$123,0))),BP13)))</f>
        <v>25000000</v>
      </c>
      <c r="BQ14" s="16">
        <f>IF(BK14="","",'Adjustment Surface'!B$17)</f>
        <v>0.05</v>
      </c>
      <c r="BR14" s="16" cm="1">
        <f t="array" ref="BR14">IF(BK14="","",FORECAST(BL14,INDEX('Rate &amp; Vol Update'!$C$6:$C$127,MATCH(INDEX('Rate &amp; Vol Update'!$B$6:$B$127,MATCH(BL14,'Rate &amp; Vol Update'!$B$6:$B$127,1)),'Rate &amp; Vol Update'!$B$6:$B$127,0)+IF('Adjustment Surface'!$C$11='Data Validation'!$E$3,-1,0)):INDEX('Rate &amp; Vol Update'!$C$6:$C$127,MATCH(INDEX('Rate &amp; Vol Update'!$B$6:$B$127,MATCH(BL14,'Rate &amp; Vol Update'!$B$6:$B$127,1)+1),'Rate &amp; Vol Update'!$B$6:$B$127,0)+IF('Adjustment Surface'!$C$11='Data Validation'!$E$3,-1,0)),INDEX('Rate &amp; Vol Update'!$B$6:$B$127,MATCH(BL14,'Rate &amp; Vol Update'!$B$6:$B$127,1)):INDEX('Rate &amp; Vol Update'!$B$6:$B$127,MATCH(BL14,'Rate &amp; Vol Update'!$B$6:$B$127,1)+1))/100)</f>
        <v>3.1915661082672034E-2</v>
      </c>
      <c r="BS14" s="16" cm="1">
        <f t="array" ref="BS14">IF(BK14="","",IF(BL14&lt;'Rate &amp; Vol Update'!$C$2,0.001%,(1/((INDEX('Rate &amp; Vol Update'!$E$6:$Z$6,1,MATCH(BQ14,'Rate &amp; Vol Update'!$E$6:$Z$6,1)+1)-INDEX('Rate &amp; Vol Update'!$E$6:$Z$6,1,MATCH(BQ14,'Rate &amp; Vol Update'!$E$6:$Z$6,1)))*(INDEX('Rate &amp; Vol Update'!$B$8:$B$127,MATCH(BL14,'Rate &amp; Vol Update'!$B$8:$B$127,1)+1)-INDEX('Rate &amp; Vol Update'!$B$8:$B$127,MATCH(BL14,'Rate &amp; Vol Update'!$B$8:$B$127,1))))*(INDEX('Rate &amp; Vol Update'!$E$8:$Z$127,MATCH(INDEX('Rate &amp; Vol Update'!$B$8:$B$127,MATCH(BL14,'Rate &amp; Vol Update'!$B$8:$B$127,1)),'Rate &amp; Vol Update'!$B$8:$B$127,0),MATCH(INDEX('Rate &amp; Vol Update'!$E$6:$Z$6,1,MATCH(BQ14,'Rate &amp; Vol Update'!$E$6:$Z$6,1)),'Rate &amp; Vol Update'!$E$6:$Z$6,0))*(INDEX('Rate &amp; Vol Update'!$E$6:$Z$6,1,MATCH(BQ14,'Rate &amp; Vol Update'!$E$6:$Z$6,1)+1)-BQ14)*(INDEX('Rate &amp; Vol Update'!$B$8:$B$127,MATCH(BL14,'Rate &amp; Vol Update'!$B$8:$B$127,1)+1)-BL14)+INDEX('Rate &amp; Vol Update'!$E$8:$Z$127,MATCH(INDEX('Rate &amp; Vol Update'!$B$8:$B$127,MATCH(BL14,'Rate &amp; Vol Update'!$B$8:$B$127,1)),'Rate &amp; Vol Update'!$B$8:$B$127,0),MATCH(INDEX('Rate &amp; Vol Update'!$E$6:$Z$6,1,MATCH(BQ14,'Rate &amp; Vol Update'!$E$6:$Z$6,1)+1),'Rate &amp; Vol Update'!$E$6:$Z$6,0))*(BQ14-INDEX('Rate &amp; Vol Update'!$E$6:$Z$6,1,MATCH(BQ14,'Rate &amp; Vol Update'!$E$6:$Z$6,1)))*(INDEX('Rate &amp; Vol Update'!$B$8:$B$127,MATCH(BL14,'Rate &amp; Vol Update'!$B$8:$B$127,1)+1)-BL14)+INDEX('Rate &amp; Vol Update'!$E$8:$Z$127,MATCH(INDEX('Rate &amp; Vol Update'!$B$8:$B$127,MATCH(BL14,'Rate &amp; Vol Update'!$B$8:$B$127,1)+1),'Rate &amp; Vol Update'!$B$8:$B$127,0),MATCH(INDEX('Rate &amp; Vol Update'!$E$6:$Z$6,1,MATCH(BQ14,'Rate &amp; Vol Update'!$E$6:$Z$6,1)),'Rate &amp; Vol Update'!$E$6:$Z$6,0))*(INDEX('Rate &amp; Vol Update'!$E$6:$Z$6,1,MATCH(BQ14,'Rate &amp; Vol Update'!$E$6:$Z$6,1)+1)-BQ14)*(BL14-INDEX('Rate &amp; Vol Update'!$B$8:$B$127,MATCH(BL14,'Rate &amp; Vol Update'!$B$8:$B$127,1)))+INDEX('Rate &amp; Vol Update'!$E$8:$Z$127,MATCH(INDEX('Rate &amp; Vol Update'!$B$8:$B$127,MATCH(BL14,'Rate &amp; Vol Update'!$B$8:$B$127,1)+1),'Rate &amp; Vol Update'!$B$8:$B$127,0),MATCH(INDEX('Rate &amp; Vol Update'!$E$6:$Z$6,1,MATCH(BQ14,'Rate &amp; Vol Update'!$E$6:$Z$6,1)+1),'Rate &amp; Vol Update'!$E$6:$Z$6,0))*(BQ14-INDEX('Rate &amp; Vol Update'!$E$6:$Z$6,1,MATCH(BQ14,'Rate &amp; Vol Update'!$E$6:$Z$6,1)))*(BL14-INDEX('Rate &amp; Vol Update'!$B$8:$B$127,MATCH(BL14,'Rate &amp; Vol Update'!$B$8:$B$127,1)))))*0.01%))</f>
        <v>8.4220458068991737E-3</v>
      </c>
      <c r="BT14" s="5">
        <f>IF(BK14="","",1/((1+BR14)^((BM14-'Rate &amp; Vol Update'!$C$2)/360)))</f>
        <v>0.97127276496537729</v>
      </c>
      <c r="BV14" s="15">
        <f>IF(BK14="","",IF(BL14&lt;'Rate &amp; Vol Update'!$C$2,MAX(0,BR14-BQ14)*(BN14/360)*BP14,(((IF('Adjustment Surface'!$C$2='Data Validation'!$A$2,BR14,IF('Adjustment Surface'!$C$2='Data Validation'!$A$3,BQ14,"Unknown Option Type"))-IF('Adjustment Surface'!$C$2='Data Validation'!$A$2,BQ14,IF('Adjustment Surface'!$C$2='Data Validation'!$A$3,BR14,"Unknown Option Type")))*(NORMDIST((IF('Adjustment Surface'!$C$2='Data Validation'!$A$2,BR14,IF('Adjustment Surface'!$C$2='Data Validation'!$A$3,BQ14,"Unknown Option Type"))-IF('Adjustment Surface'!$C$2='Data Validation'!$A$2,BQ14,IF('Adjustment Surface'!$C$2='Data Validation'!$A$3,BR14,"Unknown Option Type")))/(BS14*SQRT(BO14)),0,1,TRUE)))+((BS14*SQRT(BO14))*(NORMDIST((IF('Adjustment Surface'!$C$2='Data Validation'!$A$2,BR14,IF('Adjustment Surface'!$C$2='Data Validation'!$A$3,BQ14,"Unknown Option Type"))-IF('Adjustment Surface'!$C$2='Data Validation'!$A$2,BQ14,IF('Adjustment Surface'!$C$2='Data Validation'!$A$3,BR14,"Unknown Option Type")))/(BS14*SQRT(BO14)),0,1,FALSE))))*BT14*(BN14/360)*BP14))</f>
        <v>76.243061686164907</v>
      </c>
      <c r="BW14" s="15">
        <f>IF(BK14="","",SUM(BV$4:BV14))</f>
        <v>191.61202911939733</v>
      </c>
      <c r="BY14" s="15">
        <f>IF(BK14="","",IF(BL14&lt;'Rate &amp; Vol Update'!$C$2,0,((((((IF('Adjustment Surface'!$C$2='Data Validation'!$A$2,BR14,IF('Adjustment Surface'!$C$2='Data Validation'!$A$3,BQ14,"Unknown Option Type"))-IF('Adjustment Surface'!$C$2='Data Validation'!$A$2,BQ14,IF('Adjustment Surface'!$C$2='Data Validation'!$A$3,BR14,"Unknown Option Type")))*(NORMDIST((IF('Adjustment Surface'!$C$2='Data Validation'!$A$2,BR14,IF('Adjustment Surface'!$C$2='Data Validation'!$A$3,BQ14,"Unknown Option Type"))-IF('Adjustment Surface'!$C$2='Data Validation'!$A$2,BQ14,IF('Adjustment Surface'!$C$2='Data Validation'!$A$3,BR14,"Unknown Option Type")))/((BS14+0.01%)*SQRT(BO14)),0,1,TRUE)))+(((BS14+0.01%)*SQRT(BO14))*(NORMDIST((IF('Adjustment Surface'!$C$2='Data Validation'!$A$2,BR14,IF('Adjustment Surface'!$C$2='Data Validation'!$A$3,BQ14,"Unknown Option Type"))-IF('Adjustment Surface'!$C$2='Data Validation'!$A$2,BQ14,IF('Adjustment Surface'!$C$2='Data Validation'!$A$3,BR14,"Unknown Option Type")))/((BS14+0.01%)*SQRT(BO14)),0,1,FALSE))))*BT14*(BN14/360))-(BV14/BP14))*BP14)*BT14))</f>
        <v>6.6971639610225395</v>
      </c>
      <c r="BZ14" s="15">
        <f>IF(BK14="","",SUM(BY$4:BY14))</f>
        <v>20.241858605360427</v>
      </c>
      <c r="CA14" s="15"/>
      <c r="CB14" s="20"/>
      <c r="CC14" s="3">
        <v>11</v>
      </c>
      <c r="CD14" s="4">
        <f>IF(CE13=MAX('Adjustment Surface'!$C$14:$F$14),"",CE13)</f>
        <v>46367</v>
      </c>
      <c r="CE14" s="4">
        <f>IF(CD14="","",IF(CD14&lt;EDATE('Adjustment Surface'!$C$6,DATEDIF('Adjustment Surface'!$C$6,MAX('Adjustment Surface'!$C$14:$F$14),"M")),EDATE(CD$5,COUNT(CD$5:CD14)),IF(CD14=EDATE('Adjustment Surface'!$C$6,DATEDIF('Adjustment Surface'!$C$6,MAX('Adjustment Surface'!$C$14:$F$14),"M")),MAX('Adjustment Surface'!$C$14:$F$14),EDATE('Adjustment Surface'!$C$6,DATEDIF('Adjustment Surface'!$C$6,MAX('Adjustment Surface'!$C$14:$F$14),"M")))))</f>
        <v>46398</v>
      </c>
      <c r="CF14" s="3">
        <f t="shared" si="5"/>
        <v>31</v>
      </c>
      <c r="CG14" s="5">
        <f>IF(CC14="","",(CE14-'Rate &amp; Vol Update'!$C$2)/360)</f>
        <v>0.92777777777777781</v>
      </c>
      <c r="CH14" s="15">
        <f>IF(CC14="","",IF('Adjustment Surface'!$C$3='Data Validation'!$C$2,'Adjustment Surface'!$C$4,_xlfn.IFNA(IF(INDEX(Schedules!$E$3:$E$123,MATCH('Bachelier Model'!CD14,Schedules!$B$3:$B$123,0))="",CH13,INDEX(Schedules!$E$3:$E$123,MATCH('Bachelier Model'!CD14,Schedules!$B$3:$B$123,0))),CH13)))</f>
        <v>25000000</v>
      </c>
      <c r="CI14" s="16">
        <f>IF(CC14="","",'Adjustment Surface'!B$18)</f>
        <v>0.06</v>
      </c>
      <c r="CJ14" s="16" cm="1">
        <f t="array" ref="CJ14">IF(CC14="","",FORECAST(CD14,INDEX('Rate &amp; Vol Update'!$C$6:$C$127,MATCH(INDEX('Rate &amp; Vol Update'!$B$6:$B$127,MATCH(CD14,'Rate &amp; Vol Update'!$B$6:$B$127,1)),'Rate &amp; Vol Update'!$B$6:$B$127,0)+IF('Adjustment Surface'!$C$11='Data Validation'!$E$3,-1,0)):INDEX('Rate &amp; Vol Update'!$C$6:$C$127,MATCH(INDEX('Rate &amp; Vol Update'!$B$6:$B$127,MATCH(CD14,'Rate &amp; Vol Update'!$B$6:$B$127,1)+1),'Rate &amp; Vol Update'!$B$6:$B$127,0)+IF('Adjustment Surface'!$C$11='Data Validation'!$E$3,-1,0)),INDEX('Rate &amp; Vol Update'!$B$6:$B$127,MATCH(CD14,'Rate &amp; Vol Update'!$B$6:$B$127,1)):INDEX('Rate &amp; Vol Update'!$B$6:$B$127,MATCH(CD14,'Rate &amp; Vol Update'!$B$6:$B$127,1)+1))/100)</f>
        <v>3.1915661082672034E-2</v>
      </c>
      <c r="CK14" s="16" cm="1">
        <f t="array" ref="CK14">IF(CC14="","",IF(CD14&lt;'Rate &amp; Vol Update'!$C$2,0.001%,(1/((INDEX('Rate &amp; Vol Update'!$E$6:$Z$6,1,MATCH(CI14,'Rate &amp; Vol Update'!$E$6:$Z$6,1)+1)-INDEX('Rate &amp; Vol Update'!$E$6:$Z$6,1,MATCH(CI14,'Rate &amp; Vol Update'!$E$6:$Z$6,1)))*(INDEX('Rate &amp; Vol Update'!$B$8:$B$127,MATCH(CD14,'Rate &amp; Vol Update'!$B$8:$B$127,1)+1)-INDEX('Rate &amp; Vol Update'!$B$8:$B$127,MATCH(CD14,'Rate &amp; Vol Update'!$B$8:$B$127,1))))*(INDEX('Rate &amp; Vol Update'!$E$8:$Z$127,MATCH(INDEX('Rate &amp; Vol Update'!$B$8:$B$127,MATCH(CD14,'Rate &amp; Vol Update'!$B$8:$B$127,1)),'Rate &amp; Vol Update'!$B$8:$B$127,0),MATCH(INDEX('Rate &amp; Vol Update'!$E$6:$Z$6,1,MATCH(CI14,'Rate &amp; Vol Update'!$E$6:$Z$6,1)),'Rate &amp; Vol Update'!$E$6:$Z$6,0))*(INDEX('Rate &amp; Vol Update'!$E$6:$Z$6,1,MATCH(CI14,'Rate &amp; Vol Update'!$E$6:$Z$6,1)+1)-CI14)*(INDEX('Rate &amp; Vol Update'!$B$8:$B$127,MATCH(CD14,'Rate &amp; Vol Update'!$B$8:$B$127,1)+1)-CD14)+INDEX('Rate &amp; Vol Update'!$E$8:$Z$127,MATCH(INDEX('Rate &amp; Vol Update'!$B$8:$B$127,MATCH(CD14,'Rate &amp; Vol Update'!$B$8:$B$127,1)),'Rate &amp; Vol Update'!$B$8:$B$127,0),MATCH(INDEX('Rate &amp; Vol Update'!$E$6:$Z$6,1,MATCH(CI14,'Rate &amp; Vol Update'!$E$6:$Z$6,1)+1),'Rate &amp; Vol Update'!$E$6:$Z$6,0))*(CI14-INDEX('Rate &amp; Vol Update'!$E$6:$Z$6,1,MATCH(CI14,'Rate &amp; Vol Update'!$E$6:$Z$6,1)))*(INDEX('Rate &amp; Vol Update'!$B$8:$B$127,MATCH(CD14,'Rate &amp; Vol Update'!$B$8:$B$127,1)+1)-CD14)+INDEX('Rate &amp; Vol Update'!$E$8:$Z$127,MATCH(INDEX('Rate &amp; Vol Update'!$B$8:$B$127,MATCH(CD14,'Rate &amp; Vol Update'!$B$8:$B$127,1)+1),'Rate &amp; Vol Update'!$B$8:$B$127,0),MATCH(INDEX('Rate &amp; Vol Update'!$E$6:$Z$6,1,MATCH(CI14,'Rate &amp; Vol Update'!$E$6:$Z$6,1)),'Rate &amp; Vol Update'!$E$6:$Z$6,0))*(INDEX('Rate &amp; Vol Update'!$E$6:$Z$6,1,MATCH(CI14,'Rate &amp; Vol Update'!$E$6:$Z$6,1)+1)-CI14)*(CD14-INDEX('Rate &amp; Vol Update'!$B$8:$B$127,MATCH(CD14,'Rate &amp; Vol Update'!$B$8:$B$127,1)))+INDEX('Rate &amp; Vol Update'!$E$8:$Z$127,MATCH(INDEX('Rate &amp; Vol Update'!$B$8:$B$127,MATCH(CD14,'Rate &amp; Vol Update'!$B$8:$B$127,1)+1),'Rate &amp; Vol Update'!$B$8:$B$127,0),MATCH(INDEX('Rate &amp; Vol Update'!$E$6:$Z$6,1,MATCH(CI14,'Rate &amp; Vol Update'!$E$6:$Z$6,1)+1),'Rate &amp; Vol Update'!$E$6:$Z$6,0))*(CI14-INDEX('Rate &amp; Vol Update'!$E$6:$Z$6,1,MATCH(CI14,'Rate &amp; Vol Update'!$E$6:$Z$6,1)))*(CD14-INDEX('Rate &amp; Vol Update'!$B$8:$B$127,MATCH(CD14,'Rate &amp; Vol Update'!$B$8:$B$127,1)))))*0.01%))</f>
        <v>1.0477858786142762E-2</v>
      </c>
      <c r="CL14" s="5">
        <f>IF(CC14="","",1/((1+CJ14)^((CE14-'Rate &amp; Vol Update'!$C$2)/360)))</f>
        <v>0.97127276496537729</v>
      </c>
      <c r="CN14" s="15">
        <f>IF(CC14="","",IF(CD14&lt;'Rate &amp; Vol Update'!$C$2,MAX(0,CJ14-CI14)*(CF14/360)*CH14,(((IF('Adjustment Surface'!$C$2='Data Validation'!$A$2,CJ14,IF('Adjustment Surface'!$C$2='Data Validation'!$A$3,CI14,"Unknown Option Type"))-IF('Adjustment Surface'!$C$2='Data Validation'!$A$2,CI14,IF('Adjustment Surface'!$C$2='Data Validation'!$A$3,CJ14,"Unknown Option Type")))*(NORMDIST((IF('Adjustment Surface'!$C$2='Data Validation'!$A$2,CJ14,IF('Adjustment Surface'!$C$2='Data Validation'!$A$3,CI14,"Unknown Option Type"))-IF('Adjustment Surface'!$C$2='Data Validation'!$A$2,CI14,IF('Adjustment Surface'!$C$2='Data Validation'!$A$3,CJ14,"Unknown Option Type")))/(CK14*SQRT(CG14)),0,1,TRUE)))+((CK14*SQRT(CG14))*(NORMDIST((IF('Adjustment Surface'!$C$2='Data Validation'!$A$2,CJ14,IF('Adjustment Surface'!$C$2='Data Validation'!$A$3,CI14,"Unknown Option Type"))-IF('Adjustment Surface'!$C$2='Data Validation'!$A$2,CI14,IF('Adjustment Surface'!$C$2='Data Validation'!$A$3,CJ14,"Unknown Option Type")))/(CK14*SQRT(CG14)),0,1,FALSE))))*CL14*(CF14/360)*CH14))</f>
        <v>17.017884938169704</v>
      </c>
      <c r="CO14" s="15">
        <f>IF(CC14="","",SUM(CN$4:CN14))</f>
        <v>33.476513585178324</v>
      </c>
      <c r="CQ14" s="15">
        <f>IF(CC14="","",IF(CD14&lt;'Rate &amp; Vol Update'!$C$2,0,((((((IF('Adjustment Surface'!$C$2='Data Validation'!$A$2,CJ14,IF('Adjustment Surface'!$C$2='Data Validation'!$A$3,CI14,"Unknown Option Type"))-IF('Adjustment Surface'!$C$2='Data Validation'!$A$2,CI14,IF('Adjustment Surface'!$C$2='Data Validation'!$A$3,CJ14,"Unknown Option Type")))*(NORMDIST((IF('Adjustment Surface'!$C$2='Data Validation'!$A$2,CJ14,IF('Adjustment Surface'!$C$2='Data Validation'!$A$3,CI14,"Unknown Option Type"))-IF('Adjustment Surface'!$C$2='Data Validation'!$A$2,CI14,IF('Adjustment Surface'!$C$2='Data Validation'!$A$3,CJ14,"Unknown Option Type")))/((CK14+0.01%)*SQRT(CG14)),0,1,TRUE)))+(((CK14+0.01%)*SQRT(CG14))*(NORMDIST((IF('Adjustment Surface'!$C$2='Data Validation'!$A$2,CJ14,IF('Adjustment Surface'!$C$2='Data Validation'!$A$3,CI14,"Unknown Option Type"))-IF('Adjustment Surface'!$C$2='Data Validation'!$A$2,CI14,IF('Adjustment Surface'!$C$2='Data Validation'!$A$3,CJ14,"Unknown Option Type")))/((CK14+0.01%)*SQRT(CG14)),0,1,FALSE))))*CL14*(CF14/360))-(CN14/CH14))*CH14)*CL14))</f>
        <v>1.6858478560211752</v>
      </c>
      <c r="CR14" s="15">
        <f>IF(CC14="","",SUM(CQ$4:CQ14))</f>
        <v>3.7703695962863955</v>
      </c>
    </row>
    <row r="15" spans="2:96" x14ac:dyDescent="0.25">
      <c r="G15" s="28"/>
      <c r="I15" s="3">
        <v>12</v>
      </c>
      <c r="J15" s="4">
        <f>IF(K14='Adjustment Surface'!C$8,"",K14)</f>
        <v>46398</v>
      </c>
      <c r="K15" s="4">
        <f>IF(J15="","",IF(J15&lt;'Adjustment Surface'!C$7,EDATE(J$5,COUNT(J$5:J15)),IF(J15='Adjustment Surface'!C$7,'Adjustment Surface'!C$8,'Adjustment Surface'!C$7)))</f>
        <v>46429</v>
      </c>
      <c r="L15" s="3">
        <f t="shared" si="1"/>
        <v>31</v>
      </c>
      <c r="M15" s="5">
        <f>IF(I15="","",(K15-'Rate &amp; Vol Update'!$C$2)/360)</f>
        <v>1.0138888888888888</v>
      </c>
      <c r="N15" s="15">
        <f>IF(I15="","",IF('Adjustment Surface'!C$3='Data Validation'!$C$2,'Adjustment Surface'!C$4,IF(INDEX(Schedules!$E$3:$E$123,MATCH('Bachelier Model'!J15,Schedules!$B$3:$B$123,0))="",N14,INDEX(Schedules!$E$3:$E$123,MATCH('Bachelier Model'!J15,Schedules!$B$3:$B$123,0)))))</f>
        <v>25000000</v>
      </c>
      <c r="O15" s="16">
        <f>IF(I15="","",IF('Adjustment Surface'!C$9='Data Validation'!$D$2,'Adjustment Surface'!C$10,IF(INDEX(Schedules!$H$3:$H$123,MATCH('Bachelier Model'!J15,Schedules!$B$3:$B$123,0))="",O14,INDEX(Schedules!$H$3:$H$123,MATCH('Bachelier Model'!J15,Schedules!$B$3:$B$123,0)))))</f>
        <v>0.02</v>
      </c>
      <c r="P15" s="16" cm="1">
        <f t="array" ref="P15">IF(I15="","",FORECAST(J15,INDEX('Rate &amp; Vol Update'!$C$6:$C$127,MATCH(INDEX('Rate &amp; Vol Update'!$B$6:$B$127,MATCH(J15,'Rate &amp; Vol Update'!$B$6:$B$127,1)),'Rate &amp; Vol Update'!$B$6:$B$127,0)+IF('Adjustment Surface'!C$11='Data Validation'!$E$3,-1,0)):INDEX('Rate &amp; Vol Update'!$C$6:$C$127,MATCH(INDEX('Rate &amp; Vol Update'!$B$6:$B$127,MATCH(J15,'Rate &amp; Vol Update'!$B$6:$B$127,1)+1),'Rate &amp; Vol Update'!$B$6:$B$127,0)+IF('Adjustment Surface'!C$11='Data Validation'!$E$3,-1,0)),INDEX('Rate &amp; Vol Update'!$B$6:$B$127,MATCH(J15,'Rate &amp; Vol Update'!$B$6:$B$127,1)):INDEX('Rate &amp; Vol Update'!$B$6:$B$127,MATCH(J15,'Rate &amp; Vol Update'!$B$6:$B$127,1)+1))/100)</f>
        <v>3.1649566751940673E-2</v>
      </c>
      <c r="Q15" s="16" cm="1">
        <f t="array" ref="Q15">IF(I15="","",IF(J15&lt;'Rate &amp; Vol Update'!$C$2,0.001%,(1/((INDEX('Rate &amp; Vol Update'!$E$6:$Z$6,1,MATCH(O15,'Rate &amp; Vol Update'!$E$6:$Z$6,1)+1)-INDEX('Rate &amp; Vol Update'!$E$6:$Z$6,1,MATCH(O15,'Rate &amp; Vol Update'!$E$6:$Z$6,1)))*(INDEX('Rate &amp; Vol Update'!$B$8:$B$127,MATCH(J15,'Rate &amp; Vol Update'!$B$8:$B$127,1)+1)-INDEX('Rate &amp; Vol Update'!$B$8:$B$127,MATCH(J15,'Rate &amp; Vol Update'!$B$8:$B$127,1))))*(INDEX('Rate &amp; Vol Update'!$E$8:$Z$127,MATCH(INDEX('Rate &amp; Vol Update'!$B$8:$B$127,MATCH(J15,'Rate &amp; Vol Update'!$B$8:$B$127,1)),'Rate &amp; Vol Update'!$B$8:$B$127,0),MATCH(INDEX('Rate &amp; Vol Update'!$E$6:$Z$6,1,MATCH(O15,'Rate &amp; Vol Update'!$E$6:$Z$6,1)),'Rate &amp; Vol Update'!$E$6:$Z$6,0))*(INDEX('Rate &amp; Vol Update'!$E$6:$Z$6,1,MATCH(O15,'Rate &amp; Vol Update'!$E$6:$Z$6,1)+1)-O15)*(INDEX('Rate &amp; Vol Update'!$B$8:$B$127,MATCH(J15,'Rate &amp; Vol Update'!$B$8:$B$127,1)+1)-J15)+INDEX('Rate &amp; Vol Update'!$E$8:$Z$127,MATCH(INDEX('Rate &amp; Vol Update'!$B$8:$B$127,MATCH(J15,'Rate &amp; Vol Update'!$B$8:$B$127,1)),'Rate &amp; Vol Update'!$B$8:$B$127,0),MATCH(INDEX('Rate &amp; Vol Update'!$E$6:$Z$6,1,MATCH(O15,'Rate &amp; Vol Update'!$E$6:$Z$6,1)+1),'Rate &amp; Vol Update'!$E$6:$Z$6,0))*(O15-INDEX('Rate &amp; Vol Update'!$E$6:$Z$6,1,MATCH(O15,'Rate &amp; Vol Update'!$E$6:$Z$6,1)))*(INDEX('Rate &amp; Vol Update'!$B$8:$B$127,MATCH(J15,'Rate &amp; Vol Update'!$B$8:$B$127,1)+1)-J15)+INDEX('Rate &amp; Vol Update'!$E$8:$Z$127,MATCH(INDEX('Rate &amp; Vol Update'!$B$8:$B$127,MATCH(J15,'Rate &amp; Vol Update'!$B$8:$B$127,1)+1),'Rate &amp; Vol Update'!$B$8:$B$127,0),MATCH(INDEX('Rate &amp; Vol Update'!$E$6:$Z$6,1,MATCH(O15,'Rate &amp; Vol Update'!$E$6:$Z$6,1)),'Rate &amp; Vol Update'!$E$6:$Z$6,0))*(INDEX('Rate &amp; Vol Update'!$E$6:$Z$6,1,MATCH(O15,'Rate &amp; Vol Update'!$E$6:$Z$6,1)+1)-O15)*(J15-INDEX('Rate &amp; Vol Update'!$B$8:$B$127,MATCH(J15,'Rate &amp; Vol Update'!$B$8:$B$127,1)))+INDEX('Rate &amp; Vol Update'!$E$8:$Z$127,MATCH(INDEX('Rate &amp; Vol Update'!$B$8:$B$127,MATCH(J15,'Rate &amp; Vol Update'!$B$8:$B$127,1)+1),'Rate &amp; Vol Update'!$B$8:$B$127,0),MATCH(INDEX('Rate &amp; Vol Update'!$E$6:$Z$6,1,MATCH(O15,'Rate &amp; Vol Update'!$E$6:$Z$6,1)+1),'Rate &amp; Vol Update'!$E$6:$Z$6,0))*(O15-INDEX('Rate &amp; Vol Update'!$E$6:$Z$6,1,MATCH(O15,'Rate &amp; Vol Update'!$E$6:$Z$6,1)))*(J15-INDEX('Rate &amp; Vol Update'!$B$8:$B$127,MATCH(J15,'Rate &amp; Vol Update'!$B$8:$B$127,1)))))*0.01%))</f>
        <v>9.3000822714766895E-3</v>
      </c>
      <c r="R15" s="5">
        <f>IF(I15="","",1/((1+P15)^((K15-'Rate &amp; Vol Update'!$C$2)/360)))</f>
        <v>0.96890200060840848</v>
      </c>
      <c r="T15" s="15">
        <f>IF(I15="","",IF(J15&lt;'Rate &amp; Vol Update'!$C$2,MAX(0,P15-O15)*(L15/360)*N15,(((IF('Adjustment Surface'!C$2='Data Validation'!$A$2,P15,IF('Adjustment Surface'!C$2='Data Validation'!$A$3,O15,"Unknown Option Type"))-IF('Adjustment Surface'!C$2='Data Validation'!$A$2,O15,IF('Adjustment Surface'!C$2='Data Validation'!$A$3,P15,"Unknown Option Type")))*(NORMDIST((IF('Adjustment Surface'!C$2='Data Validation'!$A$2,P15,IF('Adjustment Surface'!C$2='Data Validation'!$A$3,O15,"Unknown Option Type"))-IF('Adjustment Surface'!C$2='Data Validation'!$A$2,O15,IF('Adjustment Surface'!C$2='Data Validation'!$A$3,P15,"Unknown Option Type")))/(Q15*SQRT(M15)),0,1,TRUE)))+((Q15*SQRT(M15))*(NORMDIST((IF('Adjustment Surface'!C$2='Data Validation'!$A$2,P15,IF('Adjustment Surface'!C$2='Data Validation'!$A$3,O15,"Unknown Option Type"))-IF('Adjustment Surface'!C$2='Data Validation'!$A$2,O15,IF('Adjustment Surface'!C$2='Data Validation'!$A$3,P15,"Unknown Option Type")))/(Q15*SQRT(M15)),0,1,FALSE))))*R15*(L15/360)*N15))</f>
        <v>25299.520963371597</v>
      </c>
      <c r="U15" s="15">
        <f>IF(I15="","",SUM(T$4:T15))</f>
        <v>356304.97678079951</v>
      </c>
      <c r="W15" s="15">
        <f>IF(I15="","",IF(J15&lt;'Rate &amp; Vol Update'!$C$2,0,((((((IF('Adjustment Surface'!C$2='Data Validation'!$A$2,P15,IF('Adjustment Surface'!C$2='Data Validation'!$A$3,O15,"Unknown Option Type"))-IF('Adjustment Surface'!C$2='Data Validation'!$A$2,O15,IF('Adjustment Surface'!C$2='Data Validation'!$A$3,P15,"Unknown Option Type")))*(NORMDIST((IF('Adjustment Surface'!C$2='Data Validation'!$A$2,P15,IF('Adjustment Surface'!C$2='Data Validation'!$A$3,O15,"Unknown Option Type"))-IF('Adjustment Surface'!C$2='Data Validation'!$A$2,O15,IF('Adjustment Surface'!C$2='Data Validation'!$A$3,P15,"Unknown Option Type")))/((Q15+0.01%)*SQRT(M15)),0,1,TRUE)))+(((Q15+0.01%)*SQRT(M15))*(NORMDIST((IF('Adjustment Surface'!C$2='Data Validation'!$A$2,P15,IF('Adjustment Surface'!C$2='Data Validation'!$A$3,O15,"Unknown Option Type"))-IF('Adjustment Surface'!C$2='Data Validation'!$A$2,O15,IF('Adjustment Surface'!C$2='Data Validation'!$A$3,P15,"Unknown Option Type")))/((Q15+0.01%)*SQRT(M15)),0,1,FALSE))))*R15*(L15/360))-(T15/N15))*N15)*R15))</f>
        <v>37.756294722784773</v>
      </c>
      <c r="X15" s="15">
        <f>IF(I15="","",SUM(W$4:W15))</f>
        <v>146.66892748603527</v>
      </c>
      <c r="Y15" s="15"/>
      <c r="Z15" s="20"/>
      <c r="AA15" s="3">
        <v>12</v>
      </c>
      <c r="AB15" s="4">
        <f>IF(AC14=MAX('Adjustment Surface'!$C$14:$F$14),"",AC14)</f>
        <v>46398</v>
      </c>
      <c r="AC15" s="4">
        <f>IF(AB15="","",IF(AB15&lt;EDATE('Adjustment Surface'!$C$6,DATEDIF('Adjustment Surface'!$C$6,MAX('Adjustment Surface'!$C$14:$F$14),"M")),EDATE(AB$5,COUNT(AB$5:AB15)),IF(AB15=EDATE('Adjustment Surface'!$C$6,DATEDIF('Adjustment Surface'!$C$6,MAX('Adjustment Surface'!$C$14:$F$14),"M")),MAX('Adjustment Surface'!$C$14:$F$14),EDATE('Adjustment Surface'!$C$6,DATEDIF('Adjustment Surface'!$C$6,MAX('Adjustment Surface'!$C$14:$F$14),"M")))))</f>
        <v>46429</v>
      </c>
      <c r="AD15" s="3">
        <f t="shared" si="2"/>
        <v>31</v>
      </c>
      <c r="AE15" s="5">
        <f>IF(AA15="","",(AC15-'Rate &amp; Vol Update'!$C$2)/360)</f>
        <v>1.0138888888888888</v>
      </c>
      <c r="AF15" s="15">
        <f>IF(AA15="","",IF('Adjustment Surface'!$C$3='Data Validation'!$C$2,'Adjustment Surface'!$C$4,_xlfn.IFNA(IF(INDEX(Schedules!$E$3:$E$123,MATCH('Bachelier Model'!AB15,Schedules!$B$3:$B$123,0))="",AF14,INDEX(Schedules!$E$3:$E$123,MATCH('Bachelier Model'!AB15,Schedules!$B$3:$B$123,0))),AF14)))</f>
        <v>25000000</v>
      </c>
      <c r="AG15" s="16">
        <f>IF(AA15="","",'Adjustment Surface'!B$15)</f>
        <v>0.03</v>
      </c>
      <c r="AH15" s="16" cm="1">
        <f t="array" ref="AH15">IF(AA15="","",FORECAST(AB15,INDEX('Rate &amp; Vol Update'!$C$6:$C$127,MATCH(INDEX('Rate &amp; Vol Update'!$B$6:$B$127,MATCH(AB15,'Rate &amp; Vol Update'!$B$6:$B$127,1)),'Rate &amp; Vol Update'!$B$6:$B$127,0)+IF('Adjustment Surface'!$C$11='Data Validation'!$E$3,-1,0)):INDEX('Rate &amp; Vol Update'!$C$6:$C$127,MATCH(INDEX('Rate &amp; Vol Update'!$B$6:$B$127,MATCH(AB15,'Rate &amp; Vol Update'!$B$6:$B$127,1)+1),'Rate &amp; Vol Update'!$B$6:$B$127,0)+IF('Adjustment Surface'!$C$11='Data Validation'!$E$3,-1,0)),INDEX('Rate &amp; Vol Update'!$B$6:$B$127,MATCH(AB15,'Rate &amp; Vol Update'!$B$6:$B$127,1)):INDEX('Rate &amp; Vol Update'!$B$6:$B$127,MATCH(AB15,'Rate &amp; Vol Update'!$B$6:$B$127,1)+1))/100)</f>
        <v>3.1649566751940673E-2</v>
      </c>
      <c r="AI15" s="16" cm="1">
        <f t="array" ref="AI15">IF(AA15="","",IF(AB15&lt;'Rate &amp; Vol Update'!$C$2,0.001%,(1/((INDEX('Rate &amp; Vol Update'!$E$6:$Z$6,1,MATCH(AG15,'Rate &amp; Vol Update'!$E$6:$Z$6,1)+1)-INDEX('Rate &amp; Vol Update'!$E$6:$Z$6,1,MATCH(AG15,'Rate &amp; Vol Update'!$E$6:$Z$6,1)))*(INDEX('Rate &amp; Vol Update'!$B$8:$B$127,MATCH(AB15,'Rate &amp; Vol Update'!$B$8:$B$127,1)+1)-INDEX('Rate &amp; Vol Update'!$B$8:$B$127,MATCH(AB15,'Rate &amp; Vol Update'!$B$8:$B$127,1))))*(INDEX('Rate &amp; Vol Update'!$E$8:$Z$127,MATCH(INDEX('Rate &amp; Vol Update'!$B$8:$B$127,MATCH(AB15,'Rate &amp; Vol Update'!$B$8:$B$127,1)),'Rate &amp; Vol Update'!$B$8:$B$127,0),MATCH(INDEX('Rate &amp; Vol Update'!$E$6:$Z$6,1,MATCH(AG15,'Rate &amp; Vol Update'!$E$6:$Z$6,1)),'Rate &amp; Vol Update'!$E$6:$Z$6,0))*(INDEX('Rate &amp; Vol Update'!$E$6:$Z$6,1,MATCH(AG15,'Rate &amp; Vol Update'!$E$6:$Z$6,1)+1)-AG15)*(INDEX('Rate &amp; Vol Update'!$B$8:$B$127,MATCH(AB15,'Rate &amp; Vol Update'!$B$8:$B$127,1)+1)-AB15)+INDEX('Rate &amp; Vol Update'!$E$8:$Z$127,MATCH(INDEX('Rate &amp; Vol Update'!$B$8:$B$127,MATCH(AB15,'Rate &amp; Vol Update'!$B$8:$B$127,1)),'Rate &amp; Vol Update'!$B$8:$B$127,0),MATCH(INDEX('Rate &amp; Vol Update'!$E$6:$Z$6,1,MATCH(AG15,'Rate &amp; Vol Update'!$E$6:$Z$6,1)+1),'Rate &amp; Vol Update'!$E$6:$Z$6,0))*(AG15-INDEX('Rate &amp; Vol Update'!$E$6:$Z$6,1,MATCH(AG15,'Rate &amp; Vol Update'!$E$6:$Z$6,1)))*(INDEX('Rate &amp; Vol Update'!$B$8:$B$127,MATCH(AB15,'Rate &amp; Vol Update'!$B$8:$B$127,1)+1)-AB15)+INDEX('Rate &amp; Vol Update'!$E$8:$Z$127,MATCH(INDEX('Rate &amp; Vol Update'!$B$8:$B$127,MATCH(AB15,'Rate &amp; Vol Update'!$B$8:$B$127,1)+1),'Rate &amp; Vol Update'!$B$8:$B$127,0),MATCH(INDEX('Rate &amp; Vol Update'!$E$6:$Z$6,1,MATCH(AG15,'Rate &amp; Vol Update'!$E$6:$Z$6,1)),'Rate &amp; Vol Update'!$E$6:$Z$6,0))*(INDEX('Rate &amp; Vol Update'!$E$6:$Z$6,1,MATCH(AG15,'Rate &amp; Vol Update'!$E$6:$Z$6,1)+1)-AG15)*(AB15-INDEX('Rate &amp; Vol Update'!$B$8:$B$127,MATCH(AB15,'Rate &amp; Vol Update'!$B$8:$B$127,1)))+INDEX('Rate &amp; Vol Update'!$E$8:$Z$127,MATCH(INDEX('Rate &amp; Vol Update'!$B$8:$B$127,MATCH(AB15,'Rate &amp; Vol Update'!$B$8:$B$127,1)+1),'Rate &amp; Vol Update'!$B$8:$B$127,0),MATCH(INDEX('Rate &amp; Vol Update'!$E$6:$Z$6,1,MATCH(AG15,'Rate &amp; Vol Update'!$E$6:$Z$6,1)+1),'Rate &amp; Vol Update'!$E$6:$Z$6,0))*(AG15-INDEX('Rate &amp; Vol Update'!$E$6:$Z$6,1,MATCH(AG15,'Rate &amp; Vol Update'!$E$6:$Z$6,1)))*(AB15-INDEX('Rate &amp; Vol Update'!$B$8:$B$127,MATCH(AB15,'Rate &amp; Vol Update'!$B$8:$B$127,1)))))*0.01%))</f>
        <v>7.3757113350365177E-3</v>
      </c>
      <c r="AJ15" s="5">
        <f>IF(AA15="","",1/((1+AH15)^((AC15-'Rate &amp; Vol Update'!$C$2)/360)))</f>
        <v>0.96890200060840848</v>
      </c>
      <c r="AL15" s="15">
        <f>IF(AA15="","",IF(AB15&lt;'Rate &amp; Vol Update'!$C$2,MAX(0,AH15-AG15)*(AD15/360)*AF15,(((IF('Adjustment Surface'!$C$2='Data Validation'!$A$2,AH15,IF('Adjustment Surface'!$C$2='Data Validation'!$A$3,AG15,"Unknown Option Type"))-IF('Adjustment Surface'!$C$2='Data Validation'!$A$2,AG15,IF('Adjustment Surface'!$C$2='Data Validation'!$A$3,AH15,"Unknown Option Type")))*(NORMDIST((IF('Adjustment Surface'!$C$2='Data Validation'!$A$2,AH15,IF('Adjustment Surface'!$C$2='Data Validation'!$A$3,AG15,"Unknown Option Type"))-IF('Adjustment Surface'!$C$2='Data Validation'!$A$2,AG15,IF('Adjustment Surface'!$C$2='Data Validation'!$A$3,AH15,"Unknown Option Type")))/(AI15*SQRT(AE15)),0,1,TRUE)))+((AI15*SQRT(AE15))*(NORMDIST((IF('Adjustment Surface'!$C$2='Data Validation'!$A$2,AH15,IF('Adjustment Surface'!$C$2='Data Validation'!$A$3,AG15,"Unknown Option Type"))-IF('Adjustment Surface'!$C$2='Data Validation'!$A$2,AG15,IF('Adjustment Surface'!$C$2='Data Validation'!$A$3,AH15,"Unknown Option Type")))/(AI15*SQRT(AE15)),0,1,FALSE))))*AJ15*(AD15/360)*AF15))</f>
        <v>8052.1714448147468</v>
      </c>
      <c r="AM15" s="15">
        <f>IF(AA15="","",SUM(AL$4:AL15))</f>
        <v>124523.8354512543</v>
      </c>
      <c r="AO15" s="15">
        <f>IF(AA15="","",IF(AB15&lt;'Rate &amp; Vol Update'!$C$2,0,((((((IF('Adjustment Surface'!$C$2='Data Validation'!$A$2,AH15,IF('Adjustment Surface'!$C$2='Data Validation'!$A$3,AG15,"Unknown Option Type"))-IF('Adjustment Surface'!$C$2='Data Validation'!$A$2,AG15,IF('Adjustment Surface'!$C$2='Data Validation'!$A$3,AH15,"Unknown Option Type")))*(NORMDIST((IF('Adjustment Surface'!$C$2='Data Validation'!$A$2,AH15,IF('Adjustment Surface'!$C$2='Data Validation'!$A$3,AG15,"Unknown Option Type"))-IF('Adjustment Surface'!$C$2='Data Validation'!$A$2,AG15,IF('Adjustment Surface'!$C$2='Data Validation'!$A$3,AH15,"Unknown Option Type")))/((AI15+0.01%)*SQRT(AE15)),0,1,TRUE)))+(((AI15+0.01%)*SQRT(AE15))*(NORMDIST((IF('Adjustment Surface'!$C$2='Data Validation'!$A$2,AH15,IF('Adjustment Surface'!$C$2='Data Validation'!$A$3,AG15,"Unknown Option Type"))-IF('Adjustment Surface'!$C$2='Data Validation'!$A$2,AG15,IF('Adjustment Surface'!$C$2='Data Validation'!$A$3,AH15,"Unknown Option Type")))/((AI15+0.01%)*SQRT(AE15)),0,1,FALSE))))*AJ15*(AD15/360))-(AL15/AF15))*AF15)*AJ15))</f>
        <v>79.230945054995686</v>
      </c>
      <c r="AP15" s="15">
        <f>IF(AA15="","",SUM(AO$4:AO15))</f>
        <v>490.52211634920224</v>
      </c>
      <c r="AQ15" s="15"/>
      <c r="AR15" s="20"/>
      <c r="AS15" s="3">
        <v>12</v>
      </c>
      <c r="AT15" s="4">
        <f>IF(AU14=MAX('Adjustment Surface'!$C$14:$F$14),"",AU14)</f>
        <v>46398</v>
      </c>
      <c r="AU15" s="4">
        <f>IF(AT15="","",IF(AT15&lt;EDATE('Adjustment Surface'!$C$6,DATEDIF('Adjustment Surface'!$C$6,MAX('Adjustment Surface'!$C$14:$F$14),"M")),EDATE(AT$5,COUNT(AT$5:AT15)),IF(AT15=EDATE('Adjustment Surface'!$C$6,DATEDIF('Adjustment Surface'!$C$6,MAX('Adjustment Surface'!$C$14:$F$14),"M")),MAX('Adjustment Surface'!$C$14:$F$14),EDATE('Adjustment Surface'!$C$6,DATEDIF('Adjustment Surface'!$C$6,MAX('Adjustment Surface'!$C$14:$F$14),"M")))))</f>
        <v>46429</v>
      </c>
      <c r="AV15" s="3">
        <f t="shared" si="3"/>
        <v>31</v>
      </c>
      <c r="AW15" s="5">
        <f>IF(AS15="","",(AU15-'Rate &amp; Vol Update'!$C$2)/360)</f>
        <v>1.0138888888888888</v>
      </c>
      <c r="AX15" s="15">
        <f>IF(AS15="","",IF('Adjustment Surface'!$C$3='Data Validation'!$C$2,'Adjustment Surface'!$C$4,_xlfn.IFNA(IF(INDEX(Schedules!$E$3:$E$123,MATCH('Bachelier Model'!AT15,Schedules!$B$3:$B$123,0))="",AX14,INDEX(Schedules!$E$3:$E$123,MATCH('Bachelier Model'!AT15,Schedules!$B$3:$B$123,0))),AX14)))</f>
        <v>25000000</v>
      </c>
      <c r="AY15" s="16">
        <f>IF(AS15="","",'Adjustment Surface'!B$16)</f>
        <v>0.04</v>
      </c>
      <c r="AZ15" s="16" cm="1">
        <f t="array" ref="AZ15">IF(AS15="","",FORECAST(AT15,INDEX('Rate &amp; Vol Update'!$C$6:$C$127,MATCH(INDEX('Rate &amp; Vol Update'!$B$6:$B$127,MATCH(AT15,'Rate &amp; Vol Update'!$B$6:$B$127,1)),'Rate &amp; Vol Update'!$B$6:$B$127,0)+IF('Adjustment Surface'!$C$11='Data Validation'!$E$3,-1,0)):INDEX('Rate &amp; Vol Update'!$C$6:$C$127,MATCH(INDEX('Rate &amp; Vol Update'!$B$6:$B$127,MATCH(AT15,'Rate &amp; Vol Update'!$B$6:$B$127,1)+1),'Rate &amp; Vol Update'!$B$6:$B$127,0)+IF('Adjustment Surface'!$C$11='Data Validation'!$E$3,-1,0)),INDEX('Rate &amp; Vol Update'!$B$6:$B$127,MATCH(AT15,'Rate &amp; Vol Update'!$B$6:$B$127,1)):INDEX('Rate &amp; Vol Update'!$B$6:$B$127,MATCH(AT15,'Rate &amp; Vol Update'!$B$6:$B$127,1)+1))/100)</f>
        <v>3.1649566751940673E-2</v>
      </c>
      <c r="BA15" s="16" cm="1">
        <f t="array" ref="BA15">IF(AS15="","",IF(AT15&lt;'Rate &amp; Vol Update'!$C$2,0.001%,(1/((INDEX('Rate &amp; Vol Update'!$E$6:$Z$6,1,MATCH(AY15,'Rate &amp; Vol Update'!$E$6:$Z$6,1)+1)-INDEX('Rate &amp; Vol Update'!$E$6:$Z$6,1,MATCH(AY15,'Rate &amp; Vol Update'!$E$6:$Z$6,1)))*(INDEX('Rate &amp; Vol Update'!$B$8:$B$127,MATCH(AT15,'Rate &amp; Vol Update'!$B$8:$B$127,1)+1)-INDEX('Rate &amp; Vol Update'!$B$8:$B$127,MATCH(AT15,'Rate &amp; Vol Update'!$B$8:$B$127,1))))*(INDEX('Rate &amp; Vol Update'!$E$8:$Z$127,MATCH(INDEX('Rate &amp; Vol Update'!$B$8:$B$127,MATCH(AT15,'Rate &amp; Vol Update'!$B$8:$B$127,1)),'Rate &amp; Vol Update'!$B$8:$B$127,0),MATCH(INDEX('Rate &amp; Vol Update'!$E$6:$Z$6,1,MATCH(AY15,'Rate &amp; Vol Update'!$E$6:$Z$6,1)),'Rate &amp; Vol Update'!$E$6:$Z$6,0))*(INDEX('Rate &amp; Vol Update'!$E$6:$Z$6,1,MATCH(AY15,'Rate &amp; Vol Update'!$E$6:$Z$6,1)+1)-AY15)*(INDEX('Rate &amp; Vol Update'!$B$8:$B$127,MATCH(AT15,'Rate &amp; Vol Update'!$B$8:$B$127,1)+1)-AT15)+INDEX('Rate &amp; Vol Update'!$E$8:$Z$127,MATCH(INDEX('Rate &amp; Vol Update'!$B$8:$B$127,MATCH(AT15,'Rate &amp; Vol Update'!$B$8:$B$127,1)),'Rate &amp; Vol Update'!$B$8:$B$127,0),MATCH(INDEX('Rate &amp; Vol Update'!$E$6:$Z$6,1,MATCH(AY15,'Rate &amp; Vol Update'!$E$6:$Z$6,1)+1),'Rate &amp; Vol Update'!$E$6:$Z$6,0))*(AY15-INDEX('Rate &amp; Vol Update'!$E$6:$Z$6,1,MATCH(AY15,'Rate &amp; Vol Update'!$E$6:$Z$6,1)))*(INDEX('Rate &amp; Vol Update'!$B$8:$B$127,MATCH(AT15,'Rate &amp; Vol Update'!$B$8:$B$127,1)+1)-AT15)+INDEX('Rate &amp; Vol Update'!$E$8:$Z$127,MATCH(INDEX('Rate &amp; Vol Update'!$B$8:$B$127,MATCH(AT15,'Rate &amp; Vol Update'!$B$8:$B$127,1)+1),'Rate &amp; Vol Update'!$B$8:$B$127,0),MATCH(INDEX('Rate &amp; Vol Update'!$E$6:$Z$6,1,MATCH(AY15,'Rate &amp; Vol Update'!$E$6:$Z$6,1)),'Rate &amp; Vol Update'!$E$6:$Z$6,0))*(INDEX('Rate &amp; Vol Update'!$E$6:$Z$6,1,MATCH(AY15,'Rate &amp; Vol Update'!$E$6:$Z$6,1)+1)-AY15)*(AT15-INDEX('Rate &amp; Vol Update'!$B$8:$B$127,MATCH(AT15,'Rate &amp; Vol Update'!$B$8:$B$127,1)))+INDEX('Rate &amp; Vol Update'!$E$8:$Z$127,MATCH(INDEX('Rate &amp; Vol Update'!$B$8:$B$127,MATCH(AT15,'Rate &amp; Vol Update'!$B$8:$B$127,1)+1),'Rate &amp; Vol Update'!$B$8:$B$127,0),MATCH(INDEX('Rate &amp; Vol Update'!$E$6:$Z$6,1,MATCH(AY15,'Rate &amp; Vol Update'!$E$6:$Z$6,1)+1),'Rate &amp; Vol Update'!$E$6:$Z$6,0))*(AY15-INDEX('Rate &amp; Vol Update'!$E$6:$Z$6,1,MATCH(AY15,'Rate &amp; Vol Update'!$E$6:$Z$6,1)))*(AT15-INDEX('Rate &amp; Vol Update'!$B$8:$B$127,MATCH(AT15,'Rate &amp; Vol Update'!$B$8:$B$127,1)))))*0.01%))</f>
        <v>7.0991855345182518E-3</v>
      </c>
      <c r="BB15" s="5">
        <f>IF(AS15="","",1/((1+AZ15)^((AU15-'Rate &amp; Vol Update'!$C$2)/360)))</f>
        <v>0.96890200060840848</v>
      </c>
      <c r="BD15" s="15">
        <f>IF(AS15="","",IF(AT15&lt;'Rate &amp; Vol Update'!$C$2,MAX(0,AZ15-AY15)*(AV15/360)*AX15,(((IF('Adjustment Surface'!$C$2='Data Validation'!$A$2,AZ15,IF('Adjustment Surface'!$C$2='Data Validation'!$A$3,AY15,"Unknown Option Type"))-IF('Adjustment Surface'!$C$2='Data Validation'!$A$2,AY15,IF('Adjustment Surface'!$C$2='Data Validation'!$A$3,AZ15,"Unknown Option Type")))*(NORMDIST((IF('Adjustment Surface'!$C$2='Data Validation'!$A$2,AZ15,IF('Adjustment Surface'!$C$2='Data Validation'!$A$3,AY15,"Unknown Option Type"))-IF('Adjustment Surface'!$C$2='Data Validation'!$A$2,AY15,IF('Adjustment Surface'!$C$2='Data Validation'!$A$3,AZ15,"Unknown Option Type")))/(BA15*SQRT(AW15)),0,1,TRUE)))+((BA15*SQRT(AW15))*(NORMDIST((IF('Adjustment Surface'!$C$2='Data Validation'!$A$2,AZ15,IF('Adjustment Surface'!$C$2='Data Validation'!$A$3,AY15,"Unknown Option Type"))-IF('Adjustment Surface'!$C$2='Data Validation'!$A$2,AY15,IF('Adjustment Surface'!$C$2='Data Validation'!$A$3,AZ15,"Unknown Option Type")))/(BA15*SQRT(AW15)),0,1,FALSE))))*BB15*(AV15/360)*AX15))</f>
        <v>892.59749761272292</v>
      </c>
      <c r="BE15" s="15">
        <f>IF(AS15="","",SUM(BD$4:BD15))</f>
        <v>5325.380319487309</v>
      </c>
      <c r="BG15" s="15">
        <f>IF(AS15="","",IF(AT15&lt;'Rate &amp; Vol Update'!$C$2,0,((((((IF('Adjustment Surface'!$C$2='Data Validation'!$A$2,AZ15,IF('Adjustment Surface'!$C$2='Data Validation'!$A$3,AY15,"Unknown Option Type"))-IF('Adjustment Surface'!$C$2='Data Validation'!$A$2,AY15,IF('Adjustment Surface'!$C$2='Data Validation'!$A$3,AZ15,"Unknown Option Type")))*(NORMDIST((IF('Adjustment Surface'!$C$2='Data Validation'!$A$2,AZ15,IF('Adjustment Surface'!$C$2='Data Validation'!$A$3,AY15,"Unknown Option Type"))-IF('Adjustment Surface'!$C$2='Data Validation'!$A$2,AY15,IF('Adjustment Surface'!$C$2='Data Validation'!$A$3,AZ15,"Unknown Option Type")))/((BA15+0.01%)*SQRT(AW15)),0,1,TRUE)))+(((BA15+0.01%)*SQRT(AW15))*(NORMDIST((IF('Adjustment Surface'!$C$2='Data Validation'!$A$2,AZ15,IF('Adjustment Surface'!$C$2='Data Validation'!$A$3,AY15,"Unknown Option Type"))-IF('Adjustment Surface'!$C$2='Data Validation'!$A$2,AY15,IF('Adjustment Surface'!$C$2='Data Validation'!$A$3,AZ15,"Unknown Option Type")))/((BA15+0.01%)*SQRT(AW15)),0,1,FALSE))))*BB15*(AV15/360))-(BD15/AX15))*AX15)*BB15))</f>
        <v>41.425134619070604</v>
      </c>
      <c r="BH15" s="15">
        <f>IF(AS15="","",SUM(BG$4:BG15))</f>
        <v>302.44346193241211</v>
      </c>
      <c r="BI15" s="15"/>
      <c r="BJ15" s="20"/>
      <c r="BK15" s="3">
        <v>12</v>
      </c>
      <c r="BL15" s="4">
        <f>IF(BM14=MAX('Adjustment Surface'!$C$14:$F$14),"",BM14)</f>
        <v>46398</v>
      </c>
      <c r="BM15" s="4">
        <f>IF(BL15="","",IF(BL15&lt;EDATE('Adjustment Surface'!$C$6,DATEDIF('Adjustment Surface'!$C$6,MAX('Adjustment Surface'!$C$14:$F$14),"M")),EDATE(BL$5,COUNT(BL$5:BL15)),IF(BL15=EDATE('Adjustment Surface'!$C$6,DATEDIF('Adjustment Surface'!$C$6,MAX('Adjustment Surface'!$C$14:$F$14),"M")),MAX('Adjustment Surface'!$C$14:$F$14),EDATE('Adjustment Surface'!$C$6,DATEDIF('Adjustment Surface'!$C$6,MAX('Adjustment Surface'!$C$14:$F$14),"M")))))</f>
        <v>46429</v>
      </c>
      <c r="BN15" s="3">
        <f t="shared" si="4"/>
        <v>31</v>
      </c>
      <c r="BO15" s="5">
        <f>IF(BK15="","",(BM15-'Rate &amp; Vol Update'!$C$2)/360)</f>
        <v>1.0138888888888888</v>
      </c>
      <c r="BP15" s="15">
        <f>IF(BK15="","",IF('Adjustment Surface'!$C$3='Data Validation'!$C$2,'Adjustment Surface'!$C$4,_xlfn.IFNA(IF(INDEX(Schedules!$E$3:$E$123,MATCH('Bachelier Model'!BL15,Schedules!$B$3:$B$123,0))="",BP14,INDEX(Schedules!$E$3:$E$123,MATCH('Bachelier Model'!BL15,Schedules!$B$3:$B$123,0))),BP14)))</f>
        <v>25000000</v>
      </c>
      <c r="BQ15" s="16">
        <f>IF(BK15="","",'Adjustment Surface'!B$17)</f>
        <v>0.05</v>
      </c>
      <c r="BR15" s="16" cm="1">
        <f t="array" ref="BR15">IF(BK15="","",FORECAST(BL15,INDEX('Rate &amp; Vol Update'!$C$6:$C$127,MATCH(INDEX('Rate &amp; Vol Update'!$B$6:$B$127,MATCH(BL15,'Rate &amp; Vol Update'!$B$6:$B$127,1)),'Rate &amp; Vol Update'!$B$6:$B$127,0)+IF('Adjustment Surface'!$C$11='Data Validation'!$E$3,-1,0)):INDEX('Rate &amp; Vol Update'!$C$6:$C$127,MATCH(INDEX('Rate &amp; Vol Update'!$B$6:$B$127,MATCH(BL15,'Rate &amp; Vol Update'!$B$6:$B$127,1)+1),'Rate &amp; Vol Update'!$B$6:$B$127,0)+IF('Adjustment Surface'!$C$11='Data Validation'!$E$3,-1,0)),INDEX('Rate &amp; Vol Update'!$B$6:$B$127,MATCH(BL15,'Rate &amp; Vol Update'!$B$6:$B$127,1)):INDEX('Rate &amp; Vol Update'!$B$6:$B$127,MATCH(BL15,'Rate &amp; Vol Update'!$B$6:$B$127,1)+1))/100)</f>
        <v>3.1649566751940673E-2</v>
      </c>
      <c r="BS15" s="16" cm="1">
        <f t="array" ref="BS15">IF(BK15="","",IF(BL15&lt;'Rate &amp; Vol Update'!$C$2,0.001%,(1/((INDEX('Rate &amp; Vol Update'!$E$6:$Z$6,1,MATCH(BQ15,'Rate &amp; Vol Update'!$E$6:$Z$6,1)+1)-INDEX('Rate &amp; Vol Update'!$E$6:$Z$6,1,MATCH(BQ15,'Rate &amp; Vol Update'!$E$6:$Z$6,1)))*(INDEX('Rate &amp; Vol Update'!$B$8:$B$127,MATCH(BL15,'Rate &amp; Vol Update'!$B$8:$B$127,1)+1)-INDEX('Rate &amp; Vol Update'!$B$8:$B$127,MATCH(BL15,'Rate &amp; Vol Update'!$B$8:$B$127,1))))*(INDEX('Rate &amp; Vol Update'!$E$8:$Z$127,MATCH(INDEX('Rate &amp; Vol Update'!$B$8:$B$127,MATCH(BL15,'Rate &amp; Vol Update'!$B$8:$B$127,1)),'Rate &amp; Vol Update'!$B$8:$B$127,0),MATCH(INDEX('Rate &amp; Vol Update'!$E$6:$Z$6,1,MATCH(BQ15,'Rate &amp; Vol Update'!$E$6:$Z$6,1)),'Rate &amp; Vol Update'!$E$6:$Z$6,0))*(INDEX('Rate &amp; Vol Update'!$E$6:$Z$6,1,MATCH(BQ15,'Rate &amp; Vol Update'!$E$6:$Z$6,1)+1)-BQ15)*(INDEX('Rate &amp; Vol Update'!$B$8:$B$127,MATCH(BL15,'Rate &amp; Vol Update'!$B$8:$B$127,1)+1)-BL15)+INDEX('Rate &amp; Vol Update'!$E$8:$Z$127,MATCH(INDEX('Rate &amp; Vol Update'!$B$8:$B$127,MATCH(BL15,'Rate &amp; Vol Update'!$B$8:$B$127,1)),'Rate &amp; Vol Update'!$B$8:$B$127,0),MATCH(INDEX('Rate &amp; Vol Update'!$E$6:$Z$6,1,MATCH(BQ15,'Rate &amp; Vol Update'!$E$6:$Z$6,1)+1),'Rate &amp; Vol Update'!$E$6:$Z$6,0))*(BQ15-INDEX('Rate &amp; Vol Update'!$E$6:$Z$6,1,MATCH(BQ15,'Rate &amp; Vol Update'!$E$6:$Z$6,1)))*(INDEX('Rate &amp; Vol Update'!$B$8:$B$127,MATCH(BL15,'Rate &amp; Vol Update'!$B$8:$B$127,1)+1)-BL15)+INDEX('Rate &amp; Vol Update'!$E$8:$Z$127,MATCH(INDEX('Rate &amp; Vol Update'!$B$8:$B$127,MATCH(BL15,'Rate &amp; Vol Update'!$B$8:$B$127,1)+1),'Rate &amp; Vol Update'!$B$8:$B$127,0),MATCH(INDEX('Rate &amp; Vol Update'!$E$6:$Z$6,1,MATCH(BQ15,'Rate &amp; Vol Update'!$E$6:$Z$6,1)),'Rate &amp; Vol Update'!$E$6:$Z$6,0))*(INDEX('Rate &amp; Vol Update'!$E$6:$Z$6,1,MATCH(BQ15,'Rate &amp; Vol Update'!$E$6:$Z$6,1)+1)-BQ15)*(BL15-INDEX('Rate &amp; Vol Update'!$B$8:$B$127,MATCH(BL15,'Rate &amp; Vol Update'!$B$8:$B$127,1)))+INDEX('Rate &amp; Vol Update'!$E$8:$Z$127,MATCH(INDEX('Rate &amp; Vol Update'!$B$8:$B$127,MATCH(BL15,'Rate &amp; Vol Update'!$B$8:$B$127,1)+1),'Rate &amp; Vol Update'!$B$8:$B$127,0),MATCH(INDEX('Rate &amp; Vol Update'!$E$6:$Z$6,1,MATCH(BQ15,'Rate &amp; Vol Update'!$E$6:$Z$6,1)+1),'Rate &amp; Vol Update'!$E$6:$Z$6,0))*(BQ15-INDEX('Rate &amp; Vol Update'!$E$6:$Z$6,1,MATCH(BQ15,'Rate &amp; Vol Update'!$E$6:$Z$6,1)))*(BL15-INDEX('Rate &amp; Vol Update'!$B$8:$B$127,MATCH(BL15,'Rate &amp; Vol Update'!$B$8:$B$127,1)))))*0.01%))</f>
        <v>8.7447672042578629E-3</v>
      </c>
      <c r="BT15" s="5">
        <f>IF(BK15="","",1/((1+BR15)^((BM15-'Rate &amp; Vol Update'!$C$2)/360)))</f>
        <v>0.96890200060840848</v>
      </c>
      <c r="BV15" s="15">
        <f>IF(BK15="","",IF(BL15&lt;'Rate &amp; Vol Update'!$C$2,MAX(0,BR15-BQ15)*(BN15/360)*BP15,(((IF('Adjustment Surface'!$C$2='Data Validation'!$A$2,BR15,IF('Adjustment Surface'!$C$2='Data Validation'!$A$3,BQ15,"Unknown Option Type"))-IF('Adjustment Surface'!$C$2='Data Validation'!$A$2,BQ15,IF('Adjustment Surface'!$C$2='Data Validation'!$A$3,BR15,"Unknown Option Type")))*(NORMDIST((IF('Adjustment Surface'!$C$2='Data Validation'!$A$2,BR15,IF('Adjustment Surface'!$C$2='Data Validation'!$A$3,BQ15,"Unknown Option Type"))-IF('Adjustment Surface'!$C$2='Data Validation'!$A$2,BQ15,IF('Adjustment Surface'!$C$2='Data Validation'!$A$3,BR15,"Unknown Option Type")))/(BS15*SQRT(BO15)),0,1,TRUE)))+((BS15*SQRT(BO15))*(NORMDIST((IF('Adjustment Surface'!$C$2='Data Validation'!$A$2,BR15,IF('Adjustment Surface'!$C$2='Data Validation'!$A$3,BQ15,"Unknown Option Type"))-IF('Adjustment Surface'!$C$2='Data Validation'!$A$2,BQ15,IF('Adjustment Surface'!$C$2='Data Validation'!$A$3,BR15,"Unknown Option Type")))/(BS15*SQRT(BO15)),0,1,FALSE))))*BT15*(BN15/360)*BP15))</f>
        <v>124.14495425707696</v>
      </c>
      <c r="BW15" s="15">
        <f>IF(BK15="","",SUM(BV$4:BV15))</f>
        <v>315.7569833764743</v>
      </c>
      <c r="BY15" s="15">
        <f>IF(BK15="","",IF(BL15&lt;'Rate &amp; Vol Update'!$C$2,0,((((((IF('Adjustment Surface'!$C$2='Data Validation'!$A$2,BR15,IF('Adjustment Surface'!$C$2='Data Validation'!$A$3,BQ15,"Unknown Option Type"))-IF('Adjustment Surface'!$C$2='Data Validation'!$A$2,BQ15,IF('Adjustment Surface'!$C$2='Data Validation'!$A$3,BR15,"Unknown Option Type")))*(NORMDIST((IF('Adjustment Surface'!$C$2='Data Validation'!$A$2,BR15,IF('Adjustment Surface'!$C$2='Data Validation'!$A$3,BQ15,"Unknown Option Type"))-IF('Adjustment Surface'!$C$2='Data Validation'!$A$2,BQ15,IF('Adjustment Surface'!$C$2='Data Validation'!$A$3,BR15,"Unknown Option Type")))/((BS15+0.01%)*SQRT(BO15)),0,1,TRUE)))+(((BS15+0.01%)*SQRT(BO15))*(NORMDIST((IF('Adjustment Surface'!$C$2='Data Validation'!$A$2,BR15,IF('Adjustment Surface'!$C$2='Data Validation'!$A$3,BQ15,"Unknown Option Type"))-IF('Adjustment Surface'!$C$2='Data Validation'!$A$2,BQ15,IF('Adjustment Surface'!$C$2='Data Validation'!$A$3,BR15,"Unknown Option Type")))/((BS15+0.01%)*SQRT(BO15)),0,1,FALSE))))*BT15*(BN15/360))-(BV15/BP15))*BP15)*BT15))</f>
        <v>9.4856054109031103</v>
      </c>
      <c r="BZ15" s="15">
        <f>IF(BK15="","",SUM(BY$4:BY15))</f>
        <v>29.727464016263539</v>
      </c>
      <c r="CA15" s="15"/>
      <c r="CB15" s="20"/>
      <c r="CC15" s="3">
        <v>12</v>
      </c>
      <c r="CD15" s="4">
        <f>IF(CE14=MAX('Adjustment Surface'!$C$14:$F$14),"",CE14)</f>
        <v>46398</v>
      </c>
      <c r="CE15" s="4">
        <f>IF(CD15="","",IF(CD15&lt;EDATE('Adjustment Surface'!$C$6,DATEDIF('Adjustment Surface'!$C$6,MAX('Adjustment Surface'!$C$14:$F$14),"M")),EDATE(CD$5,COUNT(CD$5:CD15)),IF(CD15=EDATE('Adjustment Surface'!$C$6,DATEDIF('Adjustment Surface'!$C$6,MAX('Adjustment Surface'!$C$14:$F$14),"M")),MAX('Adjustment Surface'!$C$14:$F$14),EDATE('Adjustment Surface'!$C$6,DATEDIF('Adjustment Surface'!$C$6,MAX('Adjustment Surface'!$C$14:$F$14),"M")))))</f>
        <v>46429</v>
      </c>
      <c r="CF15" s="3">
        <f t="shared" si="5"/>
        <v>31</v>
      </c>
      <c r="CG15" s="5">
        <f>IF(CC15="","",(CE15-'Rate &amp; Vol Update'!$C$2)/360)</f>
        <v>1.0138888888888888</v>
      </c>
      <c r="CH15" s="15">
        <f>IF(CC15="","",IF('Adjustment Surface'!$C$3='Data Validation'!$C$2,'Adjustment Surface'!$C$4,_xlfn.IFNA(IF(INDEX(Schedules!$E$3:$E$123,MATCH('Bachelier Model'!CD15,Schedules!$B$3:$B$123,0))="",CH14,INDEX(Schedules!$E$3:$E$123,MATCH('Bachelier Model'!CD15,Schedules!$B$3:$B$123,0))),CH14)))</f>
        <v>25000000</v>
      </c>
      <c r="CI15" s="16">
        <f>IF(CC15="","",'Adjustment Surface'!B$18)</f>
        <v>0.06</v>
      </c>
      <c r="CJ15" s="16" cm="1">
        <f t="array" ref="CJ15">IF(CC15="","",FORECAST(CD15,INDEX('Rate &amp; Vol Update'!$C$6:$C$127,MATCH(INDEX('Rate &amp; Vol Update'!$B$6:$B$127,MATCH(CD15,'Rate &amp; Vol Update'!$B$6:$B$127,1)),'Rate &amp; Vol Update'!$B$6:$B$127,0)+IF('Adjustment Surface'!$C$11='Data Validation'!$E$3,-1,0)):INDEX('Rate &amp; Vol Update'!$C$6:$C$127,MATCH(INDEX('Rate &amp; Vol Update'!$B$6:$B$127,MATCH(CD15,'Rate &amp; Vol Update'!$B$6:$B$127,1)+1),'Rate &amp; Vol Update'!$B$6:$B$127,0)+IF('Adjustment Surface'!$C$11='Data Validation'!$E$3,-1,0)),INDEX('Rate &amp; Vol Update'!$B$6:$B$127,MATCH(CD15,'Rate &amp; Vol Update'!$B$6:$B$127,1)):INDEX('Rate &amp; Vol Update'!$B$6:$B$127,MATCH(CD15,'Rate &amp; Vol Update'!$B$6:$B$127,1)+1))/100)</f>
        <v>3.1649566751940673E-2</v>
      </c>
      <c r="CK15" s="16" cm="1">
        <f t="array" ref="CK15">IF(CC15="","",IF(CD15&lt;'Rate &amp; Vol Update'!$C$2,0.001%,(1/((INDEX('Rate &amp; Vol Update'!$E$6:$Z$6,1,MATCH(CI15,'Rate &amp; Vol Update'!$E$6:$Z$6,1)+1)-INDEX('Rate &amp; Vol Update'!$E$6:$Z$6,1,MATCH(CI15,'Rate &amp; Vol Update'!$E$6:$Z$6,1)))*(INDEX('Rate &amp; Vol Update'!$B$8:$B$127,MATCH(CD15,'Rate &amp; Vol Update'!$B$8:$B$127,1)+1)-INDEX('Rate &amp; Vol Update'!$B$8:$B$127,MATCH(CD15,'Rate &amp; Vol Update'!$B$8:$B$127,1))))*(INDEX('Rate &amp; Vol Update'!$E$8:$Z$127,MATCH(INDEX('Rate &amp; Vol Update'!$B$8:$B$127,MATCH(CD15,'Rate &amp; Vol Update'!$B$8:$B$127,1)),'Rate &amp; Vol Update'!$B$8:$B$127,0),MATCH(INDEX('Rate &amp; Vol Update'!$E$6:$Z$6,1,MATCH(CI15,'Rate &amp; Vol Update'!$E$6:$Z$6,1)),'Rate &amp; Vol Update'!$E$6:$Z$6,0))*(INDEX('Rate &amp; Vol Update'!$E$6:$Z$6,1,MATCH(CI15,'Rate &amp; Vol Update'!$E$6:$Z$6,1)+1)-CI15)*(INDEX('Rate &amp; Vol Update'!$B$8:$B$127,MATCH(CD15,'Rate &amp; Vol Update'!$B$8:$B$127,1)+1)-CD15)+INDEX('Rate &amp; Vol Update'!$E$8:$Z$127,MATCH(INDEX('Rate &amp; Vol Update'!$B$8:$B$127,MATCH(CD15,'Rate &amp; Vol Update'!$B$8:$B$127,1)),'Rate &amp; Vol Update'!$B$8:$B$127,0),MATCH(INDEX('Rate &amp; Vol Update'!$E$6:$Z$6,1,MATCH(CI15,'Rate &amp; Vol Update'!$E$6:$Z$6,1)+1),'Rate &amp; Vol Update'!$E$6:$Z$6,0))*(CI15-INDEX('Rate &amp; Vol Update'!$E$6:$Z$6,1,MATCH(CI15,'Rate &amp; Vol Update'!$E$6:$Z$6,1)))*(INDEX('Rate &amp; Vol Update'!$B$8:$B$127,MATCH(CD15,'Rate &amp; Vol Update'!$B$8:$B$127,1)+1)-CD15)+INDEX('Rate &amp; Vol Update'!$E$8:$Z$127,MATCH(INDEX('Rate &amp; Vol Update'!$B$8:$B$127,MATCH(CD15,'Rate &amp; Vol Update'!$B$8:$B$127,1)+1),'Rate &amp; Vol Update'!$B$8:$B$127,0),MATCH(INDEX('Rate &amp; Vol Update'!$E$6:$Z$6,1,MATCH(CI15,'Rate &amp; Vol Update'!$E$6:$Z$6,1)),'Rate &amp; Vol Update'!$E$6:$Z$6,0))*(INDEX('Rate &amp; Vol Update'!$E$6:$Z$6,1,MATCH(CI15,'Rate &amp; Vol Update'!$E$6:$Z$6,1)+1)-CI15)*(CD15-INDEX('Rate &amp; Vol Update'!$B$8:$B$127,MATCH(CD15,'Rate &amp; Vol Update'!$B$8:$B$127,1)))+INDEX('Rate &amp; Vol Update'!$E$8:$Z$127,MATCH(INDEX('Rate &amp; Vol Update'!$B$8:$B$127,MATCH(CD15,'Rate &amp; Vol Update'!$B$8:$B$127,1)+1),'Rate &amp; Vol Update'!$B$8:$B$127,0),MATCH(INDEX('Rate &amp; Vol Update'!$E$6:$Z$6,1,MATCH(CI15,'Rate &amp; Vol Update'!$E$6:$Z$6,1)+1),'Rate &amp; Vol Update'!$E$6:$Z$6,0))*(CI15-INDEX('Rate &amp; Vol Update'!$E$6:$Z$6,1,MATCH(CI15,'Rate &amp; Vol Update'!$E$6:$Z$6,1)))*(CD15-INDEX('Rate &amp; Vol Update'!$B$8:$B$127,MATCH(CD15,'Rate &amp; Vol Update'!$B$8:$B$127,1)))))*0.01%))</f>
        <v>1.0762524295760148E-2</v>
      </c>
      <c r="CL15" s="5">
        <f>IF(CC15="","",1/((1+CJ15)^((CE15-'Rate &amp; Vol Update'!$C$2)/360)))</f>
        <v>0.96890200060840848</v>
      </c>
      <c r="CN15" s="15">
        <f>IF(CC15="","",IF(CD15&lt;'Rate &amp; Vol Update'!$C$2,MAX(0,CJ15-CI15)*(CF15/360)*CH15,(((IF('Adjustment Surface'!$C$2='Data Validation'!$A$2,CJ15,IF('Adjustment Surface'!$C$2='Data Validation'!$A$3,CI15,"Unknown Option Type"))-IF('Adjustment Surface'!$C$2='Data Validation'!$A$2,CI15,IF('Adjustment Surface'!$C$2='Data Validation'!$A$3,CJ15,"Unknown Option Type")))*(NORMDIST((IF('Adjustment Surface'!$C$2='Data Validation'!$A$2,CJ15,IF('Adjustment Surface'!$C$2='Data Validation'!$A$3,CI15,"Unknown Option Type"))-IF('Adjustment Surface'!$C$2='Data Validation'!$A$2,CI15,IF('Adjustment Surface'!$C$2='Data Validation'!$A$3,CJ15,"Unknown Option Type")))/(CK15*SQRT(CG15)),0,1,TRUE)))+((CK15*SQRT(CG15))*(NORMDIST((IF('Adjustment Surface'!$C$2='Data Validation'!$A$2,CJ15,IF('Adjustment Surface'!$C$2='Data Validation'!$A$3,CI15,"Unknown Option Type"))-IF('Adjustment Surface'!$C$2='Data Validation'!$A$2,CI15,IF('Adjustment Surface'!$C$2='Data Validation'!$A$3,CJ15,"Unknown Option Type")))/(CK15*SQRT(CG15)),0,1,FALSE))))*CL15*(CF15/360)*CH15))</f>
        <v>31.435099610625208</v>
      </c>
      <c r="CO15" s="15">
        <f>IF(CC15="","",SUM(CN$4:CN15))</f>
        <v>64.91161319580354</v>
      </c>
      <c r="CQ15" s="15">
        <f>IF(CC15="","",IF(CD15&lt;'Rate &amp; Vol Update'!$C$2,0,((((((IF('Adjustment Surface'!$C$2='Data Validation'!$A$2,CJ15,IF('Adjustment Surface'!$C$2='Data Validation'!$A$3,CI15,"Unknown Option Type"))-IF('Adjustment Surface'!$C$2='Data Validation'!$A$2,CI15,IF('Adjustment Surface'!$C$2='Data Validation'!$A$3,CJ15,"Unknown Option Type")))*(NORMDIST((IF('Adjustment Surface'!$C$2='Data Validation'!$A$2,CJ15,IF('Adjustment Surface'!$C$2='Data Validation'!$A$3,CI15,"Unknown Option Type"))-IF('Adjustment Surface'!$C$2='Data Validation'!$A$2,CI15,IF('Adjustment Surface'!$C$2='Data Validation'!$A$3,CJ15,"Unknown Option Type")))/((CK15+0.01%)*SQRT(CG15)),0,1,TRUE)))+(((CK15+0.01%)*SQRT(CG15))*(NORMDIST((IF('Adjustment Surface'!$C$2='Data Validation'!$A$2,CJ15,IF('Adjustment Surface'!$C$2='Data Validation'!$A$3,CI15,"Unknown Option Type"))-IF('Adjustment Surface'!$C$2='Data Validation'!$A$2,CI15,IF('Adjustment Surface'!$C$2='Data Validation'!$A$3,CJ15,"Unknown Option Type")))/((CK15+0.01%)*SQRT(CG15)),0,1,FALSE))))*CL15*(CF15/360))-(CN15/CH15))*CH15)*CL15))</f>
        <v>2.7358511913863737</v>
      </c>
      <c r="CR15" s="15">
        <f>IF(CC15="","",SUM(CQ$4:CQ15))</f>
        <v>6.5062207876727687</v>
      </c>
    </row>
    <row r="16" spans="2:96" x14ac:dyDescent="0.25">
      <c r="G16" s="28"/>
      <c r="I16" s="3">
        <v>13</v>
      </c>
      <c r="J16" s="4">
        <f>IF(K15='Adjustment Surface'!C$8,"",K15)</f>
        <v>46429</v>
      </c>
      <c r="K16" s="4">
        <f>IF(J16="","",IF(J16&lt;'Adjustment Surface'!C$7,EDATE(J$5,COUNT(J$5:J16)),IF(J16='Adjustment Surface'!C$7,'Adjustment Surface'!C$8,'Adjustment Surface'!C$7)))</f>
        <v>46457</v>
      </c>
      <c r="L16" s="3">
        <f t="shared" si="1"/>
        <v>28</v>
      </c>
      <c r="M16" s="5">
        <f>IF(I16="","",(K16-'Rate &amp; Vol Update'!$C$2)/360)</f>
        <v>1.0916666666666666</v>
      </c>
      <c r="N16" s="15">
        <f>IF(I16="","",IF('Adjustment Surface'!C$3='Data Validation'!$C$2,'Adjustment Surface'!C$4,IF(INDEX(Schedules!$E$3:$E$123,MATCH('Bachelier Model'!J16,Schedules!$B$3:$B$123,0))="",N15,INDEX(Schedules!$E$3:$E$123,MATCH('Bachelier Model'!J16,Schedules!$B$3:$B$123,0)))))</f>
        <v>25000000</v>
      </c>
      <c r="O16" s="16">
        <f>IF(I16="","",IF('Adjustment Surface'!C$9='Data Validation'!$D$2,'Adjustment Surface'!C$10,IF(INDEX(Schedules!$H$3:$H$123,MATCH('Bachelier Model'!J16,Schedules!$B$3:$B$123,0))="",O15,INDEX(Schedules!$H$3:$H$123,MATCH('Bachelier Model'!J16,Schedules!$B$3:$B$123,0)))))</f>
        <v>0.02</v>
      </c>
      <c r="P16" s="16" cm="1">
        <f t="array" ref="P16">IF(I16="","",FORECAST(J16,INDEX('Rate &amp; Vol Update'!$C$6:$C$127,MATCH(INDEX('Rate &amp; Vol Update'!$B$6:$B$127,MATCH(J16,'Rate &amp; Vol Update'!$B$6:$B$127,1)),'Rate &amp; Vol Update'!$B$6:$B$127,0)+IF('Adjustment Surface'!C$11='Data Validation'!$E$3,-1,0)):INDEX('Rate &amp; Vol Update'!$C$6:$C$127,MATCH(INDEX('Rate &amp; Vol Update'!$B$6:$B$127,MATCH(J16,'Rate &amp; Vol Update'!$B$6:$B$127,1)+1),'Rate &amp; Vol Update'!$B$6:$B$127,0)+IF('Adjustment Surface'!C$11='Data Validation'!$E$3,-1,0)),INDEX('Rate &amp; Vol Update'!$B$6:$B$127,MATCH(J16,'Rate &amp; Vol Update'!$B$6:$B$127,1)):INDEX('Rate &amp; Vol Update'!$B$6:$B$127,MATCH(J16,'Rate &amp; Vol Update'!$B$6:$B$127,1)+1))/100)</f>
        <v>3.1655680544151146E-2</v>
      </c>
      <c r="Q16" s="16" cm="1">
        <f t="array" ref="Q16">IF(I16="","",IF(J16&lt;'Rate &amp; Vol Update'!$C$2,0.001%,(1/((INDEX('Rate &amp; Vol Update'!$E$6:$Z$6,1,MATCH(O16,'Rate &amp; Vol Update'!$E$6:$Z$6,1)+1)-INDEX('Rate &amp; Vol Update'!$E$6:$Z$6,1,MATCH(O16,'Rate &amp; Vol Update'!$E$6:$Z$6,1)))*(INDEX('Rate &amp; Vol Update'!$B$8:$B$127,MATCH(J16,'Rate &amp; Vol Update'!$B$8:$B$127,1)+1)-INDEX('Rate &amp; Vol Update'!$B$8:$B$127,MATCH(J16,'Rate &amp; Vol Update'!$B$8:$B$127,1))))*(INDEX('Rate &amp; Vol Update'!$E$8:$Z$127,MATCH(INDEX('Rate &amp; Vol Update'!$B$8:$B$127,MATCH(J16,'Rate &amp; Vol Update'!$B$8:$B$127,1)),'Rate &amp; Vol Update'!$B$8:$B$127,0),MATCH(INDEX('Rate &amp; Vol Update'!$E$6:$Z$6,1,MATCH(O16,'Rate &amp; Vol Update'!$E$6:$Z$6,1)),'Rate &amp; Vol Update'!$E$6:$Z$6,0))*(INDEX('Rate &amp; Vol Update'!$E$6:$Z$6,1,MATCH(O16,'Rate &amp; Vol Update'!$E$6:$Z$6,1)+1)-O16)*(INDEX('Rate &amp; Vol Update'!$B$8:$B$127,MATCH(J16,'Rate &amp; Vol Update'!$B$8:$B$127,1)+1)-J16)+INDEX('Rate &amp; Vol Update'!$E$8:$Z$127,MATCH(INDEX('Rate &amp; Vol Update'!$B$8:$B$127,MATCH(J16,'Rate &amp; Vol Update'!$B$8:$B$127,1)),'Rate &amp; Vol Update'!$B$8:$B$127,0),MATCH(INDEX('Rate &amp; Vol Update'!$E$6:$Z$6,1,MATCH(O16,'Rate &amp; Vol Update'!$E$6:$Z$6,1)+1),'Rate &amp; Vol Update'!$E$6:$Z$6,0))*(O16-INDEX('Rate &amp; Vol Update'!$E$6:$Z$6,1,MATCH(O16,'Rate &amp; Vol Update'!$E$6:$Z$6,1)))*(INDEX('Rate &amp; Vol Update'!$B$8:$B$127,MATCH(J16,'Rate &amp; Vol Update'!$B$8:$B$127,1)+1)-J16)+INDEX('Rate &amp; Vol Update'!$E$8:$Z$127,MATCH(INDEX('Rate &amp; Vol Update'!$B$8:$B$127,MATCH(J16,'Rate &amp; Vol Update'!$B$8:$B$127,1)+1),'Rate &amp; Vol Update'!$B$8:$B$127,0),MATCH(INDEX('Rate &amp; Vol Update'!$E$6:$Z$6,1,MATCH(O16,'Rate &amp; Vol Update'!$E$6:$Z$6,1)),'Rate &amp; Vol Update'!$E$6:$Z$6,0))*(INDEX('Rate &amp; Vol Update'!$E$6:$Z$6,1,MATCH(O16,'Rate &amp; Vol Update'!$E$6:$Z$6,1)+1)-O16)*(J16-INDEX('Rate &amp; Vol Update'!$B$8:$B$127,MATCH(J16,'Rate &amp; Vol Update'!$B$8:$B$127,1)))+INDEX('Rate &amp; Vol Update'!$E$8:$Z$127,MATCH(INDEX('Rate &amp; Vol Update'!$B$8:$B$127,MATCH(J16,'Rate &amp; Vol Update'!$B$8:$B$127,1)+1),'Rate &amp; Vol Update'!$B$8:$B$127,0),MATCH(INDEX('Rate &amp; Vol Update'!$E$6:$Z$6,1,MATCH(O16,'Rate &amp; Vol Update'!$E$6:$Z$6,1)+1),'Rate &amp; Vol Update'!$E$6:$Z$6,0))*(O16-INDEX('Rate &amp; Vol Update'!$E$6:$Z$6,1,MATCH(O16,'Rate &amp; Vol Update'!$E$6:$Z$6,1)))*(J16-INDEX('Rate &amp; Vol Update'!$B$8:$B$127,MATCH(J16,'Rate &amp; Vol Update'!$B$8:$B$127,1)))))*0.01%))</f>
        <v>9.5199070062045935E-3</v>
      </c>
      <c r="R16" s="5">
        <f>IF(I16="","",1/((1+P16)^((K16-'Rate &amp; Vol Update'!$C$2)/360)))</f>
        <v>0.96655047489533974</v>
      </c>
      <c r="T16" s="15">
        <f>IF(I16="","",IF(J16&lt;'Rate &amp; Vol Update'!$C$2,MAX(0,P16-O16)*(L16/360)*N16,(((IF('Adjustment Surface'!C$2='Data Validation'!$A$2,P16,IF('Adjustment Surface'!C$2='Data Validation'!$A$3,O16,"Unknown Option Type"))-IF('Adjustment Surface'!C$2='Data Validation'!$A$2,O16,IF('Adjustment Surface'!C$2='Data Validation'!$A$3,P16,"Unknown Option Type")))*(NORMDIST((IF('Adjustment Surface'!C$2='Data Validation'!$A$2,P16,IF('Adjustment Surface'!C$2='Data Validation'!$A$3,O16,"Unknown Option Type"))-IF('Adjustment Surface'!C$2='Data Validation'!$A$2,O16,IF('Adjustment Surface'!C$2='Data Validation'!$A$3,P16,"Unknown Option Type")))/(Q16*SQRT(M16)),0,1,TRUE)))+((Q16*SQRT(M16))*(NORMDIST((IF('Adjustment Surface'!C$2='Data Validation'!$A$2,P16,IF('Adjustment Surface'!C$2='Data Validation'!$A$3,O16,"Unknown Option Type"))-IF('Adjustment Surface'!C$2='Data Validation'!$A$2,O16,IF('Adjustment Surface'!C$2='Data Validation'!$A$3,P16,"Unknown Option Type")))/(Q16*SQRT(M16)),0,1,FALSE))))*R16*(L16/360)*N16))</f>
        <v>23016.57912395275</v>
      </c>
      <c r="U16" s="15">
        <f>IF(I16="","",SUM(T$4:T16))</f>
        <v>379321.55590475228</v>
      </c>
      <c r="W16" s="15">
        <f>IF(I16="","",IF(J16&lt;'Rate &amp; Vol Update'!$C$2,0,((((((IF('Adjustment Surface'!C$2='Data Validation'!$A$2,P16,IF('Adjustment Surface'!C$2='Data Validation'!$A$3,O16,"Unknown Option Type"))-IF('Adjustment Surface'!C$2='Data Validation'!$A$2,O16,IF('Adjustment Surface'!C$2='Data Validation'!$A$3,P16,"Unknown Option Type")))*(NORMDIST((IF('Adjustment Surface'!C$2='Data Validation'!$A$2,P16,IF('Adjustment Surface'!C$2='Data Validation'!$A$3,O16,"Unknown Option Type"))-IF('Adjustment Surface'!C$2='Data Validation'!$A$2,O16,IF('Adjustment Surface'!C$2='Data Validation'!$A$3,P16,"Unknown Option Type")))/((Q16+0.01%)*SQRT(M16)),0,1,TRUE)))+(((Q16+0.01%)*SQRT(M16))*(NORMDIST((IF('Adjustment Surface'!C$2='Data Validation'!$A$2,P16,IF('Adjustment Surface'!C$2='Data Validation'!$A$3,O16,"Unknown Option Type"))-IF('Adjustment Surface'!C$2='Data Validation'!$A$2,O16,IF('Adjustment Surface'!C$2='Data Validation'!$A$3,P16,"Unknown Option Type")))/((Q16+0.01%)*SQRT(M16)),0,1,FALSE))))*R16*(L16/360))-(T16/N16))*N16)*R16))</f>
        <v>38.381853981807815</v>
      </c>
      <c r="X16" s="15">
        <f>IF(I16="","",SUM(W$4:W16))</f>
        <v>185.05078146784308</v>
      </c>
      <c r="Y16" s="15"/>
      <c r="Z16" s="20"/>
      <c r="AA16" s="3">
        <v>13</v>
      </c>
      <c r="AB16" s="4">
        <f>IF(AC15=MAX('Adjustment Surface'!$C$14:$F$14),"",AC15)</f>
        <v>46429</v>
      </c>
      <c r="AC16" s="4">
        <f>IF(AB16="","",IF(AB16&lt;EDATE('Adjustment Surface'!$C$6,DATEDIF('Adjustment Surface'!$C$6,MAX('Adjustment Surface'!$C$14:$F$14),"M")),EDATE(AB$5,COUNT(AB$5:AB16)),IF(AB16=EDATE('Adjustment Surface'!$C$6,DATEDIF('Adjustment Surface'!$C$6,MAX('Adjustment Surface'!$C$14:$F$14),"M")),MAX('Adjustment Surface'!$C$14:$F$14),EDATE('Adjustment Surface'!$C$6,DATEDIF('Adjustment Surface'!$C$6,MAX('Adjustment Surface'!$C$14:$F$14),"M")))))</f>
        <v>46457</v>
      </c>
      <c r="AD16" s="3">
        <f t="shared" si="2"/>
        <v>28</v>
      </c>
      <c r="AE16" s="5">
        <f>IF(AA16="","",(AC16-'Rate &amp; Vol Update'!$C$2)/360)</f>
        <v>1.0916666666666666</v>
      </c>
      <c r="AF16" s="15">
        <f>IF(AA16="","",IF('Adjustment Surface'!$C$3='Data Validation'!$C$2,'Adjustment Surface'!$C$4,_xlfn.IFNA(IF(INDEX(Schedules!$E$3:$E$123,MATCH('Bachelier Model'!AB16,Schedules!$B$3:$B$123,0))="",AF15,INDEX(Schedules!$E$3:$E$123,MATCH('Bachelier Model'!AB16,Schedules!$B$3:$B$123,0))),AF15)))</f>
        <v>25000000</v>
      </c>
      <c r="AG16" s="16">
        <f>IF(AA16="","",'Adjustment Surface'!B$15)</f>
        <v>0.03</v>
      </c>
      <c r="AH16" s="16" cm="1">
        <f t="array" ref="AH16">IF(AA16="","",FORECAST(AB16,INDEX('Rate &amp; Vol Update'!$C$6:$C$127,MATCH(INDEX('Rate &amp; Vol Update'!$B$6:$B$127,MATCH(AB16,'Rate &amp; Vol Update'!$B$6:$B$127,1)),'Rate &amp; Vol Update'!$B$6:$B$127,0)+IF('Adjustment Surface'!$C$11='Data Validation'!$E$3,-1,0)):INDEX('Rate &amp; Vol Update'!$C$6:$C$127,MATCH(INDEX('Rate &amp; Vol Update'!$B$6:$B$127,MATCH(AB16,'Rate &amp; Vol Update'!$B$6:$B$127,1)+1),'Rate &amp; Vol Update'!$B$6:$B$127,0)+IF('Adjustment Surface'!$C$11='Data Validation'!$E$3,-1,0)),INDEX('Rate &amp; Vol Update'!$B$6:$B$127,MATCH(AB16,'Rate &amp; Vol Update'!$B$6:$B$127,1)):INDEX('Rate &amp; Vol Update'!$B$6:$B$127,MATCH(AB16,'Rate &amp; Vol Update'!$B$6:$B$127,1)+1))/100)</f>
        <v>3.1655680544151146E-2</v>
      </c>
      <c r="AI16" s="16" cm="1">
        <f t="array" ref="AI16">IF(AA16="","",IF(AB16&lt;'Rate &amp; Vol Update'!$C$2,0.001%,(1/((INDEX('Rate &amp; Vol Update'!$E$6:$Z$6,1,MATCH(AG16,'Rate &amp; Vol Update'!$E$6:$Z$6,1)+1)-INDEX('Rate &amp; Vol Update'!$E$6:$Z$6,1,MATCH(AG16,'Rate &amp; Vol Update'!$E$6:$Z$6,1)))*(INDEX('Rate &amp; Vol Update'!$B$8:$B$127,MATCH(AB16,'Rate &amp; Vol Update'!$B$8:$B$127,1)+1)-INDEX('Rate &amp; Vol Update'!$B$8:$B$127,MATCH(AB16,'Rate &amp; Vol Update'!$B$8:$B$127,1))))*(INDEX('Rate &amp; Vol Update'!$E$8:$Z$127,MATCH(INDEX('Rate &amp; Vol Update'!$B$8:$B$127,MATCH(AB16,'Rate &amp; Vol Update'!$B$8:$B$127,1)),'Rate &amp; Vol Update'!$B$8:$B$127,0),MATCH(INDEX('Rate &amp; Vol Update'!$E$6:$Z$6,1,MATCH(AG16,'Rate &amp; Vol Update'!$E$6:$Z$6,1)),'Rate &amp; Vol Update'!$E$6:$Z$6,0))*(INDEX('Rate &amp; Vol Update'!$E$6:$Z$6,1,MATCH(AG16,'Rate &amp; Vol Update'!$E$6:$Z$6,1)+1)-AG16)*(INDEX('Rate &amp; Vol Update'!$B$8:$B$127,MATCH(AB16,'Rate &amp; Vol Update'!$B$8:$B$127,1)+1)-AB16)+INDEX('Rate &amp; Vol Update'!$E$8:$Z$127,MATCH(INDEX('Rate &amp; Vol Update'!$B$8:$B$127,MATCH(AB16,'Rate &amp; Vol Update'!$B$8:$B$127,1)),'Rate &amp; Vol Update'!$B$8:$B$127,0),MATCH(INDEX('Rate &amp; Vol Update'!$E$6:$Z$6,1,MATCH(AG16,'Rate &amp; Vol Update'!$E$6:$Z$6,1)+1),'Rate &amp; Vol Update'!$E$6:$Z$6,0))*(AG16-INDEX('Rate &amp; Vol Update'!$E$6:$Z$6,1,MATCH(AG16,'Rate &amp; Vol Update'!$E$6:$Z$6,1)))*(INDEX('Rate &amp; Vol Update'!$B$8:$B$127,MATCH(AB16,'Rate &amp; Vol Update'!$B$8:$B$127,1)+1)-AB16)+INDEX('Rate &amp; Vol Update'!$E$8:$Z$127,MATCH(INDEX('Rate &amp; Vol Update'!$B$8:$B$127,MATCH(AB16,'Rate &amp; Vol Update'!$B$8:$B$127,1)+1),'Rate &amp; Vol Update'!$B$8:$B$127,0),MATCH(INDEX('Rate &amp; Vol Update'!$E$6:$Z$6,1,MATCH(AG16,'Rate &amp; Vol Update'!$E$6:$Z$6,1)),'Rate &amp; Vol Update'!$E$6:$Z$6,0))*(INDEX('Rate &amp; Vol Update'!$E$6:$Z$6,1,MATCH(AG16,'Rate &amp; Vol Update'!$E$6:$Z$6,1)+1)-AG16)*(AB16-INDEX('Rate &amp; Vol Update'!$B$8:$B$127,MATCH(AB16,'Rate &amp; Vol Update'!$B$8:$B$127,1)))+INDEX('Rate &amp; Vol Update'!$E$8:$Z$127,MATCH(INDEX('Rate &amp; Vol Update'!$B$8:$B$127,MATCH(AB16,'Rate &amp; Vol Update'!$B$8:$B$127,1)+1),'Rate &amp; Vol Update'!$B$8:$B$127,0),MATCH(INDEX('Rate &amp; Vol Update'!$E$6:$Z$6,1,MATCH(AG16,'Rate &amp; Vol Update'!$E$6:$Z$6,1)+1),'Rate &amp; Vol Update'!$E$6:$Z$6,0))*(AG16-INDEX('Rate &amp; Vol Update'!$E$6:$Z$6,1,MATCH(AG16,'Rate &amp; Vol Update'!$E$6:$Z$6,1)))*(AB16-INDEX('Rate &amp; Vol Update'!$B$8:$B$127,MATCH(AB16,'Rate &amp; Vol Update'!$B$8:$B$127,1)))))*0.01%))</f>
        <v>7.7291975617616035E-3</v>
      </c>
      <c r="AJ16" s="5">
        <f>IF(AA16="","",1/((1+AH16)^((AC16-'Rate &amp; Vol Update'!$C$2)/360)))</f>
        <v>0.96655047489533974</v>
      </c>
      <c r="AL16" s="15">
        <f>IF(AA16="","",IF(AB16&lt;'Rate &amp; Vol Update'!$C$2,MAX(0,AH16-AG16)*(AD16/360)*AF16,(((IF('Adjustment Surface'!$C$2='Data Validation'!$A$2,AH16,IF('Adjustment Surface'!$C$2='Data Validation'!$A$3,AG16,"Unknown Option Type"))-IF('Adjustment Surface'!$C$2='Data Validation'!$A$2,AG16,IF('Adjustment Surface'!$C$2='Data Validation'!$A$3,AH16,"Unknown Option Type")))*(NORMDIST((IF('Adjustment Surface'!$C$2='Data Validation'!$A$2,AH16,IF('Adjustment Surface'!$C$2='Data Validation'!$A$3,AG16,"Unknown Option Type"))-IF('Adjustment Surface'!$C$2='Data Validation'!$A$2,AG16,IF('Adjustment Surface'!$C$2='Data Validation'!$A$3,AH16,"Unknown Option Type")))/(AI16*SQRT(AE16)),0,1,TRUE)))+((AI16*SQRT(AE16))*(NORMDIST((IF('Adjustment Surface'!$C$2='Data Validation'!$A$2,AH16,IF('Adjustment Surface'!$C$2='Data Validation'!$A$3,AG16,"Unknown Option Type"))-IF('Adjustment Surface'!$C$2='Data Validation'!$A$2,AG16,IF('Adjustment Surface'!$C$2='Data Validation'!$A$3,AH16,"Unknown Option Type")))/(AI16*SQRT(AE16)),0,1,FALSE))))*AJ16*(AD16/360)*AF16))</f>
        <v>7737.5931578422123</v>
      </c>
      <c r="AM16" s="15">
        <f>IF(AA16="","",SUM(AL$4:AL16))</f>
        <v>132261.4286090965</v>
      </c>
      <c r="AO16" s="15">
        <f>IF(AA16="","",IF(AB16&lt;'Rate &amp; Vol Update'!$C$2,0,((((((IF('Adjustment Surface'!$C$2='Data Validation'!$A$2,AH16,IF('Adjustment Surface'!$C$2='Data Validation'!$A$3,AG16,"Unknown Option Type"))-IF('Adjustment Surface'!$C$2='Data Validation'!$A$2,AG16,IF('Adjustment Surface'!$C$2='Data Validation'!$A$3,AH16,"Unknown Option Type")))*(NORMDIST((IF('Adjustment Surface'!$C$2='Data Validation'!$A$2,AH16,IF('Adjustment Surface'!$C$2='Data Validation'!$A$3,AG16,"Unknown Option Type"))-IF('Adjustment Surface'!$C$2='Data Validation'!$A$2,AG16,IF('Adjustment Surface'!$C$2='Data Validation'!$A$3,AH16,"Unknown Option Type")))/((AI16+0.01%)*SQRT(AE16)),0,1,TRUE)))+(((AI16+0.01%)*SQRT(AE16))*(NORMDIST((IF('Adjustment Surface'!$C$2='Data Validation'!$A$2,AH16,IF('Adjustment Surface'!$C$2='Data Validation'!$A$3,AG16,"Unknown Option Type"))-IF('Adjustment Surface'!$C$2='Data Validation'!$A$2,AG16,IF('Adjustment Surface'!$C$2='Data Validation'!$A$3,AH16,"Unknown Option Type")))/((AI16+0.01%)*SQRT(AE16)),0,1,FALSE))))*AJ16*(AD16/360))-(AL16/AF16))*AF16)*AJ16))</f>
        <v>74.163268805684623</v>
      </c>
      <c r="AP16" s="15">
        <f>IF(AA16="","",SUM(AO$4:AO16))</f>
        <v>564.68538515488683</v>
      </c>
      <c r="AQ16" s="15"/>
      <c r="AR16" s="20"/>
      <c r="AS16" s="3">
        <v>13</v>
      </c>
      <c r="AT16" s="4">
        <f>IF(AU15=MAX('Adjustment Surface'!$C$14:$F$14),"",AU15)</f>
        <v>46429</v>
      </c>
      <c r="AU16" s="4">
        <f>IF(AT16="","",IF(AT16&lt;EDATE('Adjustment Surface'!$C$6,DATEDIF('Adjustment Surface'!$C$6,MAX('Adjustment Surface'!$C$14:$F$14),"M")),EDATE(AT$5,COUNT(AT$5:AT16)),IF(AT16=EDATE('Adjustment Surface'!$C$6,DATEDIF('Adjustment Surface'!$C$6,MAX('Adjustment Surface'!$C$14:$F$14),"M")),MAX('Adjustment Surface'!$C$14:$F$14),EDATE('Adjustment Surface'!$C$6,DATEDIF('Adjustment Surface'!$C$6,MAX('Adjustment Surface'!$C$14:$F$14),"M")))))</f>
        <v>46457</v>
      </c>
      <c r="AV16" s="3">
        <f t="shared" si="3"/>
        <v>28</v>
      </c>
      <c r="AW16" s="5">
        <f>IF(AS16="","",(AU16-'Rate &amp; Vol Update'!$C$2)/360)</f>
        <v>1.0916666666666666</v>
      </c>
      <c r="AX16" s="15">
        <f>IF(AS16="","",IF('Adjustment Surface'!$C$3='Data Validation'!$C$2,'Adjustment Surface'!$C$4,_xlfn.IFNA(IF(INDEX(Schedules!$E$3:$E$123,MATCH('Bachelier Model'!AT16,Schedules!$B$3:$B$123,0))="",AX15,INDEX(Schedules!$E$3:$E$123,MATCH('Bachelier Model'!AT16,Schedules!$B$3:$B$123,0))),AX15)))</f>
        <v>25000000</v>
      </c>
      <c r="AY16" s="16">
        <f>IF(AS16="","",'Adjustment Surface'!B$16)</f>
        <v>0.04</v>
      </c>
      <c r="AZ16" s="16" cm="1">
        <f t="array" ref="AZ16">IF(AS16="","",FORECAST(AT16,INDEX('Rate &amp; Vol Update'!$C$6:$C$127,MATCH(INDEX('Rate &amp; Vol Update'!$B$6:$B$127,MATCH(AT16,'Rate &amp; Vol Update'!$B$6:$B$127,1)),'Rate &amp; Vol Update'!$B$6:$B$127,0)+IF('Adjustment Surface'!$C$11='Data Validation'!$E$3,-1,0)):INDEX('Rate &amp; Vol Update'!$C$6:$C$127,MATCH(INDEX('Rate &amp; Vol Update'!$B$6:$B$127,MATCH(AT16,'Rate &amp; Vol Update'!$B$6:$B$127,1)+1),'Rate &amp; Vol Update'!$B$6:$B$127,0)+IF('Adjustment Surface'!$C$11='Data Validation'!$E$3,-1,0)),INDEX('Rate &amp; Vol Update'!$B$6:$B$127,MATCH(AT16,'Rate &amp; Vol Update'!$B$6:$B$127,1)):INDEX('Rate &amp; Vol Update'!$B$6:$B$127,MATCH(AT16,'Rate &amp; Vol Update'!$B$6:$B$127,1)+1))/100)</f>
        <v>3.1655680544151146E-2</v>
      </c>
      <c r="BA16" s="16" cm="1">
        <f t="array" ref="BA16">IF(AS16="","",IF(AT16&lt;'Rate &amp; Vol Update'!$C$2,0.001%,(1/((INDEX('Rate &amp; Vol Update'!$E$6:$Z$6,1,MATCH(AY16,'Rate &amp; Vol Update'!$E$6:$Z$6,1)+1)-INDEX('Rate &amp; Vol Update'!$E$6:$Z$6,1,MATCH(AY16,'Rate &amp; Vol Update'!$E$6:$Z$6,1)))*(INDEX('Rate &amp; Vol Update'!$B$8:$B$127,MATCH(AT16,'Rate &amp; Vol Update'!$B$8:$B$127,1)+1)-INDEX('Rate &amp; Vol Update'!$B$8:$B$127,MATCH(AT16,'Rate &amp; Vol Update'!$B$8:$B$127,1))))*(INDEX('Rate &amp; Vol Update'!$E$8:$Z$127,MATCH(INDEX('Rate &amp; Vol Update'!$B$8:$B$127,MATCH(AT16,'Rate &amp; Vol Update'!$B$8:$B$127,1)),'Rate &amp; Vol Update'!$B$8:$B$127,0),MATCH(INDEX('Rate &amp; Vol Update'!$E$6:$Z$6,1,MATCH(AY16,'Rate &amp; Vol Update'!$E$6:$Z$6,1)),'Rate &amp; Vol Update'!$E$6:$Z$6,0))*(INDEX('Rate &amp; Vol Update'!$E$6:$Z$6,1,MATCH(AY16,'Rate &amp; Vol Update'!$E$6:$Z$6,1)+1)-AY16)*(INDEX('Rate &amp; Vol Update'!$B$8:$B$127,MATCH(AT16,'Rate &amp; Vol Update'!$B$8:$B$127,1)+1)-AT16)+INDEX('Rate &amp; Vol Update'!$E$8:$Z$127,MATCH(INDEX('Rate &amp; Vol Update'!$B$8:$B$127,MATCH(AT16,'Rate &amp; Vol Update'!$B$8:$B$127,1)),'Rate &amp; Vol Update'!$B$8:$B$127,0),MATCH(INDEX('Rate &amp; Vol Update'!$E$6:$Z$6,1,MATCH(AY16,'Rate &amp; Vol Update'!$E$6:$Z$6,1)+1),'Rate &amp; Vol Update'!$E$6:$Z$6,0))*(AY16-INDEX('Rate &amp; Vol Update'!$E$6:$Z$6,1,MATCH(AY16,'Rate &amp; Vol Update'!$E$6:$Z$6,1)))*(INDEX('Rate &amp; Vol Update'!$B$8:$B$127,MATCH(AT16,'Rate &amp; Vol Update'!$B$8:$B$127,1)+1)-AT16)+INDEX('Rate &amp; Vol Update'!$E$8:$Z$127,MATCH(INDEX('Rate &amp; Vol Update'!$B$8:$B$127,MATCH(AT16,'Rate &amp; Vol Update'!$B$8:$B$127,1)+1),'Rate &amp; Vol Update'!$B$8:$B$127,0),MATCH(INDEX('Rate &amp; Vol Update'!$E$6:$Z$6,1,MATCH(AY16,'Rate &amp; Vol Update'!$E$6:$Z$6,1)),'Rate &amp; Vol Update'!$E$6:$Z$6,0))*(INDEX('Rate &amp; Vol Update'!$E$6:$Z$6,1,MATCH(AY16,'Rate &amp; Vol Update'!$E$6:$Z$6,1)+1)-AY16)*(AT16-INDEX('Rate &amp; Vol Update'!$B$8:$B$127,MATCH(AT16,'Rate &amp; Vol Update'!$B$8:$B$127,1)))+INDEX('Rate &amp; Vol Update'!$E$8:$Z$127,MATCH(INDEX('Rate &amp; Vol Update'!$B$8:$B$127,MATCH(AT16,'Rate &amp; Vol Update'!$B$8:$B$127,1)+1),'Rate &amp; Vol Update'!$B$8:$B$127,0),MATCH(INDEX('Rate &amp; Vol Update'!$E$6:$Z$6,1,MATCH(AY16,'Rate &amp; Vol Update'!$E$6:$Z$6,1)+1),'Rate &amp; Vol Update'!$E$6:$Z$6,0))*(AY16-INDEX('Rate &amp; Vol Update'!$E$6:$Z$6,1,MATCH(AY16,'Rate &amp; Vol Update'!$E$6:$Z$6,1)))*(AT16-INDEX('Rate &amp; Vol Update'!$B$8:$B$127,MATCH(AT16,'Rate &amp; Vol Update'!$B$8:$B$127,1)))))*0.01%))</f>
        <v>7.4753886601390436E-3</v>
      </c>
      <c r="BB16" s="5">
        <f>IF(AS16="","",1/((1+AZ16)^((AU16-'Rate &amp; Vol Update'!$C$2)/360)))</f>
        <v>0.96655047489533974</v>
      </c>
      <c r="BD16" s="15">
        <f>IF(AS16="","",IF(AT16&lt;'Rate &amp; Vol Update'!$C$2,MAX(0,AZ16-AY16)*(AV16/360)*AX16,(((IF('Adjustment Surface'!$C$2='Data Validation'!$A$2,AZ16,IF('Adjustment Surface'!$C$2='Data Validation'!$A$3,AY16,"Unknown Option Type"))-IF('Adjustment Surface'!$C$2='Data Validation'!$A$2,AY16,IF('Adjustment Surface'!$C$2='Data Validation'!$A$3,AZ16,"Unknown Option Type")))*(NORMDIST((IF('Adjustment Surface'!$C$2='Data Validation'!$A$2,AZ16,IF('Adjustment Surface'!$C$2='Data Validation'!$A$3,AY16,"Unknown Option Type"))-IF('Adjustment Surface'!$C$2='Data Validation'!$A$2,AY16,IF('Adjustment Surface'!$C$2='Data Validation'!$A$3,AZ16,"Unknown Option Type")))/(BA16*SQRT(AW16)),0,1,TRUE)))+((BA16*SQRT(AW16))*(NORMDIST((IF('Adjustment Surface'!$C$2='Data Validation'!$A$2,AZ16,IF('Adjustment Surface'!$C$2='Data Validation'!$A$3,AY16,"Unknown Option Type"))-IF('Adjustment Surface'!$C$2='Data Validation'!$A$2,AY16,IF('Adjustment Surface'!$C$2='Data Validation'!$A$3,AZ16,"Unknown Option Type")))/(BA16*SQRT(AW16)),0,1,FALSE))))*BB16*(AV16/360)*AX16))</f>
        <v>1071.9285604444804</v>
      </c>
      <c r="BE16" s="15">
        <f>IF(AS16="","",SUM(BD$4:BD16))</f>
        <v>6397.3088799317893</v>
      </c>
      <c r="BG16" s="15">
        <f>IF(AS16="","",IF(AT16&lt;'Rate &amp; Vol Update'!$C$2,0,((((((IF('Adjustment Surface'!$C$2='Data Validation'!$A$2,AZ16,IF('Adjustment Surface'!$C$2='Data Validation'!$A$3,AY16,"Unknown Option Type"))-IF('Adjustment Surface'!$C$2='Data Validation'!$A$2,AY16,IF('Adjustment Surface'!$C$2='Data Validation'!$A$3,AZ16,"Unknown Option Type")))*(NORMDIST((IF('Adjustment Surface'!$C$2='Data Validation'!$A$2,AZ16,IF('Adjustment Surface'!$C$2='Data Validation'!$A$3,AY16,"Unknown Option Type"))-IF('Adjustment Surface'!$C$2='Data Validation'!$A$2,AY16,IF('Adjustment Surface'!$C$2='Data Validation'!$A$3,AZ16,"Unknown Option Type")))/((BA16+0.01%)*SQRT(AW16)),0,1,TRUE)))+(((BA16+0.01%)*SQRT(AW16))*(NORMDIST((IF('Adjustment Surface'!$C$2='Data Validation'!$A$2,AZ16,IF('Adjustment Surface'!$C$2='Data Validation'!$A$3,AY16,"Unknown Option Type"))-IF('Adjustment Surface'!$C$2='Data Validation'!$A$2,AY16,IF('Adjustment Surface'!$C$2='Data Validation'!$A$3,AZ16,"Unknown Option Type")))/((BA16+0.01%)*SQRT(AW16)),0,1,FALSE))))*BB16*(AV16/360))-(BD16/AX16))*AX16)*BB16))</f>
        <v>43.115296613780828</v>
      </c>
      <c r="BH16" s="15">
        <f>IF(AS16="","",SUM(BG$4:BG16))</f>
        <v>345.55875854619296</v>
      </c>
      <c r="BI16" s="15"/>
      <c r="BJ16" s="20"/>
      <c r="BK16" s="3">
        <v>13</v>
      </c>
      <c r="BL16" s="4">
        <f>IF(BM15=MAX('Adjustment Surface'!$C$14:$F$14),"",BM15)</f>
        <v>46429</v>
      </c>
      <c r="BM16" s="4">
        <f>IF(BL16="","",IF(BL16&lt;EDATE('Adjustment Surface'!$C$6,DATEDIF('Adjustment Surface'!$C$6,MAX('Adjustment Surface'!$C$14:$F$14),"M")),EDATE(BL$5,COUNT(BL$5:BL16)),IF(BL16=EDATE('Adjustment Surface'!$C$6,DATEDIF('Adjustment Surface'!$C$6,MAX('Adjustment Surface'!$C$14:$F$14),"M")),MAX('Adjustment Surface'!$C$14:$F$14),EDATE('Adjustment Surface'!$C$6,DATEDIF('Adjustment Surface'!$C$6,MAX('Adjustment Surface'!$C$14:$F$14),"M")))))</f>
        <v>46457</v>
      </c>
      <c r="BN16" s="3">
        <f t="shared" si="4"/>
        <v>28</v>
      </c>
      <c r="BO16" s="5">
        <f>IF(BK16="","",(BM16-'Rate &amp; Vol Update'!$C$2)/360)</f>
        <v>1.0916666666666666</v>
      </c>
      <c r="BP16" s="15">
        <f>IF(BK16="","",IF('Adjustment Surface'!$C$3='Data Validation'!$C$2,'Adjustment Surface'!$C$4,_xlfn.IFNA(IF(INDEX(Schedules!$E$3:$E$123,MATCH('Bachelier Model'!BL16,Schedules!$B$3:$B$123,0))="",BP15,INDEX(Schedules!$E$3:$E$123,MATCH('Bachelier Model'!BL16,Schedules!$B$3:$B$123,0))),BP15)))</f>
        <v>25000000</v>
      </c>
      <c r="BQ16" s="16">
        <f>IF(BK16="","",'Adjustment Surface'!B$17)</f>
        <v>0.05</v>
      </c>
      <c r="BR16" s="16" cm="1">
        <f t="array" ref="BR16">IF(BK16="","",FORECAST(BL16,INDEX('Rate &amp; Vol Update'!$C$6:$C$127,MATCH(INDEX('Rate &amp; Vol Update'!$B$6:$B$127,MATCH(BL16,'Rate &amp; Vol Update'!$B$6:$B$127,1)),'Rate &amp; Vol Update'!$B$6:$B$127,0)+IF('Adjustment Surface'!$C$11='Data Validation'!$E$3,-1,0)):INDEX('Rate &amp; Vol Update'!$C$6:$C$127,MATCH(INDEX('Rate &amp; Vol Update'!$B$6:$B$127,MATCH(BL16,'Rate &amp; Vol Update'!$B$6:$B$127,1)+1),'Rate &amp; Vol Update'!$B$6:$B$127,0)+IF('Adjustment Surface'!$C$11='Data Validation'!$E$3,-1,0)),INDEX('Rate &amp; Vol Update'!$B$6:$B$127,MATCH(BL16,'Rate &amp; Vol Update'!$B$6:$B$127,1)):INDEX('Rate &amp; Vol Update'!$B$6:$B$127,MATCH(BL16,'Rate &amp; Vol Update'!$B$6:$B$127,1)+1))/100)</f>
        <v>3.1655680544151146E-2</v>
      </c>
      <c r="BS16" s="16" cm="1">
        <f t="array" ref="BS16">IF(BK16="","",IF(BL16&lt;'Rate &amp; Vol Update'!$C$2,0.001%,(1/((INDEX('Rate &amp; Vol Update'!$E$6:$Z$6,1,MATCH(BQ16,'Rate &amp; Vol Update'!$E$6:$Z$6,1)+1)-INDEX('Rate &amp; Vol Update'!$E$6:$Z$6,1,MATCH(BQ16,'Rate &amp; Vol Update'!$E$6:$Z$6,1)))*(INDEX('Rate &amp; Vol Update'!$B$8:$B$127,MATCH(BL16,'Rate &amp; Vol Update'!$B$8:$B$127,1)+1)-INDEX('Rate &amp; Vol Update'!$B$8:$B$127,MATCH(BL16,'Rate &amp; Vol Update'!$B$8:$B$127,1))))*(INDEX('Rate &amp; Vol Update'!$E$8:$Z$127,MATCH(INDEX('Rate &amp; Vol Update'!$B$8:$B$127,MATCH(BL16,'Rate &amp; Vol Update'!$B$8:$B$127,1)),'Rate &amp; Vol Update'!$B$8:$B$127,0),MATCH(INDEX('Rate &amp; Vol Update'!$E$6:$Z$6,1,MATCH(BQ16,'Rate &amp; Vol Update'!$E$6:$Z$6,1)),'Rate &amp; Vol Update'!$E$6:$Z$6,0))*(INDEX('Rate &amp; Vol Update'!$E$6:$Z$6,1,MATCH(BQ16,'Rate &amp; Vol Update'!$E$6:$Z$6,1)+1)-BQ16)*(INDEX('Rate &amp; Vol Update'!$B$8:$B$127,MATCH(BL16,'Rate &amp; Vol Update'!$B$8:$B$127,1)+1)-BL16)+INDEX('Rate &amp; Vol Update'!$E$8:$Z$127,MATCH(INDEX('Rate &amp; Vol Update'!$B$8:$B$127,MATCH(BL16,'Rate &amp; Vol Update'!$B$8:$B$127,1)),'Rate &amp; Vol Update'!$B$8:$B$127,0),MATCH(INDEX('Rate &amp; Vol Update'!$E$6:$Z$6,1,MATCH(BQ16,'Rate &amp; Vol Update'!$E$6:$Z$6,1)+1),'Rate &amp; Vol Update'!$E$6:$Z$6,0))*(BQ16-INDEX('Rate &amp; Vol Update'!$E$6:$Z$6,1,MATCH(BQ16,'Rate &amp; Vol Update'!$E$6:$Z$6,1)))*(INDEX('Rate &amp; Vol Update'!$B$8:$B$127,MATCH(BL16,'Rate &amp; Vol Update'!$B$8:$B$127,1)+1)-BL16)+INDEX('Rate &amp; Vol Update'!$E$8:$Z$127,MATCH(INDEX('Rate &amp; Vol Update'!$B$8:$B$127,MATCH(BL16,'Rate &amp; Vol Update'!$B$8:$B$127,1)+1),'Rate &amp; Vol Update'!$B$8:$B$127,0),MATCH(INDEX('Rate &amp; Vol Update'!$E$6:$Z$6,1,MATCH(BQ16,'Rate &amp; Vol Update'!$E$6:$Z$6,1)),'Rate &amp; Vol Update'!$E$6:$Z$6,0))*(INDEX('Rate &amp; Vol Update'!$E$6:$Z$6,1,MATCH(BQ16,'Rate &amp; Vol Update'!$E$6:$Z$6,1)+1)-BQ16)*(BL16-INDEX('Rate &amp; Vol Update'!$B$8:$B$127,MATCH(BL16,'Rate &amp; Vol Update'!$B$8:$B$127,1)))+INDEX('Rate &amp; Vol Update'!$E$8:$Z$127,MATCH(INDEX('Rate &amp; Vol Update'!$B$8:$B$127,MATCH(BL16,'Rate &amp; Vol Update'!$B$8:$B$127,1)+1),'Rate &amp; Vol Update'!$B$8:$B$127,0),MATCH(INDEX('Rate &amp; Vol Update'!$E$6:$Z$6,1,MATCH(BQ16,'Rate &amp; Vol Update'!$E$6:$Z$6,1)+1),'Rate &amp; Vol Update'!$E$6:$Z$6,0))*(BQ16-INDEX('Rate &amp; Vol Update'!$E$6:$Z$6,1,MATCH(BQ16,'Rate &amp; Vol Update'!$E$6:$Z$6,1)))*(BL16-INDEX('Rate &amp; Vol Update'!$B$8:$B$127,MATCH(BL16,'Rate &amp; Vol Update'!$B$8:$B$127,1)))))*0.01%))</f>
        <v>9.0310671049599542E-3</v>
      </c>
      <c r="BT16" s="5">
        <f>IF(BK16="","",1/((1+BR16)^((BM16-'Rate &amp; Vol Update'!$C$2)/360)))</f>
        <v>0.96655047489533974</v>
      </c>
      <c r="BV16" s="15">
        <f>IF(BK16="","",IF(BL16&lt;'Rate &amp; Vol Update'!$C$2,MAX(0,BR16-BQ16)*(BN16/360)*BP16,(((IF('Adjustment Surface'!$C$2='Data Validation'!$A$2,BR16,IF('Adjustment Surface'!$C$2='Data Validation'!$A$3,BQ16,"Unknown Option Type"))-IF('Adjustment Surface'!$C$2='Data Validation'!$A$2,BQ16,IF('Adjustment Surface'!$C$2='Data Validation'!$A$3,BR16,"Unknown Option Type")))*(NORMDIST((IF('Adjustment Surface'!$C$2='Data Validation'!$A$2,BR16,IF('Adjustment Surface'!$C$2='Data Validation'!$A$3,BQ16,"Unknown Option Type"))-IF('Adjustment Surface'!$C$2='Data Validation'!$A$2,BQ16,IF('Adjustment Surface'!$C$2='Data Validation'!$A$3,BR16,"Unknown Option Type")))/(BS16*SQRT(BO16)),0,1,TRUE)))+((BS16*SQRT(BO16))*(NORMDIST((IF('Adjustment Surface'!$C$2='Data Validation'!$A$2,BR16,IF('Adjustment Surface'!$C$2='Data Validation'!$A$3,BQ16,"Unknown Option Type"))-IF('Adjustment Surface'!$C$2='Data Validation'!$A$2,BQ16,IF('Adjustment Surface'!$C$2='Data Validation'!$A$3,BR16,"Unknown Option Type")))/(BS16*SQRT(BO16)),0,1,FALSE))))*BT16*(BN16/360)*BP16))</f>
        <v>174.68113930891798</v>
      </c>
      <c r="BW16" s="15">
        <f>IF(BK16="","",SUM(BV$4:BV16))</f>
        <v>490.43812268539227</v>
      </c>
      <c r="BY16" s="15">
        <f>IF(BK16="","",IF(BL16&lt;'Rate &amp; Vol Update'!$C$2,0,((((((IF('Adjustment Surface'!$C$2='Data Validation'!$A$2,BR16,IF('Adjustment Surface'!$C$2='Data Validation'!$A$3,BQ16,"Unknown Option Type"))-IF('Adjustment Surface'!$C$2='Data Validation'!$A$2,BQ16,IF('Adjustment Surface'!$C$2='Data Validation'!$A$3,BR16,"Unknown Option Type")))*(NORMDIST((IF('Adjustment Surface'!$C$2='Data Validation'!$A$2,BR16,IF('Adjustment Surface'!$C$2='Data Validation'!$A$3,BQ16,"Unknown Option Type"))-IF('Adjustment Surface'!$C$2='Data Validation'!$A$2,BQ16,IF('Adjustment Surface'!$C$2='Data Validation'!$A$3,BR16,"Unknown Option Type")))/((BS16+0.01%)*SQRT(BO16)),0,1,TRUE)))+(((BS16+0.01%)*SQRT(BO16))*(NORMDIST((IF('Adjustment Surface'!$C$2='Data Validation'!$A$2,BR16,IF('Adjustment Surface'!$C$2='Data Validation'!$A$3,BQ16,"Unknown Option Type"))-IF('Adjustment Surface'!$C$2='Data Validation'!$A$2,BQ16,IF('Adjustment Surface'!$C$2='Data Validation'!$A$3,BR16,"Unknown Option Type")))/((BS16+0.01%)*SQRT(BO16)),0,1,FALSE))))*BT16*(BN16/360))-(BV16/BP16))*BP16)*BT16))</f>
        <v>11.6817847588103</v>
      </c>
      <c r="BZ16" s="15">
        <f>IF(BK16="","",SUM(BY$4:BY16))</f>
        <v>41.409248775073841</v>
      </c>
      <c r="CA16" s="15"/>
      <c r="CB16" s="20"/>
      <c r="CC16" s="3">
        <v>13</v>
      </c>
      <c r="CD16" s="4">
        <f>IF(CE15=MAX('Adjustment Surface'!$C$14:$F$14),"",CE15)</f>
        <v>46429</v>
      </c>
      <c r="CE16" s="4">
        <f>IF(CD16="","",IF(CD16&lt;EDATE('Adjustment Surface'!$C$6,DATEDIF('Adjustment Surface'!$C$6,MAX('Adjustment Surface'!$C$14:$F$14),"M")),EDATE(CD$5,COUNT(CD$5:CD16)),IF(CD16=EDATE('Adjustment Surface'!$C$6,DATEDIF('Adjustment Surface'!$C$6,MAX('Adjustment Surface'!$C$14:$F$14),"M")),MAX('Adjustment Surface'!$C$14:$F$14),EDATE('Adjustment Surface'!$C$6,DATEDIF('Adjustment Surface'!$C$6,MAX('Adjustment Surface'!$C$14:$F$14),"M")))))</f>
        <v>46457</v>
      </c>
      <c r="CF16" s="3">
        <f t="shared" si="5"/>
        <v>28</v>
      </c>
      <c r="CG16" s="5">
        <f>IF(CC16="","",(CE16-'Rate &amp; Vol Update'!$C$2)/360)</f>
        <v>1.0916666666666666</v>
      </c>
      <c r="CH16" s="15">
        <f>IF(CC16="","",IF('Adjustment Surface'!$C$3='Data Validation'!$C$2,'Adjustment Surface'!$C$4,_xlfn.IFNA(IF(INDEX(Schedules!$E$3:$E$123,MATCH('Bachelier Model'!CD16,Schedules!$B$3:$B$123,0))="",CH15,INDEX(Schedules!$E$3:$E$123,MATCH('Bachelier Model'!CD16,Schedules!$B$3:$B$123,0))),CH15)))</f>
        <v>25000000</v>
      </c>
      <c r="CI16" s="16">
        <f>IF(CC16="","",'Adjustment Surface'!B$18)</f>
        <v>0.06</v>
      </c>
      <c r="CJ16" s="16" cm="1">
        <f t="array" ref="CJ16">IF(CC16="","",FORECAST(CD16,INDEX('Rate &amp; Vol Update'!$C$6:$C$127,MATCH(INDEX('Rate &amp; Vol Update'!$B$6:$B$127,MATCH(CD16,'Rate &amp; Vol Update'!$B$6:$B$127,1)),'Rate &amp; Vol Update'!$B$6:$B$127,0)+IF('Adjustment Surface'!$C$11='Data Validation'!$E$3,-1,0)):INDEX('Rate &amp; Vol Update'!$C$6:$C$127,MATCH(INDEX('Rate &amp; Vol Update'!$B$6:$B$127,MATCH(CD16,'Rate &amp; Vol Update'!$B$6:$B$127,1)+1),'Rate &amp; Vol Update'!$B$6:$B$127,0)+IF('Adjustment Surface'!$C$11='Data Validation'!$E$3,-1,0)),INDEX('Rate &amp; Vol Update'!$B$6:$B$127,MATCH(CD16,'Rate &amp; Vol Update'!$B$6:$B$127,1)):INDEX('Rate &amp; Vol Update'!$B$6:$B$127,MATCH(CD16,'Rate &amp; Vol Update'!$B$6:$B$127,1)+1))/100)</f>
        <v>3.1655680544151146E-2</v>
      </c>
      <c r="CK16" s="16" cm="1">
        <f t="array" ref="CK16">IF(CC16="","",IF(CD16&lt;'Rate &amp; Vol Update'!$C$2,0.001%,(1/((INDEX('Rate &amp; Vol Update'!$E$6:$Z$6,1,MATCH(CI16,'Rate &amp; Vol Update'!$E$6:$Z$6,1)+1)-INDEX('Rate &amp; Vol Update'!$E$6:$Z$6,1,MATCH(CI16,'Rate &amp; Vol Update'!$E$6:$Z$6,1)))*(INDEX('Rate &amp; Vol Update'!$B$8:$B$127,MATCH(CD16,'Rate &amp; Vol Update'!$B$8:$B$127,1)+1)-INDEX('Rate &amp; Vol Update'!$B$8:$B$127,MATCH(CD16,'Rate &amp; Vol Update'!$B$8:$B$127,1))))*(INDEX('Rate &amp; Vol Update'!$E$8:$Z$127,MATCH(INDEX('Rate &amp; Vol Update'!$B$8:$B$127,MATCH(CD16,'Rate &amp; Vol Update'!$B$8:$B$127,1)),'Rate &amp; Vol Update'!$B$8:$B$127,0),MATCH(INDEX('Rate &amp; Vol Update'!$E$6:$Z$6,1,MATCH(CI16,'Rate &amp; Vol Update'!$E$6:$Z$6,1)),'Rate &amp; Vol Update'!$E$6:$Z$6,0))*(INDEX('Rate &amp; Vol Update'!$E$6:$Z$6,1,MATCH(CI16,'Rate &amp; Vol Update'!$E$6:$Z$6,1)+1)-CI16)*(INDEX('Rate &amp; Vol Update'!$B$8:$B$127,MATCH(CD16,'Rate &amp; Vol Update'!$B$8:$B$127,1)+1)-CD16)+INDEX('Rate &amp; Vol Update'!$E$8:$Z$127,MATCH(INDEX('Rate &amp; Vol Update'!$B$8:$B$127,MATCH(CD16,'Rate &amp; Vol Update'!$B$8:$B$127,1)),'Rate &amp; Vol Update'!$B$8:$B$127,0),MATCH(INDEX('Rate &amp; Vol Update'!$E$6:$Z$6,1,MATCH(CI16,'Rate &amp; Vol Update'!$E$6:$Z$6,1)+1),'Rate &amp; Vol Update'!$E$6:$Z$6,0))*(CI16-INDEX('Rate &amp; Vol Update'!$E$6:$Z$6,1,MATCH(CI16,'Rate &amp; Vol Update'!$E$6:$Z$6,1)))*(INDEX('Rate &amp; Vol Update'!$B$8:$B$127,MATCH(CD16,'Rate &amp; Vol Update'!$B$8:$B$127,1)+1)-CD16)+INDEX('Rate &amp; Vol Update'!$E$8:$Z$127,MATCH(INDEX('Rate &amp; Vol Update'!$B$8:$B$127,MATCH(CD16,'Rate &amp; Vol Update'!$B$8:$B$127,1)+1),'Rate &amp; Vol Update'!$B$8:$B$127,0),MATCH(INDEX('Rate &amp; Vol Update'!$E$6:$Z$6,1,MATCH(CI16,'Rate &amp; Vol Update'!$E$6:$Z$6,1)),'Rate &amp; Vol Update'!$E$6:$Z$6,0))*(INDEX('Rate &amp; Vol Update'!$E$6:$Z$6,1,MATCH(CI16,'Rate &amp; Vol Update'!$E$6:$Z$6,1)+1)-CI16)*(CD16-INDEX('Rate &amp; Vol Update'!$B$8:$B$127,MATCH(CD16,'Rate &amp; Vol Update'!$B$8:$B$127,1)))+INDEX('Rate &amp; Vol Update'!$E$8:$Z$127,MATCH(INDEX('Rate &amp; Vol Update'!$B$8:$B$127,MATCH(CD16,'Rate &amp; Vol Update'!$B$8:$B$127,1)+1),'Rate &amp; Vol Update'!$B$8:$B$127,0),MATCH(INDEX('Rate &amp; Vol Update'!$E$6:$Z$6,1,MATCH(CI16,'Rate &amp; Vol Update'!$E$6:$Z$6,1)+1),'Rate &amp; Vol Update'!$E$6:$Z$6,0))*(CI16-INDEX('Rate &amp; Vol Update'!$E$6:$Z$6,1,MATCH(CI16,'Rate &amp; Vol Update'!$E$6:$Z$6,1)))*(CD16-INDEX('Rate &amp; Vol Update'!$B$8:$B$127,MATCH(CD16,'Rate &amp; Vol Update'!$B$8:$B$127,1)))))*0.01%))</f>
        <v>1.1008656195527999E-2</v>
      </c>
      <c r="CL16" s="5">
        <f>IF(CC16="","",1/((1+CJ16)^((CE16-'Rate &amp; Vol Update'!$C$2)/360)))</f>
        <v>0.96655047489533974</v>
      </c>
      <c r="CN16" s="15">
        <f>IF(CC16="","",IF(CD16&lt;'Rate &amp; Vol Update'!$C$2,MAX(0,CJ16-CI16)*(CF16/360)*CH16,(((IF('Adjustment Surface'!$C$2='Data Validation'!$A$2,CJ16,IF('Adjustment Surface'!$C$2='Data Validation'!$A$3,CI16,"Unknown Option Type"))-IF('Adjustment Surface'!$C$2='Data Validation'!$A$2,CI16,IF('Adjustment Surface'!$C$2='Data Validation'!$A$3,CJ16,"Unknown Option Type")))*(NORMDIST((IF('Adjustment Surface'!$C$2='Data Validation'!$A$2,CJ16,IF('Adjustment Surface'!$C$2='Data Validation'!$A$3,CI16,"Unknown Option Type"))-IF('Adjustment Surface'!$C$2='Data Validation'!$A$2,CI16,IF('Adjustment Surface'!$C$2='Data Validation'!$A$3,CJ16,"Unknown Option Type")))/(CK16*SQRT(CG16)),0,1,TRUE)))+((CK16*SQRT(CG16))*(NORMDIST((IF('Adjustment Surface'!$C$2='Data Validation'!$A$2,CJ16,IF('Adjustment Surface'!$C$2='Data Validation'!$A$3,CI16,"Unknown Option Type"))-IF('Adjustment Surface'!$C$2='Data Validation'!$A$2,CI16,IF('Adjustment Surface'!$C$2='Data Validation'!$A$3,CJ16,"Unknown Option Type")))/(CK16*SQRT(CG16)),0,1,FALSE))))*CL16*(CF16/360)*CH16))</f>
        <v>48.370610912568068</v>
      </c>
      <c r="CO16" s="15">
        <f>IF(CC16="","",SUM(CN$4:CN16))</f>
        <v>113.28222410837161</v>
      </c>
      <c r="CQ16" s="15">
        <f>IF(CC16="","",IF(CD16&lt;'Rate &amp; Vol Update'!$C$2,0,((((((IF('Adjustment Surface'!$C$2='Data Validation'!$A$2,CJ16,IF('Adjustment Surface'!$C$2='Data Validation'!$A$3,CI16,"Unknown Option Type"))-IF('Adjustment Surface'!$C$2='Data Validation'!$A$2,CI16,IF('Adjustment Surface'!$C$2='Data Validation'!$A$3,CJ16,"Unknown Option Type")))*(NORMDIST((IF('Adjustment Surface'!$C$2='Data Validation'!$A$2,CJ16,IF('Adjustment Surface'!$C$2='Data Validation'!$A$3,CI16,"Unknown Option Type"))-IF('Adjustment Surface'!$C$2='Data Validation'!$A$2,CI16,IF('Adjustment Surface'!$C$2='Data Validation'!$A$3,CJ16,"Unknown Option Type")))/((CK16+0.01%)*SQRT(CG16)),0,1,TRUE)))+(((CK16+0.01%)*SQRT(CG16))*(NORMDIST((IF('Adjustment Surface'!$C$2='Data Validation'!$A$2,CJ16,IF('Adjustment Surface'!$C$2='Data Validation'!$A$3,CI16,"Unknown Option Type"))-IF('Adjustment Surface'!$C$2='Data Validation'!$A$2,CI16,IF('Adjustment Surface'!$C$2='Data Validation'!$A$3,CJ16,"Unknown Option Type")))/((CK16+0.01%)*SQRT(CG16)),0,1,FALSE))))*CL16*(CF16/360))-(CN16/CH16))*CH16)*CL16))</f>
        <v>3.7366226976522658</v>
      </c>
      <c r="CR16" s="15">
        <f>IF(CC16="","",SUM(CQ$4:CQ16))</f>
        <v>10.242843485325034</v>
      </c>
    </row>
    <row r="17" spans="7:96" x14ac:dyDescent="0.25">
      <c r="G17" s="28"/>
      <c r="I17" s="3">
        <v>14</v>
      </c>
      <c r="J17" s="4">
        <f>IF(K16='Adjustment Surface'!C$8,"",K16)</f>
        <v>46457</v>
      </c>
      <c r="K17" s="4">
        <f>IF(J17="","",IF(J17&lt;'Adjustment Surface'!C$7,EDATE(J$5,COUNT(J$5:J17)),IF(J17='Adjustment Surface'!C$7,'Adjustment Surface'!C$8,'Adjustment Surface'!C$7)))</f>
        <v>46488</v>
      </c>
      <c r="L17" s="3">
        <f t="shared" si="1"/>
        <v>31</v>
      </c>
      <c r="M17" s="5">
        <f>IF(I17="","",(K17-'Rate &amp; Vol Update'!$C$2)/360)</f>
        <v>1.1777777777777778</v>
      </c>
      <c r="N17" s="15">
        <f>IF(I17="","",IF('Adjustment Surface'!C$3='Data Validation'!$C$2,'Adjustment Surface'!C$4,IF(INDEX(Schedules!$E$3:$E$123,MATCH('Bachelier Model'!J17,Schedules!$B$3:$B$123,0))="",N16,INDEX(Schedules!$E$3:$E$123,MATCH('Bachelier Model'!J17,Schedules!$B$3:$B$123,0)))))</f>
        <v>25000000</v>
      </c>
      <c r="O17" s="16">
        <f>IF(I17="","",IF('Adjustment Surface'!C$9='Data Validation'!$D$2,'Adjustment Surface'!C$10,IF(INDEX(Schedules!$H$3:$H$123,MATCH('Bachelier Model'!J17,Schedules!$B$3:$B$123,0))="",O16,INDEX(Schedules!$H$3:$H$123,MATCH('Bachelier Model'!J17,Schedules!$B$3:$B$123,0)))))</f>
        <v>0.02</v>
      </c>
      <c r="P17" s="16" cm="1">
        <f t="array" ref="P17">IF(I17="","",FORECAST(J17,INDEX('Rate &amp; Vol Update'!$C$6:$C$127,MATCH(INDEX('Rate &amp; Vol Update'!$B$6:$B$127,MATCH(J17,'Rate &amp; Vol Update'!$B$6:$B$127,1)),'Rate &amp; Vol Update'!$B$6:$B$127,0)+IF('Adjustment Surface'!C$11='Data Validation'!$E$3,-1,0)):INDEX('Rate &amp; Vol Update'!$C$6:$C$127,MATCH(INDEX('Rate &amp; Vol Update'!$B$6:$B$127,MATCH(J17,'Rate &amp; Vol Update'!$B$6:$B$127,1)+1),'Rate &amp; Vol Update'!$B$6:$B$127,0)+IF('Adjustment Surface'!C$11='Data Validation'!$E$3,-1,0)),INDEX('Rate &amp; Vol Update'!$B$6:$B$127,MATCH(J17,'Rate &amp; Vol Update'!$B$6:$B$127,1)):INDEX('Rate &amp; Vol Update'!$B$6:$B$127,MATCH(J17,'Rate &amp; Vol Update'!$B$6:$B$127,1)+1))/100)</f>
        <v>3.1659714684477917E-2</v>
      </c>
      <c r="Q17" s="16" cm="1">
        <f t="array" ref="Q17">IF(I17="","",IF(J17&lt;'Rate &amp; Vol Update'!$C$2,0.001%,(1/((INDEX('Rate &amp; Vol Update'!$E$6:$Z$6,1,MATCH(O17,'Rate &amp; Vol Update'!$E$6:$Z$6,1)+1)-INDEX('Rate &amp; Vol Update'!$E$6:$Z$6,1,MATCH(O17,'Rate &amp; Vol Update'!$E$6:$Z$6,1)))*(INDEX('Rate &amp; Vol Update'!$B$8:$B$127,MATCH(J17,'Rate &amp; Vol Update'!$B$8:$B$127,1)+1)-INDEX('Rate &amp; Vol Update'!$B$8:$B$127,MATCH(J17,'Rate &amp; Vol Update'!$B$8:$B$127,1))))*(INDEX('Rate &amp; Vol Update'!$E$8:$Z$127,MATCH(INDEX('Rate &amp; Vol Update'!$B$8:$B$127,MATCH(J17,'Rate &amp; Vol Update'!$B$8:$B$127,1)),'Rate &amp; Vol Update'!$B$8:$B$127,0),MATCH(INDEX('Rate &amp; Vol Update'!$E$6:$Z$6,1,MATCH(O17,'Rate &amp; Vol Update'!$E$6:$Z$6,1)),'Rate &amp; Vol Update'!$E$6:$Z$6,0))*(INDEX('Rate &amp; Vol Update'!$E$6:$Z$6,1,MATCH(O17,'Rate &amp; Vol Update'!$E$6:$Z$6,1)+1)-O17)*(INDEX('Rate &amp; Vol Update'!$B$8:$B$127,MATCH(J17,'Rate &amp; Vol Update'!$B$8:$B$127,1)+1)-J17)+INDEX('Rate &amp; Vol Update'!$E$8:$Z$127,MATCH(INDEX('Rate &amp; Vol Update'!$B$8:$B$127,MATCH(J17,'Rate &amp; Vol Update'!$B$8:$B$127,1)),'Rate &amp; Vol Update'!$B$8:$B$127,0),MATCH(INDEX('Rate &amp; Vol Update'!$E$6:$Z$6,1,MATCH(O17,'Rate &amp; Vol Update'!$E$6:$Z$6,1)+1),'Rate &amp; Vol Update'!$E$6:$Z$6,0))*(O17-INDEX('Rate &amp; Vol Update'!$E$6:$Z$6,1,MATCH(O17,'Rate &amp; Vol Update'!$E$6:$Z$6,1)))*(INDEX('Rate &amp; Vol Update'!$B$8:$B$127,MATCH(J17,'Rate &amp; Vol Update'!$B$8:$B$127,1)+1)-J17)+INDEX('Rate &amp; Vol Update'!$E$8:$Z$127,MATCH(INDEX('Rate &amp; Vol Update'!$B$8:$B$127,MATCH(J17,'Rate &amp; Vol Update'!$B$8:$B$127,1)+1),'Rate &amp; Vol Update'!$B$8:$B$127,0),MATCH(INDEX('Rate &amp; Vol Update'!$E$6:$Z$6,1,MATCH(O17,'Rate &amp; Vol Update'!$E$6:$Z$6,1)),'Rate &amp; Vol Update'!$E$6:$Z$6,0))*(INDEX('Rate &amp; Vol Update'!$E$6:$Z$6,1,MATCH(O17,'Rate &amp; Vol Update'!$E$6:$Z$6,1)+1)-O17)*(J17-INDEX('Rate &amp; Vol Update'!$B$8:$B$127,MATCH(J17,'Rate &amp; Vol Update'!$B$8:$B$127,1)))+INDEX('Rate &amp; Vol Update'!$E$8:$Z$127,MATCH(INDEX('Rate &amp; Vol Update'!$B$8:$B$127,MATCH(J17,'Rate &amp; Vol Update'!$B$8:$B$127,1)+1),'Rate &amp; Vol Update'!$B$8:$B$127,0),MATCH(INDEX('Rate &amp; Vol Update'!$E$6:$Z$6,1,MATCH(O17,'Rate &amp; Vol Update'!$E$6:$Z$6,1)+1),'Rate &amp; Vol Update'!$E$6:$Z$6,0))*(O17-INDEX('Rate &amp; Vol Update'!$E$6:$Z$6,1,MATCH(O17,'Rate &amp; Vol Update'!$E$6:$Z$6,1)))*(J17-INDEX('Rate &amp; Vol Update'!$B$8:$B$127,MATCH(J17,'Rate &amp; Vol Update'!$B$8:$B$127,1)))))*0.01%))</f>
        <v>9.5430074876777515E-3</v>
      </c>
      <c r="R17" s="5">
        <f>IF(I17="","",1/((1+P17)^((K17-'Rate &amp; Vol Update'!$C$2)/360)))</f>
        <v>0.96395562954817149</v>
      </c>
      <c r="T17" s="15">
        <f>IF(I17="","",IF(J17&lt;'Rate &amp; Vol Update'!$C$2,MAX(0,P17-O17)*(L17/360)*N17,(((IF('Adjustment Surface'!C$2='Data Validation'!$A$2,P17,IF('Adjustment Surface'!C$2='Data Validation'!$A$3,O17,"Unknown Option Type"))-IF('Adjustment Surface'!C$2='Data Validation'!$A$2,O17,IF('Adjustment Surface'!C$2='Data Validation'!$A$3,P17,"Unknown Option Type")))*(NORMDIST((IF('Adjustment Surface'!C$2='Data Validation'!$A$2,P17,IF('Adjustment Surface'!C$2='Data Validation'!$A$3,O17,"Unknown Option Type"))-IF('Adjustment Surface'!C$2='Data Validation'!$A$2,O17,IF('Adjustment Surface'!C$2='Data Validation'!$A$3,P17,"Unknown Option Type")))/(Q17*SQRT(M17)),0,1,TRUE)))+((Q17*SQRT(M17))*(NORMDIST((IF('Adjustment Surface'!C$2='Data Validation'!$A$2,P17,IF('Adjustment Surface'!C$2='Data Validation'!$A$3,O17,"Unknown Option Type"))-IF('Adjustment Surface'!C$2='Data Validation'!$A$2,O17,IF('Adjustment Surface'!C$2='Data Validation'!$A$3,P17,"Unknown Option Type")))/(Q17*SQRT(M17)),0,1,FALSE))))*R17*(L17/360)*N17))</f>
        <v>25597.038821329061</v>
      </c>
      <c r="U17" s="15">
        <f>IF(I17="","",SUM(T$4:T17))</f>
        <v>404918.59472608136</v>
      </c>
      <c r="W17" s="15">
        <f>IF(I17="","",IF(J17&lt;'Rate &amp; Vol Update'!$C$2,0,((((((IF('Adjustment Surface'!C$2='Data Validation'!$A$2,P17,IF('Adjustment Surface'!C$2='Data Validation'!$A$3,O17,"Unknown Option Type"))-IF('Adjustment Surface'!C$2='Data Validation'!$A$2,O17,IF('Adjustment Surface'!C$2='Data Validation'!$A$3,P17,"Unknown Option Type")))*(NORMDIST((IF('Adjustment Surface'!C$2='Data Validation'!$A$2,P17,IF('Adjustment Surface'!C$2='Data Validation'!$A$3,O17,"Unknown Option Type"))-IF('Adjustment Surface'!C$2='Data Validation'!$A$2,O17,IF('Adjustment Surface'!C$2='Data Validation'!$A$3,P17,"Unknown Option Type")))/((Q17+0.01%)*SQRT(M17)),0,1,TRUE)))+(((Q17+0.01%)*SQRT(M17))*(NORMDIST((IF('Adjustment Surface'!C$2='Data Validation'!$A$2,P17,IF('Adjustment Surface'!C$2='Data Validation'!$A$3,O17,"Unknown Option Type"))-IF('Adjustment Surface'!C$2='Data Validation'!$A$2,O17,IF('Adjustment Surface'!C$2='Data Validation'!$A$3,P17,"Unknown Option Type")))/((Q17+0.01%)*SQRT(M17)),0,1,FALSE))))*R17*(L17/360))-(T17/N17))*N17)*R17))</f>
        <v>46.257483415483144</v>
      </c>
      <c r="X17" s="15">
        <f>IF(I17="","",SUM(W$4:W17))</f>
        <v>231.30826488332622</v>
      </c>
      <c r="Y17" s="15"/>
      <c r="Z17" s="20"/>
      <c r="AA17" s="3">
        <v>14</v>
      </c>
      <c r="AB17" s="4">
        <f>IF(AC16=MAX('Adjustment Surface'!$C$14:$F$14),"",AC16)</f>
        <v>46457</v>
      </c>
      <c r="AC17" s="4">
        <f>IF(AB17="","",IF(AB17&lt;EDATE('Adjustment Surface'!$C$6,DATEDIF('Adjustment Surface'!$C$6,MAX('Adjustment Surface'!$C$14:$F$14),"M")),EDATE(AB$5,COUNT(AB$5:AB17)),IF(AB17=EDATE('Adjustment Surface'!$C$6,DATEDIF('Adjustment Surface'!$C$6,MAX('Adjustment Surface'!$C$14:$F$14),"M")),MAX('Adjustment Surface'!$C$14:$F$14),EDATE('Adjustment Surface'!$C$6,DATEDIF('Adjustment Surface'!$C$6,MAX('Adjustment Surface'!$C$14:$F$14),"M")))))</f>
        <v>46488</v>
      </c>
      <c r="AD17" s="3">
        <f t="shared" si="2"/>
        <v>31</v>
      </c>
      <c r="AE17" s="5">
        <f>IF(AA17="","",(AC17-'Rate &amp; Vol Update'!$C$2)/360)</f>
        <v>1.1777777777777778</v>
      </c>
      <c r="AF17" s="15">
        <f>IF(AA17="","",IF('Adjustment Surface'!$C$3='Data Validation'!$C$2,'Adjustment Surface'!$C$4,_xlfn.IFNA(IF(INDEX(Schedules!$E$3:$E$123,MATCH('Bachelier Model'!AB17,Schedules!$B$3:$B$123,0))="",AF16,INDEX(Schedules!$E$3:$E$123,MATCH('Bachelier Model'!AB17,Schedules!$B$3:$B$123,0))),AF16)))</f>
        <v>25000000</v>
      </c>
      <c r="AG17" s="16">
        <f>IF(AA17="","",'Adjustment Surface'!B$15)</f>
        <v>0.03</v>
      </c>
      <c r="AH17" s="16" cm="1">
        <f t="array" ref="AH17">IF(AA17="","",FORECAST(AB17,INDEX('Rate &amp; Vol Update'!$C$6:$C$127,MATCH(INDEX('Rate &amp; Vol Update'!$B$6:$B$127,MATCH(AB17,'Rate &amp; Vol Update'!$B$6:$B$127,1)),'Rate &amp; Vol Update'!$B$6:$B$127,0)+IF('Adjustment Surface'!$C$11='Data Validation'!$E$3,-1,0)):INDEX('Rate &amp; Vol Update'!$C$6:$C$127,MATCH(INDEX('Rate &amp; Vol Update'!$B$6:$B$127,MATCH(AB17,'Rate &amp; Vol Update'!$B$6:$B$127,1)+1),'Rate &amp; Vol Update'!$B$6:$B$127,0)+IF('Adjustment Surface'!$C$11='Data Validation'!$E$3,-1,0)),INDEX('Rate &amp; Vol Update'!$B$6:$B$127,MATCH(AB17,'Rate &amp; Vol Update'!$B$6:$B$127,1)):INDEX('Rate &amp; Vol Update'!$B$6:$B$127,MATCH(AB17,'Rate &amp; Vol Update'!$B$6:$B$127,1)+1))/100)</f>
        <v>3.1659714684477917E-2</v>
      </c>
      <c r="AI17" s="16" cm="1">
        <f t="array" ref="AI17">IF(AA17="","",IF(AB17&lt;'Rate &amp; Vol Update'!$C$2,0.001%,(1/((INDEX('Rate &amp; Vol Update'!$E$6:$Z$6,1,MATCH(AG17,'Rate &amp; Vol Update'!$E$6:$Z$6,1)+1)-INDEX('Rate &amp; Vol Update'!$E$6:$Z$6,1,MATCH(AG17,'Rate &amp; Vol Update'!$E$6:$Z$6,1)))*(INDEX('Rate &amp; Vol Update'!$B$8:$B$127,MATCH(AB17,'Rate &amp; Vol Update'!$B$8:$B$127,1)+1)-INDEX('Rate &amp; Vol Update'!$B$8:$B$127,MATCH(AB17,'Rate &amp; Vol Update'!$B$8:$B$127,1))))*(INDEX('Rate &amp; Vol Update'!$E$8:$Z$127,MATCH(INDEX('Rate &amp; Vol Update'!$B$8:$B$127,MATCH(AB17,'Rate &amp; Vol Update'!$B$8:$B$127,1)),'Rate &amp; Vol Update'!$B$8:$B$127,0),MATCH(INDEX('Rate &amp; Vol Update'!$E$6:$Z$6,1,MATCH(AG17,'Rate &amp; Vol Update'!$E$6:$Z$6,1)),'Rate &amp; Vol Update'!$E$6:$Z$6,0))*(INDEX('Rate &amp; Vol Update'!$E$6:$Z$6,1,MATCH(AG17,'Rate &amp; Vol Update'!$E$6:$Z$6,1)+1)-AG17)*(INDEX('Rate &amp; Vol Update'!$B$8:$B$127,MATCH(AB17,'Rate &amp; Vol Update'!$B$8:$B$127,1)+1)-AB17)+INDEX('Rate &amp; Vol Update'!$E$8:$Z$127,MATCH(INDEX('Rate &amp; Vol Update'!$B$8:$B$127,MATCH(AB17,'Rate &amp; Vol Update'!$B$8:$B$127,1)),'Rate &amp; Vol Update'!$B$8:$B$127,0),MATCH(INDEX('Rate &amp; Vol Update'!$E$6:$Z$6,1,MATCH(AG17,'Rate &amp; Vol Update'!$E$6:$Z$6,1)+1),'Rate &amp; Vol Update'!$E$6:$Z$6,0))*(AG17-INDEX('Rate &amp; Vol Update'!$E$6:$Z$6,1,MATCH(AG17,'Rate &amp; Vol Update'!$E$6:$Z$6,1)))*(INDEX('Rate &amp; Vol Update'!$B$8:$B$127,MATCH(AB17,'Rate &amp; Vol Update'!$B$8:$B$127,1)+1)-AB17)+INDEX('Rate &amp; Vol Update'!$E$8:$Z$127,MATCH(INDEX('Rate &amp; Vol Update'!$B$8:$B$127,MATCH(AB17,'Rate &amp; Vol Update'!$B$8:$B$127,1)+1),'Rate &amp; Vol Update'!$B$8:$B$127,0),MATCH(INDEX('Rate &amp; Vol Update'!$E$6:$Z$6,1,MATCH(AG17,'Rate &amp; Vol Update'!$E$6:$Z$6,1)),'Rate &amp; Vol Update'!$E$6:$Z$6,0))*(INDEX('Rate &amp; Vol Update'!$E$6:$Z$6,1,MATCH(AG17,'Rate &amp; Vol Update'!$E$6:$Z$6,1)+1)-AG17)*(AB17-INDEX('Rate &amp; Vol Update'!$B$8:$B$127,MATCH(AB17,'Rate &amp; Vol Update'!$B$8:$B$127,1)))+INDEX('Rate &amp; Vol Update'!$E$8:$Z$127,MATCH(INDEX('Rate &amp; Vol Update'!$B$8:$B$127,MATCH(AB17,'Rate &amp; Vol Update'!$B$8:$B$127,1)+1),'Rate &amp; Vol Update'!$B$8:$B$127,0),MATCH(INDEX('Rate &amp; Vol Update'!$E$6:$Z$6,1,MATCH(AG17,'Rate &amp; Vol Update'!$E$6:$Z$6,1)+1),'Rate &amp; Vol Update'!$E$6:$Z$6,0))*(AG17-INDEX('Rate &amp; Vol Update'!$E$6:$Z$6,1,MATCH(AG17,'Rate &amp; Vol Update'!$E$6:$Z$6,1)))*(AB17-INDEX('Rate &amp; Vol Update'!$B$8:$B$127,MATCH(AB17,'Rate &amp; Vol Update'!$B$8:$B$127,1)))))*0.01%))</f>
        <v>7.7645411944713182E-3</v>
      </c>
      <c r="AJ17" s="5">
        <f>IF(AA17="","",1/((1+AH17)^((AC17-'Rate &amp; Vol Update'!$C$2)/360)))</f>
        <v>0.96395562954817149</v>
      </c>
      <c r="AL17" s="15">
        <f>IF(AA17="","",IF(AB17&lt;'Rate &amp; Vol Update'!$C$2,MAX(0,AH17-AG17)*(AD17/360)*AF17,(((IF('Adjustment Surface'!$C$2='Data Validation'!$A$2,AH17,IF('Adjustment Surface'!$C$2='Data Validation'!$A$3,AG17,"Unknown Option Type"))-IF('Adjustment Surface'!$C$2='Data Validation'!$A$2,AG17,IF('Adjustment Surface'!$C$2='Data Validation'!$A$3,AH17,"Unknown Option Type")))*(NORMDIST((IF('Adjustment Surface'!$C$2='Data Validation'!$A$2,AH17,IF('Adjustment Surface'!$C$2='Data Validation'!$A$3,AG17,"Unknown Option Type"))-IF('Adjustment Surface'!$C$2='Data Validation'!$A$2,AG17,IF('Adjustment Surface'!$C$2='Data Validation'!$A$3,AH17,"Unknown Option Type")))/(AI17*SQRT(AE17)),0,1,TRUE)))+((AI17*SQRT(AE17))*(NORMDIST((IF('Adjustment Surface'!$C$2='Data Validation'!$A$2,AH17,IF('Adjustment Surface'!$C$2='Data Validation'!$A$3,AG17,"Unknown Option Type"))-IF('Adjustment Surface'!$C$2='Data Validation'!$A$2,AG17,IF('Adjustment Surface'!$C$2='Data Validation'!$A$3,AH17,"Unknown Option Type")))/(AI17*SQRT(AE17)),0,1,FALSE))))*AJ17*(AD17/360)*AF17))</f>
        <v>8833.1050168135826</v>
      </c>
      <c r="AM17" s="15">
        <f>IF(AA17="","",SUM(AL$4:AL17))</f>
        <v>141094.53362591009</v>
      </c>
      <c r="AO17" s="15">
        <f>IF(AA17="","",IF(AB17&lt;'Rate &amp; Vol Update'!$C$2,0,((((((IF('Adjustment Surface'!$C$2='Data Validation'!$A$2,AH17,IF('Adjustment Surface'!$C$2='Data Validation'!$A$3,AG17,"Unknown Option Type"))-IF('Adjustment Surface'!$C$2='Data Validation'!$A$2,AG17,IF('Adjustment Surface'!$C$2='Data Validation'!$A$3,AH17,"Unknown Option Type")))*(NORMDIST((IF('Adjustment Surface'!$C$2='Data Validation'!$A$2,AH17,IF('Adjustment Surface'!$C$2='Data Validation'!$A$3,AG17,"Unknown Option Type"))-IF('Adjustment Surface'!$C$2='Data Validation'!$A$2,AG17,IF('Adjustment Surface'!$C$2='Data Validation'!$A$3,AH17,"Unknown Option Type")))/((AI17+0.01%)*SQRT(AE17)),0,1,TRUE)))+(((AI17+0.01%)*SQRT(AE17))*(NORMDIST((IF('Adjustment Surface'!$C$2='Data Validation'!$A$2,AH17,IF('Adjustment Surface'!$C$2='Data Validation'!$A$3,AG17,"Unknown Option Type"))-IF('Adjustment Surface'!$C$2='Data Validation'!$A$2,AG17,IF('Adjustment Surface'!$C$2='Data Validation'!$A$3,AH17,"Unknown Option Type")))/((AI17+0.01%)*SQRT(AE17)),0,1,FALSE))))*AJ17*(AD17/360))-(AL17/AF17))*AF17)*AJ17))</f>
        <v>84.964596760586318</v>
      </c>
      <c r="AP17" s="15">
        <f>IF(AA17="","",SUM(AO$4:AO17))</f>
        <v>649.64998191547318</v>
      </c>
      <c r="AQ17" s="15"/>
      <c r="AR17" s="20"/>
      <c r="AS17" s="3">
        <v>14</v>
      </c>
      <c r="AT17" s="4">
        <f>IF(AU16=MAX('Adjustment Surface'!$C$14:$F$14),"",AU16)</f>
        <v>46457</v>
      </c>
      <c r="AU17" s="4">
        <f>IF(AT17="","",IF(AT17&lt;EDATE('Adjustment Surface'!$C$6,DATEDIF('Adjustment Surface'!$C$6,MAX('Adjustment Surface'!$C$14:$F$14),"M")),EDATE(AT$5,COUNT(AT$5:AT17)),IF(AT17=EDATE('Adjustment Surface'!$C$6,DATEDIF('Adjustment Surface'!$C$6,MAX('Adjustment Surface'!$C$14:$F$14),"M")),MAX('Adjustment Surface'!$C$14:$F$14),EDATE('Adjustment Surface'!$C$6,DATEDIF('Adjustment Surface'!$C$6,MAX('Adjustment Surface'!$C$14:$F$14),"M")))))</f>
        <v>46488</v>
      </c>
      <c r="AV17" s="3">
        <f t="shared" si="3"/>
        <v>31</v>
      </c>
      <c r="AW17" s="5">
        <f>IF(AS17="","",(AU17-'Rate &amp; Vol Update'!$C$2)/360)</f>
        <v>1.1777777777777778</v>
      </c>
      <c r="AX17" s="15">
        <f>IF(AS17="","",IF('Adjustment Surface'!$C$3='Data Validation'!$C$2,'Adjustment Surface'!$C$4,_xlfn.IFNA(IF(INDEX(Schedules!$E$3:$E$123,MATCH('Bachelier Model'!AT17,Schedules!$B$3:$B$123,0))="",AX16,INDEX(Schedules!$E$3:$E$123,MATCH('Bachelier Model'!AT17,Schedules!$B$3:$B$123,0))),AX16)))</f>
        <v>25000000</v>
      </c>
      <c r="AY17" s="16">
        <f>IF(AS17="","",'Adjustment Surface'!B$16)</f>
        <v>0.04</v>
      </c>
      <c r="AZ17" s="16" cm="1">
        <f t="array" ref="AZ17">IF(AS17="","",FORECAST(AT17,INDEX('Rate &amp; Vol Update'!$C$6:$C$127,MATCH(INDEX('Rate &amp; Vol Update'!$B$6:$B$127,MATCH(AT17,'Rate &amp; Vol Update'!$B$6:$B$127,1)),'Rate &amp; Vol Update'!$B$6:$B$127,0)+IF('Adjustment Surface'!$C$11='Data Validation'!$E$3,-1,0)):INDEX('Rate &amp; Vol Update'!$C$6:$C$127,MATCH(INDEX('Rate &amp; Vol Update'!$B$6:$B$127,MATCH(AT17,'Rate &amp; Vol Update'!$B$6:$B$127,1)+1),'Rate &amp; Vol Update'!$B$6:$B$127,0)+IF('Adjustment Surface'!$C$11='Data Validation'!$E$3,-1,0)),INDEX('Rate &amp; Vol Update'!$B$6:$B$127,MATCH(AT17,'Rate &amp; Vol Update'!$B$6:$B$127,1)):INDEX('Rate &amp; Vol Update'!$B$6:$B$127,MATCH(AT17,'Rate &amp; Vol Update'!$B$6:$B$127,1)+1))/100)</f>
        <v>3.1659714684477917E-2</v>
      </c>
      <c r="BA17" s="16" cm="1">
        <f t="array" ref="BA17">IF(AS17="","",IF(AT17&lt;'Rate &amp; Vol Update'!$C$2,0.001%,(1/((INDEX('Rate &amp; Vol Update'!$E$6:$Z$6,1,MATCH(AY17,'Rate &amp; Vol Update'!$E$6:$Z$6,1)+1)-INDEX('Rate &amp; Vol Update'!$E$6:$Z$6,1,MATCH(AY17,'Rate &amp; Vol Update'!$E$6:$Z$6,1)))*(INDEX('Rate &amp; Vol Update'!$B$8:$B$127,MATCH(AT17,'Rate &amp; Vol Update'!$B$8:$B$127,1)+1)-INDEX('Rate &amp; Vol Update'!$B$8:$B$127,MATCH(AT17,'Rate &amp; Vol Update'!$B$8:$B$127,1))))*(INDEX('Rate &amp; Vol Update'!$E$8:$Z$127,MATCH(INDEX('Rate &amp; Vol Update'!$B$8:$B$127,MATCH(AT17,'Rate &amp; Vol Update'!$B$8:$B$127,1)),'Rate &amp; Vol Update'!$B$8:$B$127,0),MATCH(INDEX('Rate &amp; Vol Update'!$E$6:$Z$6,1,MATCH(AY17,'Rate &amp; Vol Update'!$E$6:$Z$6,1)),'Rate &amp; Vol Update'!$E$6:$Z$6,0))*(INDEX('Rate &amp; Vol Update'!$E$6:$Z$6,1,MATCH(AY17,'Rate &amp; Vol Update'!$E$6:$Z$6,1)+1)-AY17)*(INDEX('Rate &amp; Vol Update'!$B$8:$B$127,MATCH(AT17,'Rate &amp; Vol Update'!$B$8:$B$127,1)+1)-AT17)+INDEX('Rate &amp; Vol Update'!$E$8:$Z$127,MATCH(INDEX('Rate &amp; Vol Update'!$B$8:$B$127,MATCH(AT17,'Rate &amp; Vol Update'!$B$8:$B$127,1)),'Rate &amp; Vol Update'!$B$8:$B$127,0),MATCH(INDEX('Rate &amp; Vol Update'!$E$6:$Z$6,1,MATCH(AY17,'Rate &amp; Vol Update'!$E$6:$Z$6,1)+1),'Rate &amp; Vol Update'!$E$6:$Z$6,0))*(AY17-INDEX('Rate &amp; Vol Update'!$E$6:$Z$6,1,MATCH(AY17,'Rate &amp; Vol Update'!$E$6:$Z$6,1)))*(INDEX('Rate &amp; Vol Update'!$B$8:$B$127,MATCH(AT17,'Rate &amp; Vol Update'!$B$8:$B$127,1)+1)-AT17)+INDEX('Rate &amp; Vol Update'!$E$8:$Z$127,MATCH(INDEX('Rate &amp; Vol Update'!$B$8:$B$127,MATCH(AT17,'Rate &amp; Vol Update'!$B$8:$B$127,1)+1),'Rate &amp; Vol Update'!$B$8:$B$127,0),MATCH(INDEX('Rate &amp; Vol Update'!$E$6:$Z$6,1,MATCH(AY17,'Rate &amp; Vol Update'!$E$6:$Z$6,1)),'Rate &amp; Vol Update'!$E$6:$Z$6,0))*(INDEX('Rate &amp; Vol Update'!$E$6:$Z$6,1,MATCH(AY17,'Rate &amp; Vol Update'!$E$6:$Z$6,1)+1)-AY17)*(AT17-INDEX('Rate &amp; Vol Update'!$B$8:$B$127,MATCH(AT17,'Rate &amp; Vol Update'!$B$8:$B$127,1)))+INDEX('Rate &amp; Vol Update'!$E$8:$Z$127,MATCH(INDEX('Rate &amp; Vol Update'!$B$8:$B$127,MATCH(AT17,'Rate &amp; Vol Update'!$B$8:$B$127,1)+1),'Rate &amp; Vol Update'!$B$8:$B$127,0),MATCH(INDEX('Rate &amp; Vol Update'!$E$6:$Z$6,1,MATCH(AY17,'Rate &amp; Vol Update'!$E$6:$Z$6,1)+1),'Rate &amp; Vol Update'!$E$6:$Z$6,0))*(AY17-INDEX('Rate &amp; Vol Update'!$E$6:$Z$6,1,MATCH(AY17,'Rate &amp; Vol Update'!$E$6:$Z$6,1)))*(AT17-INDEX('Rate &amp; Vol Update'!$B$8:$B$127,MATCH(AT17,'Rate &amp; Vol Update'!$B$8:$B$127,1)))))*0.01%))</f>
        <v>7.5082440388387532E-3</v>
      </c>
      <c r="BB17" s="5">
        <f>IF(AS17="","",1/((1+AZ17)^((AU17-'Rate &amp; Vol Update'!$C$2)/360)))</f>
        <v>0.96395562954817149</v>
      </c>
      <c r="BD17" s="15">
        <f>IF(AS17="","",IF(AT17&lt;'Rate &amp; Vol Update'!$C$2,MAX(0,AZ17-AY17)*(AV17/360)*AX17,(((IF('Adjustment Surface'!$C$2='Data Validation'!$A$2,AZ17,IF('Adjustment Surface'!$C$2='Data Validation'!$A$3,AY17,"Unknown Option Type"))-IF('Adjustment Surface'!$C$2='Data Validation'!$A$2,AY17,IF('Adjustment Surface'!$C$2='Data Validation'!$A$3,AZ17,"Unknown Option Type")))*(NORMDIST((IF('Adjustment Surface'!$C$2='Data Validation'!$A$2,AZ17,IF('Adjustment Surface'!$C$2='Data Validation'!$A$3,AY17,"Unknown Option Type"))-IF('Adjustment Surface'!$C$2='Data Validation'!$A$2,AY17,IF('Adjustment Surface'!$C$2='Data Validation'!$A$3,AZ17,"Unknown Option Type")))/(BA17*SQRT(AW17)),0,1,TRUE)))+((BA17*SQRT(AW17))*(NORMDIST((IF('Adjustment Surface'!$C$2='Data Validation'!$A$2,AZ17,IF('Adjustment Surface'!$C$2='Data Validation'!$A$3,AY17,"Unknown Option Type"))-IF('Adjustment Surface'!$C$2='Data Validation'!$A$2,AY17,IF('Adjustment Surface'!$C$2='Data Validation'!$A$3,AZ17,"Unknown Option Type")))/(BA17*SQRT(AW17)),0,1,FALSE))))*BB17*(AV17/360)*AX17))</f>
        <v>1346.7444198074113</v>
      </c>
      <c r="BE17" s="15">
        <f>IF(AS17="","",SUM(BD$4:BD17))</f>
        <v>7744.0532997392002</v>
      </c>
      <c r="BG17" s="15">
        <f>IF(AS17="","",IF(AT17&lt;'Rate &amp; Vol Update'!$C$2,0,((((((IF('Adjustment Surface'!$C$2='Data Validation'!$A$2,AZ17,IF('Adjustment Surface'!$C$2='Data Validation'!$A$3,AY17,"Unknown Option Type"))-IF('Adjustment Surface'!$C$2='Data Validation'!$A$2,AY17,IF('Adjustment Surface'!$C$2='Data Validation'!$A$3,AZ17,"Unknown Option Type")))*(NORMDIST((IF('Adjustment Surface'!$C$2='Data Validation'!$A$2,AZ17,IF('Adjustment Surface'!$C$2='Data Validation'!$A$3,AY17,"Unknown Option Type"))-IF('Adjustment Surface'!$C$2='Data Validation'!$A$2,AY17,IF('Adjustment Surface'!$C$2='Data Validation'!$A$3,AZ17,"Unknown Option Type")))/((BA17+0.01%)*SQRT(AW17)),0,1,TRUE)))+(((BA17+0.01%)*SQRT(AW17))*(NORMDIST((IF('Adjustment Surface'!$C$2='Data Validation'!$A$2,AZ17,IF('Adjustment Surface'!$C$2='Data Validation'!$A$3,AY17,"Unknown Option Type"))-IF('Adjustment Surface'!$C$2='Data Validation'!$A$2,AY17,IF('Adjustment Surface'!$C$2='Data Validation'!$A$3,AZ17,"Unknown Option Type")))/((BA17+0.01%)*SQRT(AW17)),0,1,FALSE))))*BB17*(AV17/360))-(BD17/AX17))*AX17)*BB17))</f>
        <v>51.647746963214097</v>
      </c>
      <c r="BH17" s="15">
        <f>IF(AS17="","",SUM(BG$4:BG17))</f>
        <v>397.20650550940707</v>
      </c>
      <c r="BI17" s="15"/>
      <c r="BJ17" s="20"/>
      <c r="BK17" s="3">
        <v>14</v>
      </c>
      <c r="BL17" s="4">
        <f>IF(BM16=MAX('Adjustment Surface'!$C$14:$F$14),"",BM16)</f>
        <v>46457</v>
      </c>
      <c r="BM17" s="4">
        <f>IF(BL17="","",IF(BL17&lt;EDATE('Adjustment Surface'!$C$6,DATEDIF('Adjustment Surface'!$C$6,MAX('Adjustment Surface'!$C$14:$F$14),"M")),EDATE(BL$5,COUNT(BL$5:BL17)),IF(BL17=EDATE('Adjustment Surface'!$C$6,DATEDIF('Adjustment Surface'!$C$6,MAX('Adjustment Surface'!$C$14:$F$14),"M")),MAX('Adjustment Surface'!$C$14:$F$14),EDATE('Adjustment Surface'!$C$6,DATEDIF('Adjustment Surface'!$C$6,MAX('Adjustment Surface'!$C$14:$F$14),"M")))))</f>
        <v>46488</v>
      </c>
      <c r="BN17" s="3">
        <f t="shared" si="4"/>
        <v>31</v>
      </c>
      <c r="BO17" s="5">
        <f>IF(BK17="","",(BM17-'Rate &amp; Vol Update'!$C$2)/360)</f>
        <v>1.1777777777777778</v>
      </c>
      <c r="BP17" s="15">
        <f>IF(BK17="","",IF('Adjustment Surface'!$C$3='Data Validation'!$C$2,'Adjustment Surface'!$C$4,_xlfn.IFNA(IF(INDEX(Schedules!$E$3:$E$123,MATCH('Bachelier Model'!BL17,Schedules!$B$3:$B$123,0))="",BP16,INDEX(Schedules!$E$3:$E$123,MATCH('Bachelier Model'!BL17,Schedules!$B$3:$B$123,0))),BP16)))</f>
        <v>25000000</v>
      </c>
      <c r="BQ17" s="16">
        <f>IF(BK17="","",'Adjustment Surface'!B$17)</f>
        <v>0.05</v>
      </c>
      <c r="BR17" s="16" cm="1">
        <f t="array" ref="BR17">IF(BK17="","",FORECAST(BL17,INDEX('Rate &amp; Vol Update'!$C$6:$C$127,MATCH(INDEX('Rate &amp; Vol Update'!$B$6:$B$127,MATCH(BL17,'Rate &amp; Vol Update'!$B$6:$B$127,1)),'Rate &amp; Vol Update'!$B$6:$B$127,0)+IF('Adjustment Surface'!$C$11='Data Validation'!$E$3,-1,0)):INDEX('Rate &amp; Vol Update'!$C$6:$C$127,MATCH(INDEX('Rate &amp; Vol Update'!$B$6:$B$127,MATCH(BL17,'Rate &amp; Vol Update'!$B$6:$B$127,1)+1),'Rate &amp; Vol Update'!$B$6:$B$127,0)+IF('Adjustment Surface'!$C$11='Data Validation'!$E$3,-1,0)),INDEX('Rate &amp; Vol Update'!$B$6:$B$127,MATCH(BL17,'Rate &amp; Vol Update'!$B$6:$B$127,1)):INDEX('Rate &amp; Vol Update'!$B$6:$B$127,MATCH(BL17,'Rate &amp; Vol Update'!$B$6:$B$127,1)+1))/100)</f>
        <v>3.1659714684477917E-2</v>
      </c>
      <c r="BS17" s="16" cm="1">
        <f t="array" ref="BS17">IF(BK17="","",IF(BL17&lt;'Rate &amp; Vol Update'!$C$2,0.001%,(1/((INDEX('Rate &amp; Vol Update'!$E$6:$Z$6,1,MATCH(BQ17,'Rate &amp; Vol Update'!$E$6:$Z$6,1)+1)-INDEX('Rate &amp; Vol Update'!$E$6:$Z$6,1,MATCH(BQ17,'Rate &amp; Vol Update'!$E$6:$Z$6,1)))*(INDEX('Rate &amp; Vol Update'!$B$8:$B$127,MATCH(BL17,'Rate &amp; Vol Update'!$B$8:$B$127,1)+1)-INDEX('Rate &amp; Vol Update'!$B$8:$B$127,MATCH(BL17,'Rate &amp; Vol Update'!$B$8:$B$127,1))))*(INDEX('Rate &amp; Vol Update'!$E$8:$Z$127,MATCH(INDEX('Rate &amp; Vol Update'!$B$8:$B$127,MATCH(BL17,'Rate &amp; Vol Update'!$B$8:$B$127,1)),'Rate &amp; Vol Update'!$B$8:$B$127,0),MATCH(INDEX('Rate &amp; Vol Update'!$E$6:$Z$6,1,MATCH(BQ17,'Rate &amp; Vol Update'!$E$6:$Z$6,1)),'Rate &amp; Vol Update'!$E$6:$Z$6,0))*(INDEX('Rate &amp; Vol Update'!$E$6:$Z$6,1,MATCH(BQ17,'Rate &amp; Vol Update'!$E$6:$Z$6,1)+1)-BQ17)*(INDEX('Rate &amp; Vol Update'!$B$8:$B$127,MATCH(BL17,'Rate &amp; Vol Update'!$B$8:$B$127,1)+1)-BL17)+INDEX('Rate &amp; Vol Update'!$E$8:$Z$127,MATCH(INDEX('Rate &amp; Vol Update'!$B$8:$B$127,MATCH(BL17,'Rate &amp; Vol Update'!$B$8:$B$127,1)),'Rate &amp; Vol Update'!$B$8:$B$127,0),MATCH(INDEX('Rate &amp; Vol Update'!$E$6:$Z$6,1,MATCH(BQ17,'Rate &amp; Vol Update'!$E$6:$Z$6,1)+1),'Rate &amp; Vol Update'!$E$6:$Z$6,0))*(BQ17-INDEX('Rate &amp; Vol Update'!$E$6:$Z$6,1,MATCH(BQ17,'Rate &amp; Vol Update'!$E$6:$Z$6,1)))*(INDEX('Rate &amp; Vol Update'!$B$8:$B$127,MATCH(BL17,'Rate &amp; Vol Update'!$B$8:$B$127,1)+1)-BL17)+INDEX('Rate &amp; Vol Update'!$E$8:$Z$127,MATCH(INDEX('Rate &amp; Vol Update'!$B$8:$B$127,MATCH(BL17,'Rate &amp; Vol Update'!$B$8:$B$127,1)+1),'Rate &amp; Vol Update'!$B$8:$B$127,0),MATCH(INDEX('Rate &amp; Vol Update'!$E$6:$Z$6,1,MATCH(BQ17,'Rate &amp; Vol Update'!$E$6:$Z$6,1)),'Rate &amp; Vol Update'!$E$6:$Z$6,0))*(INDEX('Rate &amp; Vol Update'!$E$6:$Z$6,1,MATCH(BQ17,'Rate &amp; Vol Update'!$E$6:$Z$6,1)+1)-BQ17)*(BL17-INDEX('Rate &amp; Vol Update'!$B$8:$B$127,MATCH(BL17,'Rate &amp; Vol Update'!$B$8:$B$127,1)))+INDEX('Rate &amp; Vol Update'!$E$8:$Z$127,MATCH(INDEX('Rate &amp; Vol Update'!$B$8:$B$127,MATCH(BL17,'Rate &amp; Vol Update'!$B$8:$B$127,1)+1),'Rate &amp; Vol Update'!$B$8:$B$127,0),MATCH(INDEX('Rate &amp; Vol Update'!$E$6:$Z$6,1,MATCH(BQ17,'Rate &amp; Vol Update'!$E$6:$Z$6,1)+1),'Rate &amp; Vol Update'!$E$6:$Z$6,0))*(BQ17-INDEX('Rate &amp; Vol Update'!$E$6:$Z$6,1,MATCH(BQ17,'Rate &amp; Vol Update'!$E$6:$Z$6,1)))*(BL17-INDEX('Rate &amp; Vol Update'!$B$8:$B$127,MATCH(BL17,'Rate &amp; Vol Update'!$B$8:$B$127,1)))))*0.01%))</f>
        <v>9.054947074147288E-3</v>
      </c>
      <c r="BT17" s="5">
        <f>IF(BK17="","",1/((1+BR17)^((BM17-'Rate &amp; Vol Update'!$C$2)/360)))</f>
        <v>0.96395562954817149</v>
      </c>
      <c r="BV17" s="15">
        <f>IF(BK17="","",IF(BL17&lt;'Rate &amp; Vol Update'!$C$2,MAX(0,BR17-BQ17)*(BN17/360)*BP17,(((IF('Adjustment Surface'!$C$2='Data Validation'!$A$2,BR17,IF('Adjustment Surface'!$C$2='Data Validation'!$A$3,BQ17,"Unknown Option Type"))-IF('Adjustment Surface'!$C$2='Data Validation'!$A$2,BQ17,IF('Adjustment Surface'!$C$2='Data Validation'!$A$3,BR17,"Unknown Option Type")))*(NORMDIST((IF('Adjustment Surface'!$C$2='Data Validation'!$A$2,BR17,IF('Adjustment Surface'!$C$2='Data Validation'!$A$3,BQ17,"Unknown Option Type"))-IF('Adjustment Surface'!$C$2='Data Validation'!$A$2,BQ17,IF('Adjustment Surface'!$C$2='Data Validation'!$A$3,BR17,"Unknown Option Type")))/(BS17*SQRT(BO17)),0,1,TRUE)))+((BS17*SQRT(BO17))*(NORMDIST((IF('Adjustment Surface'!$C$2='Data Validation'!$A$2,BR17,IF('Adjustment Surface'!$C$2='Data Validation'!$A$3,BQ17,"Unknown Option Type"))-IF('Adjustment Surface'!$C$2='Data Validation'!$A$2,BQ17,IF('Adjustment Surface'!$C$2='Data Validation'!$A$3,BR17,"Unknown Option Type")))/(BS17*SQRT(BO17)),0,1,FALSE))))*BT17*(BN17/360)*BP17))</f>
        <v>245.91966994874281</v>
      </c>
      <c r="BW17" s="15">
        <f>IF(BK17="","",SUM(BV$4:BV17))</f>
        <v>736.35779263413508</v>
      </c>
      <c r="BY17" s="15">
        <f>IF(BK17="","",IF(BL17&lt;'Rate &amp; Vol Update'!$C$2,0,((((((IF('Adjustment Surface'!$C$2='Data Validation'!$A$2,BR17,IF('Adjustment Surface'!$C$2='Data Validation'!$A$3,BQ17,"Unknown Option Type"))-IF('Adjustment Surface'!$C$2='Data Validation'!$A$2,BQ17,IF('Adjustment Surface'!$C$2='Data Validation'!$A$3,BR17,"Unknown Option Type")))*(NORMDIST((IF('Adjustment Surface'!$C$2='Data Validation'!$A$2,BR17,IF('Adjustment Surface'!$C$2='Data Validation'!$A$3,BQ17,"Unknown Option Type"))-IF('Adjustment Surface'!$C$2='Data Validation'!$A$2,BQ17,IF('Adjustment Surface'!$C$2='Data Validation'!$A$3,BR17,"Unknown Option Type")))/((BS17+0.01%)*SQRT(BO17)),0,1,TRUE)))+(((BS17+0.01%)*SQRT(BO17))*(NORMDIST((IF('Adjustment Surface'!$C$2='Data Validation'!$A$2,BR17,IF('Adjustment Surface'!$C$2='Data Validation'!$A$3,BQ17,"Unknown Option Type"))-IF('Adjustment Surface'!$C$2='Data Validation'!$A$2,BQ17,IF('Adjustment Surface'!$C$2='Data Validation'!$A$3,BR17,"Unknown Option Type")))/((BS17+0.01%)*SQRT(BO17)),0,1,FALSE))))*BT17*(BN17/360))-(BV17/BP17))*BP17)*BT17))</f>
        <v>15.469560218138151</v>
      </c>
      <c r="BZ17" s="15">
        <f>IF(BK17="","",SUM(BY$4:BY17))</f>
        <v>56.87880899321199</v>
      </c>
      <c r="CA17" s="15"/>
      <c r="CB17" s="20"/>
      <c r="CC17" s="3">
        <v>14</v>
      </c>
      <c r="CD17" s="4">
        <f>IF(CE16=MAX('Adjustment Surface'!$C$14:$F$14),"",CE16)</f>
        <v>46457</v>
      </c>
      <c r="CE17" s="4">
        <f>IF(CD17="","",IF(CD17&lt;EDATE('Adjustment Surface'!$C$6,DATEDIF('Adjustment Surface'!$C$6,MAX('Adjustment Surface'!$C$14:$F$14),"M")),EDATE(CD$5,COUNT(CD$5:CD17)),IF(CD17=EDATE('Adjustment Surface'!$C$6,DATEDIF('Adjustment Surface'!$C$6,MAX('Adjustment Surface'!$C$14:$F$14),"M")),MAX('Adjustment Surface'!$C$14:$F$14),EDATE('Adjustment Surface'!$C$6,DATEDIF('Adjustment Surface'!$C$6,MAX('Adjustment Surface'!$C$14:$F$14),"M")))))</f>
        <v>46488</v>
      </c>
      <c r="CF17" s="3">
        <f t="shared" si="5"/>
        <v>31</v>
      </c>
      <c r="CG17" s="5">
        <f>IF(CC17="","",(CE17-'Rate &amp; Vol Update'!$C$2)/360)</f>
        <v>1.1777777777777778</v>
      </c>
      <c r="CH17" s="15">
        <f>IF(CC17="","",IF('Adjustment Surface'!$C$3='Data Validation'!$C$2,'Adjustment Surface'!$C$4,_xlfn.IFNA(IF(INDEX(Schedules!$E$3:$E$123,MATCH('Bachelier Model'!CD17,Schedules!$B$3:$B$123,0))="",CH16,INDEX(Schedules!$E$3:$E$123,MATCH('Bachelier Model'!CD17,Schedules!$B$3:$B$123,0))),CH16)))</f>
        <v>25000000</v>
      </c>
      <c r="CI17" s="16">
        <f>IF(CC17="","",'Adjustment Surface'!B$18)</f>
        <v>0.06</v>
      </c>
      <c r="CJ17" s="16" cm="1">
        <f t="array" ref="CJ17">IF(CC17="","",FORECAST(CD17,INDEX('Rate &amp; Vol Update'!$C$6:$C$127,MATCH(INDEX('Rate &amp; Vol Update'!$B$6:$B$127,MATCH(CD17,'Rate &amp; Vol Update'!$B$6:$B$127,1)),'Rate &amp; Vol Update'!$B$6:$B$127,0)+IF('Adjustment Surface'!$C$11='Data Validation'!$E$3,-1,0)):INDEX('Rate &amp; Vol Update'!$C$6:$C$127,MATCH(INDEX('Rate &amp; Vol Update'!$B$6:$B$127,MATCH(CD17,'Rate &amp; Vol Update'!$B$6:$B$127,1)+1),'Rate &amp; Vol Update'!$B$6:$B$127,0)+IF('Adjustment Surface'!$C$11='Data Validation'!$E$3,-1,0)),INDEX('Rate &amp; Vol Update'!$B$6:$B$127,MATCH(CD17,'Rate &amp; Vol Update'!$B$6:$B$127,1)):INDEX('Rate &amp; Vol Update'!$B$6:$B$127,MATCH(CD17,'Rate &amp; Vol Update'!$B$6:$B$127,1)+1))/100)</f>
        <v>3.1659714684477917E-2</v>
      </c>
      <c r="CK17" s="16" cm="1">
        <f t="array" ref="CK17">IF(CC17="","",IF(CD17&lt;'Rate &amp; Vol Update'!$C$2,0.001%,(1/((INDEX('Rate &amp; Vol Update'!$E$6:$Z$6,1,MATCH(CI17,'Rate &amp; Vol Update'!$E$6:$Z$6,1)+1)-INDEX('Rate &amp; Vol Update'!$E$6:$Z$6,1,MATCH(CI17,'Rate &amp; Vol Update'!$E$6:$Z$6,1)))*(INDEX('Rate &amp; Vol Update'!$B$8:$B$127,MATCH(CD17,'Rate &amp; Vol Update'!$B$8:$B$127,1)+1)-INDEX('Rate &amp; Vol Update'!$B$8:$B$127,MATCH(CD17,'Rate &amp; Vol Update'!$B$8:$B$127,1))))*(INDEX('Rate &amp; Vol Update'!$E$8:$Z$127,MATCH(INDEX('Rate &amp; Vol Update'!$B$8:$B$127,MATCH(CD17,'Rate &amp; Vol Update'!$B$8:$B$127,1)),'Rate &amp; Vol Update'!$B$8:$B$127,0),MATCH(INDEX('Rate &amp; Vol Update'!$E$6:$Z$6,1,MATCH(CI17,'Rate &amp; Vol Update'!$E$6:$Z$6,1)),'Rate &amp; Vol Update'!$E$6:$Z$6,0))*(INDEX('Rate &amp; Vol Update'!$E$6:$Z$6,1,MATCH(CI17,'Rate &amp; Vol Update'!$E$6:$Z$6,1)+1)-CI17)*(INDEX('Rate &amp; Vol Update'!$B$8:$B$127,MATCH(CD17,'Rate &amp; Vol Update'!$B$8:$B$127,1)+1)-CD17)+INDEX('Rate &amp; Vol Update'!$E$8:$Z$127,MATCH(INDEX('Rate &amp; Vol Update'!$B$8:$B$127,MATCH(CD17,'Rate &amp; Vol Update'!$B$8:$B$127,1)),'Rate &amp; Vol Update'!$B$8:$B$127,0),MATCH(INDEX('Rate &amp; Vol Update'!$E$6:$Z$6,1,MATCH(CI17,'Rate &amp; Vol Update'!$E$6:$Z$6,1)+1),'Rate &amp; Vol Update'!$E$6:$Z$6,0))*(CI17-INDEX('Rate &amp; Vol Update'!$E$6:$Z$6,1,MATCH(CI17,'Rate &amp; Vol Update'!$E$6:$Z$6,1)))*(INDEX('Rate &amp; Vol Update'!$B$8:$B$127,MATCH(CD17,'Rate &amp; Vol Update'!$B$8:$B$127,1)+1)-CD17)+INDEX('Rate &amp; Vol Update'!$E$8:$Z$127,MATCH(INDEX('Rate &amp; Vol Update'!$B$8:$B$127,MATCH(CD17,'Rate &amp; Vol Update'!$B$8:$B$127,1)+1),'Rate &amp; Vol Update'!$B$8:$B$127,0),MATCH(INDEX('Rate &amp; Vol Update'!$E$6:$Z$6,1,MATCH(CI17,'Rate &amp; Vol Update'!$E$6:$Z$6,1)),'Rate &amp; Vol Update'!$E$6:$Z$6,0))*(INDEX('Rate &amp; Vol Update'!$E$6:$Z$6,1,MATCH(CI17,'Rate &amp; Vol Update'!$E$6:$Z$6,1)+1)-CI17)*(CD17-INDEX('Rate &amp; Vol Update'!$B$8:$B$127,MATCH(CD17,'Rate &amp; Vol Update'!$B$8:$B$127,1)))+INDEX('Rate &amp; Vol Update'!$E$8:$Z$127,MATCH(INDEX('Rate &amp; Vol Update'!$B$8:$B$127,MATCH(CD17,'Rate &amp; Vol Update'!$B$8:$B$127,1)+1),'Rate &amp; Vol Update'!$B$8:$B$127,0),MATCH(INDEX('Rate &amp; Vol Update'!$E$6:$Z$6,1,MATCH(CI17,'Rate &amp; Vol Update'!$E$6:$Z$6,1)+1),'Rate &amp; Vol Update'!$E$6:$Z$6,0))*(CI17-INDEX('Rate &amp; Vol Update'!$E$6:$Z$6,1,MATCH(CI17,'Rate &amp; Vol Update'!$E$6:$Z$6,1)))*(CD17-INDEX('Rate &amp; Vol Update'!$B$8:$B$127,MATCH(CD17,'Rate &amp; Vol Update'!$B$8:$B$127,1)))))*0.01%))</f>
        <v>1.1030276569287633E-2</v>
      </c>
      <c r="CL17" s="5">
        <f>IF(CC17="","",1/((1+CJ17)^((CE17-'Rate &amp; Vol Update'!$C$2)/360)))</f>
        <v>0.96395562954817149</v>
      </c>
      <c r="CN17" s="15">
        <f>IF(CC17="","",IF(CD17&lt;'Rate &amp; Vol Update'!$C$2,MAX(0,CJ17-CI17)*(CF17/360)*CH17,(((IF('Adjustment Surface'!$C$2='Data Validation'!$A$2,CJ17,IF('Adjustment Surface'!$C$2='Data Validation'!$A$3,CI17,"Unknown Option Type"))-IF('Adjustment Surface'!$C$2='Data Validation'!$A$2,CI17,IF('Adjustment Surface'!$C$2='Data Validation'!$A$3,CJ17,"Unknown Option Type")))*(NORMDIST((IF('Adjustment Surface'!$C$2='Data Validation'!$A$2,CJ17,IF('Adjustment Surface'!$C$2='Data Validation'!$A$3,CI17,"Unknown Option Type"))-IF('Adjustment Surface'!$C$2='Data Validation'!$A$2,CI17,IF('Adjustment Surface'!$C$2='Data Validation'!$A$3,CJ17,"Unknown Option Type")))/(CK17*SQRT(CG17)),0,1,TRUE)))+((CK17*SQRT(CG17))*(NORMDIST((IF('Adjustment Surface'!$C$2='Data Validation'!$A$2,CJ17,IF('Adjustment Surface'!$C$2='Data Validation'!$A$3,CI17,"Unknown Option Type"))-IF('Adjustment Surface'!$C$2='Data Validation'!$A$2,CI17,IF('Adjustment Surface'!$C$2='Data Validation'!$A$3,CJ17,"Unknown Option Type")))/(CK17*SQRT(CG17)),0,1,FALSE))))*CL17*(CF17/360)*CH17))</f>
        <v>74.503817147153711</v>
      </c>
      <c r="CO17" s="15">
        <f>IF(CC17="","",SUM(CN$4:CN17))</f>
        <v>187.78604125552533</v>
      </c>
      <c r="CQ17" s="15">
        <f>IF(CC17="","",IF(CD17&lt;'Rate &amp; Vol Update'!$C$2,0,((((((IF('Adjustment Surface'!$C$2='Data Validation'!$A$2,CJ17,IF('Adjustment Surface'!$C$2='Data Validation'!$A$3,CI17,"Unknown Option Type"))-IF('Adjustment Surface'!$C$2='Data Validation'!$A$2,CI17,IF('Adjustment Surface'!$C$2='Data Validation'!$A$3,CJ17,"Unknown Option Type")))*(NORMDIST((IF('Adjustment Surface'!$C$2='Data Validation'!$A$2,CJ17,IF('Adjustment Surface'!$C$2='Data Validation'!$A$3,CI17,"Unknown Option Type"))-IF('Adjustment Surface'!$C$2='Data Validation'!$A$2,CI17,IF('Adjustment Surface'!$C$2='Data Validation'!$A$3,CJ17,"Unknown Option Type")))/((CK17+0.01%)*SQRT(CG17)),0,1,TRUE)))+(((CK17+0.01%)*SQRT(CG17))*(NORMDIST((IF('Adjustment Surface'!$C$2='Data Validation'!$A$2,CJ17,IF('Adjustment Surface'!$C$2='Data Validation'!$A$3,CI17,"Unknown Option Type"))-IF('Adjustment Surface'!$C$2='Data Validation'!$A$2,CI17,IF('Adjustment Surface'!$C$2='Data Validation'!$A$3,CJ17,"Unknown Option Type")))/((CK17+0.01%)*SQRT(CG17)),0,1,FALSE))))*CL17*(CF17/360))-(CN17/CH17))*CH17)*CL17))</f>
        <v>5.3880873630209472</v>
      </c>
      <c r="CR17" s="15">
        <f>IF(CC17="","",SUM(CQ$4:CQ17))</f>
        <v>15.630930848345981</v>
      </c>
    </row>
    <row r="18" spans="7:96" x14ac:dyDescent="0.25">
      <c r="G18" s="28"/>
      <c r="I18" s="3">
        <v>15</v>
      </c>
      <c r="J18" s="4">
        <f>IF(K17='Adjustment Surface'!C$8,"",K17)</f>
        <v>46488</v>
      </c>
      <c r="K18" s="4">
        <f>IF(J18="","",IF(J18&lt;'Adjustment Surface'!C$7,EDATE(J$5,COUNT(J$5:J18)),IF(J18='Adjustment Surface'!C$7,'Adjustment Surface'!C$8,'Adjustment Surface'!C$7)))</f>
        <v>46518</v>
      </c>
      <c r="L18" s="3">
        <f t="shared" si="1"/>
        <v>30</v>
      </c>
      <c r="M18" s="5">
        <f>IF(I18="","",(K18-'Rate &amp; Vol Update'!$C$2)/360)</f>
        <v>1.2611111111111111</v>
      </c>
      <c r="N18" s="15">
        <f>IF(I18="","",IF('Adjustment Surface'!C$3='Data Validation'!$C$2,'Adjustment Surface'!C$4,IF(INDEX(Schedules!$E$3:$E$123,MATCH('Bachelier Model'!J18,Schedules!$B$3:$B$123,0))="",N17,INDEX(Schedules!$E$3:$E$123,MATCH('Bachelier Model'!J18,Schedules!$B$3:$B$123,0)))))</f>
        <v>25000000</v>
      </c>
      <c r="O18" s="16">
        <f>IF(I18="","",IF('Adjustment Surface'!C$9='Data Validation'!$D$2,'Adjustment Surface'!C$10,IF(INDEX(Schedules!$H$3:$H$123,MATCH('Bachelier Model'!J18,Schedules!$B$3:$B$123,0))="",O17,INDEX(Schedules!$H$3:$H$123,MATCH('Bachelier Model'!J18,Schedules!$B$3:$B$123,0)))))</f>
        <v>0.02</v>
      </c>
      <c r="P18" s="16" cm="1">
        <f t="array" ref="P18">IF(I18="","",FORECAST(J18,INDEX('Rate &amp; Vol Update'!$C$6:$C$127,MATCH(INDEX('Rate &amp; Vol Update'!$B$6:$B$127,MATCH(J18,'Rate &amp; Vol Update'!$B$6:$B$127,1)),'Rate &amp; Vol Update'!$B$6:$B$127,0)+IF('Adjustment Surface'!C$11='Data Validation'!$E$3,-1,0)):INDEX('Rate &amp; Vol Update'!$C$6:$C$127,MATCH(INDEX('Rate &amp; Vol Update'!$B$6:$B$127,MATCH(J18,'Rate &amp; Vol Update'!$B$6:$B$127,1)+1),'Rate &amp; Vol Update'!$B$6:$B$127,0)+IF('Adjustment Surface'!C$11='Data Validation'!$E$3,-1,0)),INDEX('Rate &amp; Vol Update'!$B$6:$B$127,MATCH(J18,'Rate &amp; Vol Update'!$B$6:$B$127,1)):INDEX('Rate &amp; Vol Update'!$B$6:$B$127,MATCH(J18,'Rate &amp; Vol Update'!$B$6:$B$127,1)+1))/100)</f>
        <v>3.1658323853122283E-2</v>
      </c>
      <c r="Q18" s="16" cm="1">
        <f t="array" ref="Q18">IF(I18="","",IF(J18&lt;'Rate &amp; Vol Update'!$C$2,0.001%,(1/((INDEX('Rate &amp; Vol Update'!$E$6:$Z$6,1,MATCH(O18,'Rate &amp; Vol Update'!$E$6:$Z$6,1)+1)-INDEX('Rate &amp; Vol Update'!$E$6:$Z$6,1,MATCH(O18,'Rate &amp; Vol Update'!$E$6:$Z$6,1)))*(INDEX('Rate &amp; Vol Update'!$B$8:$B$127,MATCH(J18,'Rate &amp; Vol Update'!$B$8:$B$127,1)+1)-INDEX('Rate &amp; Vol Update'!$B$8:$B$127,MATCH(J18,'Rate &amp; Vol Update'!$B$8:$B$127,1))))*(INDEX('Rate &amp; Vol Update'!$E$8:$Z$127,MATCH(INDEX('Rate &amp; Vol Update'!$B$8:$B$127,MATCH(J18,'Rate &amp; Vol Update'!$B$8:$B$127,1)),'Rate &amp; Vol Update'!$B$8:$B$127,0),MATCH(INDEX('Rate &amp; Vol Update'!$E$6:$Z$6,1,MATCH(O18,'Rate &amp; Vol Update'!$E$6:$Z$6,1)),'Rate &amp; Vol Update'!$E$6:$Z$6,0))*(INDEX('Rate &amp; Vol Update'!$E$6:$Z$6,1,MATCH(O18,'Rate &amp; Vol Update'!$E$6:$Z$6,1)+1)-O18)*(INDEX('Rate &amp; Vol Update'!$B$8:$B$127,MATCH(J18,'Rate &amp; Vol Update'!$B$8:$B$127,1)+1)-J18)+INDEX('Rate &amp; Vol Update'!$E$8:$Z$127,MATCH(INDEX('Rate &amp; Vol Update'!$B$8:$B$127,MATCH(J18,'Rate &amp; Vol Update'!$B$8:$B$127,1)),'Rate &amp; Vol Update'!$B$8:$B$127,0),MATCH(INDEX('Rate &amp; Vol Update'!$E$6:$Z$6,1,MATCH(O18,'Rate &amp; Vol Update'!$E$6:$Z$6,1)+1),'Rate &amp; Vol Update'!$E$6:$Z$6,0))*(O18-INDEX('Rate &amp; Vol Update'!$E$6:$Z$6,1,MATCH(O18,'Rate &amp; Vol Update'!$E$6:$Z$6,1)))*(INDEX('Rate &amp; Vol Update'!$B$8:$B$127,MATCH(J18,'Rate &amp; Vol Update'!$B$8:$B$127,1)+1)-J18)+INDEX('Rate &amp; Vol Update'!$E$8:$Z$127,MATCH(INDEX('Rate &amp; Vol Update'!$B$8:$B$127,MATCH(J18,'Rate &amp; Vol Update'!$B$8:$B$127,1)+1),'Rate &amp; Vol Update'!$B$8:$B$127,0),MATCH(INDEX('Rate &amp; Vol Update'!$E$6:$Z$6,1,MATCH(O18,'Rate &amp; Vol Update'!$E$6:$Z$6,1)),'Rate &amp; Vol Update'!$E$6:$Z$6,0))*(INDEX('Rate &amp; Vol Update'!$E$6:$Z$6,1,MATCH(O18,'Rate &amp; Vol Update'!$E$6:$Z$6,1)+1)-O18)*(J18-INDEX('Rate &amp; Vol Update'!$B$8:$B$127,MATCH(J18,'Rate &amp; Vol Update'!$B$8:$B$127,1)))+INDEX('Rate &amp; Vol Update'!$E$8:$Z$127,MATCH(INDEX('Rate &amp; Vol Update'!$B$8:$B$127,MATCH(J18,'Rate &amp; Vol Update'!$B$8:$B$127,1)+1),'Rate &amp; Vol Update'!$B$8:$B$127,0),MATCH(INDEX('Rate &amp; Vol Update'!$E$6:$Z$6,1,MATCH(O18,'Rate &amp; Vol Update'!$E$6:$Z$6,1)+1),'Rate &amp; Vol Update'!$E$6:$Z$6,0))*(O18-INDEX('Rate &amp; Vol Update'!$E$6:$Z$6,1,MATCH(O18,'Rate &amp; Vol Update'!$E$6:$Z$6,1)))*(J18-INDEX('Rate &amp; Vol Update'!$B$8:$B$127,MATCH(J18,'Rate &amp; Vol Update'!$B$8:$B$127,1)))))*0.01%))</f>
        <v>9.5452020650291618E-3</v>
      </c>
      <c r="R18" s="5">
        <f>IF(I18="","",1/((1+P18)^((K18-'Rate &amp; Vol Update'!$C$2)/360)))</f>
        <v>0.96145672835757323</v>
      </c>
      <c r="T18" s="15">
        <f>IF(I18="","",IF(J18&lt;'Rate &amp; Vol Update'!$C$2,MAX(0,P18-O18)*(L18/360)*N18,(((IF('Adjustment Surface'!C$2='Data Validation'!$A$2,P18,IF('Adjustment Surface'!C$2='Data Validation'!$A$3,O18,"Unknown Option Type"))-IF('Adjustment Surface'!C$2='Data Validation'!$A$2,O18,IF('Adjustment Surface'!C$2='Data Validation'!$A$3,P18,"Unknown Option Type")))*(NORMDIST((IF('Adjustment Surface'!C$2='Data Validation'!$A$2,P18,IF('Adjustment Surface'!C$2='Data Validation'!$A$3,O18,"Unknown Option Type"))-IF('Adjustment Surface'!C$2='Data Validation'!$A$2,O18,IF('Adjustment Surface'!C$2='Data Validation'!$A$3,P18,"Unknown Option Type")))/(Q18*SQRT(M18)),0,1,TRUE)))+((Q18*SQRT(M18))*(NORMDIST((IF('Adjustment Surface'!C$2='Data Validation'!$A$2,P18,IF('Adjustment Surface'!C$2='Data Validation'!$A$3,O18,"Unknown Option Type"))-IF('Adjustment Surface'!C$2='Data Validation'!$A$2,O18,IF('Adjustment Surface'!C$2='Data Validation'!$A$3,P18,"Unknown Option Type")))/(Q18*SQRT(M18)),0,1,FALSE))))*R18*(L18/360)*N18))</f>
        <v>24861.794628851247</v>
      </c>
      <c r="U18" s="15">
        <f>IF(I18="","",SUM(T$4:T18))</f>
        <v>429780.38935493259</v>
      </c>
      <c r="W18" s="15">
        <f>IF(I18="","",IF(J18&lt;'Rate &amp; Vol Update'!$C$2,0,((((((IF('Adjustment Surface'!C$2='Data Validation'!$A$2,P18,IF('Adjustment Surface'!C$2='Data Validation'!$A$3,O18,"Unknown Option Type"))-IF('Adjustment Surface'!C$2='Data Validation'!$A$2,O18,IF('Adjustment Surface'!C$2='Data Validation'!$A$3,P18,"Unknown Option Type")))*(NORMDIST((IF('Adjustment Surface'!C$2='Data Validation'!$A$2,P18,IF('Adjustment Surface'!C$2='Data Validation'!$A$3,O18,"Unknown Option Type"))-IF('Adjustment Surface'!C$2='Data Validation'!$A$2,O18,IF('Adjustment Surface'!C$2='Data Validation'!$A$3,P18,"Unknown Option Type")))/((Q18+0.01%)*SQRT(M18)),0,1,TRUE)))+(((Q18+0.01%)*SQRT(M18))*(NORMDIST((IF('Adjustment Surface'!C$2='Data Validation'!$A$2,P18,IF('Adjustment Surface'!C$2='Data Validation'!$A$3,O18,"Unknown Option Type"))-IF('Adjustment Surface'!C$2='Data Validation'!$A$2,O18,IF('Adjustment Surface'!C$2='Data Validation'!$A$3,P18,"Unknown Option Type")))/((Q18+0.01%)*SQRT(M18)),0,1,FALSE))))*R18*(L18/360))-(T18/N18))*N18)*R18))</f>
        <v>48.051504156086693</v>
      </c>
      <c r="X18" s="15">
        <f>IF(I18="","",SUM(W$4:W18))</f>
        <v>279.35976903941292</v>
      </c>
      <c r="Y18" s="15"/>
      <c r="Z18" s="20"/>
      <c r="AA18" s="3">
        <v>15</v>
      </c>
      <c r="AB18" s="4">
        <f>IF(AC17=MAX('Adjustment Surface'!$C$14:$F$14),"",AC17)</f>
        <v>46488</v>
      </c>
      <c r="AC18" s="4">
        <f>IF(AB18="","",IF(AB18&lt;EDATE('Adjustment Surface'!$C$6,DATEDIF('Adjustment Surface'!$C$6,MAX('Adjustment Surface'!$C$14:$F$14),"M")),EDATE(AB$5,COUNT(AB$5:AB18)),IF(AB18=EDATE('Adjustment Surface'!$C$6,DATEDIF('Adjustment Surface'!$C$6,MAX('Adjustment Surface'!$C$14:$F$14),"M")),MAX('Adjustment Surface'!$C$14:$F$14),EDATE('Adjustment Surface'!$C$6,DATEDIF('Adjustment Surface'!$C$6,MAX('Adjustment Surface'!$C$14:$F$14),"M")))))</f>
        <v>46518</v>
      </c>
      <c r="AD18" s="3">
        <f t="shared" si="2"/>
        <v>30</v>
      </c>
      <c r="AE18" s="5">
        <f>IF(AA18="","",(AC18-'Rate &amp; Vol Update'!$C$2)/360)</f>
        <v>1.2611111111111111</v>
      </c>
      <c r="AF18" s="15">
        <f>IF(AA18="","",IF('Adjustment Surface'!$C$3='Data Validation'!$C$2,'Adjustment Surface'!$C$4,_xlfn.IFNA(IF(INDEX(Schedules!$E$3:$E$123,MATCH('Bachelier Model'!AB18,Schedules!$B$3:$B$123,0))="",AF17,INDEX(Schedules!$E$3:$E$123,MATCH('Bachelier Model'!AB18,Schedules!$B$3:$B$123,0))),AF17)))</f>
        <v>25000000</v>
      </c>
      <c r="AG18" s="16">
        <f>IF(AA18="","",'Adjustment Surface'!B$15)</f>
        <v>0.03</v>
      </c>
      <c r="AH18" s="16" cm="1">
        <f t="array" ref="AH18">IF(AA18="","",FORECAST(AB18,INDEX('Rate &amp; Vol Update'!$C$6:$C$127,MATCH(INDEX('Rate &amp; Vol Update'!$B$6:$B$127,MATCH(AB18,'Rate &amp; Vol Update'!$B$6:$B$127,1)),'Rate &amp; Vol Update'!$B$6:$B$127,0)+IF('Adjustment Surface'!$C$11='Data Validation'!$E$3,-1,0)):INDEX('Rate &amp; Vol Update'!$C$6:$C$127,MATCH(INDEX('Rate &amp; Vol Update'!$B$6:$B$127,MATCH(AB18,'Rate &amp; Vol Update'!$B$6:$B$127,1)+1),'Rate &amp; Vol Update'!$B$6:$B$127,0)+IF('Adjustment Surface'!$C$11='Data Validation'!$E$3,-1,0)),INDEX('Rate &amp; Vol Update'!$B$6:$B$127,MATCH(AB18,'Rate &amp; Vol Update'!$B$6:$B$127,1)):INDEX('Rate &amp; Vol Update'!$B$6:$B$127,MATCH(AB18,'Rate &amp; Vol Update'!$B$6:$B$127,1)+1))/100)</f>
        <v>3.1658323853122283E-2</v>
      </c>
      <c r="AI18" s="16" cm="1">
        <f t="array" ref="AI18">IF(AA18="","",IF(AB18&lt;'Rate &amp; Vol Update'!$C$2,0.001%,(1/((INDEX('Rate &amp; Vol Update'!$E$6:$Z$6,1,MATCH(AG18,'Rate &amp; Vol Update'!$E$6:$Z$6,1)+1)-INDEX('Rate &amp; Vol Update'!$E$6:$Z$6,1,MATCH(AG18,'Rate &amp; Vol Update'!$E$6:$Z$6,1)))*(INDEX('Rate &amp; Vol Update'!$B$8:$B$127,MATCH(AB18,'Rate &amp; Vol Update'!$B$8:$B$127,1)+1)-INDEX('Rate &amp; Vol Update'!$B$8:$B$127,MATCH(AB18,'Rate &amp; Vol Update'!$B$8:$B$127,1))))*(INDEX('Rate &amp; Vol Update'!$E$8:$Z$127,MATCH(INDEX('Rate &amp; Vol Update'!$B$8:$B$127,MATCH(AB18,'Rate &amp; Vol Update'!$B$8:$B$127,1)),'Rate &amp; Vol Update'!$B$8:$B$127,0),MATCH(INDEX('Rate &amp; Vol Update'!$E$6:$Z$6,1,MATCH(AG18,'Rate &amp; Vol Update'!$E$6:$Z$6,1)),'Rate &amp; Vol Update'!$E$6:$Z$6,0))*(INDEX('Rate &amp; Vol Update'!$E$6:$Z$6,1,MATCH(AG18,'Rate &amp; Vol Update'!$E$6:$Z$6,1)+1)-AG18)*(INDEX('Rate &amp; Vol Update'!$B$8:$B$127,MATCH(AB18,'Rate &amp; Vol Update'!$B$8:$B$127,1)+1)-AB18)+INDEX('Rate &amp; Vol Update'!$E$8:$Z$127,MATCH(INDEX('Rate &amp; Vol Update'!$B$8:$B$127,MATCH(AB18,'Rate &amp; Vol Update'!$B$8:$B$127,1)),'Rate &amp; Vol Update'!$B$8:$B$127,0),MATCH(INDEX('Rate &amp; Vol Update'!$E$6:$Z$6,1,MATCH(AG18,'Rate &amp; Vol Update'!$E$6:$Z$6,1)+1),'Rate &amp; Vol Update'!$E$6:$Z$6,0))*(AG18-INDEX('Rate &amp; Vol Update'!$E$6:$Z$6,1,MATCH(AG18,'Rate &amp; Vol Update'!$E$6:$Z$6,1)))*(INDEX('Rate &amp; Vol Update'!$B$8:$B$127,MATCH(AB18,'Rate &amp; Vol Update'!$B$8:$B$127,1)+1)-AB18)+INDEX('Rate &amp; Vol Update'!$E$8:$Z$127,MATCH(INDEX('Rate &amp; Vol Update'!$B$8:$B$127,MATCH(AB18,'Rate &amp; Vol Update'!$B$8:$B$127,1)+1),'Rate &amp; Vol Update'!$B$8:$B$127,0),MATCH(INDEX('Rate &amp; Vol Update'!$E$6:$Z$6,1,MATCH(AG18,'Rate &amp; Vol Update'!$E$6:$Z$6,1)),'Rate &amp; Vol Update'!$E$6:$Z$6,0))*(INDEX('Rate &amp; Vol Update'!$E$6:$Z$6,1,MATCH(AG18,'Rate &amp; Vol Update'!$E$6:$Z$6,1)+1)-AG18)*(AB18-INDEX('Rate &amp; Vol Update'!$B$8:$B$127,MATCH(AB18,'Rate &amp; Vol Update'!$B$8:$B$127,1)))+INDEX('Rate &amp; Vol Update'!$E$8:$Z$127,MATCH(INDEX('Rate &amp; Vol Update'!$B$8:$B$127,MATCH(AB18,'Rate &amp; Vol Update'!$B$8:$B$127,1)+1),'Rate &amp; Vol Update'!$B$8:$B$127,0),MATCH(INDEX('Rate &amp; Vol Update'!$E$6:$Z$6,1,MATCH(AG18,'Rate &amp; Vol Update'!$E$6:$Z$6,1)+1),'Rate &amp; Vol Update'!$E$6:$Z$6,0))*(AG18-INDEX('Rate &amp; Vol Update'!$E$6:$Z$6,1,MATCH(AG18,'Rate &amp; Vol Update'!$E$6:$Z$6,1)))*(AB18-INDEX('Rate &amp; Vol Update'!$B$8:$B$127,MATCH(AB18,'Rate &amp; Vol Update'!$B$8:$B$127,1)))))*0.01%))</f>
        <v>7.7660185570613723E-3</v>
      </c>
      <c r="AJ18" s="5">
        <f>IF(AA18="","",1/((1+AH18)^((AC18-'Rate &amp; Vol Update'!$C$2)/360)))</f>
        <v>0.96145672835757323</v>
      </c>
      <c r="AL18" s="15">
        <f>IF(AA18="","",IF(AB18&lt;'Rate &amp; Vol Update'!$C$2,MAX(0,AH18-AG18)*(AD18/360)*AF18,(((IF('Adjustment Surface'!$C$2='Data Validation'!$A$2,AH18,IF('Adjustment Surface'!$C$2='Data Validation'!$A$3,AG18,"Unknown Option Type"))-IF('Adjustment Surface'!$C$2='Data Validation'!$A$2,AG18,IF('Adjustment Surface'!$C$2='Data Validation'!$A$3,AH18,"Unknown Option Type")))*(NORMDIST((IF('Adjustment Surface'!$C$2='Data Validation'!$A$2,AH18,IF('Adjustment Surface'!$C$2='Data Validation'!$A$3,AG18,"Unknown Option Type"))-IF('Adjustment Surface'!$C$2='Data Validation'!$A$2,AG18,IF('Adjustment Surface'!$C$2='Data Validation'!$A$3,AH18,"Unknown Option Type")))/(AI18*SQRT(AE18)),0,1,TRUE)))+((AI18*SQRT(AE18))*(NORMDIST((IF('Adjustment Surface'!$C$2='Data Validation'!$A$2,AH18,IF('Adjustment Surface'!$C$2='Data Validation'!$A$3,AG18,"Unknown Option Type"))-IF('Adjustment Surface'!$C$2='Data Validation'!$A$2,AG18,IF('Adjustment Surface'!$C$2='Data Validation'!$A$3,AH18,"Unknown Option Type")))/(AI18*SQRT(AE18)),0,1,FALSE))))*AJ18*(AD18/360)*AF18))</f>
        <v>8755.5023207614395</v>
      </c>
      <c r="AM18" s="15">
        <f>IF(AA18="","",SUM(AL$4:AL18))</f>
        <v>149850.03594667153</v>
      </c>
      <c r="AO18" s="15">
        <f>IF(AA18="","",IF(AB18&lt;'Rate &amp; Vol Update'!$C$2,0,((((((IF('Adjustment Surface'!$C$2='Data Validation'!$A$2,AH18,IF('Adjustment Surface'!$C$2='Data Validation'!$A$3,AG18,"Unknown Option Type"))-IF('Adjustment Surface'!$C$2='Data Validation'!$A$2,AG18,IF('Adjustment Surface'!$C$2='Data Validation'!$A$3,AH18,"Unknown Option Type")))*(NORMDIST((IF('Adjustment Surface'!$C$2='Data Validation'!$A$2,AH18,IF('Adjustment Surface'!$C$2='Data Validation'!$A$3,AG18,"Unknown Option Type"))-IF('Adjustment Surface'!$C$2='Data Validation'!$A$2,AG18,IF('Adjustment Surface'!$C$2='Data Validation'!$A$3,AH18,"Unknown Option Type")))/((AI18+0.01%)*SQRT(AE18)),0,1,TRUE)))+(((AI18+0.01%)*SQRT(AE18))*(NORMDIST((IF('Adjustment Surface'!$C$2='Data Validation'!$A$2,AH18,IF('Adjustment Surface'!$C$2='Data Validation'!$A$3,AG18,"Unknown Option Type"))-IF('Adjustment Surface'!$C$2='Data Validation'!$A$2,AG18,IF('Adjustment Surface'!$C$2='Data Validation'!$A$3,AH18,"Unknown Option Type")))/((AI18+0.01%)*SQRT(AE18)),0,1,FALSE))))*AJ18*(AD18/360))-(AL18/AF18))*AF18)*AJ18))</f>
        <v>84.752688774832677</v>
      </c>
      <c r="AP18" s="15">
        <f>IF(AA18="","",SUM(AO$4:AO18))</f>
        <v>734.40267069030585</v>
      </c>
      <c r="AQ18" s="15"/>
      <c r="AR18" s="20"/>
      <c r="AS18" s="3">
        <v>15</v>
      </c>
      <c r="AT18" s="4">
        <f>IF(AU17=MAX('Adjustment Surface'!$C$14:$F$14),"",AU17)</f>
        <v>46488</v>
      </c>
      <c r="AU18" s="4">
        <f>IF(AT18="","",IF(AT18&lt;EDATE('Adjustment Surface'!$C$6,DATEDIF('Adjustment Surface'!$C$6,MAX('Adjustment Surface'!$C$14:$F$14),"M")),EDATE(AT$5,COUNT(AT$5:AT18)),IF(AT18=EDATE('Adjustment Surface'!$C$6,DATEDIF('Adjustment Surface'!$C$6,MAX('Adjustment Surface'!$C$14:$F$14),"M")),MAX('Adjustment Surface'!$C$14:$F$14),EDATE('Adjustment Surface'!$C$6,DATEDIF('Adjustment Surface'!$C$6,MAX('Adjustment Surface'!$C$14:$F$14),"M")))))</f>
        <v>46518</v>
      </c>
      <c r="AV18" s="3">
        <f t="shared" si="3"/>
        <v>30</v>
      </c>
      <c r="AW18" s="5">
        <f>IF(AS18="","",(AU18-'Rate &amp; Vol Update'!$C$2)/360)</f>
        <v>1.2611111111111111</v>
      </c>
      <c r="AX18" s="15">
        <f>IF(AS18="","",IF('Adjustment Surface'!$C$3='Data Validation'!$C$2,'Adjustment Surface'!$C$4,_xlfn.IFNA(IF(INDEX(Schedules!$E$3:$E$123,MATCH('Bachelier Model'!AT18,Schedules!$B$3:$B$123,0))="",AX17,INDEX(Schedules!$E$3:$E$123,MATCH('Bachelier Model'!AT18,Schedules!$B$3:$B$123,0))),AX17)))</f>
        <v>25000000</v>
      </c>
      <c r="AY18" s="16">
        <f>IF(AS18="","",'Adjustment Surface'!B$16)</f>
        <v>0.04</v>
      </c>
      <c r="AZ18" s="16" cm="1">
        <f t="array" ref="AZ18">IF(AS18="","",FORECAST(AT18,INDEX('Rate &amp; Vol Update'!$C$6:$C$127,MATCH(INDEX('Rate &amp; Vol Update'!$B$6:$B$127,MATCH(AT18,'Rate &amp; Vol Update'!$B$6:$B$127,1)),'Rate &amp; Vol Update'!$B$6:$B$127,0)+IF('Adjustment Surface'!$C$11='Data Validation'!$E$3,-1,0)):INDEX('Rate &amp; Vol Update'!$C$6:$C$127,MATCH(INDEX('Rate &amp; Vol Update'!$B$6:$B$127,MATCH(AT18,'Rate &amp; Vol Update'!$B$6:$B$127,1)+1),'Rate &amp; Vol Update'!$B$6:$B$127,0)+IF('Adjustment Surface'!$C$11='Data Validation'!$E$3,-1,0)),INDEX('Rate &amp; Vol Update'!$B$6:$B$127,MATCH(AT18,'Rate &amp; Vol Update'!$B$6:$B$127,1)):INDEX('Rate &amp; Vol Update'!$B$6:$B$127,MATCH(AT18,'Rate &amp; Vol Update'!$B$6:$B$127,1)+1))/100)</f>
        <v>3.1658323853122283E-2</v>
      </c>
      <c r="BA18" s="16" cm="1">
        <f t="array" ref="BA18">IF(AS18="","",IF(AT18&lt;'Rate &amp; Vol Update'!$C$2,0.001%,(1/((INDEX('Rate &amp; Vol Update'!$E$6:$Z$6,1,MATCH(AY18,'Rate &amp; Vol Update'!$E$6:$Z$6,1)+1)-INDEX('Rate &amp; Vol Update'!$E$6:$Z$6,1,MATCH(AY18,'Rate &amp; Vol Update'!$E$6:$Z$6,1)))*(INDEX('Rate &amp; Vol Update'!$B$8:$B$127,MATCH(AT18,'Rate &amp; Vol Update'!$B$8:$B$127,1)+1)-INDEX('Rate &amp; Vol Update'!$B$8:$B$127,MATCH(AT18,'Rate &amp; Vol Update'!$B$8:$B$127,1))))*(INDEX('Rate &amp; Vol Update'!$E$8:$Z$127,MATCH(INDEX('Rate &amp; Vol Update'!$B$8:$B$127,MATCH(AT18,'Rate &amp; Vol Update'!$B$8:$B$127,1)),'Rate &amp; Vol Update'!$B$8:$B$127,0),MATCH(INDEX('Rate &amp; Vol Update'!$E$6:$Z$6,1,MATCH(AY18,'Rate &amp; Vol Update'!$E$6:$Z$6,1)),'Rate &amp; Vol Update'!$E$6:$Z$6,0))*(INDEX('Rate &amp; Vol Update'!$E$6:$Z$6,1,MATCH(AY18,'Rate &amp; Vol Update'!$E$6:$Z$6,1)+1)-AY18)*(INDEX('Rate &amp; Vol Update'!$B$8:$B$127,MATCH(AT18,'Rate &amp; Vol Update'!$B$8:$B$127,1)+1)-AT18)+INDEX('Rate &amp; Vol Update'!$E$8:$Z$127,MATCH(INDEX('Rate &amp; Vol Update'!$B$8:$B$127,MATCH(AT18,'Rate &amp; Vol Update'!$B$8:$B$127,1)),'Rate &amp; Vol Update'!$B$8:$B$127,0),MATCH(INDEX('Rate &amp; Vol Update'!$E$6:$Z$6,1,MATCH(AY18,'Rate &amp; Vol Update'!$E$6:$Z$6,1)+1),'Rate &amp; Vol Update'!$E$6:$Z$6,0))*(AY18-INDEX('Rate &amp; Vol Update'!$E$6:$Z$6,1,MATCH(AY18,'Rate &amp; Vol Update'!$E$6:$Z$6,1)))*(INDEX('Rate &amp; Vol Update'!$B$8:$B$127,MATCH(AT18,'Rate &amp; Vol Update'!$B$8:$B$127,1)+1)-AT18)+INDEX('Rate &amp; Vol Update'!$E$8:$Z$127,MATCH(INDEX('Rate &amp; Vol Update'!$B$8:$B$127,MATCH(AT18,'Rate &amp; Vol Update'!$B$8:$B$127,1)+1),'Rate &amp; Vol Update'!$B$8:$B$127,0),MATCH(INDEX('Rate &amp; Vol Update'!$E$6:$Z$6,1,MATCH(AY18,'Rate &amp; Vol Update'!$E$6:$Z$6,1)),'Rate &amp; Vol Update'!$E$6:$Z$6,0))*(INDEX('Rate &amp; Vol Update'!$E$6:$Z$6,1,MATCH(AY18,'Rate &amp; Vol Update'!$E$6:$Z$6,1)+1)-AY18)*(AT18-INDEX('Rate &amp; Vol Update'!$B$8:$B$127,MATCH(AT18,'Rate &amp; Vol Update'!$B$8:$B$127,1)))+INDEX('Rate &amp; Vol Update'!$E$8:$Z$127,MATCH(INDEX('Rate &amp; Vol Update'!$B$8:$B$127,MATCH(AT18,'Rate &amp; Vol Update'!$B$8:$B$127,1)+1),'Rate &amp; Vol Update'!$B$8:$B$127,0),MATCH(INDEX('Rate &amp; Vol Update'!$E$6:$Z$6,1,MATCH(AY18,'Rate &amp; Vol Update'!$E$6:$Z$6,1)+1),'Rate &amp; Vol Update'!$E$6:$Z$6,0))*(AY18-INDEX('Rate &amp; Vol Update'!$E$6:$Z$6,1,MATCH(AY18,'Rate &amp; Vol Update'!$E$6:$Z$6,1)))*(AT18-INDEX('Rate &amp; Vol Update'!$B$8:$B$127,MATCH(AT18,'Rate &amp; Vol Update'!$B$8:$B$127,1)))))*0.01%))</f>
        <v>7.5037055800552203E-3</v>
      </c>
      <c r="BB18" s="5">
        <f>IF(AS18="","",1/((1+AZ18)^((AU18-'Rate &amp; Vol Update'!$C$2)/360)))</f>
        <v>0.96145672835757323</v>
      </c>
      <c r="BD18" s="15">
        <f>IF(AS18="","",IF(AT18&lt;'Rate &amp; Vol Update'!$C$2,MAX(0,AZ18-AY18)*(AV18/360)*AX18,(((IF('Adjustment Surface'!$C$2='Data Validation'!$A$2,AZ18,IF('Adjustment Surface'!$C$2='Data Validation'!$A$3,AY18,"Unknown Option Type"))-IF('Adjustment Surface'!$C$2='Data Validation'!$A$2,AY18,IF('Adjustment Surface'!$C$2='Data Validation'!$A$3,AZ18,"Unknown Option Type")))*(NORMDIST((IF('Adjustment Surface'!$C$2='Data Validation'!$A$2,AZ18,IF('Adjustment Surface'!$C$2='Data Validation'!$A$3,AY18,"Unknown Option Type"))-IF('Adjustment Surface'!$C$2='Data Validation'!$A$2,AY18,IF('Adjustment Surface'!$C$2='Data Validation'!$A$3,AZ18,"Unknown Option Type")))/(BA18*SQRT(AW18)),0,1,TRUE)))+((BA18*SQRT(AW18))*(NORMDIST((IF('Adjustment Surface'!$C$2='Data Validation'!$A$2,AZ18,IF('Adjustment Surface'!$C$2='Data Validation'!$A$3,AY18,"Unknown Option Type"))-IF('Adjustment Surface'!$C$2='Data Validation'!$A$2,AY18,IF('Adjustment Surface'!$C$2='Data Validation'!$A$3,AZ18,"Unknown Option Type")))/(BA18*SQRT(AW18)),0,1,FALSE))))*BB18*(AV18/360)*AX18))</f>
        <v>1433.4599660658807</v>
      </c>
      <c r="BE18" s="15">
        <f>IF(AS18="","",SUM(BD$4:BD18))</f>
        <v>9177.5132658050807</v>
      </c>
      <c r="BG18" s="15">
        <f>IF(AS18="","",IF(AT18&lt;'Rate &amp; Vol Update'!$C$2,0,((((((IF('Adjustment Surface'!$C$2='Data Validation'!$A$2,AZ18,IF('Adjustment Surface'!$C$2='Data Validation'!$A$3,AY18,"Unknown Option Type"))-IF('Adjustment Surface'!$C$2='Data Validation'!$A$2,AY18,IF('Adjustment Surface'!$C$2='Data Validation'!$A$3,AZ18,"Unknown Option Type")))*(NORMDIST((IF('Adjustment Surface'!$C$2='Data Validation'!$A$2,AZ18,IF('Adjustment Surface'!$C$2='Data Validation'!$A$3,AY18,"Unknown Option Type"))-IF('Adjustment Surface'!$C$2='Data Validation'!$A$2,AY18,IF('Adjustment Surface'!$C$2='Data Validation'!$A$3,AZ18,"Unknown Option Type")))/((BA18+0.01%)*SQRT(AW18)),0,1,TRUE)))+(((BA18+0.01%)*SQRT(AW18))*(NORMDIST((IF('Adjustment Surface'!$C$2='Data Validation'!$A$2,AZ18,IF('Adjustment Surface'!$C$2='Data Validation'!$A$3,AY18,"Unknown Option Type"))-IF('Adjustment Surface'!$C$2='Data Validation'!$A$2,AY18,IF('Adjustment Surface'!$C$2='Data Validation'!$A$3,AZ18,"Unknown Option Type")))/((BA18+0.01%)*SQRT(AW18)),0,1,FALSE))))*BB18*(AV18/360))-(BD18/AX18))*AX18)*BB18))</f>
        <v>53.200305466484238</v>
      </c>
      <c r="BH18" s="15">
        <f>IF(AS18="","",SUM(BG$4:BG18))</f>
        <v>450.40681097589129</v>
      </c>
      <c r="BI18" s="15"/>
      <c r="BJ18" s="20"/>
      <c r="BK18" s="3">
        <v>15</v>
      </c>
      <c r="BL18" s="4">
        <f>IF(BM17=MAX('Adjustment Surface'!$C$14:$F$14),"",BM17)</f>
        <v>46488</v>
      </c>
      <c r="BM18" s="4">
        <f>IF(BL18="","",IF(BL18&lt;EDATE('Adjustment Surface'!$C$6,DATEDIF('Adjustment Surface'!$C$6,MAX('Adjustment Surface'!$C$14:$F$14),"M")),EDATE(BL$5,COUNT(BL$5:BL18)),IF(BL18=EDATE('Adjustment Surface'!$C$6,DATEDIF('Adjustment Surface'!$C$6,MAX('Adjustment Surface'!$C$14:$F$14),"M")),MAX('Adjustment Surface'!$C$14:$F$14),EDATE('Adjustment Surface'!$C$6,DATEDIF('Adjustment Surface'!$C$6,MAX('Adjustment Surface'!$C$14:$F$14),"M")))))</f>
        <v>46518</v>
      </c>
      <c r="BN18" s="3">
        <f t="shared" si="4"/>
        <v>30</v>
      </c>
      <c r="BO18" s="5">
        <f>IF(BK18="","",(BM18-'Rate &amp; Vol Update'!$C$2)/360)</f>
        <v>1.2611111111111111</v>
      </c>
      <c r="BP18" s="15">
        <f>IF(BK18="","",IF('Adjustment Surface'!$C$3='Data Validation'!$C$2,'Adjustment Surface'!$C$4,_xlfn.IFNA(IF(INDEX(Schedules!$E$3:$E$123,MATCH('Bachelier Model'!BL18,Schedules!$B$3:$B$123,0))="",BP17,INDEX(Schedules!$E$3:$E$123,MATCH('Bachelier Model'!BL18,Schedules!$B$3:$B$123,0))),BP17)))</f>
        <v>25000000</v>
      </c>
      <c r="BQ18" s="16">
        <f>IF(BK18="","",'Adjustment Surface'!B$17)</f>
        <v>0.05</v>
      </c>
      <c r="BR18" s="16" cm="1">
        <f t="array" ref="BR18">IF(BK18="","",FORECAST(BL18,INDEX('Rate &amp; Vol Update'!$C$6:$C$127,MATCH(INDEX('Rate &amp; Vol Update'!$B$6:$B$127,MATCH(BL18,'Rate &amp; Vol Update'!$B$6:$B$127,1)),'Rate &amp; Vol Update'!$B$6:$B$127,0)+IF('Adjustment Surface'!$C$11='Data Validation'!$E$3,-1,0)):INDEX('Rate &amp; Vol Update'!$C$6:$C$127,MATCH(INDEX('Rate &amp; Vol Update'!$B$6:$B$127,MATCH(BL18,'Rate &amp; Vol Update'!$B$6:$B$127,1)+1),'Rate &amp; Vol Update'!$B$6:$B$127,0)+IF('Adjustment Surface'!$C$11='Data Validation'!$E$3,-1,0)),INDEX('Rate &amp; Vol Update'!$B$6:$B$127,MATCH(BL18,'Rate &amp; Vol Update'!$B$6:$B$127,1)):INDEX('Rate &amp; Vol Update'!$B$6:$B$127,MATCH(BL18,'Rate &amp; Vol Update'!$B$6:$B$127,1)+1))/100)</f>
        <v>3.1658323853122283E-2</v>
      </c>
      <c r="BS18" s="16" cm="1">
        <f t="array" ref="BS18">IF(BK18="","",IF(BL18&lt;'Rate &amp; Vol Update'!$C$2,0.001%,(1/((INDEX('Rate &amp; Vol Update'!$E$6:$Z$6,1,MATCH(BQ18,'Rate &amp; Vol Update'!$E$6:$Z$6,1)+1)-INDEX('Rate &amp; Vol Update'!$E$6:$Z$6,1,MATCH(BQ18,'Rate &amp; Vol Update'!$E$6:$Z$6,1)))*(INDEX('Rate &amp; Vol Update'!$B$8:$B$127,MATCH(BL18,'Rate &amp; Vol Update'!$B$8:$B$127,1)+1)-INDEX('Rate &amp; Vol Update'!$B$8:$B$127,MATCH(BL18,'Rate &amp; Vol Update'!$B$8:$B$127,1))))*(INDEX('Rate &amp; Vol Update'!$E$8:$Z$127,MATCH(INDEX('Rate &amp; Vol Update'!$B$8:$B$127,MATCH(BL18,'Rate &amp; Vol Update'!$B$8:$B$127,1)),'Rate &amp; Vol Update'!$B$8:$B$127,0),MATCH(INDEX('Rate &amp; Vol Update'!$E$6:$Z$6,1,MATCH(BQ18,'Rate &amp; Vol Update'!$E$6:$Z$6,1)),'Rate &amp; Vol Update'!$E$6:$Z$6,0))*(INDEX('Rate &amp; Vol Update'!$E$6:$Z$6,1,MATCH(BQ18,'Rate &amp; Vol Update'!$E$6:$Z$6,1)+1)-BQ18)*(INDEX('Rate &amp; Vol Update'!$B$8:$B$127,MATCH(BL18,'Rate &amp; Vol Update'!$B$8:$B$127,1)+1)-BL18)+INDEX('Rate &amp; Vol Update'!$E$8:$Z$127,MATCH(INDEX('Rate &amp; Vol Update'!$B$8:$B$127,MATCH(BL18,'Rate &amp; Vol Update'!$B$8:$B$127,1)),'Rate &amp; Vol Update'!$B$8:$B$127,0),MATCH(INDEX('Rate &amp; Vol Update'!$E$6:$Z$6,1,MATCH(BQ18,'Rate &amp; Vol Update'!$E$6:$Z$6,1)+1),'Rate &amp; Vol Update'!$E$6:$Z$6,0))*(BQ18-INDEX('Rate &amp; Vol Update'!$E$6:$Z$6,1,MATCH(BQ18,'Rate &amp; Vol Update'!$E$6:$Z$6,1)))*(INDEX('Rate &amp; Vol Update'!$B$8:$B$127,MATCH(BL18,'Rate &amp; Vol Update'!$B$8:$B$127,1)+1)-BL18)+INDEX('Rate &amp; Vol Update'!$E$8:$Z$127,MATCH(INDEX('Rate &amp; Vol Update'!$B$8:$B$127,MATCH(BL18,'Rate &amp; Vol Update'!$B$8:$B$127,1)+1),'Rate &amp; Vol Update'!$B$8:$B$127,0),MATCH(INDEX('Rate &amp; Vol Update'!$E$6:$Z$6,1,MATCH(BQ18,'Rate &amp; Vol Update'!$E$6:$Z$6,1)),'Rate &amp; Vol Update'!$E$6:$Z$6,0))*(INDEX('Rate &amp; Vol Update'!$E$6:$Z$6,1,MATCH(BQ18,'Rate &amp; Vol Update'!$E$6:$Z$6,1)+1)-BQ18)*(BL18-INDEX('Rate &amp; Vol Update'!$B$8:$B$127,MATCH(BL18,'Rate &amp; Vol Update'!$B$8:$B$127,1)))+INDEX('Rate &amp; Vol Update'!$E$8:$Z$127,MATCH(INDEX('Rate &amp; Vol Update'!$B$8:$B$127,MATCH(BL18,'Rate &amp; Vol Update'!$B$8:$B$127,1)+1),'Rate &amp; Vol Update'!$B$8:$B$127,0),MATCH(INDEX('Rate &amp; Vol Update'!$E$6:$Z$6,1,MATCH(BQ18,'Rate &amp; Vol Update'!$E$6:$Z$6,1)+1),'Rate &amp; Vol Update'!$E$6:$Z$6,0))*(BQ18-INDEX('Rate &amp; Vol Update'!$E$6:$Z$6,1,MATCH(BQ18,'Rate &amp; Vol Update'!$E$6:$Z$6,1)))*(BL18-INDEX('Rate &amp; Vol Update'!$B$8:$B$127,MATCH(BL18,'Rate &amp; Vol Update'!$B$8:$B$127,1)))))*0.01%))</f>
        <v>9.0502737253970265E-3</v>
      </c>
      <c r="BT18" s="5">
        <f>IF(BK18="","",1/((1+BR18)^((BM18-'Rate &amp; Vol Update'!$C$2)/360)))</f>
        <v>0.96145672835757323</v>
      </c>
      <c r="BV18" s="15">
        <f>IF(BK18="","",IF(BL18&lt;'Rate &amp; Vol Update'!$C$2,MAX(0,BR18-BQ18)*(BN18/360)*BP18,(((IF('Adjustment Surface'!$C$2='Data Validation'!$A$2,BR18,IF('Adjustment Surface'!$C$2='Data Validation'!$A$3,BQ18,"Unknown Option Type"))-IF('Adjustment Surface'!$C$2='Data Validation'!$A$2,BQ18,IF('Adjustment Surface'!$C$2='Data Validation'!$A$3,BR18,"Unknown Option Type")))*(NORMDIST((IF('Adjustment Surface'!$C$2='Data Validation'!$A$2,BR18,IF('Adjustment Surface'!$C$2='Data Validation'!$A$3,BQ18,"Unknown Option Type"))-IF('Adjustment Surface'!$C$2='Data Validation'!$A$2,BQ18,IF('Adjustment Surface'!$C$2='Data Validation'!$A$3,BR18,"Unknown Option Type")))/(BS18*SQRT(BO18)),0,1,TRUE)))+((BS18*SQRT(BO18))*(NORMDIST((IF('Adjustment Surface'!$C$2='Data Validation'!$A$2,BR18,IF('Adjustment Surface'!$C$2='Data Validation'!$A$3,BQ18,"Unknown Option Type"))-IF('Adjustment Surface'!$C$2='Data Validation'!$A$2,BQ18,IF('Adjustment Surface'!$C$2='Data Validation'!$A$3,BR18,"Unknown Option Type")))/(BS18*SQRT(BO18)),0,1,FALSE))))*BT18*(BN18/360)*BP18))</f>
        <v>287.20990184757778</v>
      </c>
      <c r="BW18" s="15">
        <f>IF(BK18="","",SUM(BV$4:BV18))</f>
        <v>1023.5676944817128</v>
      </c>
      <c r="BY18" s="15">
        <f>IF(BK18="","",IF(BL18&lt;'Rate &amp; Vol Update'!$C$2,0,((((((IF('Adjustment Surface'!$C$2='Data Validation'!$A$2,BR18,IF('Adjustment Surface'!$C$2='Data Validation'!$A$3,BQ18,"Unknown Option Type"))-IF('Adjustment Surface'!$C$2='Data Validation'!$A$2,BQ18,IF('Adjustment Surface'!$C$2='Data Validation'!$A$3,BR18,"Unknown Option Type")))*(NORMDIST((IF('Adjustment Surface'!$C$2='Data Validation'!$A$2,BR18,IF('Adjustment Surface'!$C$2='Data Validation'!$A$3,BQ18,"Unknown Option Type"))-IF('Adjustment Surface'!$C$2='Data Validation'!$A$2,BQ18,IF('Adjustment Surface'!$C$2='Data Validation'!$A$3,BR18,"Unknown Option Type")))/((BS18+0.01%)*SQRT(BO18)),0,1,TRUE)))+(((BS18+0.01%)*SQRT(BO18))*(NORMDIST((IF('Adjustment Surface'!$C$2='Data Validation'!$A$2,BR18,IF('Adjustment Surface'!$C$2='Data Validation'!$A$3,BQ18,"Unknown Option Type"))-IF('Adjustment Surface'!$C$2='Data Validation'!$A$2,BQ18,IF('Adjustment Surface'!$C$2='Data Validation'!$A$3,BR18,"Unknown Option Type")))/((BS18+0.01%)*SQRT(BO18)),0,1,FALSE))))*BT18*(BN18/360))-(BV18/BP18))*BP18)*BT18))</f>
        <v>17.235938431179115</v>
      </c>
      <c r="BZ18" s="15">
        <f>IF(BK18="","",SUM(BY$4:BY18))</f>
        <v>74.114747424391112</v>
      </c>
      <c r="CA18" s="15"/>
      <c r="CB18" s="20"/>
      <c r="CC18" s="3">
        <v>15</v>
      </c>
      <c r="CD18" s="4">
        <f>IF(CE17=MAX('Adjustment Surface'!$C$14:$F$14),"",CE17)</f>
        <v>46488</v>
      </c>
      <c r="CE18" s="4">
        <f>IF(CD18="","",IF(CD18&lt;EDATE('Adjustment Surface'!$C$6,DATEDIF('Adjustment Surface'!$C$6,MAX('Adjustment Surface'!$C$14:$F$14),"M")),EDATE(CD$5,COUNT(CD$5:CD18)),IF(CD18=EDATE('Adjustment Surface'!$C$6,DATEDIF('Adjustment Surface'!$C$6,MAX('Adjustment Surface'!$C$14:$F$14),"M")),MAX('Adjustment Surface'!$C$14:$F$14),EDATE('Adjustment Surface'!$C$6,DATEDIF('Adjustment Surface'!$C$6,MAX('Adjustment Surface'!$C$14:$F$14),"M")))))</f>
        <v>46518</v>
      </c>
      <c r="CF18" s="3">
        <f t="shared" si="5"/>
        <v>30</v>
      </c>
      <c r="CG18" s="5">
        <f>IF(CC18="","",(CE18-'Rate &amp; Vol Update'!$C$2)/360)</f>
        <v>1.2611111111111111</v>
      </c>
      <c r="CH18" s="15">
        <f>IF(CC18="","",IF('Adjustment Surface'!$C$3='Data Validation'!$C$2,'Adjustment Surface'!$C$4,_xlfn.IFNA(IF(INDEX(Schedules!$E$3:$E$123,MATCH('Bachelier Model'!CD18,Schedules!$B$3:$B$123,0))="",CH17,INDEX(Schedules!$E$3:$E$123,MATCH('Bachelier Model'!CD18,Schedules!$B$3:$B$123,0))),CH17)))</f>
        <v>25000000</v>
      </c>
      <c r="CI18" s="16">
        <f>IF(CC18="","",'Adjustment Surface'!B$18)</f>
        <v>0.06</v>
      </c>
      <c r="CJ18" s="16" cm="1">
        <f t="array" ref="CJ18">IF(CC18="","",FORECAST(CD18,INDEX('Rate &amp; Vol Update'!$C$6:$C$127,MATCH(INDEX('Rate &amp; Vol Update'!$B$6:$B$127,MATCH(CD18,'Rate &amp; Vol Update'!$B$6:$B$127,1)),'Rate &amp; Vol Update'!$B$6:$B$127,0)+IF('Adjustment Surface'!$C$11='Data Validation'!$E$3,-1,0)):INDEX('Rate &amp; Vol Update'!$C$6:$C$127,MATCH(INDEX('Rate &amp; Vol Update'!$B$6:$B$127,MATCH(CD18,'Rate &amp; Vol Update'!$B$6:$B$127,1)+1),'Rate &amp; Vol Update'!$B$6:$B$127,0)+IF('Adjustment Surface'!$C$11='Data Validation'!$E$3,-1,0)),INDEX('Rate &amp; Vol Update'!$B$6:$B$127,MATCH(CD18,'Rate &amp; Vol Update'!$B$6:$B$127,1)):INDEX('Rate &amp; Vol Update'!$B$6:$B$127,MATCH(CD18,'Rate &amp; Vol Update'!$B$6:$B$127,1)+1))/100)</f>
        <v>3.1658323853122283E-2</v>
      </c>
      <c r="CK18" s="16" cm="1">
        <f t="array" ref="CK18">IF(CC18="","",IF(CD18&lt;'Rate &amp; Vol Update'!$C$2,0.001%,(1/((INDEX('Rate &amp; Vol Update'!$E$6:$Z$6,1,MATCH(CI18,'Rate &amp; Vol Update'!$E$6:$Z$6,1)+1)-INDEX('Rate &amp; Vol Update'!$E$6:$Z$6,1,MATCH(CI18,'Rate &amp; Vol Update'!$E$6:$Z$6,1)))*(INDEX('Rate &amp; Vol Update'!$B$8:$B$127,MATCH(CD18,'Rate &amp; Vol Update'!$B$8:$B$127,1)+1)-INDEX('Rate &amp; Vol Update'!$B$8:$B$127,MATCH(CD18,'Rate &amp; Vol Update'!$B$8:$B$127,1))))*(INDEX('Rate &amp; Vol Update'!$E$8:$Z$127,MATCH(INDEX('Rate &amp; Vol Update'!$B$8:$B$127,MATCH(CD18,'Rate &amp; Vol Update'!$B$8:$B$127,1)),'Rate &amp; Vol Update'!$B$8:$B$127,0),MATCH(INDEX('Rate &amp; Vol Update'!$E$6:$Z$6,1,MATCH(CI18,'Rate &amp; Vol Update'!$E$6:$Z$6,1)),'Rate &amp; Vol Update'!$E$6:$Z$6,0))*(INDEX('Rate &amp; Vol Update'!$E$6:$Z$6,1,MATCH(CI18,'Rate &amp; Vol Update'!$E$6:$Z$6,1)+1)-CI18)*(INDEX('Rate &amp; Vol Update'!$B$8:$B$127,MATCH(CD18,'Rate &amp; Vol Update'!$B$8:$B$127,1)+1)-CD18)+INDEX('Rate &amp; Vol Update'!$E$8:$Z$127,MATCH(INDEX('Rate &amp; Vol Update'!$B$8:$B$127,MATCH(CD18,'Rate &amp; Vol Update'!$B$8:$B$127,1)),'Rate &amp; Vol Update'!$B$8:$B$127,0),MATCH(INDEX('Rate &amp; Vol Update'!$E$6:$Z$6,1,MATCH(CI18,'Rate &amp; Vol Update'!$E$6:$Z$6,1)+1),'Rate &amp; Vol Update'!$E$6:$Z$6,0))*(CI18-INDEX('Rate &amp; Vol Update'!$E$6:$Z$6,1,MATCH(CI18,'Rate &amp; Vol Update'!$E$6:$Z$6,1)))*(INDEX('Rate &amp; Vol Update'!$B$8:$B$127,MATCH(CD18,'Rate &amp; Vol Update'!$B$8:$B$127,1)+1)-CD18)+INDEX('Rate &amp; Vol Update'!$E$8:$Z$127,MATCH(INDEX('Rate &amp; Vol Update'!$B$8:$B$127,MATCH(CD18,'Rate &amp; Vol Update'!$B$8:$B$127,1)+1),'Rate &amp; Vol Update'!$B$8:$B$127,0),MATCH(INDEX('Rate &amp; Vol Update'!$E$6:$Z$6,1,MATCH(CI18,'Rate &amp; Vol Update'!$E$6:$Z$6,1)),'Rate &amp; Vol Update'!$E$6:$Z$6,0))*(INDEX('Rate &amp; Vol Update'!$E$6:$Z$6,1,MATCH(CI18,'Rate &amp; Vol Update'!$E$6:$Z$6,1)+1)-CI18)*(CD18-INDEX('Rate &amp; Vol Update'!$B$8:$B$127,MATCH(CD18,'Rate &amp; Vol Update'!$B$8:$B$127,1)))+INDEX('Rate &amp; Vol Update'!$E$8:$Z$127,MATCH(INDEX('Rate &amp; Vol Update'!$B$8:$B$127,MATCH(CD18,'Rate &amp; Vol Update'!$B$8:$B$127,1)+1),'Rate &amp; Vol Update'!$B$8:$B$127,0),MATCH(INDEX('Rate &amp; Vol Update'!$E$6:$Z$6,1,MATCH(CI18,'Rate &amp; Vol Update'!$E$6:$Z$6,1)+1),'Rate &amp; Vol Update'!$E$6:$Z$6,0))*(CI18-INDEX('Rate &amp; Vol Update'!$E$6:$Z$6,1,MATCH(CI18,'Rate &amp; Vol Update'!$E$6:$Z$6,1)))*(CD18-INDEX('Rate &amp; Vol Update'!$B$8:$B$127,MATCH(CD18,'Rate &amp; Vol Update'!$B$8:$B$127,1)))))*0.01%))</f>
        <v>1.1027762482395764E-2</v>
      </c>
      <c r="CL18" s="5">
        <f>IF(CC18="","",1/((1+CJ18)^((CE18-'Rate &amp; Vol Update'!$C$2)/360)))</f>
        <v>0.96145672835757323</v>
      </c>
      <c r="CN18" s="15">
        <f>IF(CC18="","",IF(CD18&lt;'Rate &amp; Vol Update'!$C$2,MAX(0,CJ18-CI18)*(CF18/360)*CH18,(((IF('Adjustment Surface'!$C$2='Data Validation'!$A$2,CJ18,IF('Adjustment Surface'!$C$2='Data Validation'!$A$3,CI18,"Unknown Option Type"))-IF('Adjustment Surface'!$C$2='Data Validation'!$A$2,CI18,IF('Adjustment Surface'!$C$2='Data Validation'!$A$3,CJ18,"Unknown Option Type")))*(NORMDIST((IF('Adjustment Surface'!$C$2='Data Validation'!$A$2,CJ18,IF('Adjustment Surface'!$C$2='Data Validation'!$A$3,CI18,"Unknown Option Type"))-IF('Adjustment Surface'!$C$2='Data Validation'!$A$2,CI18,IF('Adjustment Surface'!$C$2='Data Validation'!$A$3,CJ18,"Unknown Option Type")))/(CK18*SQRT(CG18)),0,1,TRUE)))+((CK18*SQRT(CG18))*(NORMDIST((IF('Adjustment Surface'!$C$2='Data Validation'!$A$2,CJ18,IF('Adjustment Surface'!$C$2='Data Validation'!$A$3,CI18,"Unknown Option Type"))-IF('Adjustment Surface'!$C$2='Data Validation'!$A$2,CI18,IF('Adjustment Surface'!$C$2='Data Validation'!$A$3,CJ18,"Unknown Option Type")))/(CK18*SQRT(CG18)),0,1,FALSE))))*CL18*(CF18/360)*CH18))</f>
        <v>93.91928312958278</v>
      </c>
      <c r="CO18" s="15">
        <f>IF(CC18="","",SUM(CN$4:CN18))</f>
        <v>281.7053243851081</v>
      </c>
      <c r="CQ18" s="15">
        <f>IF(CC18="","",IF(CD18&lt;'Rate &amp; Vol Update'!$C$2,0,((((((IF('Adjustment Surface'!$C$2='Data Validation'!$A$2,CJ18,IF('Adjustment Surface'!$C$2='Data Validation'!$A$3,CI18,"Unknown Option Type"))-IF('Adjustment Surface'!$C$2='Data Validation'!$A$2,CI18,IF('Adjustment Surface'!$C$2='Data Validation'!$A$3,CJ18,"Unknown Option Type")))*(NORMDIST((IF('Adjustment Surface'!$C$2='Data Validation'!$A$2,CJ18,IF('Adjustment Surface'!$C$2='Data Validation'!$A$3,CI18,"Unknown Option Type"))-IF('Adjustment Surface'!$C$2='Data Validation'!$A$2,CI18,IF('Adjustment Surface'!$C$2='Data Validation'!$A$3,CJ18,"Unknown Option Type")))/((CK18+0.01%)*SQRT(CG18)),0,1,TRUE)))+(((CK18+0.01%)*SQRT(CG18))*(NORMDIST((IF('Adjustment Surface'!$C$2='Data Validation'!$A$2,CJ18,IF('Adjustment Surface'!$C$2='Data Validation'!$A$3,CI18,"Unknown Option Type"))-IF('Adjustment Surface'!$C$2='Data Validation'!$A$2,CI18,IF('Adjustment Surface'!$C$2='Data Validation'!$A$3,CJ18,"Unknown Option Type")))/((CK18+0.01%)*SQRT(CG18)),0,1,FALSE))))*CL18*(CF18/360))-(CN18/CH18))*CH18)*CL18))</f>
        <v>6.4396081629527311</v>
      </c>
      <c r="CR18" s="15">
        <f>IF(CC18="","",SUM(CQ$4:CQ18))</f>
        <v>22.070539011298713</v>
      </c>
    </row>
    <row r="19" spans="7:96" x14ac:dyDescent="0.25">
      <c r="G19" s="28"/>
      <c r="I19" s="3">
        <v>16</v>
      </c>
      <c r="J19" s="4">
        <f>IF(K18='Adjustment Surface'!C$8,"",K18)</f>
        <v>46518</v>
      </c>
      <c r="K19" s="4">
        <f>IF(J19="","",IF(J19&lt;'Adjustment Surface'!C$7,EDATE(J$5,COUNT(J$5:J19)),IF(J19='Adjustment Surface'!C$7,'Adjustment Surface'!C$8,'Adjustment Surface'!C$7)))</f>
        <v>46549</v>
      </c>
      <c r="L19" s="3">
        <f t="shared" si="1"/>
        <v>31</v>
      </c>
      <c r="M19" s="5">
        <f>IF(I19="","",(K19-'Rate &amp; Vol Update'!$C$2)/360)</f>
        <v>1.3472222222222223</v>
      </c>
      <c r="N19" s="15">
        <f>IF(I19="","",IF('Adjustment Surface'!C$3='Data Validation'!$C$2,'Adjustment Surface'!C$4,IF(INDEX(Schedules!$E$3:$E$123,MATCH('Bachelier Model'!J19,Schedules!$B$3:$B$123,0))="",N18,INDEX(Schedules!$E$3:$E$123,MATCH('Bachelier Model'!J19,Schedules!$B$3:$B$123,0)))))</f>
        <v>25000000</v>
      </c>
      <c r="O19" s="16">
        <f>IF(I19="","",IF('Adjustment Surface'!C$9='Data Validation'!$D$2,'Adjustment Surface'!C$10,IF(INDEX(Schedules!$H$3:$H$123,MATCH('Bachelier Model'!J19,Schedules!$B$3:$B$123,0))="",O18,INDEX(Schedules!$H$3:$H$123,MATCH('Bachelier Model'!J19,Schedules!$B$3:$B$123,0)))))</f>
        <v>0.02</v>
      </c>
      <c r="P19" s="16" cm="1">
        <f t="array" ref="P19">IF(I19="","",FORECAST(J19,INDEX('Rate &amp; Vol Update'!$C$6:$C$127,MATCH(INDEX('Rate &amp; Vol Update'!$B$6:$B$127,MATCH(J19,'Rate &amp; Vol Update'!$B$6:$B$127,1)),'Rate &amp; Vol Update'!$B$6:$B$127,0)+IF('Adjustment Surface'!C$11='Data Validation'!$E$3,-1,0)):INDEX('Rate &amp; Vol Update'!$C$6:$C$127,MATCH(INDEX('Rate &amp; Vol Update'!$B$6:$B$127,MATCH(J19,'Rate &amp; Vol Update'!$B$6:$B$127,1)+1),'Rate &amp; Vol Update'!$B$6:$B$127,0)+IF('Adjustment Surface'!C$11='Data Validation'!$E$3,-1,0)),INDEX('Rate &amp; Vol Update'!$B$6:$B$127,MATCH(J19,'Rate &amp; Vol Update'!$B$6:$B$127,1)):INDEX('Rate &amp; Vol Update'!$B$6:$B$127,MATCH(J19,'Rate &amp; Vol Update'!$B$6:$B$127,1)+1))/100)</f>
        <v>3.1661105597286798E-2</v>
      </c>
      <c r="Q19" s="16" cm="1">
        <f t="array" ref="Q19">IF(I19="","",IF(J19&lt;'Rate &amp; Vol Update'!$C$2,0.001%,(1/((INDEX('Rate &amp; Vol Update'!$E$6:$Z$6,1,MATCH(O19,'Rate &amp; Vol Update'!$E$6:$Z$6,1)+1)-INDEX('Rate &amp; Vol Update'!$E$6:$Z$6,1,MATCH(O19,'Rate &amp; Vol Update'!$E$6:$Z$6,1)))*(INDEX('Rate &amp; Vol Update'!$B$8:$B$127,MATCH(J19,'Rate &amp; Vol Update'!$B$8:$B$127,1)+1)-INDEX('Rate &amp; Vol Update'!$B$8:$B$127,MATCH(J19,'Rate &amp; Vol Update'!$B$8:$B$127,1))))*(INDEX('Rate &amp; Vol Update'!$E$8:$Z$127,MATCH(INDEX('Rate &amp; Vol Update'!$B$8:$B$127,MATCH(J19,'Rate &amp; Vol Update'!$B$8:$B$127,1)),'Rate &amp; Vol Update'!$B$8:$B$127,0),MATCH(INDEX('Rate &amp; Vol Update'!$E$6:$Z$6,1,MATCH(O19,'Rate &amp; Vol Update'!$E$6:$Z$6,1)),'Rate &amp; Vol Update'!$E$6:$Z$6,0))*(INDEX('Rate &amp; Vol Update'!$E$6:$Z$6,1,MATCH(O19,'Rate &amp; Vol Update'!$E$6:$Z$6,1)+1)-O19)*(INDEX('Rate &amp; Vol Update'!$B$8:$B$127,MATCH(J19,'Rate &amp; Vol Update'!$B$8:$B$127,1)+1)-J19)+INDEX('Rate &amp; Vol Update'!$E$8:$Z$127,MATCH(INDEX('Rate &amp; Vol Update'!$B$8:$B$127,MATCH(J19,'Rate &amp; Vol Update'!$B$8:$B$127,1)),'Rate &amp; Vol Update'!$B$8:$B$127,0),MATCH(INDEX('Rate &amp; Vol Update'!$E$6:$Z$6,1,MATCH(O19,'Rate &amp; Vol Update'!$E$6:$Z$6,1)+1),'Rate &amp; Vol Update'!$E$6:$Z$6,0))*(O19-INDEX('Rate &amp; Vol Update'!$E$6:$Z$6,1,MATCH(O19,'Rate &amp; Vol Update'!$E$6:$Z$6,1)))*(INDEX('Rate &amp; Vol Update'!$B$8:$B$127,MATCH(J19,'Rate &amp; Vol Update'!$B$8:$B$127,1)+1)-J19)+INDEX('Rate &amp; Vol Update'!$E$8:$Z$127,MATCH(INDEX('Rate &amp; Vol Update'!$B$8:$B$127,MATCH(J19,'Rate &amp; Vol Update'!$B$8:$B$127,1)+1),'Rate &amp; Vol Update'!$B$8:$B$127,0),MATCH(INDEX('Rate &amp; Vol Update'!$E$6:$Z$6,1,MATCH(O19,'Rate &amp; Vol Update'!$E$6:$Z$6,1)),'Rate &amp; Vol Update'!$E$6:$Z$6,0))*(INDEX('Rate &amp; Vol Update'!$E$6:$Z$6,1,MATCH(O19,'Rate &amp; Vol Update'!$E$6:$Z$6,1)+1)-O19)*(J19-INDEX('Rate &amp; Vol Update'!$B$8:$B$127,MATCH(J19,'Rate &amp; Vol Update'!$B$8:$B$127,1)))+INDEX('Rate &amp; Vol Update'!$E$8:$Z$127,MATCH(INDEX('Rate &amp; Vol Update'!$B$8:$B$127,MATCH(J19,'Rate &amp; Vol Update'!$B$8:$B$127,1)+1),'Rate &amp; Vol Update'!$B$8:$B$127,0),MATCH(INDEX('Rate &amp; Vol Update'!$E$6:$Z$6,1,MATCH(O19,'Rate &amp; Vol Update'!$E$6:$Z$6,1)+1),'Rate &amp; Vol Update'!$E$6:$Z$6,0))*(O19-INDEX('Rate &amp; Vol Update'!$E$6:$Z$6,1,MATCH(O19,'Rate &amp; Vol Update'!$E$6:$Z$6,1)))*(J19-INDEX('Rate &amp; Vol Update'!$B$8:$B$127,MATCH(J19,'Rate &amp; Vol Update'!$B$8:$B$127,1)))))*0.01%))</f>
        <v>9.5474337651745393E-3</v>
      </c>
      <c r="R19" s="5">
        <f>IF(I19="","",1/((1+P19)^((K19-'Rate &amp; Vol Update'!$C$2)/360)))</f>
        <v>0.95887627924477281</v>
      </c>
      <c r="T19" s="15">
        <f>IF(I19="","",IF(J19&lt;'Rate &amp; Vol Update'!$C$2,MAX(0,P19-O19)*(L19/360)*N19,(((IF('Adjustment Surface'!C$2='Data Validation'!$A$2,P19,IF('Adjustment Surface'!C$2='Data Validation'!$A$3,O19,"Unknown Option Type"))-IF('Adjustment Surface'!C$2='Data Validation'!$A$2,O19,IF('Adjustment Surface'!C$2='Data Validation'!$A$3,P19,"Unknown Option Type")))*(NORMDIST((IF('Adjustment Surface'!C$2='Data Validation'!$A$2,P19,IF('Adjustment Surface'!C$2='Data Validation'!$A$3,O19,"Unknown Option Type"))-IF('Adjustment Surface'!C$2='Data Validation'!$A$2,O19,IF('Adjustment Surface'!C$2='Data Validation'!$A$3,P19,"Unknown Option Type")))/(Q19*SQRT(M19)),0,1,TRUE)))+((Q19*SQRT(M19))*(NORMDIST((IF('Adjustment Surface'!C$2='Data Validation'!$A$2,P19,IF('Adjustment Surface'!C$2='Data Validation'!$A$3,O19,"Unknown Option Type"))-IF('Adjustment Surface'!C$2='Data Validation'!$A$2,O19,IF('Adjustment Surface'!C$2='Data Validation'!$A$3,P19,"Unknown Option Type")))/(Q19*SQRT(M19)),0,1,FALSE))))*R19*(L19/360)*N19))</f>
        <v>25794.956061520224</v>
      </c>
      <c r="U19" s="15">
        <f>IF(I19="","",SUM(T$4:T19))</f>
        <v>455575.34541645279</v>
      </c>
      <c r="W19" s="15">
        <f>IF(I19="","",IF(J19&lt;'Rate &amp; Vol Update'!$C$2,0,((((((IF('Adjustment Surface'!C$2='Data Validation'!$A$2,P19,IF('Adjustment Surface'!C$2='Data Validation'!$A$3,O19,"Unknown Option Type"))-IF('Adjustment Surface'!C$2='Data Validation'!$A$2,O19,IF('Adjustment Surface'!C$2='Data Validation'!$A$3,P19,"Unknown Option Type")))*(NORMDIST((IF('Adjustment Surface'!C$2='Data Validation'!$A$2,P19,IF('Adjustment Surface'!C$2='Data Validation'!$A$3,O19,"Unknown Option Type"))-IF('Adjustment Surface'!C$2='Data Validation'!$A$2,O19,IF('Adjustment Surface'!C$2='Data Validation'!$A$3,P19,"Unknown Option Type")))/((Q19+0.01%)*SQRT(M19)),0,1,TRUE)))+(((Q19+0.01%)*SQRT(M19))*(NORMDIST((IF('Adjustment Surface'!C$2='Data Validation'!$A$2,P19,IF('Adjustment Surface'!C$2='Data Validation'!$A$3,O19,"Unknown Option Type"))-IF('Adjustment Surface'!C$2='Data Validation'!$A$2,O19,IF('Adjustment Surface'!C$2='Data Validation'!$A$3,P19,"Unknown Option Type")))/((Q19+0.01%)*SQRT(M19)),0,1,FALSE))))*R19*(L19/360))-(T19/N19))*N19)*R19))</f>
        <v>52.990829365964302</v>
      </c>
      <c r="X19" s="15">
        <f>IF(I19="","",SUM(W$4:W19))</f>
        <v>332.35059840537724</v>
      </c>
      <c r="Y19" s="15"/>
      <c r="Z19" s="20"/>
      <c r="AA19" s="3">
        <v>16</v>
      </c>
      <c r="AB19" s="4">
        <f>IF(AC18=MAX('Adjustment Surface'!$C$14:$F$14),"",AC18)</f>
        <v>46518</v>
      </c>
      <c r="AC19" s="4">
        <f>IF(AB19="","",IF(AB19&lt;EDATE('Adjustment Surface'!$C$6,DATEDIF('Adjustment Surface'!$C$6,MAX('Adjustment Surface'!$C$14:$F$14),"M")),EDATE(AB$5,COUNT(AB$5:AB19)),IF(AB19=EDATE('Adjustment Surface'!$C$6,DATEDIF('Adjustment Surface'!$C$6,MAX('Adjustment Surface'!$C$14:$F$14),"M")),MAX('Adjustment Surface'!$C$14:$F$14),EDATE('Adjustment Surface'!$C$6,DATEDIF('Adjustment Surface'!$C$6,MAX('Adjustment Surface'!$C$14:$F$14),"M")))))</f>
        <v>46549</v>
      </c>
      <c r="AD19" s="3">
        <f t="shared" si="2"/>
        <v>31</v>
      </c>
      <c r="AE19" s="5">
        <f>IF(AA19="","",(AC19-'Rate &amp; Vol Update'!$C$2)/360)</f>
        <v>1.3472222222222223</v>
      </c>
      <c r="AF19" s="15">
        <f>IF(AA19="","",IF('Adjustment Surface'!$C$3='Data Validation'!$C$2,'Adjustment Surface'!$C$4,_xlfn.IFNA(IF(INDEX(Schedules!$E$3:$E$123,MATCH('Bachelier Model'!AB19,Schedules!$B$3:$B$123,0))="",AF18,INDEX(Schedules!$E$3:$E$123,MATCH('Bachelier Model'!AB19,Schedules!$B$3:$B$123,0))),AF18)))</f>
        <v>25000000</v>
      </c>
      <c r="AG19" s="16">
        <f>IF(AA19="","",'Adjustment Surface'!B$15)</f>
        <v>0.03</v>
      </c>
      <c r="AH19" s="16" cm="1">
        <f t="array" ref="AH19">IF(AA19="","",FORECAST(AB19,INDEX('Rate &amp; Vol Update'!$C$6:$C$127,MATCH(INDEX('Rate &amp; Vol Update'!$B$6:$B$127,MATCH(AB19,'Rate &amp; Vol Update'!$B$6:$B$127,1)),'Rate &amp; Vol Update'!$B$6:$B$127,0)+IF('Adjustment Surface'!$C$11='Data Validation'!$E$3,-1,0)):INDEX('Rate &amp; Vol Update'!$C$6:$C$127,MATCH(INDEX('Rate &amp; Vol Update'!$B$6:$B$127,MATCH(AB19,'Rate &amp; Vol Update'!$B$6:$B$127,1)+1),'Rate &amp; Vol Update'!$B$6:$B$127,0)+IF('Adjustment Surface'!$C$11='Data Validation'!$E$3,-1,0)),INDEX('Rate &amp; Vol Update'!$B$6:$B$127,MATCH(AB19,'Rate &amp; Vol Update'!$B$6:$B$127,1)):INDEX('Rate &amp; Vol Update'!$B$6:$B$127,MATCH(AB19,'Rate &amp; Vol Update'!$B$6:$B$127,1)+1))/100)</f>
        <v>3.1661105597286798E-2</v>
      </c>
      <c r="AI19" s="16" cm="1">
        <f t="array" ref="AI19">IF(AA19="","",IF(AB19&lt;'Rate &amp; Vol Update'!$C$2,0.001%,(1/((INDEX('Rate &amp; Vol Update'!$E$6:$Z$6,1,MATCH(AG19,'Rate &amp; Vol Update'!$E$6:$Z$6,1)+1)-INDEX('Rate &amp; Vol Update'!$E$6:$Z$6,1,MATCH(AG19,'Rate &amp; Vol Update'!$E$6:$Z$6,1)))*(INDEX('Rate &amp; Vol Update'!$B$8:$B$127,MATCH(AB19,'Rate &amp; Vol Update'!$B$8:$B$127,1)+1)-INDEX('Rate &amp; Vol Update'!$B$8:$B$127,MATCH(AB19,'Rate &amp; Vol Update'!$B$8:$B$127,1))))*(INDEX('Rate &amp; Vol Update'!$E$8:$Z$127,MATCH(INDEX('Rate &amp; Vol Update'!$B$8:$B$127,MATCH(AB19,'Rate &amp; Vol Update'!$B$8:$B$127,1)),'Rate &amp; Vol Update'!$B$8:$B$127,0),MATCH(INDEX('Rate &amp; Vol Update'!$E$6:$Z$6,1,MATCH(AG19,'Rate &amp; Vol Update'!$E$6:$Z$6,1)),'Rate &amp; Vol Update'!$E$6:$Z$6,0))*(INDEX('Rate &amp; Vol Update'!$E$6:$Z$6,1,MATCH(AG19,'Rate &amp; Vol Update'!$E$6:$Z$6,1)+1)-AG19)*(INDEX('Rate &amp; Vol Update'!$B$8:$B$127,MATCH(AB19,'Rate &amp; Vol Update'!$B$8:$B$127,1)+1)-AB19)+INDEX('Rate &amp; Vol Update'!$E$8:$Z$127,MATCH(INDEX('Rate &amp; Vol Update'!$B$8:$B$127,MATCH(AB19,'Rate &amp; Vol Update'!$B$8:$B$127,1)),'Rate &amp; Vol Update'!$B$8:$B$127,0),MATCH(INDEX('Rate &amp; Vol Update'!$E$6:$Z$6,1,MATCH(AG19,'Rate &amp; Vol Update'!$E$6:$Z$6,1)+1),'Rate &amp; Vol Update'!$E$6:$Z$6,0))*(AG19-INDEX('Rate &amp; Vol Update'!$E$6:$Z$6,1,MATCH(AG19,'Rate &amp; Vol Update'!$E$6:$Z$6,1)))*(INDEX('Rate &amp; Vol Update'!$B$8:$B$127,MATCH(AB19,'Rate &amp; Vol Update'!$B$8:$B$127,1)+1)-AB19)+INDEX('Rate &amp; Vol Update'!$E$8:$Z$127,MATCH(INDEX('Rate &amp; Vol Update'!$B$8:$B$127,MATCH(AB19,'Rate &amp; Vol Update'!$B$8:$B$127,1)+1),'Rate &amp; Vol Update'!$B$8:$B$127,0),MATCH(INDEX('Rate &amp; Vol Update'!$E$6:$Z$6,1,MATCH(AG19,'Rate &amp; Vol Update'!$E$6:$Z$6,1)),'Rate &amp; Vol Update'!$E$6:$Z$6,0))*(INDEX('Rate &amp; Vol Update'!$E$6:$Z$6,1,MATCH(AG19,'Rate &amp; Vol Update'!$E$6:$Z$6,1)+1)-AG19)*(AB19-INDEX('Rate &amp; Vol Update'!$B$8:$B$127,MATCH(AB19,'Rate &amp; Vol Update'!$B$8:$B$127,1)))+INDEX('Rate &amp; Vol Update'!$E$8:$Z$127,MATCH(INDEX('Rate &amp; Vol Update'!$B$8:$B$127,MATCH(AB19,'Rate &amp; Vol Update'!$B$8:$B$127,1)+1),'Rate &amp; Vol Update'!$B$8:$B$127,0),MATCH(INDEX('Rate &amp; Vol Update'!$E$6:$Z$6,1,MATCH(AG19,'Rate &amp; Vol Update'!$E$6:$Z$6,1)+1),'Rate &amp; Vol Update'!$E$6:$Z$6,0))*(AG19-INDEX('Rate &amp; Vol Update'!$E$6:$Z$6,1,MATCH(AG19,'Rate &amp; Vol Update'!$E$6:$Z$6,1)))*(AB19-INDEX('Rate &amp; Vol Update'!$B$8:$B$127,MATCH(AB19,'Rate &amp; Vol Update'!$B$8:$B$127,1)))))*0.01%))</f>
        <v>7.7675271172122215E-3</v>
      </c>
      <c r="AJ19" s="5">
        <f>IF(AA19="","",1/((1+AH19)^((AC19-'Rate &amp; Vol Update'!$C$2)/360)))</f>
        <v>0.95887627924477281</v>
      </c>
      <c r="AL19" s="15">
        <f>IF(AA19="","",IF(AB19&lt;'Rate &amp; Vol Update'!$C$2,MAX(0,AH19-AG19)*(AD19/360)*AF19,(((IF('Adjustment Surface'!$C$2='Data Validation'!$A$2,AH19,IF('Adjustment Surface'!$C$2='Data Validation'!$A$3,AG19,"Unknown Option Type"))-IF('Adjustment Surface'!$C$2='Data Validation'!$A$2,AG19,IF('Adjustment Surface'!$C$2='Data Validation'!$A$3,AH19,"Unknown Option Type")))*(NORMDIST((IF('Adjustment Surface'!$C$2='Data Validation'!$A$2,AH19,IF('Adjustment Surface'!$C$2='Data Validation'!$A$3,AG19,"Unknown Option Type"))-IF('Adjustment Surface'!$C$2='Data Validation'!$A$2,AG19,IF('Adjustment Surface'!$C$2='Data Validation'!$A$3,AH19,"Unknown Option Type")))/(AI19*SQRT(AE19)),0,1,TRUE)))+((AI19*SQRT(AE19))*(NORMDIST((IF('Adjustment Surface'!$C$2='Data Validation'!$A$2,AH19,IF('Adjustment Surface'!$C$2='Data Validation'!$A$3,AG19,"Unknown Option Type"))-IF('Adjustment Surface'!$C$2='Data Validation'!$A$2,AG19,IF('Adjustment Surface'!$C$2='Data Validation'!$A$3,AH19,"Unknown Option Type")))/(AI19*SQRT(AE19)),0,1,FALSE))))*AJ19*(AD19/360)*AF19))</f>
        <v>9264.7498393383103</v>
      </c>
      <c r="AM19" s="15">
        <f>IF(AA19="","",SUM(AL$4:AL19))</f>
        <v>159114.78578600983</v>
      </c>
      <c r="AO19" s="15">
        <f>IF(AA19="","",IF(AB19&lt;'Rate &amp; Vol Update'!$C$2,0,((((((IF('Adjustment Surface'!$C$2='Data Validation'!$A$2,AH19,IF('Adjustment Surface'!$C$2='Data Validation'!$A$3,AG19,"Unknown Option Type"))-IF('Adjustment Surface'!$C$2='Data Validation'!$A$2,AG19,IF('Adjustment Surface'!$C$2='Data Validation'!$A$3,AH19,"Unknown Option Type")))*(NORMDIST((IF('Adjustment Surface'!$C$2='Data Validation'!$A$2,AH19,IF('Adjustment Surface'!$C$2='Data Validation'!$A$3,AG19,"Unknown Option Type"))-IF('Adjustment Surface'!$C$2='Data Validation'!$A$2,AG19,IF('Adjustment Surface'!$C$2='Data Validation'!$A$3,AH19,"Unknown Option Type")))/((AI19+0.01%)*SQRT(AE19)),0,1,TRUE)))+(((AI19+0.01%)*SQRT(AE19))*(NORMDIST((IF('Adjustment Surface'!$C$2='Data Validation'!$A$2,AH19,IF('Adjustment Surface'!$C$2='Data Validation'!$A$3,AG19,"Unknown Option Type"))-IF('Adjustment Surface'!$C$2='Data Validation'!$A$2,AG19,IF('Adjustment Surface'!$C$2='Data Validation'!$A$3,AH19,"Unknown Option Type")))/((AI19+0.01%)*SQRT(AE19)),0,1,FALSE))))*AJ19*(AD19/360))-(AL19/AF19))*AF19)*AJ19))</f>
        <v>90.131465836456925</v>
      </c>
      <c r="AP19" s="15">
        <f>IF(AA19="","",SUM(AO$4:AO19))</f>
        <v>824.53413652676272</v>
      </c>
      <c r="AQ19" s="15"/>
      <c r="AR19" s="20"/>
      <c r="AS19" s="3">
        <v>16</v>
      </c>
      <c r="AT19" s="4">
        <f>IF(AU18=MAX('Adjustment Surface'!$C$14:$F$14),"",AU18)</f>
        <v>46518</v>
      </c>
      <c r="AU19" s="4">
        <f>IF(AT19="","",IF(AT19&lt;EDATE('Adjustment Surface'!$C$6,DATEDIF('Adjustment Surface'!$C$6,MAX('Adjustment Surface'!$C$14:$F$14),"M")),EDATE(AT$5,COUNT(AT$5:AT19)),IF(AT19=EDATE('Adjustment Surface'!$C$6,DATEDIF('Adjustment Surface'!$C$6,MAX('Adjustment Surface'!$C$14:$F$14),"M")),MAX('Adjustment Surface'!$C$14:$F$14),EDATE('Adjustment Surface'!$C$6,DATEDIF('Adjustment Surface'!$C$6,MAX('Adjustment Surface'!$C$14:$F$14),"M")))))</f>
        <v>46549</v>
      </c>
      <c r="AV19" s="3">
        <f t="shared" si="3"/>
        <v>31</v>
      </c>
      <c r="AW19" s="5">
        <f>IF(AS19="","",(AU19-'Rate &amp; Vol Update'!$C$2)/360)</f>
        <v>1.3472222222222223</v>
      </c>
      <c r="AX19" s="15">
        <f>IF(AS19="","",IF('Adjustment Surface'!$C$3='Data Validation'!$C$2,'Adjustment Surface'!$C$4,_xlfn.IFNA(IF(INDEX(Schedules!$E$3:$E$123,MATCH('Bachelier Model'!AT19,Schedules!$B$3:$B$123,0))="",AX18,INDEX(Schedules!$E$3:$E$123,MATCH('Bachelier Model'!AT19,Schedules!$B$3:$B$123,0))),AX18)))</f>
        <v>25000000</v>
      </c>
      <c r="AY19" s="16">
        <f>IF(AS19="","",'Adjustment Surface'!B$16)</f>
        <v>0.04</v>
      </c>
      <c r="AZ19" s="16" cm="1">
        <f t="array" ref="AZ19">IF(AS19="","",FORECAST(AT19,INDEX('Rate &amp; Vol Update'!$C$6:$C$127,MATCH(INDEX('Rate &amp; Vol Update'!$B$6:$B$127,MATCH(AT19,'Rate &amp; Vol Update'!$B$6:$B$127,1)),'Rate &amp; Vol Update'!$B$6:$B$127,0)+IF('Adjustment Surface'!$C$11='Data Validation'!$E$3,-1,0)):INDEX('Rate &amp; Vol Update'!$C$6:$C$127,MATCH(INDEX('Rate &amp; Vol Update'!$B$6:$B$127,MATCH(AT19,'Rate &amp; Vol Update'!$B$6:$B$127,1)+1),'Rate &amp; Vol Update'!$B$6:$B$127,0)+IF('Adjustment Surface'!$C$11='Data Validation'!$E$3,-1,0)),INDEX('Rate &amp; Vol Update'!$B$6:$B$127,MATCH(AT19,'Rate &amp; Vol Update'!$B$6:$B$127,1)):INDEX('Rate &amp; Vol Update'!$B$6:$B$127,MATCH(AT19,'Rate &amp; Vol Update'!$B$6:$B$127,1)+1))/100)</f>
        <v>3.1661105597286798E-2</v>
      </c>
      <c r="BA19" s="16" cm="1">
        <f t="array" ref="BA19">IF(AS19="","",IF(AT19&lt;'Rate &amp; Vol Update'!$C$2,0.001%,(1/((INDEX('Rate &amp; Vol Update'!$E$6:$Z$6,1,MATCH(AY19,'Rate &amp; Vol Update'!$E$6:$Z$6,1)+1)-INDEX('Rate &amp; Vol Update'!$E$6:$Z$6,1,MATCH(AY19,'Rate &amp; Vol Update'!$E$6:$Z$6,1)))*(INDEX('Rate &amp; Vol Update'!$B$8:$B$127,MATCH(AT19,'Rate &amp; Vol Update'!$B$8:$B$127,1)+1)-INDEX('Rate &amp; Vol Update'!$B$8:$B$127,MATCH(AT19,'Rate &amp; Vol Update'!$B$8:$B$127,1))))*(INDEX('Rate &amp; Vol Update'!$E$8:$Z$127,MATCH(INDEX('Rate &amp; Vol Update'!$B$8:$B$127,MATCH(AT19,'Rate &amp; Vol Update'!$B$8:$B$127,1)),'Rate &amp; Vol Update'!$B$8:$B$127,0),MATCH(INDEX('Rate &amp; Vol Update'!$E$6:$Z$6,1,MATCH(AY19,'Rate &amp; Vol Update'!$E$6:$Z$6,1)),'Rate &amp; Vol Update'!$E$6:$Z$6,0))*(INDEX('Rate &amp; Vol Update'!$E$6:$Z$6,1,MATCH(AY19,'Rate &amp; Vol Update'!$E$6:$Z$6,1)+1)-AY19)*(INDEX('Rate &amp; Vol Update'!$B$8:$B$127,MATCH(AT19,'Rate &amp; Vol Update'!$B$8:$B$127,1)+1)-AT19)+INDEX('Rate &amp; Vol Update'!$E$8:$Z$127,MATCH(INDEX('Rate &amp; Vol Update'!$B$8:$B$127,MATCH(AT19,'Rate &amp; Vol Update'!$B$8:$B$127,1)),'Rate &amp; Vol Update'!$B$8:$B$127,0),MATCH(INDEX('Rate &amp; Vol Update'!$E$6:$Z$6,1,MATCH(AY19,'Rate &amp; Vol Update'!$E$6:$Z$6,1)+1),'Rate &amp; Vol Update'!$E$6:$Z$6,0))*(AY19-INDEX('Rate &amp; Vol Update'!$E$6:$Z$6,1,MATCH(AY19,'Rate &amp; Vol Update'!$E$6:$Z$6,1)))*(INDEX('Rate &amp; Vol Update'!$B$8:$B$127,MATCH(AT19,'Rate &amp; Vol Update'!$B$8:$B$127,1)+1)-AT19)+INDEX('Rate &amp; Vol Update'!$E$8:$Z$127,MATCH(INDEX('Rate &amp; Vol Update'!$B$8:$B$127,MATCH(AT19,'Rate &amp; Vol Update'!$B$8:$B$127,1)+1),'Rate &amp; Vol Update'!$B$8:$B$127,0),MATCH(INDEX('Rate &amp; Vol Update'!$E$6:$Z$6,1,MATCH(AY19,'Rate &amp; Vol Update'!$E$6:$Z$6,1)),'Rate &amp; Vol Update'!$E$6:$Z$6,0))*(INDEX('Rate &amp; Vol Update'!$E$6:$Z$6,1,MATCH(AY19,'Rate &amp; Vol Update'!$E$6:$Z$6,1)+1)-AY19)*(AT19-INDEX('Rate &amp; Vol Update'!$B$8:$B$127,MATCH(AT19,'Rate &amp; Vol Update'!$B$8:$B$127,1)))+INDEX('Rate &amp; Vol Update'!$E$8:$Z$127,MATCH(INDEX('Rate &amp; Vol Update'!$B$8:$B$127,MATCH(AT19,'Rate &amp; Vol Update'!$B$8:$B$127,1)+1),'Rate &amp; Vol Update'!$B$8:$B$127,0),MATCH(INDEX('Rate &amp; Vol Update'!$E$6:$Z$6,1,MATCH(AY19,'Rate &amp; Vol Update'!$E$6:$Z$6,1)+1),'Rate &amp; Vol Update'!$E$6:$Z$6,0))*(AY19-INDEX('Rate &amp; Vol Update'!$E$6:$Z$6,1,MATCH(AY19,'Rate &amp; Vol Update'!$E$6:$Z$6,1)))*(AT19-INDEX('Rate &amp; Vol Update'!$B$8:$B$127,MATCH(AT19,'Rate &amp; Vol Update'!$B$8:$B$127,1)))))*0.01%))</f>
        <v>7.4994751681931723E-3</v>
      </c>
      <c r="BB19" s="5">
        <f>IF(AS19="","",1/((1+AZ19)^((AU19-'Rate &amp; Vol Update'!$C$2)/360)))</f>
        <v>0.95887627924477281</v>
      </c>
      <c r="BD19" s="15">
        <f>IF(AS19="","",IF(AT19&lt;'Rate &amp; Vol Update'!$C$2,MAX(0,AZ19-AY19)*(AV19/360)*AX19,(((IF('Adjustment Surface'!$C$2='Data Validation'!$A$2,AZ19,IF('Adjustment Surface'!$C$2='Data Validation'!$A$3,AY19,"Unknown Option Type"))-IF('Adjustment Surface'!$C$2='Data Validation'!$A$2,AY19,IF('Adjustment Surface'!$C$2='Data Validation'!$A$3,AZ19,"Unknown Option Type")))*(NORMDIST((IF('Adjustment Surface'!$C$2='Data Validation'!$A$2,AZ19,IF('Adjustment Surface'!$C$2='Data Validation'!$A$3,AY19,"Unknown Option Type"))-IF('Adjustment Surface'!$C$2='Data Validation'!$A$2,AY19,IF('Adjustment Surface'!$C$2='Data Validation'!$A$3,AZ19,"Unknown Option Type")))/(BA19*SQRT(AW19)),0,1,TRUE)))+((BA19*SQRT(AW19))*(NORMDIST((IF('Adjustment Surface'!$C$2='Data Validation'!$A$2,AZ19,IF('Adjustment Surface'!$C$2='Data Validation'!$A$3,AY19,"Unknown Option Type"))-IF('Adjustment Surface'!$C$2='Data Validation'!$A$2,AY19,IF('Adjustment Surface'!$C$2='Data Validation'!$A$3,AZ19,"Unknown Option Type")))/(BA19*SQRT(AW19)),0,1,FALSE))))*BB19*(AV19/360)*AX19))</f>
        <v>1620.7280578989753</v>
      </c>
      <c r="BE19" s="15">
        <f>IF(AS19="","",SUM(BD$4:BD19))</f>
        <v>10798.241323704056</v>
      </c>
      <c r="BG19" s="15">
        <f>IF(AS19="","",IF(AT19&lt;'Rate &amp; Vol Update'!$C$2,0,((((((IF('Adjustment Surface'!$C$2='Data Validation'!$A$2,AZ19,IF('Adjustment Surface'!$C$2='Data Validation'!$A$3,AY19,"Unknown Option Type"))-IF('Adjustment Surface'!$C$2='Data Validation'!$A$2,AY19,IF('Adjustment Surface'!$C$2='Data Validation'!$A$3,AZ19,"Unknown Option Type")))*(NORMDIST((IF('Adjustment Surface'!$C$2='Data Validation'!$A$2,AZ19,IF('Adjustment Surface'!$C$2='Data Validation'!$A$3,AY19,"Unknown Option Type"))-IF('Adjustment Surface'!$C$2='Data Validation'!$A$2,AY19,IF('Adjustment Surface'!$C$2='Data Validation'!$A$3,AZ19,"Unknown Option Type")))/((BA19+0.01%)*SQRT(AW19)),0,1,TRUE)))+(((BA19+0.01%)*SQRT(AW19))*(NORMDIST((IF('Adjustment Surface'!$C$2='Data Validation'!$A$2,AZ19,IF('Adjustment Surface'!$C$2='Data Validation'!$A$3,AY19,"Unknown Option Type"))-IF('Adjustment Surface'!$C$2='Data Validation'!$A$2,AY19,IF('Adjustment Surface'!$C$2='Data Validation'!$A$3,AZ19,"Unknown Option Type")))/((BA19+0.01%)*SQRT(AW19)),0,1,FALSE))))*BB19*(AV19/360))-(BD19/AX19))*AX19)*BB19))</f>
        <v>58.276834388110785</v>
      </c>
      <c r="BH19" s="15">
        <f>IF(AS19="","",SUM(BG$4:BG19))</f>
        <v>508.68364536400207</v>
      </c>
      <c r="BI19" s="15"/>
      <c r="BJ19" s="20"/>
      <c r="BK19" s="3">
        <v>16</v>
      </c>
      <c r="BL19" s="4">
        <f>IF(BM18=MAX('Adjustment Surface'!$C$14:$F$14),"",BM18)</f>
        <v>46518</v>
      </c>
      <c r="BM19" s="4">
        <f>IF(BL19="","",IF(BL19&lt;EDATE('Adjustment Surface'!$C$6,DATEDIF('Adjustment Surface'!$C$6,MAX('Adjustment Surface'!$C$14:$F$14),"M")),EDATE(BL$5,COUNT(BL$5:BL19)),IF(BL19=EDATE('Adjustment Surface'!$C$6,DATEDIF('Adjustment Surface'!$C$6,MAX('Adjustment Surface'!$C$14:$F$14),"M")),MAX('Adjustment Surface'!$C$14:$F$14),EDATE('Adjustment Surface'!$C$6,DATEDIF('Adjustment Surface'!$C$6,MAX('Adjustment Surface'!$C$14:$F$14),"M")))))</f>
        <v>46549</v>
      </c>
      <c r="BN19" s="3">
        <f t="shared" si="4"/>
        <v>31</v>
      </c>
      <c r="BO19" s="5">
        <f>IF(BK19="","",(BM19-'Rate &amp; Vol Update'!$C$2)/360)</f>
        <v>1.3472222222222223</v>
      </c>
      <c r="BP19" s="15">
        <f>IF(BK19="","",IF('Adjustment Surface'!$C$3='Data Validation'!$C$2,'Adjustment Surface'!$C$4,_xlfn.IFNA(IF(INDEX(Schedules!$E$3:$E$123,MATCH('Bachelier Model'!BL19,Schedules!$B$3:$B$123,0))="",BP18,INDEX(Schedules!$E$3:$E$123,MATCH('Bachelier Model'!BL19,Schedules!$B$3:$B$123,0))),BP18)))</f>
        <v>25000000</v>
      </c>
      <c r="BQ19" s="16">
        <f>IF(BK19="","",'Adjustment Surface'!B$17)</f>
        <v>0.05</v>
      </c>
      <c r="BR19" s="16" cm="1">
        <f t="array" ref="BR19">IF(BK19="","",FORECAST(BL19,INDEX('Rate &amp; Vol Update'!$C$6:$C$127,MATCH(INDEX('Rate &amp; Vol Update'!$B$6:$B$127,MATCH(BL19,'Rate &amp; Vol Update'!$B$6:$B$127,1)),'Rate &amp; Vol Update'!$B$6:$B$127,0)+IF('Adjustment Surface'!$C$11='Data Validation'!$E$3,-1,0)):INDEX('Rate &amp; Vol Update'!$C$6:$C$127,MATCH(INDEX('Rate &amp; Vol Update'!$B$6:$B$127,MATCH(BL19,'Rate &amp; Vol Update'!$B$6:$B$127,1)+1),'Rate &amp; Vol Update'!$B$6:$B$127,0)+IF('Adjustment Surface'!$C$11='Data Validation'!$E$3,-1,0)),INDEX('Rate &amp; Vol Update'!$B$6:$B$127,MATCH(BL19,'Rate &amp; Vol Update'!$B$6:$B$127,1)):INDEX('Rate &amp; Vol Update'!$B$6:$B$127,MATCH(BL19,'Rate &amp; Vol Update'!$B$6:$B$127,1)+1))/100)</f>
        <v>3.1661105597286798E-2</v>
      </c>
      <c r="BS19" s="16" cm="1">
        <f t="array" ref="BS19">IF(BK19="","",IF(BL19&lt;'Rate &amp; Vol Update'!$C$2,0.001%,(1/((INDEX('Rate &amp; Vol Update'!$E$6:$Z$6,1,MATCH(BQ19,'Rate &amp; Vol Update'!$E$6:$Z$6,1)+1)-INDEX('Rate &amp; Vol Update'!$E$6:$Z$6,1,MATCH(BQ19,'Rate &amp; Vol Update'!$E$6:$Z$6,1)))*(INDEX('Rate &amp; Vol Update'!$B$8:$B$127,MATCH(BL19,'Rate &amp; Vol Update'!$B$8:$B$127,1)+1)-INDEX('Rate &amp; Vol Update'!$B$8:$B$127,MATCH(BL19,'Rate &amp; Vol Update'!$B$8:$B$127,1))))*(INDEX('Rate &amp; Vol Update'!$E$8:$Z$127,MATCH(INDEX('Rate &amp; Vol Update'!$B$8:$B$127,MATCH(BL19,'Rate &amp; Vol Update'!$B$8:$B$127,1)),'Rate &amp; Vol Update'!$B$8:$B$127,0),MATCH(INDEX('Rate &amp; Vol Update'!$E$6:$Z$6,1,MATCH(BQ19,'Rate &amp; Vol Update'!$E$6:$Z$6,1)),'Rate &amp; Vol Update'!$E$6:$Z$6,0))*(INDEX('Rate &amp; Vol Update'!$E$6:$Z$6,1,MATCH(BQ19,'Rate &amp; Vol Update'!$E$6:$Z$6,1)+1)-BQ19)*(INDEX('Rate &amp; Vol Update'!$B$8:$B$127,MATCH(BL19,'Rate &amp; Vol Update'!$B$8:$B$127,1)+1)-BL19)+INDEX('Rate &amp; Vol Update'!$E$8:$Z$127,MATCH(INDEX('Rate &amp; Vol Update'!$B$8:$B$127,MATCH(BL19,'Rate &amp; Vol Update'!$B$8:$B$127,1)),'Rate &amp; Vol Update'!$B$8:$B$127,0),MATCH(INDEX('Rate &amp; Vol Update'!$E$6:$Z$6,1,MATCH(BQ19,'Rate &amp; Vol Update'!$E$6:$Z$6,1)+1),'Rate &amp; Vol Update'!$E$6:$Z$6,0))*(BQ19-INDEX('Rate &amp; Vol Update'!$E$6:$Z$6,1,MATCH(BQ19,'Rate &amp; Vol Update'!$E$6:$Z$6,1)))*(INDEX('Rate &amp; Vol Update'!$B$8:$B$127,MATCH(BL19,'Rate &amp; Vol Update'!$B$8:$B$127,1)+1)-BL19)+INDEX('Rate &amp; Vol Update'!$E$8:$Z$127,MATCH(INDEX('Rate &amp; Vol Update'!$B$8:$B$127,MATCH(BL19,'Rate &amp; Vol Update'!$B$8:$B$127,1)+1),'Rate &amp; Vol Update'!$B$8:$B$127,0),MATCH(INDEX('Rate &amp; Vol Update'!$E$6:$Z$6,1,MATCH(BQ19,'Rate &amp; Vol Update'!$E$6:$Z$6,1)),'Rate &amp; Vol Update'!$E$6:$Z$6,0))*(INDEX('Rate &amp; Vol Update'!$E$6:$Z$6,1,MATCH(BQ19,'Rate &amp; Vol Update'!$E$6:$Z$6,1)+1)-BQ19)*(BL19-INDEX('Rate &amp; Vol Update'!$B$8:$B$127,MATCH(BL19,'Rate &amp; Vol Update'!$B$8:$B$127,1)))+INDEX('Rate &amp; Vol Update'!$E$8:$Z$127,MATCH(INDEX('Rate &amp; Vol Update'!$B$8:$B$127,MATCH(BL19,'Rate &amp; Vol Update'!$B$8:$B$127,1)+1),'Rate &amp; Vol Update'!$B$8:$B$127,0),MATCH(INDEX('Rate &amp; Vol Update'!$E$6:$Z$6,1,MATCH(BQ19,'Rate &amp; Vol Update'!$E$6:$Z$6,1)+1),'Rate &amp; Vol Update'!$E$6:$Z$6,0))*(BQ19-INDEX('Rate &amp; Vol Update'!$E$6:$Z$6,1,MATCH(BQ19,'Rate &amp; Vol Update'!$E$6:$Z$6,1)))*(BL19-INDEX('Rate &amp; Vol Update'!$B$8:$B$127,MATCH(BL19,'Rate &amp; Vol Update'!$B$8:$B$127,1)))))*0.01%))</f>
        <v>9.0458038071402867E-3</v>
      </c>
      <c r="BT19" s="5">
        <f>IF(BK19="","",1/((1+BR19)^((BM19-'Rate &amp; Vol Update'!$C$2)/360)))</f>
        <v>0.95887627924477281</v>
      </c>
      <c r="BV19" s="15">
        <f>IF(BK19="","",IF(BL19&lt;'Rate &amp; Vol Update'!$C$2,MAX(0,BR19-BQ19)*(BN19/360)*BP19,(((IF('Adjustment Surface'!$C$2='Data Validation'!$A$2,BR19,IF('Adjustment Surface'!$C$2='Data Validation'!$A$3,BQ19,"Unknown Option Type"))-IF('Adjustment Surface'!$C$2='Data Validation'!$A$2,BQ19,IF('Adjustment Surface'!$C$2='Data Validation'!$A$3,BR19,"Unknown Option Type")))*(NORMDIST((IF('Adjustment Surface'!$C$2='Data Validation'!$A$2,BR19,IF('Adjustment Surface'!$C$2='Data Validation'!$A$3,BQ19,"Unknown Option Type"))-IF('Adjustment Surface'!$C$2='Data Validation'!$A$2,BQ19,IF('Adjustment Surface'!$C$2='Data Validation'!$A$3,BR19,"Unknown Option Type")))/(BS19*SQRT(BO19)),0,1,TRUE)))+((BS19*SQRT(BO19))*(NORMDIST((IF('Adjustment Surface'!$C$2='Data Validation'!$A$2,BR19,IF('Adjustment Surface'!$C$2='Data Validation'!$A$3,BQ19,"Unknown Option Type"))-IF('Adjustment Surface'!$C$2='Data Validation'!$A$2,BQ19,IF('Adjustment Surface'!$C$2='Data Validation'!$A$3,BR19,"Unknown Option Type")))/(BS19*SQRT(BO19)),0,1,FALSE))))*BT19*(BN19/360)*BP19))</f>
        <v>353.45970658261479</v>
      </c>
      <c r="BW19" s="15">
        <f>IF(BK19="","",SUM(BV$4:BV19))</f>
        <v>1377.0274010643275</v>
      </c>
      <c r="BY19" s="15">
        <f>IF(BK19="","",IF(BL19&lt;'Rate &amp; Vol Update'!$C$2,0,((((((IF('Adjustment Surface'!$C$2='Data Validation'!$A$2,BR19,IF('Adjustment Surface'!$C$2='Data Validation'!$A$3,BQ19,"Unknown Option Type"))-IF('Adjustment Surface'!$C$2='Data Validation'!$A$2,BQ19,IF('Adjustment Surface'!$C$2='Data Validation'!$A$3,BR19,"Unknown Option Type")))*(NORMDIST((IF('Adjustment Surface'!$C$2='Data Validation'!$A$2,BR19,IF('Adjustment Surface'!$C$2='Data Validation'!$A$3,BQ19,"Unknown Option Type"))-IF('Adjustment Surface'!$C$2='Data Validation'!$A$2,BQ19,IF('Adjustment Surface'!$C$2='Data Validation'!$A$3,BR19,"Unknown Option Type")))/((BS19+0.01%)*SQRT(BO19)),0,1,TRUE)))+(((BS19+0.01%)*SQRT(BO19))*(NORMDIST((IF('Adjustment Surface'!$C$2='Data Validation'!$A$2,BR19,IF('Adjustment Surface'!$C$2='Data Validation'!$A$3,BQ19,"Unknown Option Type"))-IF('Adjustment Surface'!$C$2='Data Validation'!$A$2,BQ19,IF('Adjustment Surface'!$C$2='Data Validation'!$A$3,BR19,"Unknown Option Type")))/((BS19+0.01%)*SQRT(BO19)),0,1,FALSE))))*BT19*(BN19/360))-(BV19/BP19))*BP19)*BT19))</f>
        <v>20.274311981213053</v>
      </c>
      <c r="BZ19" s="15">
        <f>IF(BK19="","",SUM(BY$4:BY19))</f>
        <v>94.389059405604172</v>
      </c>
      <c r="CA19" s="15"/>
      <c r="CB19" s="20"/>
      <c r="CC19" s="3">
        <v>16</v>
      </c>
      <c r="CD19" s="4">
        <f>IF(CE18=MAX('Adjustment Surface'!$C$14:$F$14),"",CE18)</f>
        <v>46518</v>
      </c>
      <c r="CE19" s="4">
        <f>IF(CD19="","",IF(CD19&lt;EDATE('Adjustment Surface'!$C$6,DATEDIF('Adjustment Surface'!$C$6,MAX('Adjustment Surface'!$C$14:$F$14),"M")),EDATE(CD$5,COUNT(CD$5:CD19)),IF(CD19=EDATE('Adjustment Surface'!$C$6,DATEDIF('Adjustment Surface'!$C$6,MAX('Adjustment Surface'!$C$14:$F$14),"M")),MAX('Adjustment Surface'!$C$14:$F$14),EDATE('Adjustment Surface'!$C$6,DATEDIF('Adjustment Surface'!$C$6,MAX('Adjustment Surface'!$C$14:$F$14),"M")))))</f>
        <v>46549</v>
      </c>
      <c r="CF19" s="3">
        <f t="shared" si="5"/>
        <v>31</v>
      </c>
      <c r="CG19" s="5">
        <f>IF(CC19="","",(CE19-'Rate &amp; Vol Update'!$C$2)/360)</f>
        <v>1.3472222222222223</v>
      </c>
      <c r="CH19" s="15">
        <f>IF(CC19="","",IF('Adjustment Surface'!$C$3='Data Validation'!$C$2,'Adjustment Surface'!$C$4,_xlfn.IFNA(IF(INDEX(Schedules!$E$3:$E$123,MATCH('Bachelier Model'!CD19,Schedules!$B$3:$B$123,0))="",CH18,INDEX(Schedules!$E$3:$E$123,MATCH('Bachelier Model'!CD19,Schedules!$B$3:$B$123,0))),CH18)))</f>
        <v>25000000</v>
      </c>
      <c r="CI19" s="16">
        <f>IF(CC19="","",'Adjustment Surface'!B$18)</f>
        <v>0.06</v>
      </c>
      <c r="CJ19" s="16" cm="1">
        <f t="array" ref="CJ19">IF(CC19="","",FORECAST(CD19,INDEX('Rate &amp; Vol Update'!$C$6:$C$127,MATCH(INDEX('Rate &amp; Vol Update'!$B$6:$B$127,MATCH(CD19,'Rate &amp; Vol Update'!$B$6:$B$127,1)),'Rate &amp; Vol Update'!$B$6:$B$127,0)+IF('Adjustment Surface'!$C$11='Data Validation'!$E$3,-1,0)):INDEX('Rate &amp; Vol Update'!$C$6:$C$127,MATCH(INDEX('Rate &amp; Vol Update'!$B$6:$B$127,MATCH(CD19,'Rate &amp; Vol Update'!$B$6:$B$127,1)+1),'Rate &amp; Vol Update'!$B$6:$B$127,0)+IF('Adjustment Surface'!$C$11='Data Validation'!$E$3,-1,0)),INDEX('Rate &amp; Vol Update'!$B$6:$B$127,MATCH(CD19,'Rate &amp; Vol Update'!$B$6:$B$127,1)):INDEX('Rate &amp; Vol Update'!$B$6:$B$127,MATCH(CD19,'Rate &amp; Vol Update'!$B$6:$B$127,1)+1))/100)</f>
        <v>3.1661105597286798E-2</v>
      </c>
      <c r="CK19" s="16" cm="1">
        <f t="array" ref="CK19">IF(CC19="","",IF(CD19&lt;'Rate &amp; Vol Update'!$C$2,0.001%,(1/((INDEX('Rate &amp; Vol Update'!$E$6:$Z$6,1,MATCH(CI19,'Rate &amp; Vol Update'!$E$6:$Z$6,1)+1)-INDEX('Rate &amp; Vol Update'!$E$6:$Z$6,1,MATCH(CI19,'Rate &amp; Vol Update'!$E$6:$Z$6,1)))*(INDEX('Rate &amp; Vol Update'!$B$8:$B$127,MATCH(CD19,'Rate &amp; Vol Update'!$B$8:$B$127,1)+1)-INDEX('Rate &amp; Vol Update'!$B$8:$B$127,MATCH(CD19,'Rate &amp; Vol Update'!$B$8:$B$127,1))))*(INDEX('Rate &amp; Vol Update'!$E$8:$Z$127,MATCH(INDEX('Rate &amp; Vol Update'!$B$8:$B$127,MATCH(CD19,'Rate &amp; Vol Update'!$B$8:$B$127,1)),'Rate &amp; Vol Update'!$B$8:$B$127,0),MATCH(INDEX('Rate &amp; Vol Update'!$E$6:$Z$6,1,MATCH(CI19,'Rate &amp; Vol Update'!$E$6:$Z$6,1)),'Rate &amp; Vol Update'!$E$6:$Z$6,0))*(INDEX('Rate &amp; Vol Update'!$E$6:$Z$6,1,MATCH(CI19,'Rate &amp; Vol Update'!$E$6:$Z$6,1)+1)-CI19)*(INDEX('Rate &amp; Vol Update'!$B$8:$B$127,MATCH(CD19,'Rate &amp; Vol Update'!$B$8:$B$127,1)+1)-CD19)+INDEX('Rate &amp; Vol Update'!$E$8:$Z$127,MATCH(INDEX('Rate &amp; Vol Update'!$B$8:$B$127,MATCH(CD19,'Rate &amp; Vol Update'!$B$8:$B$127,1)),'Rate &amp; Vol Update'!$B$8:$B$127,0),MATCH(INDEX('Rate &amp; Vol Update'!$E$6:$Z$6,1,MATCH(CI19,'Rate &amp; Vol Update'!$E$6:$Z$6,1)+1),'Rate &amp; Vol Update'!$E$6:$Z$6,0))*(CI19-INDEX('Rate &amp; Vol Update'!$E$6:$Z$6,1,MATCH(CI19,'Rate &amp; Vol Update'!$E$6:$Z$6,1)))*(INDEX('Rate &amp; Vol Update'!$B$8:$B$127,MATCH(CD19,'Rate &amp; Vol Update'!$B$8:$B$127,1)+1)-CD19)+INDEX('Rate &amp; Vol Update'!$E$8:$Z$127,MATCH(INDEX('Rate &amp; Vol Update'!$B$8:$B$127,MATCH(CD19,'Rate &amp; Vol Update'!$B$8:$B$127,1)+1),'Rate &amp; Vol Update'!$B$8:$B$127,0),MATCH(INDEX('Rate &amp; Vol Update'!$E$6:$Z$6,1,MATCH(CI19,'Rate &amp; Vol Update'!$E$6:$Z$6,1)),'Rate &amp; Vol Update'!$E$6:$Z$6,0))*(INDEX('Rate &amp; Vol Update'!$E$6:$Z$6,1,MATCH(CI19,'Rate &amp; Vol Update'!$E$6:$Z$6,1)+1)-CI19)*(CD19-INDEX('Rate &amp; Vol Update'!$B$8:$B$127,MATCH(CD19,'Rate &amp; Vol Update'!$B$8:$B$127,1)))+INDEX('Rate &amp; Vol Update'!$E$8:$Z$127,MATCH(INDEX('Rate &amp; Vol Update'!$B$8:$B$127,MATCH(CD19,'Rate &amp; Vol Update'!$B$8:$B$127,1)+1),'Rate &amp; Vol Update'!$B$8:$B$127,0),MATCH(INDEX('Rate &amp; Vol Update'!$E$6:$Z$6,1,MATCH(CI19,'Rate &amp; Vol Update'!$E$6:$Z$6,1)+1),'Rate &amp; Vol Update'!$E$6:$Z$6,0))*(CI19-INDEX('Rate &amp; Vol Update'!$E$6:$Z$6,1,MATCH(CI19,'Rate &amp; Vol Update'!$E$6:$Z$6,1)))*(CD19-INDEX('Rate &amp; Vol Update'!$B$8:$B$127,MATCH(CD19,'Rate &amp; Vol Update'!$B$8:$B$127,1)))))*0.01%))</f>
        <v>1.1025232905156748E-2</v>
      </c>
      <c r="CL19" s="5">
        <f>IF(CC19="","",1/((1+CJ19)^((CE19-'Rate &amp; Vol Update'!$C$2)/360)))</f>
        <v>0.95887627924477281</v>
      </c>
      <c r="CN19" s="15">
        <f>IF(CC19="","",IF(CD19&lt;'Rate &amp; Vol Update'!$C$2,MAX(0,CJ19-CI19)*(CF19/360)*CH19,(((IF('Adjustment Surface'!$C$2='Data Validation'!$A$2,CJ19,IF('Adjustment Surface'!$C$2='Data Validation'!$A$3,CI19,"Unknown Option Type"))-IF('Adjustment Surface'!$C$2='Data Validation'!$A$2,CI19,IF('Adjustment Surface'!$C$2='Data Validation'!$A$3,CJ19,"Unknown Option Type")))*(NORMDIST((IF('Adjustment Surface'!$C$2='Data Validation'!$A$2,CJ19,IF('Adjustment Surface'!$C$2='Data Validation'!$A$3,CI19,"Unknown Option Type"))-IF('Adjustment Surface'!$C$2='Data Validation'!$A$2,CI19,IF('Adjustment Surface'!$C$2='Data Validation'!$A$3,CJ19,"Unknown Option Type")))/(CK19*SQRT(CG19)),0,1,TRUE)))+((CK19*SQRT(CG19))*(NORMDIST((IF('Adjustment Surface'!$C$2='Data Validation'!$A$2,CJ19,IF('Adjustment Surface'!$C$2='Data Validation'!$A$3,CI19,"Unknown Option Type"))-IF('Adjustment Surface'!$C$2='Data Validation'!$A$2,CI19,IF('Adjustment Surface'!$C$2='Data Validation'!$A$3,CJ19,"Unknown Option Type")))/(CK19*SQRT(CG19)),0,1,FALSE))))*CL19*(CF19/360)*CH19))</f>
        <v>123.86813285450349</v>
      </c>
      <c r="CO19" s="15">
        <f>IF(CC19="","",SUM(CN$4:CN19))</f>
        <v>405.57345723961157</v>
      </c>
      <c r="CQ19" s="15">
        <f>IF(CC19="","",IF(CD19&lt;'Rate &amp; Vol Update'!$C$2,0,((((((IF('Adjustment Surface'!$C$2='Data Validation'!$A$2,CJ19,IF('Adjustment Surface'!$C$2='Data Validation'!$A$3,CI19,"Unknown Option Type"))-IF('Adjustment Surface'!$C$2='Data Validation'!$A$2,CI19,IF('Adjustment Surface'!$C$2='Data Validation'!$A$3,CJ19,"Unknown Option Type")))*(NORMDIST((IF('Adjustment Surface'!$C$2='Data Validation'!$A$2,CJ19,IF('Adjustment Surface'!$C$2='Data Validation'!$A$3,CI19,"Unknown Option Type"))-IF('Adjustment Surface'!$C$2='Data Validation'!$A$2,CI19,IF('Adjustment Surface'!$C$2='Data Validation'!$A$3,CJ19,"Unknown Option Type")))/((CK19+0.01%)*SQRT(CG19)),0,1,TRUE)))+(((CK19+0.01%)*SQRT(CG19))*(NORMDIST((IF('Adjustment Surface'!$C$2='Data Validation'!$A$2,CJ19,IF('Adjustment Surface'!$C$2='Data Validation'!$A$3,CI19,"Unknown Option Type"))-IF('Adjustment Surface'!$C$2='Data Validation'!$A$2,CI19,IF('Adjustment Surface'!$C$2='Data Validation'!$A$3,CJ19,"Unknown Option Type")))/((CK19+0.01%)*SQRT(CG19)),0,1,FALSE))))*CL19*(CF19/360))-(CN19/CH19))*CH19)*CL19))</f>
        <v>8.0699211442674432</v>
      </c>
      <c r="CR19" s="15">
        <f>IF(CC19="","",SUM(CQ$4:CQ19))</f>
        <v>30.140460155566156</v>
      </c>
    </row>
    <row r="20" spans="7:96" x14ac:dyDescent="0.25">
      <c r="G20" s="28"/>
      <c r="I20" s="3">
        <v>17</v>
      </c>
      <c r="J20" s="4">
        <f>IF(K19='Adjustment Surface'!C$8,"",K19)</f>
        <v>46549</v>
      </c>
      <c r="K20" s="4">
        <f>IF(J20="","",IF(J20&lt;'Adjustment Surface'!C$7,EDATE(J$5,COUNT(J$5:J20)),IF(J20='Adjustment Surface'!C$7,'Adjustment Surface'!C$8,'Adjustment Surface'!C$7)))</f>
        <v>46579</v>
      </c>
      <c r="L20" s="3">
        <f t="shared" si="1"/>
        <v>30</v>
      </c>
      <c r="M20" s="5">
        <f>IF(I20="","",(K20-'Rate &amp; Vol Update'!$C$2)/360)</f>
        <v>1.4305555555555556</v>
      </c>
      <c r="N20" s="15">
        <f>IF(I20="","",IF('Adjustment Surface'!C$3='Data Validation'!$C$2,'Adjustment Surface'!C$4,IF(INDEX(Schedules!$E$3:$E$123,MATCH('Bachelier Model'!J20,Schedules!$B$3:$B$123,0))="",N19,INDEX(Schedules!$E$3:$E$123,MATCH('Bachelier Model'!J20,Schedules!$B$3:$B$123,0)))))</f>
        <v>25000000</v>
      </c>
      <c r="O20" s="16">
        <f>IF(I20="","",IF('Adjustment Surface'!C$9='Data Validation'!$D$2,'Adjustment Surface'!C$10,IF(INDEX(Schedules!$H$3:$H$123,MATCH('Bachelier Model'!J20,Schedules!$B$3:$B$123,0))="",O19,INDEX(Schedules!$H$3:$H$123,MATCH('Bachelier Model'!J20,Schedules!$B$3:$B$123,0)))))</f>
        <v>0.02</v>
      </c>
      <c r="P20" s="16" cm="1">
        <f t="array" ref="P20">IF(I20="","",FORECAST(J20,INDEX('Rate &amp; Vol Update'!$C$6:$C$127,MATCH(INDEX('Rate &amp; Vol Update'!$B$6:$B$127,MATCH(J20,'Rate &amp; Vol Update'!$B$6:$B$127,1)),'Rate &amp; Vol Update'!$B$6:$B$127,0)+IF('Adjustment Surface'!C$11='Data Validation'!$E$3,-1,0)):INDEX('Rate &amp; Vol Update'!$C$6:$C$127,MATCH(INDEX('Rate &amp; Vol Update'!$B$6:$B$127,MATCH(J20,'Rate &amp; Vol Update'!$B$6:$B$127,1)+1),'Rate &amp; Vol Update'!$B$6:$B$127,0)+IF('Adjustment Surface'!C$11='Data Validation'!$E$3,-1,0)),INDEX('Rate &amp; Vol Update'!$B$6:$B$127,MATCH(J20,'Rate &amp; Vol Update'!$B$6:$B$127,1)):INDEX('Rate &amp; Vol Update'!$B$6:$B$127,MATCH(J20,'Rate &amp; Vol Update'!$B$6:$B$127,1)+1))/100)</f>
        <v>3.1658323853122283E-2</v>
      </c>
      <c r="Q20" s="16" cm="1">
        <f t="array" ref="Q20">IF(I20="","",IF(J20&lt;'Rate &amp; Vol Update'!$C$2,0.001%,(1/((INDEX('Rate &amp; Vol Update'!$E$6:$Z$6,1,MATCH(O20,'Rate &amp; Vol Update'!$E$6:$Z$6,1)+1)-INDEX('Rate &amp; Vol Update'!$E$6:$Z$6,1,MATCH(O20,'Rate &amp; Vol Update'!$E$6:$Z$6,1)))*(INDEX('Rate &amp; Vol Update'!$B$8:$B$127,MATCH(J20,'Rate &amp; Vol Update'!$B$8:$B$127,1)+1)-INDEX('Rate &amp; Vol Update'!$B$8:$B$127,MATCH(J20,'Rate &amp; Vol Update'!$B$8:$B$127,1))))*(INDEX('Rate &amp; Vol Update'!$E$8:$Z$127,MATCH(INDEX('Rate &amp; Vol Update'!$B$8:$B$127,MATCH(J20,'Rate &amp; Vol Update'!$B$8:$B$127,1)),'Rate &amp; Vol Update'!$B$8:$B$127,0),MATCH(INDEX('Rate &amp; Vol Update'!$E$6:$Z$6,1,MATCH(O20,'Rate &amp; Vol Update'!$E$6:$Z$6,1)),'Rate &amp; Vol Update'!$E$6:$Z$6,0))*(INDEX('Rate &amp; Vol Update'!$E$6:$Z$6,1,MATCH(O20,'Rate &amp; Vol Update'!$E$6:$Z$6,1)+1)-O20)*(INDEX('Rate &amp; Vol Update'!$B$8:$B$127,MATCH(J20,'Rate &amp; Vol Update'!$B$8:$B$127,1)+1)-J20)+INDEX('Rate &amp; Vol Update'!$E$8:$Z$127,MATCH(INDEX('Rate &amp; Vol Update'!$B$8:$B$127,MATCH(J20,'Rate &amp; Vol Update'!$B$8:$B$127,1)),'Rate &amp; Vol Update'!$B$8:$B$127,0),MATCH(INDEX('Rate &amp; Vol Update'!$E$6:$Z$6,1,MATCH(O20,'Rate &amp; Vol Update'!$E$6:$Z$6,1)+1),'Rate &amp; Vol Update'!$E$6:$Z$6,0))*(O20-INDEX('Rate &amp; Vol Update'!$E$6:$Z$6,1,MATCH(O20,'Rate &amp; Vol Update'!$E$6:$Z$6,1)))*(INDEX('Rate &amp; Vol Update'!$B$8:$B$127,MATCH(J20,'Rate &amp; Vol Update'!$B$8:$B$127,1)+1)-J20)+INDEX('Rate &amp; Vol Update'!$E$8:$Z$127,MATCH(INDEX('Rate &amp; Vol Update'!$B$8:$B$127,MATCH(J20,'Rate &amp; Vol Update'!$B$8:$B$127,1)+1),'Rate &amp; Vol Update'!$B$8:$B$127,0),MATCH(INDEX('Rate &amp; Vol Update'!$E$6:$Z$6,1,MATCH(O20,'Rate &amp; Vol Update'!$E$6:$Z$6,1)),'Rate &amp; Vol Update'!$E$6:$Z$6,0))*(INDEX('Rate &amp; Vol Update'!$E$6:$Z$6,1,MATCH(O20,'Rate &amp; Vol Update'!$E$6:$Z$6,1)+1)-O20)*(J20-INDEX('Rate &amp; Vol Update'!$B$8:$B$127,MATCH(J20,'Rate &amp; Vol Update'!$B$8:$B$127,1)))+INDEX('Rate &amp; Vol Update'!$E$8:$Z$127,MATCH(INDEX('Rate &amp; Vol Update'!$B$8:$B$127,MATCH(J20,'Rate &amp; Vol Update'!$B$8:$B$127,1)+1),'Rate &amp; Vol Update'!$B$8:$B$127,0),MATCH(INDEX('Rate &amp; Vol Update'!$E$6:$Z$6,1,MATCH(O20,'Rate &amp; Vol Update'!$E$6:$Z$6,1)+1),'Rate &amp; Vol Update'!$E$6:$Z$6,0))*(O20-INDEX('Rate &amp; Vol Update'!$E$6:$Z$6,1,MATCH(O20,'Rate &amp; Vol Update'!$E$6:$Z$6,1)))*(J20-INDEX('Rate &amp; Vol Update'!$B$8:$B$127,MATCH(J20,'Rate &amp; Vol Update'!$B$8:$B$127,1)))))*0.01%))</f>
        <v>9.5130909357034332E-3</v>
      </c>
      <c r="R20" s="5">
        <f>IF(I20="","",1/((1+P20)^((K20-'Rate &amp; Vol Update'!$C$2)/360)))</f>
        <v>0.95639250108743801</v>
      </c>
      <c r="T20" s="15">
        <f>IF(I20="","",IF(J20&lt;'Rate &amp; Vol Update'!$C$2,MAX(0,P20-O20)*(L20/360)*N20,(((IF('Adjustment Surface'!C$2='Data Validation'!$A$2,P20,IF('Adjustment Surface'!C$2='Data Validation'!$A$3,O20,"Unknown Option Type"))-IF('Adjustment Surface'!C$2='Data Validation'!$A$2,O20,IF('Adjustment Surface'!C$2='Data Validation'!$A$3,P20,"Unknown Option Type")))*(NORMDIST((IF('Adjustment Surface'!C$2='Data Validation'!$A$2,P20,IF('Adjustment Surface'!C$2='Data Validation'!$A$3,O20,"Unknown Option Type"))-IF('Adjustment Surface'!C$2='Data Validation'!$A$2,O20,IF('Adjustment Surface'!C$2='Data Validation'!$A$3,P20,"Unknown Option Type")))/(Q20*SQRT(M20)),0,1,TRUE)))+((Q20*SQRT(M20))*(NORMDIST((IF('Adjustment Surface'!C$2='Data Validation'!$A$2,P20,IF('Adjustment Surface'!C$2='Data Validation'!$A$3,O20,"Unknown Option Type"))-IF('Adjustment Surface'!C$2='Data Validation'!$A$2,O20,IF('Adjustment Surface'!C$2='Data Validation'!$A$3,P20,"Unknown Option Type")))/(Q20*SQRT(M20)),0,1,FALSE))))*R20*(L20/360)*N20))</f>
        <v>25030.965794434298</v>
      </c>
      <c r="U20" s="15">
        <f>IF(I20="","",SUM(T$4:T20))</f>
        <v>480606.3112108871</v>
      </c>
      <c r="W20" s="15">
        <f>IF(I20="","",IF(J20&lt;'Rate &amp; Vol Update'!$C$2,0,((((((IF('Adjustment Surface'!C$2='Data Validation'!$A$2,P20,IF('Adjustment Surface'!C$2='Data Validation'!$A$3,O20,"Unknown Option Type"))-IF('Adjustment Surface'!C$2='Data Validation'!$A$2,O20,IF('Adjustment Surface'!C$2='Data Validation'!$A$3,P20,"Unknown Option Type")))*(NORMDIST((IF('Adjustment Surface'!C$2='Data Validation'!$A$2,P20,IF('Adjustment Surface'!C$2='Data Validation'!$A$3,O20,"Unknown Option Type"))-IF('Adjustment Surface'!C$2='Data Validation'!$A$2,O20,IF('Adjustment Surface'!C$2='Data Validation'!$A$3,P20,"Unknown Option Type")))/((Q20+0.01%)*SQRT(M20)),0,1,TRUE)))+(((Q20+0.01%)*SQRT(M20))*(NORMDIST((IF('Adjustment Surface'!C$2='Data Validation'!$A$2,P20,IF('Adjustment Surface'!C$2='Data Validation'!$A$3,O20,"Unknown Option Type"))-IF('Adjustment Surface'!C$2='Data Validation'!$A$2,O20,IF('Adjustment Surface'!C$2='Data Validation'!$A$3,P20,"Unknown Option Type")))/((Q20+0.01%)*SQRT(M20)),0,1,FALSE))))*R20*(L20/360))-(T20/N20))*N20)*R20))</f>
        <v>54.087471492147657</v>
      </c>
      <c r="X20" s="15">
        <f>IF(I20="","",SUM(W$4:W20))</f>
        <v>386.43806989752488</v>
      </c>
      <c r="Y20" s="15"/>
      <c r="Z20" s="20"/>
      <c r="AA20" s="3">
        <v>17</v>
      </c>
      <c r="AB20" s="4">
        <f>IF(AC19=MAX('Adjustment Surface'!$C$14:$F$14),"",AC19)</f>
        <v>46549</v>
      </c>
      <c r="AC20" s="4">
        <f>IF(AB20="","",IF(AB20&lt;EDATE('Adjustment Surface'!$C$6,DATEDIF('Adjustment Surface'!$C$6,MAX('Adjustment Surface'!$C$14:$F$14),"M")),EDATE(AB$5,COUNT(AB$5:AB20)),IF(AB20=EDATE('Adjustment Surface'!$C$6,DATEDIF('Adjustment Surface'!$C$6,MAX('Adjustment Surface'!$C$14:$F$14),"M")),MAX('Adjustment Surface'!$C$14:$F$14),EDATE('Adjustment Surface'!$C$6,DATEDIF('Adjustment Surface'!$C$6,MAX('Adjustment Surface'!$C$14:$F$14),"M")))))</f>
        <v>46579</v>
      </c>
      <c r="AD20" s="3">
        <f t="shared" si="2"/>
        <v>30</v>
      </c>
      <c r="AE20" s="5">
        <f>IF(AA20="","",(AC20-'Rate &amp; Vol Update'!$C$2)/360)</f>
        <v>1.4305555555555556</v>
      </c>
      <c r="AF20" s="15">
        <f>IF(AA20="","",IF('Adjustment Surface'!$C$3='Data Validation'!$C$2,'Adjustment Surface'!$C$4,_xlfn.IFNA(IF(INDEX(Schedules!$E$3:$E$123,MATCH('Bachelier Model'!AB20,Schedules!$B$3:$B$123,0))="",AF19,INDEX(Schedules!$E$3:$E$123,MATCH('Bachelier Model'!AB20,Schedules!$B$3:$B$123,0))),AF19)))</f>
        <v>25000000</v>
      </c>
      <c r="AG20" s="16">
        <f>IF(AA20="","",'Adjustment Surface'!B$15)</f>
        <v>0.03</v>
      </c>
      <c r="AH20" s="16" cm="1">
        <f t="array" ref="AH20">IF(AA20="","",FORECAST(AB20,INDEX('Rate &amp; Vol Update'!$C$6:$C$127,MATCH(INDEX('Rate &amp; Vol Update'!$B$6:$B$127,MATCH(AB20,'Rate &amp; Vol Update'!$B$6:$B$127,1)),'Rate &amp; Vol Update'!$B$6:$B$127,0)+IF('Adjustment Surface'!$C$11='Data Validation'!$E$3,-1,0)):INDEX('Rate &amp; Vol Update'!$C$6:$C$127,MATCH(INDEX('Rate &amp; Vol Update'!$B$6:$B$127,MATCH(AB20,'Rate &amp; Vol Update'!$B$6:$B$127,1)+1),'Rate &amp; Vol Update'!$B$6:$B$127,0)+IF('Adjustment Surface'!$C$11='Data Validation'!$E$3,-1,0)),INDEX('Rate &amp; Vol Update'!$B$6:$B$127,MATCH(AB20,'Rate &amp; Vol Update'!$B$6:$B$127,1)):INDEX('Rate &amp; Vol Update'!$B$6:$B$127,MATCH(AB20,'Rate &amp; Vol Update'!$B$6:$B$127,1)+1))/100)</f>
        <v>3.1658323853122283E-2</v>
      </c>
      <c r="AI20" s="16" cm="1">
        <f t="array" ref="AI20">IF(AA20="","",IF(AB20&lt;'Rate &amp; Vol Update'!$C$2,0.001%,(1/((INDEX('Rate &amp; Vol Update'!$E$6:$Z$6,1,MATCH(AG20,'Rate &amp; Vol Update'!$E$6:$Z$6,1)+1)-INDEX('Rate &amp; Vol Update'!$E$6:$Z$6,1,MATCH(AG20,'Rate &amp; Vol Update'!$E$6:$Z$6,1)))*(INDEX('Rate &amp; Vol Update'!$B$8:$B$127,MATCH(AB20,'Rate &amp; Vol Update'!$B$8:$B$127,1)+1)-INDEX('Rate &amp; Vol Update'!$B$8:$B$127,MATCH(AB20,'Rate &amp; Vol Update'!$B$8:$B$127,1))))*(INDEX('Rate &amp; Vol Update'!$E$8:$Z$127,MATCH(INDEX('Rate &amp; Vol Update'!$B$8:$B$127,MATCH(AB20,'Rate &amp; Vol Update'!$B$8:$B$127,1)),'Rate &amp; Vol Update'!$B$8:$B$127,0),MATCH(INDEX('Rate &amp; Vol Update'!$E$6:$Z$6,1,MATCH(AG20,'Rate &amp; Vol Update'!$E$6:$Z$6,1)),'Rate &amp; Vol Update'!$E$6:$Z$6,0))*(INDEX('Rate &amp; Vol Update'!$E$6:$Z$6,1,MATCH(AG20,'Rate &amp; Vol Update'!$E$6:$Z$6,1)+1)-AG20)*(INDEX('Rate &amp; Vol Update'!$B$8:$B$127,MATCH(AB20,'Rate &amp; Vol Update'!$B$8:$B$127,1)+1)-AB20)+INDEX('Rate &amp; Vol Update'!$E$8:$Z$127,MATCH(INDEX('Rate &amp; Vol Update'!$B$8:$B$127,MATCH(AB20,'Rate &amp; Vol Update'!$B$8:$B$127,1)),'Rate &amp; Vol Update'!$B$8:$B$127,0),MATCH(INDEX('Rate &amp; Vol Update'!$E$6:$Z$6,1,MATCH(AG20,'Rate &amp; Vol Update'!$E$6:$Z$6,1)+1),'Rate &amp; Vol Update'!$E$6:$Z$6,0))*(AG20-INDEX('Rate &amp; Vol Update'!$E$6:$Z$6,1,MATCH(AG20,'Rate &amp; Vol Update'!$E$6:$Z$6,1)))*(INDEX('Rate &amp; Vol Update'!$B$8:$B$127,MATCH(AB20,'Rate &amp; Vol Update'!$B$8:$B$127,1)+1)-AB20)+INDEX('Rate &amp; Vol Update'!$E$8:$Z$127,MATCH(INDEX('Rate &amp; Vol Update'!$B$8:$B$127,MATCH(AB20,'Rate &amp; Vol Update'!$B$8:$B$127,1)+1),'Rate &amp; Vol Update'!$B$8:$B$127,0),MATCH(INDEX('Rate &amp; Vol Update'!$E$6:$Z$6,1,MATCH(AG20,'Rate &amp; Vol Update'!$E$6:$Z$6,1)),'Rate &amp; Vol Update'!$E$6:$Z$6,0))*(INDEX('Rate &amp; Vol Update'!$E$6:$Z$6,1,MATCH(AG20,'Rate &amp; Vol Update'!$E$6:$Z$6,1)+1)-AG20)*(AB20-INDEX('Rate &amp; Vol Update'!$B$8:$B$127,MATCH(AB20,'Rate &amp; Vol Update'!$B$8:$B$127,1)))+INDEX('Rate &amp; Vol Update'!$E$8:$Z$127,MATCH(INDEX('Rate &amp; Vol Update'!$B$8:$B$127,MATCH(AB20,'Rate &amp; Vol Update'!$B$8:$B$127,1)+1),'Rate &amp; Vol Update'!$B$8:$B$127,0),MATCH(INDEX('Rate &amp; Vol Update'!$E$6:$Z$6,1,MATCH(AG20,'Rate &amp; Vol Update'!$E$6:$Z$6,1)+1),'Rate &amp; Vol Update'!$E$6:$Z$6,0))*(AG20-INDEX('Rate &amp; Vol Update'!$E$6:$Z$6,1,MATCH(AG20,'Rate &amp; Vol Update'!$E$6:$Z$6,1)))*(AB20-INDEX('Rate &amp; Vol Update'!$B$8:$B$127,MATCH(AB20,'Rate &amp; Vol Update'!$B$8:$B$127,1)))))*0.01%))</f>
        <v>7.742561320219628E-3</v>
      </c>
      <c r="AJ20" s="5">
        <f>IF(AA20="","",1/((1+AH20)^((AC20-'Rate &amp; Vol Update'!$C$2)/360)))</f>
        <v>0.95639250108743801</v>
      </c>
      <c r="AL20" s="15">
        <f>IF(AA20="","",IF(AB20&lt;'Rate &amp; Vol Update'!$C$2,MAX(0,AH20-AG20)*(AD20/360)*AF20,(((IF('Adjustment Surface'!$C$2='Data Validation'!$A$2,AH20,IF('Adjustment Surface'!$C$2='Data Validation'!$A$3,AG20,"Unknown Option Type"))-IF('Adjustment Surface'!$C$2='Data Validation'!$A$2,AG20,IF('Adjustment Surface'!$C$2='Data Validation'!$A$3,AH20,"Unknown Option Type")))*(NORMDIST((IF('Adjustment Surface'!$C$2='Data Validation'!$A$2,AH20,IF('Adjustment Surface'!$C$2='Data Validation'!$A$3,AG20,"Unknown Option Type"))-IF('Adjustment Surface'!$C$2='Data Validation'!$A$2,AG20,IF('Adjustment Surface'!$C$2='Data Validation'!$A$3,AH20,"Unknown Option Type")))/(AI20*SQRT(AE20)),0,1,TRUE)))+((AI20*SQRT(AE20))*(NORMDIST((IF('Adjustment Surface'!$C$2='Data Validation'!$A$2,AH20,IF('Adjustment Surface'!$C$2='Data Validation'!$A$3,AG20,"Unknown Option Type"))-IF('Adjustment Surface'!$C$2='Data Validation'!$A$2,AG20,IF('Adjustment Surface'!$C$2='Data Validation'!$A$3,AH20,"Unknown Option Type")))/(AI20*SQRT(AE20)),0,1,FALSE))))*AJ20*(AD20/360)*AF20))</f>
        <v>9130.89149752712</v>
      </c>
      <c r="AM20" s="15">
        <f>IF(AA20="","",SUM(AL$4:AL20))</f>
        <v>168245.67728353696</v>
      </c>
      <c r="AO20" s="15">
        <f>IF(AA20="","",IF(AB20&lt;'Rate &amp; Vol Update'!$C$2,0,((((((IF('Adjustment Surface'!$C$2='Data Validation'!$A$2,AH20,IF('Adjustment Surface'!$C$2='Data Validation'!$A$3,AG20,"Unknown Option Type"))-IF('Adjustment Surface'!$C$2='Data Validation'!$A$2,AG20,IF('Adjustment Surface'!$C$2='Data Validation'!$A$3,AH20,"Unknown Option Type")))*(NORMDIST((IF('Adjustment Surface'!$C$2='Data Validation'!$A$2,AH20,IF('Adjustment Surface'!$C$2='Data Validation'!$A$3,AG20,"Unknown Option Type"))-IF('Adjustment Surface'!$C$2='Data Validation'!$A$2,AG20,IF('Adjustment Surface'!$C$2='Data Validation'!$A$3,AH20,"Unknown Option Type")))/((AI20+0.01%)*SQRT(AE20)),0,1,TRUE)))+(((AI20+0.01%)*SQRT(AE20))*(NORMDIST((IF('Adjustment Surface'!$C$2='Data Validation'!$A$2,AH20,IF('Adjustment Surface'!$C$2='Data Validation'!$A$3,AG20,"Unknown Option Type"))-IF('Adjustment Surface'!$C$2='Data Validation'!$A$2,AG20,IF('Adjustment Surface'!$C$2='Data Validation'!$A$3,AH20,"Unknown Option Type")))/((AI20+0.01%)*SQRT(AE20)),0,1,FALSE))))*AJ20*(AD20/360))-(AL20/AF20))*AF20)*AJ20))</f>
        <v>89.499157555254143</v>
      </c>
      <c r="AP20" s="15">
        <f>IF(AA20="","",SUM(AO$4:AO20))</f>
        <v>914.03329408201682</v>
      </c>
      <c r="AQ20" s="15"/>
      <c r="AR20" s="20"/>
      <c r="AS20" s="3">
        <v>17</v>
      </c>
      <c r="AT20" s="4">
        <f>IF(AU19=MAX('Adjustment Surface'!$C$14:$F$14),"",AU19)</f>
        <v>46549</v>
      </c>
      <c r="AU20" s="4">
        <f>IF(AT20="","",IF(AT20&lt;EDATE('Adjustment Surface'!$C$6,DATEDIF('Adjustment Surface'!$C$6,MAX('Adjustment Surface'!$C$14:$F$14),"M")),EDATE(AT$5,COUNT(AT$5:AT20)),IF(AT20=EDATE('Adjustment Surface'!$C$6,DATEDIF('Adjustment Surface'!$C$6,MAX('Adjustment Surface'!$C$14:$F$14),"M")),MAX('Adjustment Surface'!$C$14:$F$14),EDATE('Adjustment Surface'!$C$6,DATEDIF('Adjustment Surface'!$C$6,MAX('Adjustment Surface'!$C$14:$F$14),"M")))))</f>
        <v>46579</v>
      </c>
      <c r="AV20" s="3">
        <f t="shared" si="3"/>
        <v>30</v>
      </c>
      <c r="AW20" s="5">
        <f>IF(AS20="","",(AU20-'Rate &amp; Vol Update'!$C$2)/360)</f>
        <v>1.4305555555555556</v>
      </c>
      <c r="AX20" s="15">
        <f>IF(AS20="","",IF('Adjustment Surface'!$C$3='Data Validation'!$C$2,'Adjustment Surface'!$C$4,_xlfn.IFNA(IF(INDEX(Schedules!$E$3:$E$123,MATCH('Bachelier Model'!AT20,Schedules!$B$3:$B$123,0))="",AX19,INDEX(Schedules!$E$3:$E$123,MATCH('Bachelier Model'!AT20,Schedules!$B$3:$B$123,0))),AX19)))</f>
        <v>25000000</v>
      </c>
      <c r="AY20" s="16">
        <f>IF(AS20="","",'Adjustment Surface'!B$16)</f>
        <v>0.04</v>
      </c>
      <c r="AZ20" s="16" cm="1">
        <f t="array" ref="AZ20">IF(AS20="","",FORECAST(AT20,INDEX('Rate &amp; Vol Update'!$C$6:$C$127,MATCH(INDEX('Rate &amp; Vol Update'!$B$6:$B$127,MATCH(AT20,'Rate &amp; Vol Update'!$B$6:$B$127,1)),'Rate &amp; Vol Update'!$B$6:$B$127,0)+IF('Adjustment Surface'!$C$11='Data Validation'!$E$3,-1,0)):INDEX('Rate &amp; Vol Update'!$C$6:$C$127,MATCH(INDEX('Rate &amp; Vol Update'!$B$6:$B$127,MATCH(AT20,'Rate &amp; Vol Update'!$B$6:$B$127,1)+1),'Rate &amp; Vol Update'!$B$6:$B$127,0)+IF('Adjustment Surface'!$C$11='Data Validation'!$E$3,-1,0)),INDEX('Rate &amp; Vol Update'!$B$6:$B$127,MATCH(AT20,'Rate &amp; Vol Update'!$B$6:$B$127,1)):INDEX('Rate &amp; Vol Update'!$B$6:$B$127,MATCH(AT20,'Rate &amp; Vol Update'!$B$6:$B$127,1)+1))/100)</f>
        <v>3.1658323853122283E-2</v>
      </c>
      <c r="BA20" s="16" cm="1">
        <f t="array" ref="BA20">IF(AS20="","",IF(AT20&lt;'Rate &amp; Vol Update'!$C$2,0.001%,(1/((INDEX('Rate &amp; Vol Update'!$E$6:$Z$6,1,MATCH(AY20,'Rate &amp; Vol Update'!$E$6:$Z$6,1)+1)-INDEX('Rate &amp; Vol Update'!$E$6:$Z$6,1,MATCH(AY20,'Rate &amp; Vol Update'!$E$6:$Z$6,1)))*(INDEX('Rate &amp; Vol Update'!$B$8:$B$127,MATCH(AT20,'Rate &amp; Vol Update'!$B$8:$B$127,1)+1)-INDEX('Rate &amp; Vol Update'!$B$8:$B$127,MATCH(AT20,'Rate &amp; Vol Update'!$B$8:$B$127,1))))*(INDEX('Rate &amp; Vol Update'!$E$8:$Z$127,MATCH(INDEX('Rate &amp; Vol Update'!$B$8:$B$127,MATCH(AT20,'Rate &amp; Vol Update'!$B$8:$B$127,1)),'Rate &amp; Vol Update'!$B$8:$B$127,0),MATCH(INDEX('Rate &amp; Vol Update'!$E$6:$Z$6,1,MATCH(AY20,'Rate &amp; Vol Update'!$E$6:$Z$6,1)),'Rate &amp; Vol Update'!$E$6:$Z$6,0))*(INDEX('Rate &amp; Vol Update'!$E$6:$Z$6,1,MATCH(AY20,'Rate &amp; Vol Update'!$E$6:$Z$6,1)+1)-AY20)*(INDEX('Rate &amp; Vol Update'!$B$8:$B$127,MATCH(AT20,'Rate &amp; Vol Update'!$B$8:$B$127,1)+1)-AT20)+INDEX('Rate &amp; Vol Update'!$E$8:$Z$127,MATCH(INDEX('Rate &amp; Vol Update'!$B$8:$B$127,MATCH(AT20,'Rate &amp; Vol Update'!$B$8:$B$127,1)),'Rate &amp; Vol Update'!$B$8:$B$127,0),MATCH(INDEX('Rate &amp; Vol Update'!$E$6:$Z$6,1,MATCH(AY20,'Rate &amp; Vol Update'!$E$6:$Z$6,1)+1),'Rate &amp; Vol Update'!$E$6:$Z$6,0))*(AY20-INDEX('Rate &amp; Vol Update'!$E$6:$Z$6,1,MATCH(AY20,'Rate &amp; Vol Update'!$E$6:$Z$6,1)))*(INDEX('Rate &amp; Vol Update'!$B$8:$B$127,MATCH(AT20,'Rate &amp; Vol Update'!$B$8:$B$127,1)+1)-AT20)+INDEX('Rate &amp; Vol Update'!$E$8:$Z$127,MATCH(INDEX('Rate &amp; Vol Update'!$B$8:$B$127,MATCH(AT20,'Rate &amp; Vol Update'!$B$8:$B$127,1)+1),'Rate &amp; Vol Update'!$B$8:$B$127,0),MATCH(INDEX('Rate &amp; Vol Update'!$E$6:$Z$6,1,MATCH(AY20,'Rate &amp; Vol Update'!$E$6:$Z$6,1)),'Rate &amp; Vol Update'!$E$6:$Z$6,0))*(INDEX('Rate &amp; Vol Update'!$E$6:$Z$6,1,MATCH(AY20,'Rate &amp; Vol Update'!$E$6:$Z$6,1)+1)-AY20)*(AT20-INDEX('Rate &amp; Vol Update'!$B$8:$B$127,MATCH(AT20,'Rate &amp; Vol Update'!$B$8:$B$127,1)))+INDEX('Rate &amp; Vol Update'!$E$8:$Z$127,MATCH(INDEX('Rate &amp; Vol Update'!$B$8:$B$127,MATCH(AT20,'Rate &amp; Vol Update'!$B$8:$B$127,1)+1),'Rate &amp; Vol Update'!$B$8:$B$127,0),MATCH(INDEX('Rate &amp; Vol Update'!$E$6:$Z$6,1,MATCH(AY20,'Rate &amp; Vol Update'!$E$6:$Z$6,1)+1),'Rate &amp; Vol Update'!$E$6:$Z$6,0))*(AY20-INDEX('Rate &amp; Vol Update'!$E$6:$Z$6,1,MATCH(AY20,'Rate &amp; Vol Update'!$E$6:$Z$6,1)))*(AT20-INDEX('Rate &amp; Vol Update'!$B$8:$B$127,MATCH(AT20,'Rate &amp; Vol Update'!$B$8:$B$127,1)))))*0.01%))</f>
        <v>7.513435686776683E-3</v>
      </c>
      <c r="BB20" s="5">
        <f>IF(AS20="","",1/((1+AZ20)^((AU20-'Rate &amp; Vol Update'!$C$2)/360)))</f>
        <v>0.95639250108743801</v>
      </c>
      <c r="BD20" s="15">
        <f>IF(AS20="","",IF(AT20&lt;'Rate &amp; Vol Update'!$C$2,MAX(0,AZ20-AY20)*(AV20/360)*AX20,(((IF('Adjustment Surface'!$C$2='Data Validation'!$A$2,AZ20,IF('Adjustment Surface'!$C$2='Data Validation'!$A$3,AY20,"Unknown Option Type"))-IF('Adjustment Surface'!$C$2='Data Validation'!$A$2,AY20,IF('Adjustment Surface'!$C$2='Data Validation'!$A$3,AZ20,"Unknown Option Type")))*(NORMDIST((IF('Adjustment Surface'!$C$2='Data Validation'!$A$2,AZ20,IF('Adjustment Surface'!$C$2='Data Validation'!$A$3,AY20,"Unknown Option Type"))-IF('Adjustment Surface'!$C$2='Data Validation'!$A$2,AY20,IF('Adjustment Surface'!$C$2='Data Validation'!$A$3,AZ20,"Unknown Option Type")))/(BA20*SQRT(AW20)),0,1,TRUE)))+((BA20*SQRT(AW20))*(NORMDIST((IF('Adjustment Surface'!$C$2='Data Validation'!$A$2,AZ20,IF('Adjustment Surface'!$C$2='Data Validation'!$A$3,AY20,"Unknown Option Type"))-IF('Adjustment Surface'!$C$2='Data Validation'!$A$2,AY20,IF('Adjustment Surface'!$C$2='Data Validation'!$A$3,AZ20,"Unknown Option Type")))/(BA20*SQRT(AW20)),0,1,FALSE))))*BB20*(AV20/360)*AX20))</f>
        <v>1707.0665825698684</v>
      </c>
      <c r="BE20" s="15">
        <f>IF(AS20="","",SUM(BD$4:BD20))</f>
        <v>12505.307906273925</v>
      </c>
      <c r="BG20" s="15">
        <f>IF(AS20="","",IF(AT20&lt;'Rate &amp; Vol Update'!$C$2,0,((((((IF('Adjustment Surface'!$C$2='Data Validation'!$A$2,AZ20,IF('Adjustment Surface'!$C$2='Data Validation'!$A$3,AY20,"Unknown Option Type"))-IF('Adjustment Surface'!$C$2='Data Validation'!$A$2,AY20,IF('Adjustment Surface'!$C$2='Data Validation'!$A$3,AZ20,"Unknown Option Type")))*(NORMDIST((IF('Adjustment Surface'!$C$2='Data Validation'!$A$2,AZ20,IF('Adjustment Surface'!$C$2='Data Validation'!$A$3,AY20,"Unknown Option Type"))-IF('Adjustment Surface'!$C$2='Data Validation'!$A$2,AY20,IF('Adjustment Surface'!$C$2='Data Validation'!$A$3,AZ20,"Unknown Option Type")))/((BA20+0.01%)*SQRT(AW20)),0,1,TRUE)))+(((BA20+0.01%)*SQRT(AW20))*(NORMDIST((IF('Adjustment Surface'!$C$2='Data Validation'!$A$2,AZ20,IF('Adjustment Surface'!$C$2='Data Validation'!$A$3,AY20,"Unknown Option Type"))-IF('Adjustment Surface'!$C$2='Data Validation'!$A$2,AY20,IF('Adjustment Surface'!$C$2='Data Validation'!$A$3,AZ20,"Unknown Option Type")))/((BA20+0.01%)*SQRT(AW20)),0,1,FALSE))))*BB20*(AV20/360))-(BD20/AX20))*AX20)*BB20))</f>
        <v>59.436201608637766</v>
      </c>
      <c r="BH20" s="15">
        <f>IF(AS20="","",SUM(BG$4:BG20))</f>
        <v>568.11984697263983</v>
      </c>
      <c r="BI20" s="15"/>
      <c r="BJ20" s="20"/>
      <c r="BK20" s="3">
        <v>17</v>
      </c>
      <c r="BL20" s="4">
        <f>IF(BM19=MAX('Adjustment Surface'!$C$14:$F$14),"",BM19)</f>
        <v>46549</v>
      </c>
      <c r="BM20" s="4">
        <f>IF(BL20="","",IF(BL20&lt;EDATE('Adjustment Surface'!$C$6,DATEDIF('Adjustment Surface'!$C$6,MAX('Adjustment Surface'!$C$14:$F$14),"M")),EDATE(BL$5,COUNT(BL$5:BL20)),IF(BL20=EDATE('Adjustment Surface'!$C$6,DATEDIF('Adjustment Surface'!$C$6,MAX('Adjustment Surface'!$C$14:$F$14),"M")),MAX('Adjustment Surface'!$C$14:$F$14),EDATE('Adjustment Surface'!$C$6,DATEDIF('Adjustment Surface'!$C$6,MAX('Adjustment Surface'!$C$14:$F$14),"M")))))</f>
        <v>46579</v>
      </c>
      <c r="BN20" s="3">
        <f t="shared" si="4"/>
        <v>30</v>
      </c>
      <c r="BO20" s="5">
        <f>IF(BK20="","",(BM20-'Rate &amp; Vol Update'!$C$2)/360)</f>
        <v>1.4305555555555556</v>
      </c>
      <c r="BP20" s="15">
        <f>IF(BK20="","",IF('Adjustment Surface'!$C$3='Data Validation'!$C$2,'Adjustment Surface'!$C$4,_xlfn.IFNA(IF(INDEX(Schedules!$E$3:$E$123,MATCH('Bachelier Model'!BL20,Schedules!$B$3:$B$123,0))="",BP19,INDEX(Schedules!$E$3:$E$123,MATCH('Bachelier Model'!BL20,Schedules!$B$3:$B$123,0))),BP19)))</f>
        <v>25000000</v>
      </c>
      <c r="BQ20" s="16">
        <f>IF(BK20="","",'Adjustment Surface'!B$17)</f>
        <v>0.05</v>
      </c>
      <c r="BR20" s="16" cm="1">
        <f t="array" ref="BR20">IF(BK20="","",FORECAST(BL20,INDEX('Rate &amp; Vol Update'!$C$6:$C$127,MATCH(INDEX('Rate &amp; Vol Update'!$B$6:$B$127,MATCH(BL20,'Rate &amp; Vol Update'!$B$6:$B$127,1)),'Rate &amp; Vol Update'!$B$6:$B$127,0)+IF('Adjustment Surface'!$C$11='Data Validation'!$E$3,-1,0)):INDEX('Rate &amp; Vol Update'!$C$6:$C$127,MATCH(INDEX('Rate &amp; Vol Update'!$B$6:$B$127,MATCH(BL20,'Rate &amp; Vol Update'!$B$6:$B$127,1)+1),'Rate &amp; Vol Update'!$B$6:$B$127,0)+IF('Adjustment Surface'!$C$11='Data Validation'!$E$3,-1,0)),INDEX('Rate &amp; Vol Update'!$B$6:$B$127,MATCH(BL20,'Rate &amp; Vol Update'!$B$6:$B$127,1)):INDEX('Rate &amp; Vol Update'!$B$6:$B$127,MATCH(BL20,'Rate &amp; Vol Update'!$B$6:$B$127,1)+1))/100)</f>
        <v>3.1658323853122283E-2</v>
      </c>
      <c r="BS20" s="16" cm="1">
        <f t="array" ref="BS20">IF(BK20="","",IF(BL20&lt;'Rate &amp; Vol Update'!$C$2,0.001%,(1/((INDEX('Rate &amp; Vol Update'!$E$6:$Z$6,1,MATCH(BQ20,'Rate &amp; Vol Update'!$E$6:$Z$6,1)+1)-INDEX('Rate &amp; Vol Update'!$E$6:$Z$6,1,MATCH(BQ20,'Rate &amp; Vol Update'!$E$6:$Z$6,1)))*(INDEX('Rate &amp; Vol Update'!$B$8:$B$127,MATCH(BL20,'Rate &amp; Vol Update'!$B$8:$B$127,1)+1)-INDEX('Rate &amp; Vol Update'!$B$8:$B$127,MATCH(BL20,'Rate &amp; Vol Update'!$B$8:$B$127,1))))*(INDEX('Rate &amp; Vol Update'!$E$8:$Z$127,MATCH(INDEX('Rate &amp; Vol Update'!$B$8:$B$127,MATCH(BL20,'Rate &amp; Vol Update'!$B$8:$B$127,1)),'Rate &amp; Vol Update'!$B$8:$B$127,0),MATCH(INDEX('Rate &amp; Vol Update'!$E$6:$Z$6,1,MATCH(BQ20,'Rate &amp; Vol Update'!$E$6:$Z$6,1)),'Rate &amp; Vol Update'!$E$6:$Z$6,0))*(INDEX('Rate &amp; Vol Update'!$E$6:$Z$6,1,MATCH(BQ20,'Rate &amp; Vol Update'!$E$6:$Z$6,1)+1)-BQ20)*(INDEX('Rate &amp; Vol Update'!$B$8:$B$127,MATCH(BL20,'Rate &amp; Vol Update'!$B$8:$B$127,1)+1)-BL20)+INDEX('Rate &amp; Vol Update'!$E$8:$Z$127,MATCH(INDEX('Rate &amp; Vol Update'!$B$8:$B$127,MATCH(BL20,'Rate &amp; Vol Update'!$B$8:$B$127,1)),'Rate &amp; Vol Update'!$B$8:$B$127,0),MATCH(INDEX('Rate &amp; Vol Update'!$E$6:$Z$6,1,MATCH(BQ20,'Rate &amp; Vol Update'!$E$6:$Z$6,1)+1),'Rate &amp; Vol Update'!$E$6:$Z$6,0))*(BQ20-INDEX('Rate &amp; Vol Update'!$E$6:$Z$6,1,MATCH(BQ20,'Rate &amp; Vol Update'!$E$6:$Z$6,1)))*(INDEX('Rate &amp; Vol Update'!$B$8:$B$127,MATCH(BL20,'Rate &amp; Vol Update'!$B$8:$B$127,1)+1)-BL20)+INDEX('Rate &amp; Vol Update'!$E$8:$Z$127,MATCH(INDEX('Rate &amp; Vol Update'!$B$8:$B$127,MATCH(BL20,'Rate &amp; Vol Update'!$B$8:$B$127,1)+1),'Rate &amp; Vol Update'!$B$8:$B$127,0),MATCH(INDEX('Rate &amp; Vol Update'!$E$6:$Z$6,1,MATCH(BQ20,'Rate &amp; Vol Update'!$E$6:$Z$6,1)),'Rate &amp; Vol Update'!$E$6:$Z$6,0))*(INDEX('Rate &amp; Vol Update'!$E$6:$Z$6,1,MATCH(BQ20,'Rate &amp; Vol Update'!$E$6:$Z$6,1)+1)-BQ20)*(BL20-INDEX('Rate &amp; Vol Update'!$B$8:$B$127,MATCH(BL20,'Rate &amp; Vol Update'!$B$8:$B$127,1)))+INDEX('Rate &amp; Vol Update'!$E$8:$Z$127,MATCH(INDEX('Rate &amp; Vol Update'!$B$8:$B$127,MATCH(BL20,'Rate &amp; Vol Update'!$B$8:$B$127,1)+1),'Rate &amp; Vol Update'!$B$8:$B$127,0),MATCH(INDEX('Rate &amp; Vol Update'!$E$6:$Z$6,1,MATCH(BQ20,'Rate &amp; Vol Update'!$E$6:$Z$6,1)+1),'Rate &amp; Vol Update'!$E$6:$Z$6,0))*(BQ20-INDEX('Rate &amp; Vol Update'!$E$6:$Z$6,1,MATCH(BQ20,'Rate &amp; Vol Update'!$E$6:$Z$6,1)))*(BL20-INDEX('Rate &amp; Vol Update'!$B$8:$B$127,MATCH(BL20,'Rate &amp; Vol Update'!$B$8:$B$127,1)))))*0.01%))</f>
        <v>9.0767517345262151E-3</v>
      </c>
      <c r="BT20" s="5">
        <f>IF(BK20="","",1/((1+BR20)^((BM20-'Rate &amp; Vol Update'!$C$2)/360)))</f>
        <v>0.95639250108743801</v>
      </c>
      <c r="BV20" s="15">
        <f>IF(BK20="","",IF(BL20&lt;'Rate &amp; Vol Update'!$C$2,MAX(0,BR20-BQ20)*(BN20/360)*BP20,(((IF('Adjustment Surface'!$C$2='Data Validation'!$A$2,BR20,IF('Adjustment Surface'!$C$2='Data Validation'!$A$3,BQ20,"Unknown Option Type"))-IF('Adjustment Surface'!$C$2='Data Validation'!$A$2,BQ20,IF('Adjustment Surface'!$C$2='Data Validation'!$A$3,BR20,"Unknown Option Type")))*(NORMDIST((IF('Adjustment Surface'!$C$2='Data Validation'!$A$2,BR20,IF('Adjustment Surface'!$C$2='Data Validation'!$A$3,BQ20,"Unknown Option Type"))-IF('Adjustment Surface'!$C$2='Data Validation'!$A$2,BQ20,IF('Adjustment Surface'!$C$2='Data Validation'!$A$3,BR20,"Unknown Option Type")))/(BS20*SQRT(BO20)),0,1,TRUE)))+((BS20*SQRT(BO20))*(NORMDIST((IF('Adjustment Surface'!$C$2='Data Validation'!$A$2,BR20,IF('Adjustment Surface'!$C$2='Data Validation'!$A$3,BQ20,"Unknown Option Type"))-IF('Adjustment Surface'!$C$2='Data Validation'!$A$2,BQ20,IF('Adjustment Surface'!$C$2='Data Validation'!$A$3,BR20,"Unknown Option Type")))/(BS20*SQRT(BO20)),0,1,FALSE))))*BT20*(BN20/360)*BP20))</f>
        <v>405.82669404038029</v>
      </c>
      <c r="BW20" s="15">
        <f>IF(BK20="","",SUM(BV$4:BV20))</f>
        <v>1782.8540951047078</v>
      </c>
      <c r="BY20" s="15">
        <f>IF(BK20="","",IF(BL20&lt;'Rate &amp; Vol Update'!$C$2,0,((((((IF('Adjustment Surface'!$C$2='Data Validation'!$A$2,BR20,IF('Adjustment Surface'!$C$2='Data Validation'!$A$3,BQ20,"Unknown Option Type"))-IF('Adjustment Surface'!$C$2='Data Validation'!$A$2,BQ20,IF('Adjustment Surface'!$C$2='Data Validation'!$A$3,BR20,"Unknown Option Type")))*(NORMDIST((IF('Adjustment Surface'!$C$2='Data Validation'!$A$2,BR20,IF('Adjustment Surface'!$C$2='Data Validation'!$A$3,BQ20,"Unknown Option Type"))-IF('Adjustment Surface'!$C$2='Data Validation'!$A$2,BQ20,IF('Adjustment Surface'!$C$2='Data Validation'!$A$3,BR20,"Unknown Option Type")))/((BS20+0.01%)*SQRT(BO20)),0,1,TRUE)))+(((BS20+0.01%)*SQRT(BO20))*(NORMDIST((IF('Adjustment Surface'!$C$2='Data Validation'!$A$2,BR20,IF('Adjustment Surface'!$C$2='Data Validation'!$A$3,BQ20,"Unknown Option Type"))-IF('Adjustment Surface'!$C$2='Data Validation'!$A$2,BQ20,IF('Adjustment Surface'!$C$2='Data Validation'!$A$3,BR20,"Unknown Option Type")))/((BS20+0.01%)*SQRT(BO20)),0,1,FALSE))))*BT20*(BN20/360))-(BV20/BP20))*BP20)*BT20))</f>
        <v>22.163762087741723</v>
      </c>
      <c r="BZ20" s="15">
        <f>IF(BK20="","",SUM(BY$4:BY20))</f>
        <v>116.5528214933459</v>
      </c>
      <c r="CA20" s="15"/>
      <c r="CB20" s="20"/>
      <c r="CC20" s="3">
        <v>17</v>
      </c>
      <c r="CD20" s="4">
        <f>IF(CE19=MAX('Adjustment Surface'!$C$14:$F$14),"",CE19)</f>
        <v>46549</v>
      </c>
      <c r="CE20" s="4">
        <f>IF(CD20="","",IF(CD20&lt;EDATE('Adjustment Surface'!$C$6,DATEDIF('Adjustment Surface'!$C$6,MAX('Adjustment Surface'!$C$14:$F$14),"M")),EDATE(CD$5,COUNT(CD$5:CD20)),IF(CD20=EDATE('Adjustment Surface'!$C$6,DATEDIF('Adjustment Surface'!$C$6,MAX('Adjustment Surface'!$C$14:$F$14),"M")),MAX('Adjustment Surface'!$C$14:$F$14),EDATE('Adjustment Surface'!$C$6,DATEDIF('Adjustment Surface'!$C$6,MAX('Adjustment Surface'!$C$14:$F$14),"M")))))</f>
        <v>46579</v>
      </c>
      <c r="CF20" s="3">
        <f t="shared" si="5"/>
        <v>30</v>
      </c>
      <c r="CG20" s="5">
        <f>IF(CC20="","",(CE20-'Rate &amp; Vol Update'!$C$2)/360)</f>
        <v>1.4305555555555556</v>
      </c>
      <c r="CH20" s="15">
        <f>IF(CC20="","",IF('Adjustment Surface'!$C$3='Data Validation'!$C$2,'Adjustment Surface'!$C$4,_xlfn.IFNA(IF(INDEX(Schedules!$E$3:$E$123,MATCH('Bachelier Model'!CD20,Schedules!$B$3:$B$123,0))="",CH19,INDEX(Schedules!$E$3:$E$123,MATCH('Bachelier Model'!CD20,Schedules!$B$3:$B$123,0))),CH19)))</f>
        <v>25000000</v>
      </c>
      <c r="CI20" s="16">
        <f>IF(CC20="","",'Adjustment Surface'!B$18)</f>
        <v>0.06</v>
      </c>
      <c r="CJ20" s="16" cm="1">
        <f t="array" ref="CJ20">IF(CC20="","",FORECAST(CD20,INDEX('Rate &amp; Vol Update'!$C$6:$C$127,MATCH(INDEX('Rate &amp; Vol Update'!$B$6:$B$127,MATCH(CD20,'Rate &amp; Vol Update'!$B$6:$B$127,1)),'Rate &amp; Vol Update'!$B$6:$B$127,0)+IF('Adjustment Surface'!$C$11='Data Validation'!$E$3,-1,0)):INDEX('Rate &amp; Vol Update'!$C$6:$C$127,MATCH(INDEX('Rate &amp; Vol Update'!$B$6:$B$127,MATCH(CD20,'Rate &amp; Vol Update'!$B$6:$B$127,1)+1),'Rate &amp; Vol Update'!$B$6:$B$127,0)+IF('Adjustment Surface'!$C$11='Data Validation'!$E$3,-1,0)),INDEX('Rate &amp; Vol Update'!$B$6:$B$127,MATCH(CD20,'Rate &amp; Vol Update'!$B$6:$B$127,1)):INDEX('Rate &amp; Vol Update'!$B$6:$B$127,MATCH(CD20,'Rate &amp; Vol Update'!$B$6:$B$127,1)+1))/100)</f>
        <v>3.1658323853122283E-2</v>
      </c>
      <c r="CK20" s="16" cm="1">
        <f t="array" ref="CK20">IF(CC20="","",IF(CD20&lt;'Rate &amp; Vol Update'!$C$2,0.001%,(1/((INDEX('Rate &amp; Vol Update'!$E$6:$Z$6,1,MATCH(CI20,'Rate &amp; Vol Update'!$E$6:$Z$6,1)+1)-INDEX('Rate &amp; Vol Update'!$E$6:$Z$6,1,MATCH(CI20,'Rate &amp; Vol Update'!$E$6:$Z$6,1)))*(INDEX('Rate &amp; Vol Update'!$B$8:$B$127,MATCH(CD20,'Rate &amp; Vol Update'!$B$8:$B$127,1)+1)-INDEX('Rate &amp; Vol Update'!$B$8:$B$127,MATCH(CD20,'Rate &amp; Vol Update'!$B$8:$B$127,1))))*(INDEX('Rate &amp; Vol Update'!$E$8:$Z$127,MATCH(INDEX('Rate &amp; Vol Update'!$B$8:$B$127,MATCH(CD20,'Rate &amp; Vol Update'!$B$8:$B$127,1)),'Rate &amp; Vol Update'!$B$8:$B$127,0),MATCH(INDEX('Rate &amp; Vol Update'!$E$6:$Z$6,1,MATCH(CI20,'Rate &amp; Vol Update'!$E$6:$Z$6,1)),'Rate &amp; Vol Update'!$E$6:$Z$6,0))*(INDEX('Rate &amp; Vol Update'!$E$6:$Z$6,1,MATCH(CI20,'Rate &amp; Vol Update'!$E$6:$Z$6,1)+1)-CI20)*(INDEX('Rate &amp; Vol Update'!$B$8:$B$127,MATCH(CD20,'Rate &amp; Vol Update'!$B$8:$B$127,1)+1)-CD20)+INDEX('Rate &amp; Vol Update'!$E$8:$Z$127,MATCH(INDEX('Rate &amp; Vol Update'!$B$8:$B$127,MATCH(CD20,'Rate &amp; Vol Update'!$B$8:$B$127,1)),'Rate &amp; Vol Update'!$B$8:$B$127,0),MATCH(INDEX('Rate &amp; Vol Update'!$E$6:$Z$6,1,MATCH(CI20,'Rate &amp; Vol Update'!$E$6:$Z$6,1)+1),'Rate &amp; Vol Update'!$E$6:$Z$6,0))*(CI20-INDEX('Rate &amp; Vol Update'!$E$6:$Z$6,1,MATCH(CI20,'Rate &amp; Vol Update'!$E$6:$Z$6,1)))*(INDEX('Rate &amp; Vol Update'!$B$8:$B$127,MATCH(CD20,'Rate &amp; Vol Update'!$B$8:$B$127,1)+1)-CD20)+INDEX('Rate &amp; Vol Update'!$E$8:$Z$127,MATCH(INDEX('Rate &amp; Vol Update'!$B$8:$B$127,MATCH(CD20,'Rate &amp; Vol Update'!$B$8:$B$127,1)+1),'Rate &amp; Vol Update'!$B$8:$B$127,0),MATCH(INDEX('Rate &amp; Vol Update'!$E$6:$Z$6,1,MATCH(CI20,'Rate &amp; Vol Update'!$E$6:$Z$6,1)),'Rate &amp; Vol Update'!$E$6:$Z$6,0))*(INDEX('Rate &amp; Vol Update'!$E$6:$Z$6,1,MATCH(CI20,'Rate &amp; Vol Update'!$E$6:$Z$6,1)+1)-CI20)*(CD20-INDEX('Rate &amp; Vol Update'!$B$8:$B$127,MATCH(CD20,'Rate &amp; Vol Update'!$B$8:$B$127,1)))+INDEX('Rate &amp; Vol Update'!$E$8:$Z$127,MATCH(INDEX('Rate &amp; Vol Update'!$B$8:$B$127,MATCH(CD20,'Rate &amp; Vol Update'!$B$8:$B$127,1)+1),'Rate &amp; Vol Update'!$B$8:$B$127,0),MATCH(INDEX('Rate &amp; Vol Update'!$E$6:$Z$6,1,MATCH(CI20,'Rate &amp; Vol Update'!$E$6:$Z$6,1)+1),'Rate &amp; Vol Update'!$E$6:$Z$6,0))*(CI20-INDEX('Rate &amp; Vol Update'!$E$6:$Z$6,1,MATCH(CI20,'Rate &amp; Vol Update'!$E$6:$Z$6,1)))*(CD20-INDEX('Rate &amp; Vol Update'!$B$8:$B$127,MATCH(CD20,'Rate &amp; Vol Update'!$B$8:$B$127,1)))))*0.01%))</f>
        <v>1.1060736693431255E-2</v>
      </c>
      <c r="CL20" s="5">
        <f>IF(CC20="","",1/((1+CJ20)^((CE20-'Rate &amp; Vol Update'!$C$2)/360)))</f>
        <v>0.95639250108743801</v>
      </c>
      <c r="CN20" s="15">
        <f>IF(CC20="","",IF(CD20&lt;'Rate &amp; Vol Update'!$C$2,MAX(0,CJ20-CI20)*(CF20/360)*CH20,(((IF('Adjustment Surface'!$C$2='Data Validation'!$A$2,CJ20,IF('Adjustment Surface'!$C$2='Data Validation'!$A$3,CI20,"Unknown Option Type"))-IF('Adjustment Surface'!$C$2='Data Validation'!$A$2,CI20,IF('Adjustment Surface'!$C$2='Data Validation'!$A$3,CJ20,"Unknown Option Type")))*(NORMDIST((IF('Adjustment Surface'!$C$2='Data Validation'!$A$2,CJ20,IF('Adjustment Surface'!$C$2='Data Validation'!$A$3,CI20,"Unknown Option Type"))-IF('Adjustment Surface'!$C$2='Data Validation'!$A$2,CI20,IF('Adjustment Surface'!$C$2='Data Validation'!$A$3,CJ20,"Unknown Option Type")))/(CK20*SQRT(CG20)),0,1,TRUE)))+((CK20*SQRT(CG20))*(NORMDIST((IF('Adjustment Surface'!$C$2='Data Validation'!$A$2,CJ20,IF('Adjustment Surface'!$C$2='Data Validation'!$A$3,CI20,"Unknown Option Type"))-IF('Adjustment Surface'!$C$2='Data Validation'!$A$2,CI20,IF('Adjustment Surface'!$C$2='Data Validation'!$A$3,CJ20,"Unknown Option Type")))/(CK20*SQRT(CG20)),0,1,FALSE))))*CL20*(CF20/360)*CH20))</f>
        <v>151.56909932044772</v>
      </c>
      <c r="CO20" s="15">
        <f>IF(CC20="","",SUM(CN$4:CN20))</f>
        <v>557.14255656005935</v>
      </c>
      <c r="CQ20" s="15">
        <f>IF(CC20="","",IF(CD20&lt;'Rate &amp; Vol Update'!$C$2,0,((((((IF('Adjustment Surface'!$C$2='Data Validation'!$A$2,CJ20,IF('Adjustment Surface'!$C$2='Data Validation'!$A$3,CI20,"Unknown Option Type"))-IF('Adjustment Surface'!$C$2='Data Validation'!$A$2,CI20,IF('Adjustment Surface'!$C$2='Data Validation'!$A$3,CJ20,"Unknown Option Type")))*(NORMDIST((IF('Adjustment Surface'!$C$2='Data Validation'!$A$2,CJ20,IF('Adjustment Surface'!$C$2='Data Validation'!$A$3,CI20,"Unknown Option Type"))-IF('Adjustment Surface'!$C$2='Data Validation'!$A$2,CI20,IF('Adjustment Surface'!$C$2='Data Validation'!$A$3,CJ20,"Unknown Option Type")))/((CK20+0.01%)*SQRT(CG20)),0,1,TRUE)))+(((CK20+0.01%)*SQRT(CG20))*(NORMDIST((IF('Adjustment Surface'!$C$2='Data Validation'!$A$2,CJ20,IF('Adjustment Surface'!$C$2='Data Validation'!$A$3,CI20,"Unknown Option Type"))-IF('Adjustment Surface'!$C$2='Data Validation'!$A$2,CI20,IF('Adjustment Surface'!$C$2='Data Validation'!$A$3,CJ20,"Unknown Option Type")))/((CK20+0.01%)*SQRT(CG20)),0,1,FALSE))))*CL20*(CF20/360))-(CN20/CH20))*CH20)*CL20))</f>
        <v>9.3546349695516078</v>
      </c>
      <c r="CR20" s="15">
        <f>IF(CC20="","",SUM(CQ$4:CQ20))</f>
        <v>39.495095125117764</v>
      </c>
    </row>
    <row r="21" spans="7:96" x14ac:dyDescent="0.25">
      <c r="G21" s="28"/>
      <c r="I21" s="3">
        <v>18</v>
      </c>
      <c r="J21" s="4">
        <f>IF(K20='Adjustment Surface'!C$8,"",K20)</f>
        <v>46579</v>
      </c>
      <c r="K21" s="4">
        <f>IF(J21="","",IF(J21&lt;'Adjustment Surface'!C$7,EDATE(J$5,COUNT(J$5:J21)),IF(J21='Adjustment Surface'!C$7,'Adjustment Surface'!C$8,'Adjustment Surface'!C$7)))</f>
        <v>46610</v>
      </c>
      <c r="L21" s="3">
        <f t="shared" si="1"/>
        <v>31</v>
      </c>
      <c r="M21" s="5">
        <f>IF(I21="","",(K21-'Rate &amp; Vol Update'!$C$2)/360)</f>
        <v>1.5166666666666666</v>
      </c>
      <c r="N21" s="15">
        <f>IF(I21="","",IF('Adjustment Surface'!C$3='Data Validation'!$C$2,'Adjustment Surface'!C$4,IF(INDEX(Schedules!$E$3:$E$123,MATCH('Bachelier Model'!J21,Schedules!$B$3:$B$123,0))="",N20,INDEX(Schedules!$E$3:$E$123,MATCH('Bachelier Model'!J21,Schedules!$B$3:$B$123,0)))))</f>
        <v>25000000</v>
      </c>
      <c r="O21" s="16">
        <f>IF(I21="","",IF('Adjustment Surface'!C$9='Data Validation'!$D$2,'Adjustment Surface'!C$10,IF(INDEX(Schedules!$H$3:$H$123,MATCH('Bachelier Model'!J21,Schedules!$B$3:$B$123,0))="",O20,INDEX(Schedules!$H$3:$H$123,MATCH('Bachelier Model'!J21,Schedules!$B$3:$B$123,0)))))</f>
        <v>0.02</v>
      </c>
      <c r="P21" s="16" cm="1">
        <f t="array" ref="P21">IF(I21="","",FORECAST(J21,INDEX('Rate &amp; Vol Update'!$C$6:$C$127,MATCH(INDEX('Rate &amp; Vol Update'!$B$6:$B$127,MATCH(J21,'Rate &amp; Vol Update'!$B$6:$B$127,1)),'Rate &amp; Vol Update'!$B$6:$B$127,0)+IF('Adjustment Surface'!C$11='Data Validation'!$E$3,-1,0)):INDEX('Rate &amp; Vol Update'!$C$6:$C$127,MATCH(INDEX('Rate &amp; Vol Update'!$B$6:$B$127,MATCH(J21,'Rate &amp; Vol Update'!$B$6:$B$127,1)+1),'Rate &amp; Vol Update'!$B$6:$B$127,0)+IF('Adjustment Surface'!C$11='Data Validation'!$E$3,-1,0)),INDEX('Rate &amp; Vol Update'!$B$6:$B$127,MATCH(J21,'Rate &amp; Vol Update'!$B$6:$B$127,1)):INDEX('Rate &amp; Vol Update'!$B$6:$B$127,MATCH(J21,'Rate &amp; Vol Update'!$B$6:$B$127,1)+1))/100)</f>
        <v>3.1662496591553978E-2</v>
      </c>
      <c r="Q21" s="16" cm="1">
        <f t="array" ref="Q21">IF(I21="","",IF(J21&lt;'Rate &amp; Vol Update'!$C$2,0.001%,(1/((INDEX('Rate &amp; Vol Update'!$E$6:$Z$6,1,MATCH(O21,'Rate &amp; Vol Update'!$E$6:$Z$6,1)+1)-INDEX('Rate &amp; Vol Update'!$E$6:$Z$6,1,MATCH(O21,'Rate &amp; Vol Update'!$E$6:$Z$6,1)))*(INDEX('Rate &amp; Vol Update'!$B$8:$B$127,MATCH(J21,'Rate &amp; Vol Update'!$B$8:$B$127,1)+1)-INDEX('Rate &amp; Vol Update'!$B$8:$B$127,MATCH(J21,'Rate &amp; Vol Update'!$B$8:$B$127,1))))*(INDEX('Rate &amp; Vol Update'!$E$8:$Z$127,MATCH(INDEX('Rate &amp; Vol Update'!$B$8:$B$127,MATCH(J21,'Rate &amp; Vol Update'!$B$8:$B$127,1)),'Rate &amp; Vol Update'!$B$8:$B$127,0),MATCH(INDEX('Rate &amp; Vol Update'!$E$6:$Z$6,1,MATCH(O21,'Rate &amp; Vol Update'!$E$6:$Z$6,1)),'Rate &amp; Vol Update'!$E$6:$Z$6,0))*(INDEX('Rate &amp; Vol Update'!$E$6:$Z$6,1,MATCH(O21,'Rate &amp; Vol Update'!$E$6:$Z$6,1)+1)-O21)*(INDEX('Rate &amp; Vol Update'!$B$8:$B$127,MATCH(J21,'Rate &amp; Vol Update'!$B$8:$B$127,1)+1)-J21)+INDEX('Rate &amp; Vol Update'!$E$8:$Z$127,MATCH(INDEX('Rate &amp; Vol Update'!$B$8:$B$127,MATCH(J21,'Rate &amp; Vol Update'!$B$8:$B$127,1)),'Rate &amp; Vol Update'!$B$8:$B$127,0),MATCH(INDEX('Rate &amp; Vol Update'!$E$6:$Z$6,1,MATCH(O21,'Rate &amp; Vol Update'!$E$6:$Z$6,1)+1),'Rate &amp; Vol Update'!$E$6:$Z$6,0))*(O21-INDEX('Rate &amp; Vol Update'!$E$6:$Z$6,1,MATCH(O21,'Rate &amp; Vol Update'!$E$6:$Z$6,1)))*(INDEX('Rate &amp; Vol Update'!$B$8:$B$127,MATCH(J21,'Rate &amp; Vol Update'!$B$8:$B$127,1)+1)-J21)+INDEX('Rate &amp; Vol Update'!$E$8:$Z$127,MATCH(INDEX('Rate &amp; Vol Update'!$B$8:$B$127,MATCH(J21,'Rate &amp; Vol Update'!$B$8:$B$127,1)+1),'Rate &amp; Vol Update'!$B$8:$B$127,0),MATCH(INDEX('Rate &amp; Vol Update'!$E$6:$Z$6,1,MATCH(O21,'Rate &amp; Vol Update'!$E$6:$Z$6,1)),'Rate &amp; Vol Update'!$E$6:$Z$6,0))*(INDEX('Rate &amp; Vol Update'!$E$6:$Z$6,1,MATCH(O21,'Rate &amp; Vol Update'!$E$6:$Z$6,1)+1)-O21)*(J21-INDEX('Rate &amp; Vol Update'!$B$8:$B$127,MATCH(J21,'Rate &amp; Vol Update'!$B$8:$B$127,1)))+INDEX('Rate &amp; Vol Update'!$E$8:$Z$127,MATCH(INDEX('Rate &amp; Vol Update'!$B$8:$B$127,MATCH(J21,'Rate &amp; Vol Update'!$B$8:$B$127,1)+1),'Rate &amp; Vol Update'!$B$8:$B$127,0),MATCH(INDEX('Rate &amp; Vol Update'!$E$6:$Z$6,1,MATCH(O21,'Rate &amp; Vol Update'!$E$6:$Z$6,1)+1),'Rate &amp; Vol Update'!$E$6:$Z$6,0))*(O21-INDEX('Rate &amp; Vol Update'!$E$6:$Z$6,1,MATCH(O21,'Rate &amp; Vol Update'!$E$6:$Z$6,1)))*(J21-INDEX('Rate &amp; Vol Update'!$B$8:$B$127,MATCH(J21,'Rate &amp; Vol Update'!$B$8:$B$127,1)))))*0.01%))</f>
        <v>9.4837194983637459E-3</v>
      </c>
      <c r="R21" s="5">
        <f>IF(I21="","",1/((1+P21)^((K21-'Rate &amp; Vol Update'!$C$2)/360)))</f>
        <v>0.95382325753791952</v>
      </c>
      <c r="T21" s="15">
        <f>IF(I21="","",IF(J21&lt;'Rate &amp; Vol Update'!$C$2,MAX(0,P21-O21)*(L21/360)*N21,(((IF('Adjustment Surface'!C$2='Data Validation'!$A$2,P21,IF('Adjustment Surface'!C$2='Data Validation'!$A$3,O21,"Unknown Option Type"))-IF('Adjustment Surface'!C$2='Data Validation'!$A$2,O21,IF('Adjustment Surface'!C$2='Data Validation'!$A$3,P21,"Unknown Option Type")))*(NORMDIST((IF('Adjustment Surface'!C$2='Data Validation'!$A$2,P21,IF('Adjustment Surface'!C$2='Data Validation'!$A$3,O21,"Unknown Option Type"))-IF('Adjustment Surface'!C$2='Data Validation'!$A$2,O21,IF('Adjustment Surface'!C$2='Data Validation'!$A$3,P21,"Unknown Option Type")))/(Q21*SQRT(M21)),0,1,TRUE)))+((Q21*SQRT(M21))*(NORMDIST((IF('Adjustment Surface'!C$2='Data Validation'!$A$2,P21,IF('Adjustment Surface'!C$2='Data Validation'!$A$3,O21,"Unknown Option Type"))-IF('Adjustment Surface'!C$2='Data Validation'!$A$2,O21,IF('Adjustment Surface'!C$2='Data Validation'!$A$3,P21,"Unknown Option Type")))/(Q21*SQRT(M21)),0,1,FALSE))))*R21*(L21/360)*N21))</f>
        <v>25951.053055804772</v>
      </c>
      <c r="U21" s="15">
        <f>IF(I21="","",SUM(T$4:T21))</f>
        <v>506557.36426669185</v>
      </c>
      <c r="W21" s="15">
        <f>IF(I21="","",IF(J21&lt;'Rate &amp; Vol Update'!$C$2,0,((((((IF('Adjustment Surface'!C$2='Data Validation'!$A$2,P21,IF('Adjustment Surface'!C$2='Data Validation'!$A$3,O21,"Unknown Option Type"))-IF('Adjustment Surface'!C$2='Data Validation'!$A$2,O21,IF('Adjustment Surface'!C$2='Data Validation'!$A$3,P21,"Unknown Option Type")))*(NORMDIST((IF('Adjustment Surface'!C$2='Data Validation'!$A$2,P21,IF('Adjustment Surface'!C$2='Data Validation'!$A$3,O21,"Unknown Option Type"))-IF('Adjustment Surface'!C$2='Data Validation'!$A$2,O21,IF('Adjustment Surface'!C$2='Data Validation'!$A$3,P21,"Unknown Option Type")))/((Q21+0.01%)*SQRT(M21)),0,1,TRUE)))+(((Q21+0.01%)*SQRT(M21))*(NORMDIST((IF('Adjustment Surface'!C$2='Data Validation'!$A$2,P21,IF('Adjustment Surface'!C$2='Data Validation'!$A$3,O21,"Unknown Option Type"))-IF('Adjustment Surface'!C$2='Data Validation'!$A$2,O21,IF('Adjustment Surface'!C$2='Data Validation'!$A$3,P21,"Unknown Option Type")))/((Q21+0.01%)*SQRT(M21)),0,1,FALSE))))*R21*(L21/360))-(T21/N21))*N21)*R21))</f>
        <v>58.753721316189313</v>
      </c>
      <c r="X21" s="15">
        <f>IF(I21="","",SUM(W$4:W21))</f>
        <v>445.19179121371417</v>
      </c>
      <c r="Y21" s="15"/>
      <c r="Z21" s="20"/>
      <c r="AA21" s="3">
        <v>18</v>
      </c>
      <c r="AB21" s="4">
        <f>IF(AC20=MAX('Adjustment Surface'!$C$14:$F$14),"",AC20)</f>
        <v>46579</v>
      </c>
      <c r="AC21" s="4">
        <f>IF(AB21="","",IF(AB21&lt;EDATE('Adjustment Surface'!$C$6,DATEDIF('Adjustment Surface'!$C$6,MAX('Adjustment Surface'!$C$14:$F$14),"M")),EDATE(AB$5,COUNT(AB$5:AB21)),IF(AB21=EDATE('Adjustment Surface'!$C$6,DATEDIF('Adjustment Surface'!$C$6,MAX('Adjustment Surface'!$C$14:$F$14),"M")),MAX('Adjustment Surface'!$C$14:$F$14),EDATE('Adjustment Surface'!$C$6,DATEDIF('Adjustment Surface'!$C$6,MAX('Adjustment Surface'!$C$14:$F$14),"M")))))</f>
        <v>46610</v>
      </c>
      <c r="AD21" s="3">
        <f t="shared" si="2"/>
        <v>31</v>
      </c>
      <c r="AE21" s="5">
        <f>IF(AA21="","",(AC21-'Rate &amp; Vol Update'!$C$2)/360)</f>
        <v>1.5166666666666666</v>
      </c>
      <c r="AF21" s="15">
        <f>IF(AA21="","",IF('Adjustment Surface'!$C$3='Data Validation'!$C$2,'Adjustment Surface'!$C$4,_xlfn.IFNA(IF(INDEX(Schedules!$E$3:$E$123,MATCH('Bachelier Model'!AB21,Schedules!$B$3:$B$123,0))="",AF20,INDEX(Schedules!$E$3:$E$123,MATCH('Bachelier Model'!AB21,Schedules!$B$3:$B$123,0))),AF20)))</f>
        <v>25000000</v>
      </c>
      <c r="AG21" s="16">
        <f>IF(AA21="","",'Adjustment Surface'!B$15)</f>
        <v>0.03</v>
      </c>
      <c r="AH21" s="16" cm="1">
        <f t="array" ref="AH21">IF(AA21="","",FORECAST(AB21,INDEX('Rate &amp; Vol Update'!$C$6:$C$127,MATCH(INDEX('Rate &amp; Vol Update'!$B$6:$B$127,MATCH(AB21,'Rate &amp; Vol Update'!$B$6:$B$127,1)),'Rate &amp; Vol Update'!$B$6:$B$127,0)+IF('Adjustment Surface'!$C$11='Data Validation'!$E$3,-1,0)):INDEX('Rate &amp; Vol Update'!$C$6:$C$127,MATCH(INDEX('Rate &amp; Vol Update'!$B$6:$B$127,MATCH(AB21,'Rate &amp; Vol Update'!$B$6:$B$127,1)+1),'Rate &amp; Vol Update'!$B$6:$B$127,0)+IF('Adjustment Surface'!$C$11='Data Validation'!$E$3,-1,0)),INDEX('Rate &amp; Vol Update'!$B$6:$B$127,MATCH(AB21,'Rate &amp; Vol Update'!$B$6:$B$127,1)):INDEX('Rate &amp; Vol Update'!$B$6:$B$127,MATCH(AB21,'Rate &amp; Vol Update'!$B$6:$B$127,1)+1))/100)</f>
        <v>3.1662496591553978E-2</v>
      </c>
      <c r="AI21" s="16" cm="1">
        <f t="array" ref="AI21">IF(AA21="","",IF(AB21&lt;'Rate &amp; Vol Update'!$C$2,0.001%,(1/((INDEX('Rate &amp; Vol Update'!$E$6:$Z$6,1,MATCH(AG21,'Rate &amp; Vol Update'!$E$6:$Z$6,1)+1)-INDEX('Rate &amp; Vol Update'!$E$6:$Z$6,1,MATCH(AG21,'Rate &amp; Vol Update'!$E$6:$Z$6,1)))*(INDEX('Rate &amp; Vol Update'!$B$8:$B$127,MATCH(AB21,'Rate &amp; Vol Update'!$B$8:$B$127,1)+1)-INDEX('Rate &amp; Vol Update'!$B$8:$B$127,MATCH(AB21,'Rate &amp; Vol Update'!$B$8:$B$127,1))))*(INDEX('Rate &amp; Vol Update'!$E$8:$Z$127,MATCH(INDEX('Rate &amp; Vol Update'!$B$8:$B$127,MATCH(AB21,'Rate &amp; Vol Update'!$B$8:$B$127,1)),'Rate &amp; Vol Update'!$B$8:$B$127,0),MATCH(INDEX('Rate &amp; Vol Update'!$E$6:$Z$6,1,MATCH(AG21,'Rate &amp; Vol Update'!$E$6:$Z$6,1)),'Rate &amp; Vol Update'!$E$6:$Z$6,0))*(INDEX('Rate &amp; Vol Update'!$E$6:$Z$6,1,MATCH(AG21,'Rate &amp; Vol Update'!$E$6:$Z$6,1)+1)-AG21)*(INDEX('Rate &amp; Vol Update'!$B$8:$B$127,MATCH(AB21,'Rate &amp; Vol Update'!$B$8:$B$127,1)+1)-AB21)+INDEX('Rate &amp; Vol Update'!$E$8:$Z$127,MATCH(INDEX('Rate &amp; Vol Update'!$B$8:$B$127,MATCH(AB21,'Rate &amp; Vol Update'!$B$8:$B$127,1)),'Rate &amp; Vol Update'!$B$8:$B$127,0),MATCH(INDEX('Rate &amp; Vol Update'!$E$6:$Z$6,1,MATCH(AG21,'Rate &amp; Vol Update'!$E$6:$Z$6,1)+1),'Rate &amp; Vol Update'!$E$6:$Z$6,0))*(AG21-INDEX('Rate &amp; Vol Update'!$E$6:$Z$6,1,MATCH(AG21,'Rate &amp; Vol Update'!$E$6:$Z$6,1)))*(INDEX('Rate &amp; Vol Update'!$B$8:$B$127,MATCH(AB21,'Rate &amp; Vol Update'!$B$8:$B$127,1)+1)-AB21)+INDEX('Rate &amp; Vol Update'!$E$8:$Z$127,MATCH(INDEX('Rate &amp; Vol Update'!$B$8:$B$127,MATCH(AB21,'Rate &amp; Vol Update'!$B$8:$B$127,1)+1),'Rate &amp; Vol Update'!$B$8:$B$127,0),MATCH(INDEX('Rate &amp; Vol Update'!$E$6:$Z$6,1,MATCH(AG21,'Rate &amp; Vol Update'!$E$6:$Z$6,1)),'Rate &amp; Vol Update'!$E$6:$Z$6,0))*(INDEX('Rate &amp; Vol Update'!$E$6:$Z$6,1,MATCH(AG21,'Rate &amp; Vol Update'!$E$6:$Z$6,1)+1)-AG21)*(AB21-INDEX('Rate &amp; Vol Update'!$B$8:$B$127,MATCH(AB21,'Rate &amp; Vol Update'!$B$8:$B$127,1)))+INDEX('Rate &amp; Vol Update'!$E$8:$Z$127,MATCH(INDEX('Rate &amp; Vol Update'!$B$8:$B$127,MATCH(AB21,'Rate &amp; Vol Update'!$B$8:$B$127,1)+1),'Rate &amp; Vol Update'!$B$8:$B$127,0),MATCH(INDEX('Rate &amp; Vol Update'!$E$6:$Z$6,1,MATCH(AG21,'Rate &amp; Vol Update'!$E$6:$Z$6,1)+1),'Rate &amp; Vol Update'!$E$6:$Z$6,0))*(AG21-INDEX('Rate &amp; Vol Update'!$E$6:$Z$6,1,MATCH(AG21,'Rate &amp; Vol Update'!$E$6:$Z$6,1)))*(AB21-INDEX('Rate &amp; Vol Update'!$B$8:$B$127,MATCH(AB21,'Rate &amp; Vol Update'!$B$8:$B$127,1)))))*0.01%))</f>
        <v>7.7213402001522005E-3</v>
      </c>
      <c r="AJ21" s="5">
        <f>IF(AA21="","",1/((1+AH21)^((AC21-'Rate &amp; Vol Update'!$C$2)/360)))</f>
        <v>0.95382325753791952</v>
      </c>
      <c r="AL21" s="15">
        <f>IF(AA21="","",IF(AB21&lt;'Rate &amp; Vol Update'!$C$2,MAX(0,AH21-AG21)*(AD21/360)*AF21,(((IF('Adjustment Surface'!$C$2='Data Validation'!$A$2,AH21,IF('Adjustment Surface'!$C$2='Data Validation'!$A$3,AG21,"Unknown Option Type"))-IF('Adjustment Surface'!$C$2='Data Validation'!$A$2,AG21,IF('Adjustment Surface'!$C$2='Data Validation'!$A$3,AH21,"Unknown Option Type")))*(NORMDIST((IF('Adjustment Surface'!$C$2='Data Validation'!$A$2,AH21,IF('Adjustment Surface'!$C$2='Data Validation'!$A$3,AG21,"Unknown Option Type"))-IF('Adjustment Surface'!$C$2='Data Validation'!$A$2,AG21,IF('Adjustment Surface'!$C$2='Data Validation'!$A$3,AH21,"Unknown Option Type")))/(AI21*SQRT(AE21)),0,1,TRUE)))+((AI21*SQRT(AE21))*(NORMDIST((IF('Adjustment Surface'!$C$2='Data Validation'!$A$2,AH21,IF('Adjustment Surface'!$C$2='Data Validation'!$A$3,AG21,"Unknown Option Type"))-IF('Adjustment Surface'!$C$2='Data Validation'!$A$2,AG21,IF('Adjustment Surface'!$C$2='Data Validation'!$A$3,AH21,"Unknown Option Type")))/(AI21*SQRT(AE21)),0,1,FALSE))))*AJ21*(AD21/360)*AF21))</f>
        <v>9615.2040133111695</v>
      </c>
      <c r="AM21" s="15">
        <f>IF(AA21="","",SUM(AL$4:AL21))</f>
        <v>177860.88129684812</v>
      </c>
      <c r="AO21" s="15">
        <f>IF(AA21="","",IF(AB21&lt;'Rate &amp; Vol Update'!$C$2,0,((((((IF('Adjustment Surface'!$C$2='Data Validation'!$A$2,AH21,IF('Adjustment Surface'!$C$2='Data Validation'!$A$3,AG21,"Unknown Option Type"))-IF('Adjustment Surface'!$C$2='Data Validation'!$A$2,AG21,IF('Adjustment Surface'!$C$2='Data Validation'!$A$3,AH21,"Unknown Option Type")))*(NORMDIST((IF('Adjustment Surface'!$C$2='Data Validation'!$A$2,AH21,IF('Adjustment Surface'!$C$2='Data Validation'!$A$3,AG21,"Unknown Option Type"))-IF('Adjustment Surface'!$C$2='Data Validation'!$A$2,AG21,IF('Adjustment Surface'!$C$2='Data Validation'!$A$3,AH21,"Unknown Option Type")))/((AI21+0.01%)*SQRT(AE21)),0,1,TRUE)))+(((AI21+0.01%)*SQRT(AE21))*(NORMDIST((IF('Adjustment Surface'!$C$2='Data Validation'!$A$2,AH21,IF('Adjustment Surface'!$C$2='Data Validation'!$A$3,AG21,"Unknown Option Type"))-IF('Adjustment Surface'!$C$2='Data Validation'!$A$2,AG21,IF('Adjustment Surface'!$C$2='Data Validation'!$A$3,AH21,"Unknown Option Type")))/((AI21+0.01%)*SQRT(AE21)),0,1,FALSE))))*AJ21*(AD21/360))-(AL21/AF21))*AF21)*AJ21))</f>
        <v>94.784556951144722</v>
      </c>
      <c r="AP21" s="15">
        <f>IF(AA21="","",SUM(AO$4:AO21))</f>
        <v>1008.8178510331616</v>
      </c>
      <c r="AQ21" s="15"/>
      <c r="AR21" s="20"/>
      <c r="AS21" s="3">
        <v>18</v>
      </c>
      <c r="AT21" s="4">
        <f>IF(AU20=MAX('Adjustment Surface'!$C$14:$F$14),"",AU20)</f>
        <v>46579</v>
      </c>
      <c r="AU21" s="4">
        <f>IF(AT21="","",IF(AT21&lt;EDATE('Adjustment Surface'!$C$6,DATEDIF('Adjustment Surface'!$C$6,MAX('Adjustment Surface'!$C$14:$F$14),"M")),EDATE(AT$5,COUNT(AT$5:AT21)),IF(AT21=EDATE('Adjustment Surface'!$C$6,DATEDIF('Adjustment Surface'!$C$6,MAX('Adjustment Surface'!$C$14:$F$14),"M")),MAX('Adjustment Surface'!$C$14:$F$14),EDATE('Adjustment Surface'!$C$6,DATEDIF('Adjustment Surface'!$C$6,MAX('Adjustment Surface'!$C$14:$F$14),"M")))))</f>
        <v>46610</v>
      </c>
      <c r="AV21" s="3">
        <f t="shared" si="3"/>
        <v>31</v>
      </c>
      <c r="AW21" s="5">
        <f>IF(AS21="","",(AU21-'Rate &amp; Vol Update'!$C$2)/360)</f>
        <v>1.5166666666666666</v>
      </c>
      <c r="AX21" s="15">
        <f>IF(AS21="","",IF('Adjustment Surface'!$C$3='Data Validation'!$C$2,'Adjustment Surface'!$C$4,_xlfn.IFNA(IF(INDEX(Schedules!$E$3:$E$123,MATCH('Bachelier Model'!AT21,Schedules!$B$3:$B$123,0))="",AX20,INDEX(Schedules!$E$3:$E$123,MATCH('Bachelier Model'!AT21,Schedules!$B$3:$B$123,0))),AX20)))</f>
        <v>25000000</v>
      </c>
      <c r="AY21" s="16">
        <f>IF(AS21="","",'Adjustment Surface'!B$16)</f>
        <v>0.04</v>
      </c>
      <c r="AZ21" s="16" cm="1">
        <f t="array" ref="AZ21">IF(AS21="","",FORECAST(AT21,INDEX('Rate &amp; Vol Update'!$C$6:$C$127,MATCH(INDEX('Rate &amp; Vol Update'!$B$6:$B$127,MATCH(AT21,'Rate &amp; Vol Update'!$B$6:$B$127,1)),'Rate &amp; Vol Update'!$B$6:$B$127,0)+IF('Adjustment Surface'!$C$11='Data Validation'!$E$3,-1,0)):INDEX('Rate &amp; Vol Update'!$C$6:$C$127,MATCH(INDEX('Rate &amp; Vol Update'!$B$6:$B$127,MATCH(AT21,'Rate &amp; Vol Update'!$B$6:$B$127,1)+1),'Rate &amp; Vol Update'!$B$6:$B$127,0)+IF('Adjustment Surface'!$C$11='Data Validation'!$E$3,-1,0)),INDEX('Rate &amp; Vol Update'!$B$6:$B$127,MATCH(AT21,'Rate &amp; Vol Update'!$B$6:$B$127,1)):INDEX('Rate &amp; Vol Update'!$B$6:$B$127,MATCH(AT21,'Rate &amp; Vol Update'!$B$6:$B$127,1)+1))/100)</f>
        <v>3.1662496591553978E-2</v>
      </c>
      <c r="BA21" s="16" cm="1">
        <f t="array" ref="BA21">IF(AS21="","",IF(AT21&lt;'Rate &amp; Vol Update'!$C$2,0.001%,(1/((INDEX('Rate &amp; Vol Update'!$E$6:$Z$6,1,MATCH(AY21,'Rate &amp; Vol Update'!$E$6:$Z$6,1)+1)-INDEX('Rate &amp; Vol Update'!$E$6:$Z$6,1,MATCH(AY21,'Rate &amp; Vol Update'!$E$6:$Z$6,1)))*(INDEX('Rate &amp; Vol Update'!$B$8:$B$127,MATCH(AT21,'Rate &amp; Vol Update'!$B$8:$B$127,1)+1)-INDEX('Rate &amp; Vol Update'!$B$8:$B$127,MATCH(AT21,'Rate &amp; Vol Update'!$B$8:$B$127,1))))*(INDEX('Rate &amp; Vol Update'!$E$8:$Z$127,MATCH(INDEX('Rate &amp; Vol Update'!$B$8:$B$127,MATCH(AT21,'Rate &amp; Vol Update'!$B$8:$B$127,1)),'Rate &amp; Vol Update'!$B$8:$B$127,0),MATCH(INDEX('Rate &amp; Vol Update'!$E$6:$Z$6,1,MATCH(AY21,'Rate &amp; Vol Update'!$E$6:$Z$6,1)),'Rate &amp; Vol Update'!$E$6:$Z$6,0))*(INDEX('Rate &amp; Vol Update'!$E$6:$Z$6,1,MATCH(AY21,'Rate &amp; Vol Update'!$E$6:$Z$6,1)+1)-AY21)*(INDEX('Rate &amp; Vol Update'!$B$8:$B$127,MATCH(AT21,'Rate &amp; Vol Update'!$B$8:$B$127,1)+1)-AT21)+INDEX('Rate &amp; Vol Update'!$E$8:$Z$127,MATCH(INDEX('Rate &amp; Vol Update'!$B$8:$B$127,MATCH(AT21,'Rate &amp; Vol Update'!$B$8:$B$127,1)),'Rate &amp; Vol Update'!$B$8:$B$127,0),MATCH(INDEX('Rate &amp; Vol Update'!$E$6:$Z$6,1,MATCH(AY21,'Rate &amp; Vol Update'!$E$6:$Z$6,1)+1),'Rate &amp; Vol Update'!$E$6:$Z$6,0))*(AY21-INDEX('Rate &amp; Vol Update'!$E$6:$Z$6,1,MATCH(AY21,'Rate &amp; Vol Update'!$E$6:$Z$6,1)))*(INDEX('Rate &amp; Vol Update'!$B$8:$B$127,MATCH(AT21,'Rate &amp; Vol Update'!$B$8:$B$127,1)+1)-AT21)+INDEX('Rate &amp; Vol Update'!$E$8:$Z$127,MATCH(INDEX('Rate &amp; Vol Update'!$B$8:$B$127,MATCH(AT21,'Rate &amp; Vol Update'!$B$8:$B$127,1)+1),'Rate &amp; Vol Update'!$B$8:$B$127,0),MATCH(INDEX('Rate &amp; Vol Update'!$E$6:$Z$6,1,MATCH(AY21,'Rate &amp; Vol Update'!$E$6:$Z$6,1)),'Rate &amp; Vol Update'!$E$6:$Z$6,0))*(INDEX('Rate &amp; Vol Update'!$E$6:$Z$6,1,MATCH(AY21,'Rate &amp; Vol Update'!$E$6:$Z$6,1)+1)-AY21)*(AT21-INDEX('Rate &amp; Vol Update'!$B$8:$B$127,MATCH(AT21,'Rate &amp; Vol Update'!$B$8:$B$127,1)))+INDEX('Rate &amp; Vol Update'!$E$8:$Z$127,MATCH(INDEX('Rate &amp; Vol Update'!$B$8:$B$127,MATCH(AT21,'Rate &amp; Vol Update'!$B$8:$B$127,1)+1),'Rate &amp; Vol Update'!$B$8:$B$127,0),MATCH(INDEX('Rate &amp; Vol Update'!$E$6:$Z$6,1,MATCH(AY21,'Rate &amp; Vol Update'!$E$6:$Z$6,1)+1),'Rate &amp; Vol Update'!$E$6:$Z$6,0))*(AY21-INDEX('Rate &amp; Vol Update'!$E$6:$Z$6,1,MATCH(AY21,'Rate &amp; Vol Update'!$E$6:$Z$6,1)))*(AT21-INDEX('Rate &amp; Vol Update'!$B$8:$B$127,MATCH(AT21,'Rate &amp; Vol Update'!$B$8:$B$127,1)))))*0.01%))</f>
        <v>7.5254759227018839E-3</v>
      </c>
      <c r="BB21" s="5">
        <f>IF(AS21="","",1/((1+AZ21)^((AU21-'Rate &amp; Vol Update'!$C$2)/360)))</f>
        <v>0.95382325753791952</v>
      </c>
      <c r="BD21" s="15">
        <f>IF(AS21="","",IF(AT21&lt;'Rate &amp; Vol Update'!$C$2,MAX(0,AZ21-AY21)*(AV21/360)*AX21,(((IF('Adjustment Surface'!$C$2='Data Validation'!$A$2,AZ21,IF('Adjustment Surface'!$C$2='Data Validation'!$A$3,AY21,"Unknown Option Type"))-IF('Adjustment Surface'!$C$2='Data Validation'!$A$2,AY21,IF('Adjustment Surface'!$C$2='Data Validation'!$A$3,AZ21,"Unknown Option Type")))*(NORMDIST((IF('Adjustment Surface'!$C$2='Data Validation'!$A$2,AZ21,IF('Adjustment Surface'!$C$2='Data Validation'!$A$3,AY21,"Unknown Option Type"))-IF('Adjustment Surface'!$C$2='Data Validation'!$A$2,AY21,IF('Adjustment Surface'!$C$2='Data Validation'!$A$3,AZ21,"Unknown Option Type")))/(BA21*SQRT(AW21)),0,1,TRUE)))+((BA21*SQRT(AW21))*(NORMDIST((IF('Adjustment Surface'!$C$2='Data Validation'!$A$2,AZ21,IF('Adjustment Surface'!$C$2='Data Validation'!$A$3,AY21,"Unknown Option Type"))-IF('Adjustment Surface'!$C$2='Data Validation'!$A$2,AY21,IF('Adjustment Surface'!$C$2='Data Validation'!$A$3,AZ21,"Unknown Option Type")))/(BA21*SQRT(AW21)),0,1,FALSE))))*BB21*(AV21/360)*AX21))</f>
        <v>1912.5837249083245</v>
      </c>
      <c r="BE21" s="15">
        <f>IF(AS21="","",SUM(BD$4:BD21))</f>
        <v>14417.89163118225</v>
      </c>
      <c r="BG21" s="15">
        <f>IF(AS21="","",IF(AT21&lt;'Rate &amp; Vol Update'!$C$2,0,((((((IF('Adjustment Surface'!$C$2='Data Validation'!$A$2,AZ21,IF('Adjustment Surface'!$C$2='Data Validation'!$A$3,AY21,"Unknown Option Type"))-IF('Adjustment Surface'!$C$2='Data Validation'!$A$2,AY21,IF('Adjustment Surface'!$C$2='Data Validation'!$A$3,AZ21,"Unknown Option Type")))*(NORMDIST((IF('Adjustment Surface'!$C$2='Data Validation'!$A$2,AZ21,IF('Adjustment Surface'!$C$2='Data Validation'!$A$3,AY21,"Unknown Option Type"))-IF('Adjustment Surface'!$C$2='Data Validation'!$A$2,AY21,IF('Adjustment Surface'!$C$2='Data Validation'!$A$3,AZ21,"Unknown Option Type")))/((BA21+0.01%)*SQRT(AW21)),0,1,TRUE)))+(((BA21+0.01%)*SQRT(AW21))*(NORMDIST((IF('Adjustment Surface'!$C$2='Data Validation'!$A$2,AZ21,IF('Adjustment Surface'!$C$2='Data Validation'!$A$3,AY21,"Unknown Option Type"))-IF('Adjustment Surface'!$C$2='Data Validation'!$A$2,AY21,IF('Adjustment Surface'!$C$2='Data Validation'!$A$3,AZ21,"Unknown Option Type")))/((BA21+0.01%)*SQRT(AW21)),0,1,FALSE))))*BB21*(AV21/360))-(BD21/AX21))*AX21)*BB21))</f>
        <v>64.544277465922988</v>
      </c>
      <c r="BH21" s="15">
        <f>IF(AS21="","",SUM(BG$4:BG21))</f>
        <v>632.66412443856279</v>
      </c>
      <c r="BI21" s="15"/>
      <c r="BJ21" s="20"/>
      <c r="BK21" s="3">
        <v>18</v>
      </c>
      <c r="BL21" s="4">
        <f>IF(BM20=MAX('Adjustment Surface'!$C$14:$F$14),"",BM20)</f>
        <v>46579</v>
      </c>
      <c r="BM21" s="4">
        <f>IF(BL21="","",IF(BL21&lt;EDATE('Adjustment Surface'!$C$6,DATEDIF('Adjustment Surface'!$C$6,MAX('Adjustment Surface'!$C$14:$F$14),"M")),EDATE(BL$5,COUNT(BL$5:BL21)),IF(BL21=EDATE('Adjustment Surface'!$C$6,DATEDIF('Adjustment Surface'!$C$6,MAX('Adjustment Surface'!$C$14:$F$14),"M")),MAX('Adjustment Surface'!$C$14:$F$14),EDATE('Adjustment Surface'!$C$6,DATEDIF('Adjustment Surface'!$C$6,MAX('Adjustment Surface'!$C$14:$F$14),"M")))))</f>
        <v>46610</v>
      </c>
      <c r="BN21" s="3">
        <f t="shared" si="4"/>
        <v>31</v>
      </c>
      <c r="BO21" s="5">
        <f>IF(BK21="","",(BM21-'Rate &amp; Vol Update'!$C$2)/360)</f>
        <v>1.5166666666666666</v>
      </c>
      <c r="BP21" s="15">
        <f>IF(BK21="","",IF('Adjustment Surface'!$C$3='Data Validation'!$C$2,'Adjustment Surface'!$C$4,_xlfn.IFNA(IF(INDEX(Schedules!$E$3:$E$123,MATCH('Bachelier Model'!BL21,Schedules!$B$3:$B$123,0))="",BP20,INDEX(Schedules!$E$3:$E$123,MATCH('Bachelier Model'!BL21,Schedules!$B$3:$B$123,0))),BP20)))</f>
        <v>25000000</v>
      </c>
      <c r="BQ21" s="16">
        <f>IF(BK21="","",'Adjustment Surface'!B$17)</f>
        <v>0.05</v>
      </c>
      <c r="BR21" s="16" cm="1">
        <f t="array" ref="BR21">IF(BK21="","",FORECAST(BL21,INDEX('Rate &amp; Vol Update'!$C$6:$C$127,MATCH(INDEX('Rate &amp; Vol Update'!$B$6:$B$127,MATCH(BL21,'Rate &amp; Vol Update'!$B$6:$B$127,1)),'Rate &amp; Vol Update'!$B$6:$B$127,0)+IF('Adjustment Surface'!$C$11='Data Validation'!$E$3,-1,0)):INDEX('Rate &amp; Vol Update'!$C$6:$C$127,MATCH(INDEX('Rate &amp; Vol Update'!$B$6:$B$127,MATCH(BL21,'Rate &amp; Vol Update'!$B$6:$B$127,1)+1),'Rate &amp; Vol Update'!$B$6:$B$127,0)+IF('Adjustment Surface'!$C$11='Data Validation'!$E$3,-1,0)),INDEX('Rate &amp; Vol Update'!$B$6:$B$127,MATCH(BL21,'Rate &amp; Vol Update'!$B$6:$B$127,1)):INDEX('Rate &amp; Vol Update'!$B$6:$B$127,MATCH(BL21,'Rate &amp; Vol Update'!$B$6:$B$127,1)+1))/100)</f>
        <v>3.1662496591553978E-2</v>
      </c>
      <c r="BS21" s="16" cm="1">
        <f t="array" ref="BS21">IF(BK21="","",IF(BL21&lt;'Rate &amp; Vol Update'!$C$2,0.001%,(1/((INDEX('Rate &amp; Vol Update'!$E$6:$Z$6,1,MATCH(BQ21,'Rate &amp; Vol Update'!$E$6:$Z$6,1)+1)-INDEX('Rate &amp; Vol Update'!$E$6:$Z$6,1,MATCH(BQ21,'Rate &amp; Vol Update'!$E$6:$Z$6,1)))*(INDEX('Rate &amp; Vol Update'!$B$8:$B$127,MATCH(BL21,'Rate &amp; Vol Update'!$B$8:$B$127,1)+1)-INDEX('Rate &amp; Vol Update'!$B$8:$B$127,MATCH(BL21,'Rate &amp; Vol Update'!$B$8:$B$127,1))))*(INDEX('Rate &amp; Vol Update'!$E$8:$Z$127,MATCH(INDEX('Rate &amp; Vol Update'!$B$8:$B$127,MATCH(BL21,'Rate &amp; Vol Update'!$B$8:$B$127,1)),'Rate &amp; Vol Update'!$B$8:$B$127,0),MATCH(INDEX('Rate &amp; Vol Update'!$E$6:$Z$6,1,MATCH(BQ21,'Rate &amp; Vol Update'!$E$6:$Z$6,1)),'Rate &amp; Vol Update'!$E$6:$Z$6,0))*(INDEX('Rate &amp; Vol Update'!$E$6:$Z$6,1,MATCH(BQ21,'Rate &amp; Vol Update'!$E$6:$Z$6,1)+1)-BQ21)*(INDEX('Rate &amp; Vol Update'!$B$8:$B$127,MATCH(BL21,'Rate &amp; Vol Update'!$B$8:$B$127,1)+1)-BL21)+INDEX('Rate &amp; Vol Update'!$E$8:$Z$127,MATCH(INDEX('Rate &amp; Vol Update'!$B$8:$B$127,MATCH(BL21,'Rate &amp; Vol Update'!$B$8:$B$127,1)),'Rate &amp; Vol Update'!$B$8:$B$127,0),MATCH(INDEX('Rate &amp; Vol Update'!$E$6:$Z$6,1,MATCH(BQ21,'Rate &amp; Vol Update'!$E$6:$Z$6,1)+1),'Rate &amp; Vol Update'!$E$6:$Z$6,0))*(BQ21-INDEX('Rate &amp; Vol Update'!$E$6:$Z$6,1,MATCH(BQ21,'Rate &amp; Vol Update'!$E$6:$Z$6,1)))*(INDEX('Rate &amp; Vol Update'!$B$8:$B$127,MATCH(BL21,'Rate &amp; Vol Update'!$B$8:$B$127,1)+1)-BL21)+INDEX('Rate &amp; Vol Update'!$E$8:$Z$127,MATCH(INDEX('Rate &amp; Vol Update'!$B$8:$B$127,MATCH(BL21,'Rate &amp; Vol Update'!$B$8:$B$127,1)+1),'Rate &amp; Vol Update'!$B$8:$B$127,0),MATCH(INDEX('Rate &amp; Vol Update'!$E$6:$Z$6,1,MATCH(BQ21,'Rate &amp; Vol Update'!$E$6:$Z$6,1)),'Rate &amp; Vol Update'!$E$6:$Z$6,0))*(INDEX('Rate &amp; Vol Update'!$E$6:$Z$6,1,MATCH(BQ21,'Rate &amp; Vol Update'!$E$6:$Z$6,1)+1)-BQ21)*(BL21-INDEX('Rate &amp; Vol Update'!$B$8:$B$127,MATCH(BL21,'Rate &amp; Vol Update'!$B$8:$B$127,1)))+INDEX('Rate &amp; Vol Update'!$E$8:$Z$127,MATCH(INDEX('Rate &amp; Vol Update'!$B$8:$B$127,MATCH(BL21,'Rate &amp; Vol Update'!$B$8:$B$127,1)+1),'Rate &amp; Vol Update'!$B$8:$B$127,0),MATCH(INDEX('Rate &amp; Vol Update'!$E$6:$Z$6,1,MATCH(BQ21,'Rate &amp; Vol Update'!$E$6:$Z$6,1)+1),'Rate &amp; Vol Update'!$E$6:$Z$6,0))*(BQ21-INDEX('Rate &amp; Vol Update'!$E$6:$Z$6,1,MATCH(BQ21,'Rate &amp; Vol Update'!$E$6:$Z$6,1)))*(BL21-INDEX('Rate &amp; Vol Update'!$B$8:$B$127,MATCH(BL21,'Rate &amp; Vol Update'!$B$8:$B$127,1)))))*0.01%))</f>
        <v>9.1030580128055871E-3</v>
      </c>
      <c r="BT21" s="5">
        <f>IF(BK21="","",1/((1+BR21)^((BM21-'Rate &amp; Vol Update'!$C$2)/360)))</f>
        <v>0.95382325753791952</v>
      </c>
      <c r="BV21" s="15">
        <f>IF(BK21="","",IF(BL21&lt;'Rate &amp; Vol Update'!$C$2,MAX(0,BR21-BQ21)*(BN21/360)*BP21,(((IF('Adjustment Surface'!$C$2='Data Validation'!$A$2,BR21,IF('Adjustment Surface'!$C$2='Data Validation'!$A$3,BQ21,"Unknown Option Type"))-IF('Adjustment Surface'!$C$2='Data Validation'!$A$2,BQ21,IF('Adjustment Surface'!$C$2='Data Validation'!$A$3,BR21,"Unknown Option Type")))*(NORMDIST((IF('Adjustment Surface'!$C$2='Data Validation'!$A$2,BR21,IF('Adjustment Surface'!$C$2='Data Validation'!$A$3,BQ21,"Unknown Option Type"))-IF('Adjustment Surface'!$C$2='Data Validation'!$A$2,BQ21,IF('Adjustment Surface'!$C$2='Data Validation'!$A$3,BR21,"Unknown Option Type")))/(BS21*SQRT(BO21)),0,1,TRUE)))+((BS21*SQRT(BO21))*(NORMDIST((IF('Adjustment Surface'!$C$2='Data Validation'!$A$2,BR21,IF('Adjustment Surface'!$C$2='Data Validation'!$A$3,BQ21,"Unknown Option Type"))-IF('Adjustment Surface'!$C$2='Data Validation'!$A$2,BQ21,IF('Adjustment Surface'!$C$2='Data Validation'!$A$3,BR21,"Unknown Option Type")))/(BS21*SQRT(BO21)),0,1,FALSE))))*BT21*(BN21/360)*BP21))</f>
        <v>491.56667813180405</v>
      </c>
      <c r="BW21" s="15">
        <f>IF(BK21="","",SUM(BV$4:BV21))</f>
        <v>2274.4207732365116</v>
      </c>
      <c r="BY21" s="15">
        <f>IF(BK21="","",IF(BL21&lt;'Rate &amp; Vol Update'!$C$2,0,((((((IF('Adjustment Surface'!$C$2='Data Validation'!$A$2,BR21,IF('Adjustment Surface'!$C$2='Data Validation'!$A$3,BQ21,"Unknown Option Type"))-IF('Adjustment Surface'!$C$2='Data Validation'!$A$2,BQ21,IF('Adjustment Surface'!$C$2='Data Validation'!$A$3,BR21,"Unknown Option Type")))*(NORMDIST((IF('Adjustment Surface'!$C$2='Data Validation'!$A$2,BR21,IF('Adjustment Surface'!$C$2='Data Validation'!$A$3,BQ21,"Unknown Option Type"))-IF('Adjustment Surface'!$C$2='Data Validation'!$A$2,BQ21,IF('Adjustment Surface'!$C$2='Data Validation'!$A$3,BR21,"Unknown Option Type")))/((BS21+0.01%)*SQRT(BO21)),0,1,TRUE)))+(((BS21+0.01%)*SQRT(BO21))*(NORMDIST((IF('Adjustment Surface'!$C$2='Data Validation'!$A$2,BR21,IF('Adjustment Surface'!$C$2='Data Validation'!$A$3,BQ21,"Unknown Option Type"))-IF('Adjustment Surface'!$C$2='Data Validation'!$A$2,BQ21,IF('Adjustment Surface'!$C$2='Data Validation'!$A$3,BR21,"Unknown Option Type")))/((BS21+0.01%)*SQRT(BO21)),0,1,FALSE))))*BT21*(BN21/360))-(BV21/BP21))*BP21)*BT21))</f>
        <v>25.622798318984024</v>
      </c>
      <c r="BZ21" s="15">
        <f>IF(BK21="","",SUM(BY$4:BY21))</f>
        <v>142.17561981232993</v>
      </c>
      <c r="CA21" s="15"/>
      <c r="CB21" s="20"/>
      <c r="CC21" s="3">
        <v>18</v>
      </c>
      <c r="CD21" s="4">
        <f>IF(CE20=MAX('Adjustment Surface'!$C$14:$F$14),"",CE20)</f>
        <v>46579</v>
      </c>
      <c r="CE21" s="4">
        <f>IF(CD21="","",IF(CD21&lt;EDATE('Adjustment Surface'!$C$6,DATEDIF('Adjustment Surface'!$C$6,MAX('Adjustment Surface'!$C$14:$F$14),"M")),EDATE(CD$5,COUNT(CD$5:CD21)),IF(CD21=EDATE('Adjustment Surface'!$C$6,DATEDIF('Adjustment Surface'!$C$6,MAX('Adjustment Surface'!$C$14:$F$14),"M")),MAX('Adjustment Surface'!$C$14:$F$14),EDATE('Adjustment Surface'!$C$6,DATEDIF('Adjustment Surface'!$C$6,MAX('Adjustment Surface'!$C$14:$F$14),"M")))))</f>
        <v>46610</v>
      </c>
      <c r="CF21" s="3">
        <f t="shared" si="5"/>
        <v>31</v>
      </c>
      <c r="CG21" s="5">
        <f>IF(CC21="","",(CE21-'Rate &amp; Vol Update'!$C$2)/360)</f>
        <v>1.5166666666666666</v>
      </c>
      <c r="CH21" s="15">
        <f>IF(CC21="","",IF('Adjustment Surface'!$C$3='Data Validation'!$C$2,'Adjustment Surface'!$C$4,_xlfn.IFNA(IF(INDEX(Schedules!$E$3:$E$123,MATCH('Bachelier Model'!CD21,Schedules!$B$3:$B$123,0))="",CH20,INDEX(Schedules!$E$3:$E$123,MATCH('Bachelier Model'!CD21,Schedules!$B$3:$B$123,0))),CH20)))</f>
        <v>25000000</v>
      </c>
      <c r="CI21" s="16">
        <f>IF(CC21="","",'Adjustment Surface'!B$18)</f>
        <v>0.06</v>
      </c>
      <c r="CJ21" s="16" cm="1">
        <f t="array" ref="CJ21">IF(CC21="","",FORECAST(CD21,INDEX('Rate &amp; Vol Update'!$C$6:$C$127,MATCH(INDEX('Rate &amp; Vol Update'!$B$6:$B$127,MATCH(CD21,'Rate &amp; Vol Update'!$B$6:$B$127,1)),'Rate &amp; Vol Update'!$B$6:$B$127,0)+IF('Adjustment Surface'!$C$11='Data Validation'!$E$3,-1,0)):INDEX('Rate &amp; Vol Update'!$C$6:$C$127,MATCH(INDEX('Rate &amp; Vol Update'!$B$6:$B$127,MATCH(CD21,'Rate &amp; Vol Update'!$B$6:$B$127,1)+1),'Rate &amp; Vol Update'!$B$6:$B$127,0)+IF('Adjustment Surface'!$C$11='Data Validation'!$E$3,-1,0)),INDEX('Rate &amp; Vol Update'!$B$6:$B$127,MATCH(CD21,'Rate &amp; Vol Update'!$B$6:$B$127,1)):INDEX('Rate &amp; Vol Update'!$B$6:$B$127,MATCH(CD21,'Rate &amp; Vol Update'!$B$6:$B$127,1)+1))/100)</f>
        <v>3.1662496591553978E-2</v>
      </c>
      <c r="CK21" s="16" cm="1">
        <f t="array" ref="CK21">IF(CC21="","",IF(CD21&lt;'Rate &amp; Vol Update'!$C$2,0.001%,(1/((INDEX('Rate &amp; Vol Update'!$E$6:$Z$6,1,MATCH(CI21,'Rate &amp; Vol Update'!$E$6:$Z$6,1)+1)-INDEX('Rate &amp; Vol Update'!$E$6:$Z$6,1,MATCH(CI21,'Rate &amp; Vol Update'!$E$6:$Z$6,1)))*(INDEX('Rate &amp; Vol Update'!$B$8:$B$127,MATCH(CD21,'Rate &amp; Vol Update'!$B$8:$B$127,1)+1)-INDEX('Rate &amp; Vol Update'!$B$8:$B$127,MATCH(CD21,'Rate &amp; Vol Update'!$B$8:$B$127,1))))*(INDEX('Rate &amp; Vol Update'!$E$8:$Z$127,MATCH(INDEX('Rate &amp; Vol Update'!$B$8:$B$127,MATCH(CD21,'Rate &amp; Vol Update'!$B$8:$B$127,1)),'Rate &amp; Vol Update'!$B$8:$B$127,0),MATCH(INDEX('Rate &amp; Vol Update'!$E$6:$Z$6,1,MATCH(CI21,'Rate &amp; Vol Update'!$E$6:$Z$6,1)),'Rate &amp; Vol Update'!$E$6:$Z$6,0))*(INDEX('Rate &amp; Vol Update'!$E$6:$Z$6,1,MATCH(CI21,'Rate &amp; Vol Update'!$E$6:$Z$6,1)+1)-CI21)*(INDEX('Rate &amp; Vol Update'!$B$8:$B$127,MATCH(CD21,'Rate &amp; Vol Update'!$B$8:$B$127,1)+1)-CD21)+INDEX('Rate &amp; Vol Update'!$E$8:$Z$127,MATCH(INDEX('Rate &amp; Vol Update'!$B$8:$B$127,MATCH(CD21,'Rate &amp; Vol Update'!$B$8:$B$127,1)),'Rate &amp; Vol Update'!$B$8:$B$127,0),MATCH(INDEX('Rate &amp; Vol Update'!$E$6:$Z$6,1,MATCH(CI21,'Rate &amp; Vol Update'!$E$6:$Z$6,1)+1),'Rate &amp; Vol Update'!$E$6:$Z$6,0))*(CI21-INDEX('Rate &amp; Vol Update'!$E$6:$Z$6,1,MATCH(CI21,'Rate &amp; Vol Update'!$E$6:$Z$6,1)))*(INDEX('Rate &amp; Vol Update'!$B$8:$B$127,MATCH(CD21,'Rate &amp; Vol Update'!$B$8:$B$127,1)+1)-CD21)+INDEX('Rate &amp; Vol Update'!$E$8:$Z$127,MATCH(INDEX('Rate &amp; Vol Update'!$B$8:$B$127,MATCH(CD21,'Rate &amp; Vol Update'!$B$8:$B$127,1)+1),'Rate &amp; Vol Update'!$B$8:$B$127,0),MATCH(INDEX('Rate &amp; Vol Update'!$E$6:$Z$6,1,MATCH(CI21,'Rate &amp; Vol Update'!$E$6:$Z$6,1)),'Rate &amp; Vol Update'!$E$6:$Z$6,0))*(INDEX('Rate &amp; Vol Update'!$E$6:$Z$6,1,MATCH(CI21,'Rate &amp; Vol Update'!$E$6:$Z$6,1)+1)-CI21)*(CD21-INDEX('Rate &amp; Vol Update'!$B$8:$B$127,MATCH(CD21,'Rate &amp; Vol Update'!$B$8:$B$127,1)))+INDEX('Rate &amp; Vol Update'!$E$8:$Z$127,MATCH(INDEX('Rate &amp; Vol Update'!$B$8:$B$127,MATCH(CD21,'Rate &amp; Vol Update'!$B$8:$B$127,1)+1),'Rate &amp; Vol Update'!$B$8:$B$127,0),MATCH(INDEX('Rate &amp; Vol Update'!$E$6:$Z$6,1,MATCH(CI21,'Rate &amp; Vol Update'!$E$6:$Z$6,1)+1),'Rate &amp; Vol Update'!$E$6:$Z$6,0))*(CI21-INDEX('Rate &amp; Vol Update'!$E$6:$Z$6,1,MATCH(CI21,'Rate &amp; Vol Update'!$E$6:$Z$6,1)))*(CD21-INDEX('Rate &amp; Vol Update'!$B$8:$B$127,MATCH(CD21,'Rate &amp; Vol Update'!$B$8:$B$127,1)))))*0.01%))</f>
        <v>1.1091221635486936E-2</v>
      </c>
      <c r="CL21" s="5">
        <f>IF(CC21="","",1/((1+CJ21)^((CE21-'Rate &amp; Vol Update'!$C$2)/360)))</f>
        <v>0.95382325753791952</v>
      </c>
      <c r="CN21" s="15">
        <f>IF(CC21="","",IF(CD21&lt;'Rate &amp; Vol Update'!$C$2,MAX(0,CJ21-CI21)*(CF21/360)*CH21,(((IF('Adjustment Surface'!$C$2='Data Validation'!$A$2,CJ21,IF('Adjustment Surface'!$C$2='Data Validation'!$A$3,CI21,"Unknown Option Type"))-IF('Adjustment Surface'!$C$2='Data Validation'!$A$2,CI21,IF('Adjustment Surface'!$C$2='Data Validation'!$A$3,CJ21,"Unknown Option Type")))*(NORMDIST((IF('Adjustment Surface'!$C$2='Data Validation'!$A$2,CJ21,IF('Adjustment Surface'!$C$2='Data Validation'!$A$3,CI21,"Unknown Option Type"))-IF('Adjustment Surface'!$C$2='Data Validation'!$A$2,CI21,IF('Adjustment Surface'!$C$2='Data Validation'!$A$3,CJ21,"Unknown Option Type")))/(CK21*SQRT(CG21)),0,1,TRUE)))+((CK21*SQRT(CG21))*(NORMDIST((IF('Adjustment Surface'!$C$2='Data Validation'!$A$2,CJ21,IF('Adjustment Surface'!$C$2='Data Validation'!$A$3,CI21,"Unknown Option Type"))-IF('Adjustment Surface'!$C$2='Data Validation'!$A$2,CI21,IF('Adjustment Surface'!$C$2='Data Validation'!$A$3,CJ21,"Unknown Option Type")))/(CK21*SQRT(CG21)),0,1,FALSE))))*CL21*(CF21/360)*CH21))</f>
        <v>194.54364183903257</v>
      </c>
      <c r="CO21" s="15">
        <f>IF(CC21="","",SUM(CN$4:CN21))</f>
        <v>751.68619839909195</v>
      </c>
      <c r="CQ21" s="15">
        <f>IF(CC21="","",IF(CD21&lt;'Rate &amp; Vol Update'!$C$2,0,((((((IF('Adjustment Surface'!$C$2='Data Validation'!$A$2,CJ21,IF('Adjustment Surface'!$C$2='Data Validation'!$A$3,CI21,"Unknown Option Type"))-IF('Adjustment Surface'!$C$2='Data Validation'!$A$2,CI21,IF('Adjustment Surface'!$C$2='Data Validation'!$A$3,CJ21,"Unknown Option Type")))*(NORMDIST((IF('Adjustment Surface'!$C$2='Data Validation'!$A$2,CJ21,IF('Adjustment Surface'!$C$2='Data Validation'!$A$3,CI21,"Unknown Option Type"))-IF('Adjustment Surface'!$C$2='Data Validation'!$A$2,CI21,IF('Adjustment Surface'!$C$2='Data Validation'!$A$3,CJ21,"Unknown Option Type")))/((CK21+0.01%)*SQRT(CG21)),0,1,TRUE)))+(((CK21+0.01%)*SQRT(CG21))*(NORMDIST((IF('Adjustment Surface'!$C$2='Data Validation'!$A$2,CJ21,IF('Adjustment Surface'!$C$2='Data Validation'!$A$3,CI21,"Unknown Option Type"))-IF('Adjustment Surface'!$C$2='Data Validation'!$A$2,CI21,IF('Adjustment Surface'!$C$2='Data Validation'!$A$3,CJ21,"Unknown Option Type")))/((CK21+0.01%)*SQRT(CG21)),0,1,FALSE))))*CL21*(CF21/360))-(CN21/CH21))*CH21)*CL21))</f>
        <v>11.40412306767176</v>
      </c>
      <c r="CR21" s="15">
        <f>IF(CC21="","",SUM(CQ$4:CQ21))</f>
        <v>50.899218192789526</v>
      </c>
    </row>
    <row r="22" spans="7:96" x14ac:dyDescent="0.25">
      <c r="G22" s="28"/>
      <c r="I22" s="3">
        <v>19</v>
      </c>
      <c r="J22" s="4">
        <f>IF(K21='Adjustment Surface'!C$8,"",K21)</f>
        <v>46610</v>
      </c>
      <c r="K22" s="4">
        <f>IF(J22="","",IF(J22&lt;'Adjustment Surface'!C$7,EDATE(J$5,COUNT(J$5:J22)),IF(J22='Adjustment Surface'!C$7,'Adjustment Surface'!C$8,'Adjustment Surface'!C$7)))</f>
        <v>46641</v>
      </c>
      <c r="L22" s="3">
        <f t="shared" si="1"/>
        <v>31</v>
      </c>
      <c r="M22" s="5">
        <f>IF(I22="","",(K22-'Rate &amp; Vol Update'!$C$2)/360)</f>
        <v>1.6027777777777779</v>
      </c>
      <c r="N22" s="15">
        <f>IF(I22="","",IF('Adjustment Surface'!C$3='Data Validation'!$C$2,'Adjustment Surface'!C$4,IF(INDEX(Schedules!$E$3:$E$123,MATCH('Bachelier Model'!J22,Schedules!$B$3:$B$123,0))="",N21,INDEX(Schedules!$E$3:$E$123,MATCH('Bachelier Model'!J22,Schedules!$B$3:$B$123,0)))))</f>
        <v>25000000</v>
      </c>
      <c r="O22" s="16">
        <f>IF(I22="","",IF('Adjustment Surface'!C$9='Data Validation'!$D$2,'Adjustment Surface'!C$10,IF(INDEX(Schedules!$H$3:$H$123,MATCH('Bachelier Model'!J22,Schedules!$B$3:$B$123,0))="",O21,INDEX(Schedules!$H$3:$H$123,MATCH('Bachelier Model'!J22,Schedules!$B$3:$B$123,0)))))</f>
        <v>0.02</v>
      </c>
      <c r="P22" s="16" cm="1">
        <f t="array" ref="P22">IF(I22="","",FORECAST(J22,INDEX('Rate &amp; Vol Update'!$C$6:$C$127,MATCH(INDEX('Rate &amp; Vol Update'!$B$6:$B$127,MATCH(J22,'Rate &amp; Vol Update'!$B$6:$B$127,1)),'Rate &amp; Vol Update'!$B$6:$B$127,0)+IF('Adjustment Surface'!C$11='Data Validation'!$E$3,-1,0)):INDEX('Rate &amp; Vol Update'!$C$6:$C$127,MATCH(INDEX('Rate &amp; Vol Update'!$B$6:$B$127,MATCH(J22,'Rate &amp; Vol Update'!$B$6:$B$127,1)+1),'Rate &amp; Vol Update'!$B$6:$B$127,0)+IF('Adjustment Surface'!C$11='Data Validation'!$E$3,-1,0)),INDEX('Rate &amp; Vol Update'!$B$6:$B$127,MATCH(J22,'Rate &amp; Vol Update'!$B$6:$B$127,1)):INDEX('Rate &amp; Vol Update'!$B$6:$B$127,MATCH(J22,'Rate &amp; Vol Update'!$B$6:$B$127,1)+1))/100)</f>
        <v>3.2142921917914222E-2</v>
      </c>
      <c r="Q22" s="16" cm="1">
        <f t="array" ref="Q22">IF(I22="","",IF(J22&lt;'Rate &amp; Vol Update'!$C$2,0.001%,(1/((INDEX('Rate &amp; Vol Update'!$E$6:$Z$6,1,MATCH(O22,'Rate &amp; Vol Update'!$E$6:$Z$6,1)+1)-INDEX('Rate &amp; Vol Update'!$E$6:$Z$6,1,MATCH(O22,'Rate &amp; Vol Update'!$E$6:$Z$6,1)))*(INDEX('Rate &amp; Vol Update'!$B$8:$B$127,MATCH(J22,'Rate &amp; Vol Update'!$B$8:$B$127,1)+1)-INDEX('Rate &amp; Vol Update'!$B$8:$B$127,MATCH(J22,'Rate &amp; Vol Update'!$B$8:$B$127,1))))*(INDEX('Rate &amp; Vol Update'!$E$8:$Z$127,MATCH(INDEX('Rate &amp; Vol Update'!$B$8:$B$127,MATCH(J22,'Rate &amp; Vol Update'!$B$8:$B$127,1)),'Rate &amp; Vol Update'!$B$8:$B$127,0),MATCH(INDEX('Rate &amp; Vol Update'!$E$6:$Z$6,1,MATCH(O22,'Rate &amp; Vol Update'!$E$6:$Z$6,1)),'Rate &amp; Vol Update'!$E$6:$Z$6,0))*(INDEX('Rate &amp; Vol Update'!$E$6:$Z$6,1,MATCH(O22,'Rate &amp; Vol Update'!$E$6:$Z$6,1)+1)-O22)*(INDEX('Rate &amp; Vol Update'!$B$8:$B$127,MATCH(J22,'Rate &amp; Vol Update'!$B$8:$B$127,1)+1)-J22)+INDEX('Rate &amp; Vol Update'!$E$8:$Z$127,MATCH(INDEX('Rate &amp; Vol Update'!$B$8:$B$127,MATCH(J22,'Rate &amp; Vol Update'!$B$8:$B$127,1)),'Rate &amp; Vol Update'!$B$8:$B$127,0),MATCH(INDEX('Rate &amp; Vol Update'!$E$6:$Z$6,1,MATCH(O22,'Rate &amp; Vol Update'!$E$6:$Z$6,1)+1),'Rate &amp; Vol Update'!$E$6:$Z$6,0))*(O22-INDEX('Rate &amp; Vol Update'!$E$6:$Z$6,1,MATCH(O22,'Rate &amp; Vol Update'!$E$6:$Z$6,1)))*(INDEX('Rate &amp; Vol Update'!$B$8:$B$127,MATCH(J22,'Rate &amp; Vol Update'!$B$8:$B$127,1)+1)-J22)+INDEX('Rate &amp; Vol Update'!$E$8:$Z$127,MATCH(INDEX('Rate &amp; Vol Update'!$B$8:$B$127,MATCH(J22,'Rate &amp; Vol Update'!$B$8:$B$127,1)+1),'Rate &amp; Vol Update'!$B$8:$B$127,0),MATCH(INDEX('Rate &amp; Vol Update'!$E$6:$Z$6,1,MATCH(O22,'Rate &amp; Vol Update'!$E$6:$Z$6,1)),'Rate &amp; Vol Update'!$E$6:$Z$6,0))*(INDEX('Rate &amp; Vol Update'!$E$6:$Z$6,1,MATCH(O22,'Rate &amp; Vol Update'!$E$6:$Z$6,1)+1)-O22)*(J22-INDEX('Rate &amp; Vol Update'!$B$8:$B$127,MATCH(J22,'Rate &amp; Vol Update'!$B$8:$B$127,1)))+INDEX('Rate &amp; Vol Update'!$E$8:$Z$127,MATCH(INDEX('Rate &amp; Vol Update'!$B$8:$B$127,MATCH(J22,'Rate &amp; Vol Update'!$B$8:$B$127,1)+1),'Rate &amp; Vol Update'!$B$8:$B$127,0),MATCH(INDEX('Rate &amp; Vol Update'!$E$6:$Z$6,1,MATCH(O22,'Rate &amp; Vol Update'!$E$6:$Z$6,1)+1),'Rate &amp; Vol Update'!$E$6:$Z$6,0))*(O22-INDEX('Rate &amp; Vol Update'!$E$6:$Z$6,1,MATCH(O22,'Rate &amp; Vol Update'!$E$6:$Z$6,1)))*(J22-INDEX('Rate &amp; Vol Update'!$B$8:$B$127,MATCH(J22,'Rate &amp; Vol Update'!$B$8:$B$127,1)))))*0.01%))</f>
        <v>9.5569977124277429E-3</v>
      </c>
      <c r="R22" s="5">
        <f>IF(I22="","",1/((1+P22)^((K22-'Rate &amp; Vol Update'!$C$2)/360)))</f>
        <v>0.95055684137729046</v>
      </c>
      <c r="T22" s="15">
        <f>IF(I22="","",IF(J22&lt;'Rate &amp; Vol Update'!$C$2,MAX(0,P22-O22)*(L22/360)*N22,(((IF('Adjustment Surface'!C$2='Data Validation'!$A$2,P22,IF('Adjustment Surface'!C$2='Data Validation'!$A$3,O22,"Unknown Option Type"))-IF('Adjustment Surface'!C$2='Data Validation'!$A$2,O22,IF('Adjustment Surface'!C$2='Data Validation'!$A$3,P22,"Unknown Option Type")))*(NORMDIST((IF('Adjustment Surface'!C$2='Data Validation'!$A$2,P22,IF('Adjustment Surface'!C$2='Data Validation'!$A$3,O22,"Unknown Option Type"))-IF('Adjustment Surface'!C$2='Data Validation'!$A$2,O22,IF('Adjustment Surface'!C$2='Data Validation'!$A$3,P22,"Unknown Option Type")))/(Q22*SQRT(M22)),0,1,TRUE)))+((Q22*SQRT(M22))*(NORMDIST((IF('Adjustment Surface'!C$2='Data Validation'!$A$2,P22,IF('Adjustment Surface'!C$2='Data Validation'!$A$3,O22,"Unknown Option Type"))-IF('Adjustment Surface'!C$2='Data Validation'!$A$2,O22,IF('Adjustment Surface'!C$2='Data Validation'!$A$3,P22,"Unknown Option Type")))/(Q22*SQRT(M22)),0,1,FALSE))))*R22*(L22/360)*N22))</f>
        <v>26897.194599221199</v>
      </c>
      <c r="U22" s="15">
        <f>IF(I22="","",SUM(T$4:T22))</f>
        <v>533454.55886591307</v>
      </c>
      <c r="W22" s="15">
        <f>IF(I22="","",IF(J22&lt;'Rate &amp; Vol Update'!$C$2,0,((((((IF('Adjustment Surface'!C$2='Data Validation'!$A$2,P22,IF('Adjustment Surface'!C$2='Data Validation'!$A$3,O22,"Unknown Option Type"))-IF('Adjustment Surface'!C$2='Data Validation'!$A$2,O22,IF('Adjustment Surface'!C$2='Data Validation'!$A$3,P22,"Unknown Option Type")))*(NORMDIST((IF('Adjustment Surface'!C$2='Data Validation'!$A$2,P22,IF('Adjustment Surface'!C$2='Data Validation'!$A$3,O22,"Unknown Option Type"))-IF('Adjustment Surface'!C$2='Data Validation'!$A$2,O22,IF('Adjustment Surface'!C$2='Data Validation'!$A$3,P22,"Unknown Option Type")))/((Q22+0.01%)*SQRT(M22)),0,1,TRUE)))+(((Q22+0.01%)*SQRT(M22))*(NORMDIST((IF('Adjustment Surface'!C$2='Data Validation'!$A$2,P22,IF('Adjustment Surface'!C$2='Data Validation'!$A$3,O22,"Unknown Option Type"))-IF('Adjustment Surface'!C$2='Data Validation'!$A$2,O22,IF('Adjustment Surface'!C$2='Data Validation'!$A$3,P22,"Unknown Option Type")))/((Q22+0.01%)*SQRT(M22)),0,1,FALSE))))*R22*(L22/360))-(T22/N22))*N22)*R22))</f>
        <v>59.683043555566513</v>
      </c>
      <c r="X22" s="15">
        <f>IF(I22="","",SUM(W$4:W22))</f>
        <v>504.87483476928071</v>
      </c>
      <c r="Y22" s="15"/>
      <c r="Z22" s="20"/>
      <c r="AA22" s="3">
        <v>19</v>
      </c>
      <c r="AB22" s="4">
        <f>IF(AC21=MAX('Adjustment Surface'!$C$14:$F$14),"",AC21)</f>
        <v>46610</v>
      </c>
      <c r="AC22" s="4">
        <f>IF(AB22="","",IF(AB22&lt;EDATE('Adjustment Surface'!$C$6,DATEDIF('Adjustment Surface'!$C$6,MAX('Adjustment Surface'!$C$14:$F$14),"M")),EDATE(AB$5,COUNT(AB$5:AB22)),IF(AB22=EDATE('Adjustment Surface'!$C$6,DATEDIF('Adjustment Surface'!$C$6,MAX('Adjustment Surface'!$C$14:$F$14),"M")),MAX('Adjustment Surface'!$C$14:$F$14),EDATE('Adjustment Surface'!$C$6,DATEDIF('Adjustment Surface'!$C$6,MAX('Adjustment Surface'!$C$14:$F$14),"M")))))</f>
        <v>46641</v>
      </c>
      <c r="AD22" s="3">
        <f t="shared" si="2"/>
        <v>31</v>
      </c>
      <c r="AE22" s="5">
        <f>IF(AA22="","",(AC22-'Rate &amp; Vol Update'!$C$2)/360)</f>
        <v>1.6027777777777779</v>
      </c>
      <c r="AF22" s="15">
        <f>IF(AA22="","",IF('Adjustment Surface'!$C$3='Data Validation'!$C$2,'Adjustment Surface'!$C$4,_xlfn.IFNA(IF(INDEX(Schedules!$E$3:$E$123,MATCH('Bachelier Model'!AB22,Schedules!$B$3:$B$123,0))="",AF21,INDEX(Schedules!$E$3:$E$123,MATCH('Bachelier Model'!AB22,Schedules!$B$3:$B$123,0))),AF21)))</f>
        <v>25000000</v>
      </c>
      <c r="AG22" s="16">
        <f>IF(AA22="","",'Adjustment Surface'!B$15)</f>
        <v>0.03</v>
      </c>
      <c r="AH22" s="16" cm="1">
        <f t="array" ref="AH22">IF(AA22="","",FORECAST(AB22,INDEX('Rate &amp; Vol Update'!$C$6:$C$127,MATCH(INDEX('Rate &amp; Vol Update'!$B$6:$B$127,MATCH(AB22,'Rate &amp; Vol Update'!$B$6:$B$127,1)),'Rate &amp; Vol Update'!$B$6:$B$127,0)+IF('Adjustment Surface'!$C$11='Data Validation'!$E$3,-1,0)):INDEX('Rate &amp; Vol Update'!$C$6:$C$127,MATCH(INDEX('Rate &amp; Vol Update'!$B$6:$B$127,MATCH(AB22,'Rate &amp; Vol Update'!$B$6:$B$127,1)+1),'Rate &amp; Vol Update'!$B$6:$B$127,0)+IF('Adjustment Surface'!$C$11='Data Validation'!$E$3,-1,0)),INDEX('Rate &amp; Vol Update'!$B$6:$B$127,MATCH(AB22,'Rate &amp; Vol Update'!$B$6:$B$127,1)):INDEX('Rate &amp; Vol Update'!$B$6:$B$127,MATCH(AB22,'Rate &amp; Vol Update'!$B$6:$B$127,1)+1))/100)</f>
        <v>3.2142921917914222E-2</v>
      </c>
      <c r="AI22" s="16" cm="1">
        <f t="array" ref="AI22">IF(AA22="","",IF(AB22&lt;'Rate &amp; Vol Update'!$C$2,0.001%,(1/((INDEX('Rate &amp; Vol Update'!$E$6:$Z$6,1,MATCH(AG22,'Rate &amp; Vol Update'!$E$6:$Z$6,1)+1)-INDEX('Rate &amp; Vol Update'!$E$6:$Z$6,1,MATCH(AG22,'Rate &amp; Vol Update'!$E$6:$Z$6,1)))*(INDEX('Rate &amp; Vol Update'!$B$8:$B$127,MATCH(AB22,'Rate &amp; Vol Update'!$B$8:$B$127,1)+1)-INDEX('Rate &amp; Vol Update'!$B$8:$B$127,MATCH(AB22,'Rate &amp; Vol Update'!$B$8:$B$127,1))))*(INDEX('Rate &amp; Vol Update'!$E$8:$Z$127,MATCH(INDEX('Rate &amp; Vol Update'!$B$8:$B$127,MATCH(AB22,'Rate &amp; Vol Update'!$B$8:$B$127,1)),'Rate &amp; Vol Update'!$B$8:$B$127,0),MATCH(INDEX('Rate &amp; Vol Update'!$E$6:$Z$6,1,MATCH(AG22,'Rate &amp; Vol Update'!$E$6:$Z$6,1)),'Rate &amp; Vol Update'!$E$6:$Z$6,0))*(INDEX('Rate &amp; Vol Update'!$E$6:$Z$6,1,MATCH(AG22,'Rate &amp; Vol Update'!$E$6:$Z$6,1)+1)-AG22)*(INDEX('Rate &amp; Vol Update'!$B$8:$B$127,MATCH(AB22,'Rate &amp; Vol Update'!$B$8:$B$127,1)+1)-AB22)+INDEX('Rate &amp; Vol Update'!$E$8:$Z$127,MATCH(INDEX('Rate &amp; Vol Update'!$B$8:$B$127,MATCH(AB22,'Rate &amp; Vol Update'!$B$8:$B$127,1)),'Rate &amp; Vol Update'!$B$8:$B$127,0),MATCH(INDEX('Rate &amp; Vol Update'!$E$6:$Z$6,1,MATCH(AG22,'Rate &amp; Vol Update'!$E$6:$Z$6,1)+1),'Rate &amp; Vol Update'!$E$6:$Z$6,0))*(AG22-INDEX('Rate &amp; Vol Update'!$E$6:$Z$6,1,MATCH(AG22,'Rate &amp; Vol Update'!$E$6:$Z$6,1)))*(INDEX('Rate &amp; Vol Update'!$B$8:$B$127,MATCH(AB22,'Rate &amp; Vol Update'!$B$8:$B$127,1)+1)-AB22)+INDEX('Rate &amp; Vol Update'!$E$8:$Z$127,MATCH(INDEX('Rate &amp; Vol Update'!$B$8:$B$127,MATCH(AB22,'Rate &amp; Vol Update'!$B$8:$B$127,1)+1),'Rate &amp; Vol Update'!$B$8:$B$127,0),MATCH(INDEX('Rate &amp; Vol Update'!$E$6:$Z$6,1,MATCH(AG22,'Rate &amp; Vol Update'!$E$6:$Z$6,1)),'Rate &amp; Vol Update'!$E$6:$Z$6,0))*(INDEX('Rate &amp; Vol Update'!$E$6:$Z$6,1,MATCH(AG22,'Rate &amp; Vol Update'!$E$6:$Z$6,1)+1)-AG22)*(AB22-INDEX('Rate &amp; Vol Update'!$B$8:$B$127,MATCH(AB22,'Rate &amp; Vol Update'!$B$8:$B$127,1)))+INDEX('Rate &amp; Vol Update'!$E$8:$Z$127,MATCH(INDEX('Rate &amp; Vol Update'!$B$8:$B$127,MATCH(AB22,'Rate &amp; Vol Update'!$B$8:$B$127,1)+1),'Rate &amp; Vol Update'!$B$8:$B$127,0),MATCH(INDEX('Rate &amp; Vol Update'!$E$6:$Z$6,1,MATCH(AG22,'Rate &amp; Vol Update'!$E$6:$Z$6,1)+1),'Rate &amp; Vol Update'!$E$6:$Z$6,0))*(AG22-INDEX('Rate &amp; Vol Update'!$E$6:$Z$6,1,MATCH(AG22,'Rate &amp; Vol Update'!$E$6:$Z$6,1)))*(AB22-INDEX('Rate &amp; Vol Update'!$B$8:$B$127,MATCH(AB22,'Rate &amp; Vol Update'!$B$8:$B$127,1)))))*0.01%))</f>
        <v>7.7704714920567731E-3</v>
      </c>
      <c r="AJ22" s="5">
        <f>IF(AA22="","",1/((1+AH22)^((AC22-'Rate &amp; Vol Update'!$C$2)/360)))</f>
        <v>0.95055684137729046</v>
      </c>
      <c r="AL22" s="15">
        <f>IF(AA22="","",IF(AB22&lt;'Rate &amp; Vol Update'!$C$2,MAX(0,AH22-AG22)*(AD22/360)*AF22,(((IF('Adjustment Surface'!$C$2='Data Validation'!$A$2,AH22,IF('Adjustment Surface'!$C$2='Data Validation'!$A$3,AG22,"Unknown Option Type"))-IF('Adjustment Surface'!$C$2='Data Validation'!$A$2,AG22,IF('Adjustment Surface'!$C$2='Data Validation'!$A$3,AH22,"Unknown Option Type")))*(NORMDIST((IF('Adjustment Surface'!$C$2='Data Validation'!$A$2,AH22,IF('Adjustment Surface'!$C$2='Data Validation'!$A$3,AG22,"Unknown Option Type"))-IF('Adjustment Surface'!$C$2='Data Validation'!$A$2,AG22,IF('Adjustment Surface'!$C$2='Data Validation'!$A$3,AH22,"Unknown Option Type")))/(AI22*SQRT(AE22)),0,1,TRUE)))+((AI22*SQRT(AE22))*(NORMDIST((IF('Adjustment Surface'!$C$2='Data Validation'!$A$2,AH22,IF('Adjustment Surface'!$C$2='Data Validation'!$A$3,AG22,"Unknown Option Type"))-IF('Adjustment Surface'!$C$2='Data Validation'!$A$2,AG22,IF('Adjustment Surface'!$C$2='Data Validation'!$A$3,AH22,"Unknown Option Type")))/(AI22*SQRT(AE22)),0,1,FALSE))))*AJ22*(AD22/360)*AF22))</f>
        <v>10413.393525005715</v>
      </c>
      <c r="AM22" s="15">
        <f>IF(AA22="","",SUM(AL$4:AL22))</f>
        <v>188274.27482185385</v>
      </c>
      <c r="AO22" s="15">
        <f>IF(AA22="","",IF(AB22&lt;'Rate &amp; Vol Update'!$C$2,0,((((((IF('Adjustment Surface'!$C$2='Data Validation'!$A$2,AH22,IF('Adjustment Surface'!$C$2='Data Validation'!$A$3,AG22,"Unknown Option Type"))-IF('Adjustment Surface'!$C$2='Data Validation'!$A$2,AG22,IF('Adjustment Surface'!$C$2='Data Validation'!$A$3,AH22,"Unknown Option Type")))*(NORMDIST((IF('Adjustment Surface'!$C$2='Data Validation'!$A$2,AH22,IF('Adjustment Surface'!$C$2='Data Validation'!$A$3,AG22,"Unknown Option Type"))-IF('Adjustment Surface'!$C$2='Data Validation'!$A$2,AG22,IF('Adjustment Surface'!$C$2='Data Validation'!$A$3,AH22,"Unknown Option Type")))/((AI22+0.01%)*SQRT(AE22)),0,1,TRUE)))+(((AI22+0.01%)*SQRT(AE22))*(NORMDIST((IF('Adjustment Surface'!$C$2='Data Validation'!$A$2,AH22,IF('Adjustment Surface'!$C$2='Data Validation'!$A$3,AG22,"Unknown Option Type"))-IF('Adjustment Surface'!$C$2='Data Validation'!$A$2,AG22,IF('Adjustment Surface'!$C$2='Data Validation'!$A$3,AH22,"Unknown Option Type")))/((AI22+0.01%)*SQRT(AE22)),0,1,FALSE))))*AJ22*(AD22/360))-(AL22/AF22))*AF22)*AJ22))</f>
        <v>95.968607958241293</v>
      </c>
      <c r="AP22" s="15">
        <f>IF(AA22="","",SUM(AO$4:AO22))</f>
        <v>1104.7864589914029</v>
      </c>
      <c r="AQ22" s="15"/>
      <c r="AR22" s="20"/>
      <c r="AS22" s="3">
        <v>19</v>
      </c>
      <c r="AT22" s="4">
        <f>IF(AU21=MAX('Adjustment Surface'!$C$14:$F$14),"",AU21)</f>
        <v>46610</v>
      </c>
      <c r="AU22" s="4">
        <f>IF(AT22="","",IF(AT22&lt;EDATE('Adjustment Surface'!$C$6,DATEDIF('Adjustment Surface'!$C$6,MAX('Adjustment Surface'!$C$14:$F$14),"M")),EDATE(AT$5,COUNT(AT$5:AT22)),IF(AT22=EDATE('Adjustment Surface'!$C$6,DATEDIF('Adjustment Surface'!$C$6,MAX('Adjustment Surface'!$C$14:$F$14),"M")),MAX('Adjustment Surface'!$C$14:$F$14),EDATE('Adjustment Surface'!$C$6,DATEDIF('Adjustment Surface'!$C$6,MAX('Adjustment Surface'!$C$14:$F$14),"M")))))</f>
        <v>46641</v>
      </c>
      <c r="AV22" s="3">
        <f t="shared" si="3"/>
        <v>31</v>
      </c>
      <c r="AW22" s="5">
        <f>IF(AS22="","",(AU22-'Rate &amp; Vol Update'!$C$2)/360)</f>
        <v>1.6027777777777779</v>
      </c>
      <c r="AX22" s="15">
        <f>IF(AS22="","",IF('Adjustment Surface'!$C$3='Data Validation'!$C$2,'Adjustment Surface'!$C$4,_xlfn.IFNA(IF(INDEX(Schedules!$E$3:$E$123,MATCH('Bachelier Model'!AT22,Schedules!$B$3:$B$123,0))="",AX21,INDEX(Schedules!$E$3:$E$123,MATCH('Bachelier Model'!AT22,Schedules!$B$3:$B$123,0))),AX21)))</f>
        <v>25000000</v>
      </c>
      <c r="AY22" s="16">
        <f>IF(AS22="","",'Adjustment Surface'!B$16)</f>
        <v>0.04</v>
      </c>
      <c r="AZ22" s="16" cm="1">
        <f t="array" ref="AZ22">IF(AS22="","",FORECAST(AT22,INDEX('Rate &amp; Vol Update'!$C$6:$C$127,MATCH(INDEX('Rate &amp; Vol Update'!$B$6:$B$127,MATCH(AT22,'Rate &amp; Vol Update'!$B$6:$B$127,1)),'Rate &amp; Vol Update'!$B$6:$B$127,0)+IF('Adjustment Surface'!$C$11='Data Validation'!$E$3,-1,0)):INDEX('Rate &amp; Vol Update'!$C$6:$C$127,MATCH(INDEX('Rate &amp; Vol Update'!$B$6:$B$127,MATCH(AT22,'Rate &amp; Vol Update'!$B$6:$B$127,1)+1),'Rate &amp; Vol Update'!$B$6:$B$127,0)+IF('Adjustment Surface'!$C$11='Data Validation'!$E$3,-1,0)),INDEX('Rate &amp; Vol Update'!$B$6:$B$127,MATCH(AT22,'Rate &amp; Vol Update'!$B$6:$B$127,1)):INDEX('Rate &amp; Vol Update'!$B$6:$B$127,MATCH(AT22,'Rate &amp; Vol Update'!$B$6:$B$127,1)+1))/100)</f>
        <v>3.2142921917914222E-2</v>
      </c>
      <c r="BA22" s="16" cm="1">
        <f t="array" ref="BA22">IF(AS22="","",IF(AT22&lt;'Rate &amp; Vol Update'!$C$2,0.001%,(1/((INDEX('Rate &amp; Vol Update'!$E$6:$Z$6,1,MATCH(AY22,'Rate &amp; Vol Update'!$E$6:$Z$6,1)+1)-INDEX('Rate &amp; Vol Update'!$E$6:$Z$6,1,MATCH(AY22,'Rate &amp; Vol Update'!$E$6:$Z$6,1)))*(INDEX('Rate &amp; Vol Update'!$B$8:$B$127,MATCH(AT22,'Rate &amp; Vol Update'!$B$8:$B$127,1)+1)-INDEX('Rate &amp; Vol Update'!$B$8:$B$127,MATCH(AT22,'Rate &amp; Vol Update'!$B$8:$B$127,1))))*(INDEX('Rate &amp; Vol Update'!$E$8:$Z$127,MATCH(INDEX('Rate &amp; Vol Update'!$B$8:$B$127,MATCH(AT22,'Rate &amp; Vol Update'!$B$8:$B$127,1)),'Rate &amp; Vol Update'!$B$8:$B$127,0),MATCH(INDEX('Rate &amp; Vol Update'!$E$6:$Z$6,1,MATCH(AY22,'Rate &amp; Vol Update'!$E$6:$Z$6,1)),'Rate &amp; Vol Update'!$E$6:$Z$6,0))*(INDEX('Rate &amp; Vol Update'!$E$6:$Z$6,1,MATCH(AY22,'Rate &amp; Vol Update'!$E$6:$Z$6,1)+1)-AY22)*(INDEX('Rate &amp; Vol Update'!$B$8:$B$127,MATCH(AT22,'Rate &amp; Vol Update'!$B$8:$B$127,1)+1)-AT22)+INDEX('Rate &amp; Vol Update'!$E$8:$Z$127,MATCH(INDEX('Rate &amp; Vol Update'!$B$8:$B$127,MATCH(AT22,'Rate &amp; Vol Update'!$B$8:$B$127,1)),'Rate &amp; Vol Update'!$B$8:$B$127,0),MATCH(INDEX('Rate &amp; Vol Update'!$E$6:$Z$6,1,MATCH(AY22,'Rate &amp; Vol Update'!$E$6:$Z$6,1)+1),'Rate &amp; Vol Update'!$E$6:$Z$6,0))*(AY22-INDEX('Rate &amp; Vol Update'!$E$6:$Z$6,1,MATCH(AY22,'Rate &amp; Vol Update'!$E$6:$Z$6,1)))*(INDEX('Rate &amp; Vol Update'!$B$8:$B$127,MATCH(AT22,'Rate &amp; Vol Update'!$B$8:$B$127,1)+1)-AT22)+INDEX('Rate &amp; Vol Update'!$E$8:$Z$127,MATCH(INDEX('Rate &amp; Vol Update'!$B$8:$B$127,MATCH(AT22,'Rate &amp; Vol Update'!$B$8:$B$127,1)+1),'Rate &amp; Vol Update'!$B$8:$B$127,0),MATCH(INDEX('Rate &amp; Vol Update'!$E$6:$Z$6,1,MATCH(AY22,'Rate &amp; Vol Update'!$E$6:$Z$6,1)),'Rate &amp; Vol Update'!$E$6:$Z$6,0))*(INDEX('Rate &amp; Vol Update'!$E$6:$Z$6,1,MATCH(AY22,'Rate &amp; Vol Update'!$E$6:$Z$6,1)+1)-AY22)*(AT22-INDEX('Rate &amp; Vol Update'!$B$8:$B$127,MATCH(AT22,'Rate &amp; Vol Update'!$B$8:$B$127,1)))+INDEX('Rate &amp; Vol Update'!$E$8:$Z$127,MATCH(INDEX('Rate &amp; Vol Update'!$B$8:$B$127,MATCH(AT22,'Rate &amp; Vol Update'!$B$8:$B$127,1)+1),'Rate &amp; Vol Update'!$B$8:$B$127,0),MATCH(INDEX('Rate &amp; Vol Update'!$E$6:$Z$6,1,MATCH(AY22,'Rate &amp; Vol Update'!$E$6:$Z$6,1)+1),'Rate &amp; Vol Update'!$E$6:$Z$6,0))*(AY22-INDEX('Rate &amp; Vol Update'!$E$6:$Z$6,1,MATCH(AY22,'Rate &amp; Vol Update'!$E$6:$Z$6,1)))*(AT22-INDEX('Rate &amp; Vol Update'!$B$8:$B$127,MATCH(AT22,'Rate &amp; Vol Update'!$B$8:$B$127,1)))))*0.01%))</f>
        <v>7.4872813486566801E-3</v>
      </c>
      <c r="BB22" s="5">
        <f>IF(AS22="","",1/((1+AZ22)^((AU22-'Rate &amp; Vol Update'!$C$2)/360)))</f>
        <v>0.95055684137729046</v>
      </c>
      <c r="BD22" s="15">
        <f>IF(AS22="","",IF(AT22&lt;'Rate &amp; Vol Update'!$C$2,MAX(0,AZ22-AY22)*(AV22/360)*AX22,(((IF('Adjustment Surface'!$C$2='Data Validation'!$A$2,AZ22,IF('Adjustment Surface'!$C$2='Data Validation'!$A$3,AY22,"Unknown Option Type"))-IF('Adjustment Surface'!$C$2='Data Validation'!$A$2,AY22,IF('Adjustment Surface'!$C$2='Data Validation'!$A$3,AZ22,"Unknown Option Type")))*(NORMDIST((IF('Adjustment Surface'!$C$2='Data Validation'!$A$2,AZ22,IF('Adjustment Surface'!$C$2='Data Validation'!$A$3,AY22,"Unknown Option Type"))-IF('Adjustment Surface'!$C$2='Data Validation'!$A$2,AY22,IF('Adjustment Surface'!$C$2='Data Validation'!$A$3,AZ22,"Unknown Option Type")))/(BA22*SQRT(AW22)),0,1,TRUE)))+((BA22*SQRT(AW22))*(NORMDIST((IF('Adjustment Surface'!$C$2='Data Validation'!$A$2,AZ22,IF('Adjustment Surface'!$C$2='Data Validation'!$A$3,AY22,"Unknown Option Type"))-IF('Adjustment Surface'!$C$2='Data Validation'!$A$2,AY22,IF('Adjustment Surface'!$C$2='Data Validation'!$A$3,AZ22,"Unknown Option Type")))/(BA22*SQRT(AW22)),0,1,FALSE))))*BB22*(AV22/360)*AX22))</f>
        <v>2215.2598857925204</v>
      </c>
      <c r="BE22" s="15">
        <f>IF(AS22="","",SUM(BD$4:BD22))</f>
        <v>16633.151516974773</v>
      </c>
      <c r="BG22" s="15">
        <f>IF(AS22="","",IF(AT22&lt;'Rate &amp; Vol Update'!$C$2,0,((((((IF('Adjustment Surface'!$C$2='Data Validation'!$A$2,AZ22,IF('Adjustment Surface'!$C$2='Data Validation'!$A$3,AY22,"Unknown Option Type"))-IF('Adjustment Surface'!$C$2='Data Validation'!$A$2,AY22,IF('Adjustment Surface'!$C$2='Data Validation'!$A$3,AZ22,"Unknown Option Type")))*(NORMDIST((IF('Adjustment Surface'!$C$2='Data Validation'!$A$2,AZ22,IF('Adjustment Surface'!$C$2='Data Validation'!$A$3,AY22,"Unknown Option Type"))-IF('Adjustment Surface'!$C$2='Data Validation'!$A$2,AY22,IF('Adjustment Surface'!$C$2='Data Validation'!$A$3,AZ22,"Unknown Option Type")))/((BA22+0.01%)*SQRT(AW22)),0,1,TRUE)))+(((BA22+0.01%)*SQRT(AW22))*(NORMDIST((IF('Adjustment Surface'!$C$2='Data Validation'!$A$2,AZ22,IF('Adjustment Surface'!$C$2='Data Validation'!$A$3,AY22,"Unknown Option Type"))-IF('Adjustment Surface'!$C$2='Data Validation'!$A$2,AY22,IF('Adjustment Surface'!$C$2='Data Validation'!$A$3,AZ22,"Unknown Option Type")))/((BA22+0.01%)*SQRT(AW22)),0,1,FALSE))))*BB22*(AV22/360))-(BD22/AX22))*AX22)*BB22))</f>
        <v>69.996248217611324</v>
      </c>
      <c r="BH22" s="15">
        <f>IF(AS22="","",SUM(BG$4:BG22))</f>
        <v>702.6603726561741</v>
      </c>
      <c r="BI22" s="15"/>
      <c r="BJ22" s="20"/>
      <c r="BK22" s="3">
        <v>19</v>
      </c>
      <c r="BL22" s="4">
        <f>IF(BM21=MAX('Adjustment Surface'!$C$14:$F$14),"",BM21)</f>
        <v>46610</v>
      </c>
      <c r="BM22" s="4">
        <f>IF(BL22="","",IF(BL22&lt;EDATE('Adjustment Surface'!$C$6,DATEDIF('Adjustment Surface'!$C$6,MAX('Adjustment Surface'!$C$14:$F$14),"M")),EDATE(BL$5,COUNT(BL$5:BL22)),IF(BL22=EDATE('Adjustment Surface'!$C$6,DATEDIF('Adjustment Surface'!$C$6,MAX('Adjustment Surface'!$C$14:$F$14),"M")),MAX('Adjustment Surface'!$C$14:$F$14),EDATE('Adjustment Surface'!$C$6,DATEDIF('Adjustment Surface'!$C$6,MAX('Adjustment Surface'!$C$14:$F$14),"M")))))</f>
        <v>46641</v>
      </c>
      <c r="BN22" s="3">
        <f t="shared" si="4"/>
        <v>31</v>
      </c>
      <c r="BO22" s="5">
        <f>IF(BK22="","",(BM22-'Rate &amp; Vol Update'!$C$2)/360)</f>
        <v>1.6027777777777779</v>
      </c>
      <c r="BP22" s="15">
        <f>IF(BK22="","",IF('Adjustment Surface'!$C$3='Data Validation'!$C$2,'Adjustment Surface'!$C$4,_xlfn.IFNA(IF(INDEX(Schedules!$E$3:$E$123,MATCH('Bachelier Model'!BL22,Schedules!$B$3:$B$123,0))="",BP21,INDEX(Schedules!$E$3:$E$123,MATCH('Bachelier Model'!BL22,Schedules!$B$3:$B$123,0))),BP21)))</f>
        <v>25000000</v>
      </c>
      <c r="BQ22" s="16">
        <f>IF(BK22="","",'Adjustment Surface'!B$17)</f>
        <v>0.05</v>
      </c>
      <c r="BR22" s="16" cm="1">
        <f t="array" ref="BR22">IF(BK22="","",FORECAST(BL22,INDEX('Rate &amp; Vol Update'!$C$6:$C$127,MATCH(INDEX('Rate &amp; Vol Update'!$B$6:$B$127,MATCH(BL22,'Rate &amp; Vol Update'!$B$6:$B$127,1)),'Rate &amp; Vol Update'!$B$6:$B$127,0)+IF('Adjustment Surface'!$C$11='Data Validation'!$E$3,-1,0)):INDEX('Rate &amp; Vol Update'!$C$6:$C$127,MATCH(INDEX('Rate &amp; Vol Update'!$B$6:$B$127,MATCH(BL22,'Rate &amp; Vol Update'!$B$6:$B$127,1)+1),'Rate &amp; Vol Update'!$B$6:$B$127,0)+IF('Adjustment Surface'!$C$11='Data Validation'!$E$3,-1,0)),INDEX('Rate &amp; Vol Update'!$B$6:$B$127,MATCH(BL22,'Rate &amp; Vol Update'!$B$6:$B$127,1)):INDEX('Rate &amp; Vol Update'!$B$6:$B$127,MATCH(BL22,'Rate &amp; Vol Update'!$B$6:$B$127,1)+1))/100)</f>
        <v>3.2142921917914222E-2</v>
      </c>
      <c r="BS22" s="16" cm="1">
        <f t="array" ref="BS22">IF(BK22="","",IF(BL22&lt;'Rate &amp; Vol Update'!$C$2,0.001%,(1/((INDEX('Rate &amp; Vol Update'!$E$6:$Z$6,1,MATCH(BQ22,'Rate &amp; Vol Update'!$E$6:$Z$6,1)+1)-INDEX('Rate &amp; Vol Update'!$E$6:$Z$6,1,MATCH(BQ22,'Rate &amp; Vol Update'!$E$6:$Z$6,1)))*(INDEX('Rate &amp; Vol Update'!$B$8:$B$127,MATCH(BL22,'Rate &amp; Vol Update'!$B$8:$B$127,1)+1)-INDEX('Rate &amp; Vol Update'!$B$8:$B$127,MATCH(BL22,'Rate &amp; Vol Update'!$B$8:$B$127,1))))*(INDEX('Rate &amp; Vol Update'!$E$8:$Z$127,MATCH(INDEX('Rate &amp; Vol Update'!$B$8:$B$127,MATCH(BL22,'Rate &amp; Vol Update'!$B$8:$B$127,1)),'Rate &amp; Vol Update'!$B$8:$B$127,0),MATCH(INDEX('Rate &amp; Vol Update'!$E$6:$Z$6,1,MATCH(BQ22,'Rate &amp; Vol Update'!$E$6:$Z$6,1)),'Rate &amp; Vol Update'!$E$6:$Z$6,0))*(INDEX('Rate &amp; Vol Update'!$E$6:$Z$6,1,MATCH(BQ22,'Rate &amp; Vol Update'!$E$6:$Z$6,1)+1)-BQ22)*(INDEX('Rate &amp; Vol Update'!$B$8:$B$127,MATCH(BL22,'Rate &amp; Vol Update'!$B$8:$B$127,1)+1)-BL22)+INDEX('Rate &amp; Vol Update'!$E$8:$Z$127,MATCH(INDEX('Rate &amp; Vol Update'!$B$8:$B$127,MATCH(BL22,'Rate &amp; Vol Update'!$B$8:$B$127,1)),'Rate &amp; Vol Update'!$B$8:$B$127,0),MATCH(INDEX('Rate &amp; Vol Update'!$E$6:$Z$6,1,MATCH(BQ22,'Rate &amp; Vol Update'!$E$6:$Z$6,1)+1),'Rate &amp; Vol Update'!$E$6:$Z$6,0))*(BQ22-INDEX('Rate &amp; Vol Update'!$E$6:$Z$6,1,MATCH(BQ22,'Rate &amp; Vol Update'!$E$6:$Z$6,1)))*(INDEX('Rate &amp; Vol Update'!$B$8:$B$127,MATCH(BL22,'Rate &amp; Vol Update'!$B$8:$B$127,1)+1)-BL22)+INDEX('Rate &amp; Vol Update'!$E$8:$Z$127,MATCH(INDEX('Rate &amp; Vol Update'!$B$8:$B$127,MATCH(BL22,'Rate &amp; Vol Update'!$B$8:$B$127,1)+1),'Rate &amp; Vol Update'!$B$8:$B$127,0),MATCH(INDEX('Rate &amp; Vol Update'!$E$6:$Z$6,1,MATCH(BQ22,'Rate &amp; Vol Update'!$E$6:$Z$6,1)),'Rate &amp; Vol Update'!$E$6:$Z$6,0))*(INDEX('Rate &amp; Vol Update'!$E$6:$Z$6,1,MATCH(BQ22,'Rate &amp; Vol Update'!$E$6:$Z$6,1)+1)-BQ22)*(BL22-INDEX('Rate &amp; Vol Update'!$B$8:$B$127,MATCH(BL22,'Rate &amp; Vol Update'!$B$8:$B$127,1)))+INDEX('Rate &amp; Vol Update'!$E$8:$Z$127,MATCH(INDEX('Rate &amp; Vol Update'!$B$8:$B$127,MATCH(BL22,'Rate &amp; Vol Update'!$B$8:$B$127,1)+1),'Rate &amp; Vol Update'!$B$8:$B$127,0),MATCH(INDEX('Rate &amp; Vol Update'!$E$6:$Z$6,1,MATCH(BQ22,'Rate &amp; Vol Update'!$E$6:$Z$6,1)+1),'Rate &amp; Vol Update'!$E$6:$Z$6,0))*(BQ22-INDEX('Rate &amp; Vol Update'!$E$6:$Z$6,1,MATCH(BQ22,'Rate &amp; Vol Update'!$E$6:$Z$6,1)))*(BL22-INDEX('Rate &amp; Vol Update'!$B$8:$B$127,MATCH(BL22,'Rate &amp; Vol Update'!$B$8:$B$127,1)))))*0.01%))</f>
        <v>9.0292071792284281E-3</v>
      </c>
      <c r="BT22" s="5">
        <f>IF(BK22="","",1/((1+BR22)^((BM22-'Rate &amp; Vol Update'!$C$2)/360)))</f>
        <v>0.95055684137729046</v>
      </c>
      <c r="BV22" s="15">
        <f>IF(BK22="","",IF(BL22&lt;'Rate &amp; Vol Update'!$C$2,MAX(0,BR22-BQ22)*(BN22/360)*BP22,(((IF('Adjustment Surface'!$C$2='Data Validation'!$A$2,BR22,IF('Adjustment Surface'!$C$2='Data Validation'!$A$3,BQ22,"Unknown Option Type"))-IF('Adjustment Surface'!$C$2='Data Validation'!$A$2,BQ22,IF('Adjustment Surface'!$C$2='Data Validation'!$A$3,BR22,"Unknown Option Type")))*(NORMDIST((IF('Adjustment Surface'!$C$2='Data Validation'!$A$2,BR22,IF('Adjustment Surface'!$C$2='Data Validation'!$A$3,BQ22,"Unknown Option Type"))-IF('Adjustment Surface'!$C$2='Data Validation'!$A$2,BQ22,IF('Adjustment Surface'!$C$2='Data Validation'!$A$3,BR22,"Unknown Option Type")))/(BS22*SQRT(BO22)),0,1,TRUE)))+((BS22*SQRT(BO22))*(NORMDIST((IF('Adjustment Surface'!$C$2='Data Validation'!$A$2,BR22,IF('Adjustment Surface'!$C$2='Data Validation'!$A$3,BQ22,"Unknown Option Type"))-IF('Adjustment Surface'!$C$2='Data Validation'!$A$2,BQ22,IF('Adjustment Surface'!$C$2='Data Validation'!$A$3,BR22,"Unknown Option Type")))/(BS22*SQRT(BO22)),0,1,FALSE))))*BT22*(BN22/360)*BP22))</f>
        <v>594.07905770636228</v>
      </c>
      <c r="BW22" s="15">
        <f>IF(BK22="","",SUM(BV$4:BV22))</f>
        <v>2868.4998309428738</v>
      </c>
      <c r="BY22" s="15">
        <f>IF(BK22="","",IF(BL22&lt;'Rate &amp; Vol Update'!$C$2,0,((((((IF('Adjustment Surface'!$C$2='Data Validation'!$A$2,BR22,IF('Adjustment Surface'!$C$2='Data Validation'!$A$3,BQ22,"Unknown Option Type"))-IF('Adjustment Surface'!$C$2='Data Validation'!$A$2,BQ22,IF('Adjustment Surface'!$C$2='Data Validation'!$A$3,BR22,"Unknown Option Type")))*(NORMDIST((IF('Adjustment Surface'!$C$2='Data Validation'!$A$2,BR22,IF('Adjustment Surface'!$C$2='Data Validation'!$A$3,BQ22,"Unknown Option Type"))-IF('Adjustment Surface'!$C$2='Data Validation'!$A$2,BQ22,IF('Adjustment Surface'!$C$2='Data Validation'!$A$3,BR22,"Unknown Option Type")))/((BS22+0.01%)*SQRT(BO22)),0,1,TRUE)))+(((BS22+0.01%)*SQRT(BO22))*(NORMDIST((IF('Adjustment Surface'!$C$2='Data Validation'!$A$2,BR22,IF('Adjustment Surface'!$C$2='Data Validation'!$A$3,BQ22,"Unknown Option Type"))-IF('Adjustment Surface'!$C$2='Data Validation'!$A$2,BQ22,IF('Adjustment Surface'!$C$2='Data Validation'!$A$3,BR22,"Unknown Option Type")))/((BS22+0.01%)*SQRT(BO22)),0,1,FALSE))))*BT22*(BN22/360))-(BV22/BP22))*BP22)*BT22))</f>
        <v>29.390631187945949</v>
      </c>
      <c r="BZ22" s="15">
        <f>IF(BK22="","",SUM(BY$4:BY22))</f>
        <v>171.56625100027588</v>
      </c>
      <c r="CA22" s="15"/>
      <c r="CB22" s="20"/>
      <c r="CC22" s="3">
        <v>19</v>
      </c>
      <c r="CD22" s="4">
        <f>IF(CE21=MAX('Adjustment Surface'!$C$14:$F$14),"",CE21)</f>
        <v>46610</v>
      </c>
      <c r="CE22" s="4">
        <f>IF(CD22="","",IF(CD22&lt;EDATE('Adjustment Surface'!$C$6,DATEDIF('Adjustment Surface'!$C$6,MAX('Adjustment Surface'!$C$14:$F$14),"M")),EDATE(CD$5,COUNT(CD$5:CD22)),IF(CD22=EDATE('Adjustment Surface'!$C$6,DATEDIF('Adjustment Surface'!$C$6,MAX('Adjustment Surface'!$C$14:$F$14),"M")),MAX('Adjustment Surface'!$C$14:$F$14),EDATE('Adjustment Surface'!$C$6,DATEDIF('Adjustment Surface'!$C$6,MAX('Adjustment Surface'!$C$14:$F$14),"M")))))</f>
        <v>46641</v>
      </c>
      <c r="CF22" s="3">
        <f t="shared" si="5"/>
        <v>31</v>
      </c>
      <c r="CG22" s="5">
        <f>IF(CC22="","",(CE22-'Rate &amp; Vol Update'!$C$2)/360)</f>
        <v>1.6027777777777779</v>
      </c>
      <c r="CH22" s="15">
        <f>IF(CC22="","",IF('Adjustment Surface'!$C$3='Data Validation'!$C$2,'Adjustment Surface'!$C$4,_xlfn.IFNA(IF(INDEX(Schedules!$E$3:$E$123,MATCH('Bachelier Model'!CD22,Schedules!$B$3:$B$123,0))="",CH21,INDEX(Schedules!$E$3:$E$123,MATCH('Bachelier Model'!CD22,Schedules!$B$3:$B$123,0))),CH21)))</f>
        <v>25000000</v>
      </c>
      <c r="CI22" s="16">
        <f>IF(CC22="","",'Adjustment Surface'!B$18)</f>
        <v>0.06</v>
      </c>
      <c r="CJ22" s="16" cm="1">
        <f t="array" ref="CJ22">IF(CC22="","",FORECAST(CD22,INDEX('Rate &amp; Vol Update'!$C$6:$C$127,MATCH(INDEX('Rate &amp; Vol Update'!$B$6:$B$127,MATCH(CD22,'Rate &amp; Vol Update'!$B$6:$B$127,1)),'Rate &amp; Vol Update'!$B$6:$B$127,0)+IF('Adjustment Surface'!$C$11='Data Validation'!$E$3,-1,0)):INDEX('Rate &amp; Vol Update'!$C$6:$C$127,MATCH(INDEX('Rate &amp; Vol Update'!$B$6:$B$127,MATCH(CD22,'Rate &amp; Vol Update'!$B$6:$B$127,1)+1),'Rate &amp; Vol Update'!$B$6:$B$127,0)+IF('Adjustment Surface'!$C$11='Data Validation'!$E$3,-1,0)),INDEX('Rate &amp; Vol Update'!$B$6:$B$127,MATCH(CD22,'Rate &amp; Vol Update'!$B$6:$B$127,1)):INDEX('Rate &amp; Vol Update'!$B$6:$B$127,MATCH(CD22,'Rate &amp; Vol Update'!$B$6:$B$127,1)+1))/100)</f>
        <v>3.2142921917914222E-2</v>
      </c>
      <c r="CK22" s="16" cm="1">
        <f t="array" ref="CK22">IF(CC22="","",IF(CD22&lt;'Rate &amp; Vol Update'!$C$2,0.001%,(1/((INDEX('Rate &amp; Vol Update'!$E$6:$Z$6,1,MATCH(CI22,'Rate &amp; Vol Update'!$E$6:$Z$6,1)+1)-INDEX('Rate &amp; Vol Update'!$E$6:$Z$6,1,MATCH(CI22,'Rate &amp; Vol Update'!$E$6:$Z$6,1)))*(INDEX('Rate &amp; Vol Update'!$B$8:$B$127,MATCH(CD22,'Rate &amp; Vol Update'!$B$8:$B$127,1)+1)-INDEX('Rate &amp; Vol Update'!$B$8:$B$127,MATCH(CD22,'Rate &amp; Vol Update'!$B$8:$B$127,1))))*(INDEX('Rate &amp; Vol Update'!$E$8:$Z$127,MATCH(INDEX('Rate &amp; Vol Update'!$B$8:$B$127,MATCH(CD22,'Rate &amp; Vol Update'!$B$8:$B$127,1)),'Rate &amp; Vol Update'!$B$8:$B$127,0),MATCH(INDEX('Rate &amp; Vol Update'!$E$6:$Z$6,1,MATCH(CI22,'Rate &amp; Vol Update'!$E$6:$Z$6,1)),'Rate &amp; Vol Update'!$E$6:$Z$6,0))*(INDEX('Rate &amp; Vol Update'!$E$6:$Z$6,1,MATCH(CI22,'Rate &amp; Vol Update'!$E$6:$Z$6,1)+1)-CI22)*(INDEX('Rate &amp; Vol Update'!$B$8:$B$127,MATCH(CD22,'Rate &amp; Vol Update'!$B$8:$B$127,1)+1)-CD22)+INDEX('Rate &amp; Vol Update'!$E$8:$Z$127,MATCH(INDEX('Rate &amp; Vol Update'!$B$8:$B$127,MATCH(CD22,'Rate &amp; Vol Update'!$B$8:$B$127,1)),'Rate &amp; Vol Update'!$B$8:$B$127,0),MATCH(INDEX('Rate &amp; Vol Update'!$E$6:$Z$6,1,MATCH(CI22,'Rate &amp; Vol Update'!$E$6:$Z$6,1)+1),'Rate &amp; Vol Update'!$E$6:$Z$6,0))*(CI22-INDEX('Rate &amp; Vol Update'!$E$6:$Z$6,1,MATCH(CI22,'Rate &amp; Vol Update'!$E$6:$Z$6,1)))*(INDEX('Rate &amp; Vol Update'!$B$8:$B$127,MATCH(CD22,'Rate &amp; Vol Update'!$B$8:$B$127,1)+1)-CD22)+INDEX('Rate &amp; Vol Update'!$E$8:$Z$127,MATCH(INDEX('Rate &amp; Vol Update'!$B$8:$B$127,MATCH(CD22,'Rate &amp; Vol Update'!$B$8:$B$127,1)+1),'Rate &amp; Vol Update'!$B$8:$B$127,0),MATCH(INDEX('Rate &amp; Vol Update'!$E$6:$Z$6,1,MATCH(CI22,'Rate &amp; Vol Update'!$E$6:$Z$6,1)),'Rate &amp; Vol Update'!$E$6:$Z$6,0))*(INDEX('Rate &amp; Vol Update'!$E$6:$Z$6,1,MATCH(CI22,'Rate &amp; Vol Update'!$E$6:$Z$6,1)+1)-CI22)*(CD22-INDEX('Rate &amp; Vol Update'!$B$8:$B$127,MATCH(CD22,'Rate &amp; Vol Update'!$B$8:$B$127,1)))+INDEX('Rate &amp; Vol Update'!$E$8:$Z$127,MATCH(INDEX('Rate &amp; Vol Update'!$B$8:$B$127,MATCH(CD22,'Rate &amp; Vol Update'!$B$8:$B$127,1)+1),'Rate &amp; Vol Update'!$B$8:$B$127,0),MATCH(INDEX('Rate &amp; Vol Update'!$E$6:$Z$6,1,MATCH(CI22,'Rate &amp; Vol Update'!$E$6:$Z$6,1)+1),'Rate &amp; Vol Update'!$E$6:$Z$6,0))*(CI22-INDEX('Rate &amp; Vol Update'!$E$6:$Z$6,1,MATCH(CI22,'Rate &amp; Vol Update'!$E$6:$Z$6,1)))*(CD22-INDEX('Rate &amp; Vol Update'!$B$8:$B$127,MATCH(CD22,'Rate &amp; Vol Update'!$B$8:$B$127,1)))))*0.01%))</f>
        <v>1.1015229355400592E-2</v>
      </c>
      <c r="CL22" s="5">
        <f>IF(CC22="","",1/((1+CJ22)^((CE22-'Rate &amp; Vol Update'!$C$2)/360)))</f>
        <v>0.95055684137729046</v>
      </c>
      <c r="CN22" s="15">
        <f>IF(CC22="","",IF(CD22&lt;'Rate &amp; Vol Update'!$C$2,MAX(0,CJ22-CI22)*(CF22/360)*CH22,(((IF('Adjustment Surface'!$C$2='Data Validation'!$A$2,CJ22,IF('Adjustment Surface'!$C$2='Data Validation'!$A$3,CI22,"Unknown Option Type"))-IF('Adjustment Surface'!$C$2='Data Validation'!$A$2,CI22,IF('Adjustment Surface'!$C$2='Data Validation'!$A$3,CJ22,"Unknown Option Type")))*(NORMDIST((IF('Adjustment Surface'!$C$2='Data Validation'!$A$2,CJ22,IF('Adjustment Surface'!$C$2='Data Validation'!$A$3,CI22,"Unknown Option Type"))-IF('Adjustment Surface'!$C$2='Data Validation'!$A$2,CI22,IF('Adjustment Surface'!$C$2='Data Validation'!$A$3,CJ22,"Unknown Option Type")))/(CK22*SQRT(CG22)),0,1,TRUE)))+((CK22*SQRT(CG22))*(NORMDIST((IF('Adjustment Surface'!$C$2='Data Validation'!$A$2,CJ22,IF('Adjustment Surface'!$C$2='Data Validation'!$A$3,CI22,"Unknown Option Type"))-IF('Adjustment Surface'!$C$2='Data Validation'!$A$2,CI22,IF('Adjustment Surface'!$C$2='Data Validation'!$A$3,CJ22,"Unknown Option Type")))/(CK22*SQRT(CG22)),0,1,FALSE))))*CL22*(CF22/360)*CH22))</f>
        <v>243.8708086119052</v>
      </c>
      <c r="CO22" s="15">
        <f>IF(CC22="","",SUM(CN$4:CN22))</f>
        <v>995.55700701099715</v>
      </c>
      <c r="CQ22" s="15">
        <f>IF(CC22="","",IF(CD22&lt;'Rate &amp; Vol Update'!$C$2,0,((((((IF('Adjustment Surface'!$C$2='Data Validation'!$A$2,CJ22,IF('Adjustment Surface'!$C$2='Data Validation'!$A$3,CI22,"Unknown Option Type"))-IF('Adjustment Surface'!$C$2='Data Validation'!$A$2,CI22,IF('Adjustment Surface'!$C$2='Data Validation'!$A$3,CJ22,"Unknown Option Type")))*(NORMDIST((IF('Adjustment Surface'!$C$2='Data Validation'!$A$2,CJ22,IF('Adjustment Surface'!$C$2='Data Validation'!$A$3,CI22,"Unknown Option Type"))-IF('Adjustment Surface'!$C$2='Data Validation'!$A$2,CI22,IF('Adjustment Surface'!$C$2='Data Validation'!$A$3,CJ22,"Unknown Option Type")))/((CK22+0.01%)*SQRT(CG22)),0,1,TRUE)))+(((CK22+0.01%)*SQRT(CG22))*(NORMDIST((IF('Adjustment Surface'!$C$2='Data Validation'!$A$2,CJ22,IF('Adjustment Surface'!$C$2='Data Validation'!$A$3,CI22,"Unknown Option Type"))-IF('Adjustment Surface'!$C$2='Data Validation'!$A$2,CI22,IF('Adjustment Surface'!$C$2='Data Validation'!$A$3,CJ22,"Unknown Option Type")))/((CK22+0.01%)*SQRT(CG22)),0,1,FALSE))))*CL22*(CF22/360))-(CN22/CH22))*CH22)*CL22))</f>
        <v>13.602784173631903</v>
      </c>
      <c r="CR22" s="15">
        <f>IF(CC22="","",SUM(CQ$4:CQ22))</f>
        <v>64.502002366421436</v>
      </c>
    </row>
    <row r="23" spans="7:96" x14ac:dyDescent="0.25">
      <c r="G23" s="28"/>
      <c r="I23" s="3">
        <v>20</v>
      </c>
      <c r="J23" s="4">
        <f>IF(K22='Adjustment Surface'!C$8,"",K22)</f>
        <v>46641</v>
      </c>
      <c r="K23" s="4">
        <f>IF(J23="","",IF(J23&lt;'Adjustment Surface'!C$7,EDATE(J$5,COUNT(J$5:J23)),IF(J23='Adjustment Surface'!C$7,'Adjustment Surface'!C$8,'Adjustment Surface'!C$7)))</f>
        <v>46671</v>
      </c>
      <c r="L23" s="3">
        <f t="shared" si="1"/>
        <v>30</v>
      </c>
      <c r="M23" s="5">
        <f>IF(I23="","",(K23-'Rate &amp; Vol Update'!$C$2)/360)</f>
        <v>1.6861111111111111</v>
      </c>
      <c r="N23" s="15">
        <f>IF(I23="","",IF('Adjustment Surface'!C$3='Data Validation'!$C$2,'Adjustment Surface'!C$4,IF(INDEX(Schedules!$E$3:$E$123,MATCH('Bachelier Model'!J23,Schedules!$B$3:$B$123,0))="",N22,INDEX(Schedules!$E$3:$E$123,MATCH('Bachelier Model'!J23,Schedules!$B$3:$B$123,0)))))</f>
        <v>25000000</v>
      </c>
      <c r="O23" s="16">
        <f>IF(I23="","",IF('Adjustment Surface'!C$9='Data Validation'!$D$2,'Adjustment Surface'!C$10,IF(INDEX(Schedules!$H$3:$H$123,MATCH('Bachelier Model'!J23,Schedules!$B$3:$B$123,0))="",O22,INDEX(Schedules!$H$3:$H$123,MATCH('Bachelier Model'!J23,Schedules!$B$3:$B$123,0)))))</f>
        <v>0.02</v>
      </c>
      <c r="P23" s="16" cm="1">
        <f t="array" ref="P23">IF(I23="","",FORECAST(J23,INDEX('Rate &amp; Vol Update'!$C$6:$C$127,MATCH(INDEX('Rate &amp; Vol Update'!$B$6:$B$127,MATCH(J23,'Rate &amp; Vol Update'!$B$6:$B$127,1)),'Rate &amp; Vol Update'!$B$6:$B$127,0)+IF('Adjustment Surface'!C$11='Data Validation'!$E$3,-1,0)):INDEX('Rate &amp; Vol Update'!$C$6:$C$127,MATCH(INDEX('Rate &amp; Vol Update'!$B$6:$B$127,MATCH(J23,'Rate &amp; Vol Update'!$B$6:$B$127,1)+1),'Rate &amp; Vol Update'!$B$6:$B$127,0)+IF('Adjustment Surface'!C$11='Data Validation'!$E$3,-1,0)),INDEX('Rate &amp; Vol Update'!$B$6:$B$127,MATCH(J23,'Rate &amp; Vol Update'!$B$6:$B$127,1)):INDEX('Rate &amp; Vol Update'!$B$6:$B$127,MATCH(J23,'Rate &amp; Vol Update'!$B$6:$B$127,1)+1))/100)</f>
        <v>3.2213069900191904E-2</v>
      </c>
      <c r="Q23" s="16" cm="1">
        <f t="array" ref="Q23">IF(I23="","",IF(J23&lt;'Rate &amp; Vol Update'!$C$2,0.001%,(1/((INDEX('Rate &amp; Vol Update'!$E$6:$Z$6,1,MATCH(O23,'Rate &amp; Vol Update'!$E$6:$Z$6,1)+1)-INDEX('Rate &amp; Vol Update'!$E$6:$Z$6,1,MATCH(O23,'Rate &amp; Vol Update'!$E$6:$Z$6,1)))*(INDEX('Rate &amp; Vol Update'!$B$8:$B$127,MATCH(J23,'Rate &amp; Vol Update'!$B$8:$B$127,1)+1)-INDEX('Rate &amp; Vol Update'!$B$8:$B$127,MATCH(J23,'Rate &amp; Vol Update'!$B$8:$B$127,1))))*(INDEX('Rate &amp; Vol Update'!$E$8:$Z$127,MATCH(INDEX('Rate &amp; Vol Update'!$B$8:$B$127,MATCH(J23,'Rate &amp; Vol Update'!$B$8:$B$127,1)),'Rate &amp; Vol Update'!$B$8:$B$127,0),MATCH(INDEX('Rate &amp; Vol Update'!$E$6:$Z$6,1,MATCH(O23,'Rate &amp; Vol Update'!$E$6:$Z$6,1)),'Rate &amp; Vol Update'!$E$6:$Z$6,0))*(INDEX('Rate &amp; Vol Update'!$E$6:$Z$6,1,MATCH(O23,'Rate &amp; Vol Update'!$E$6:$Z$6,1)+1)-O23)*(INDEX('Rate &amp; Vol Update'!$B$8:$B$127,MATCH(J23,'Rate &amp; Vol Update'!$B$8:$B$127,1)+1)-J23)+INDEX('Rate &amp; Vol Update'!$E$8:$Z$127,MATCH(INDEX('Rate &amp; Vol Update'!$B$8:$B$127,MATCH(J23,'Rate &amp; Vol Update'!$B$8:$B$127,1)),'Rate &amp; Vol Update'!$B$8:$B$127,0),MATCH(INDEX('Rate &amp; Vol Update'!$E$6:$Z$6,1,MATCH(O23,'Rate &amp; Vol Update'!$E$6:$Z$6,1)+1),'Rate &amp; Vol Update'!$E$6:$Z$6,0))*(O23-INDEX('Rate &amp; Vol Update'!$E$6:$Z$6,1,MATCH(O23,'Rate &amp; Vol Update'!$E$6:$Z$6,1)))*(INDEX('Rate &amp; Vol Update'!$B$8:$B$127,MATCH(J23,'Rate &amp; Vol Update'!$B$8:$B$127,1)+1)-J23)+INDEX('Rate &amp; Vol Update'!$E$8:$Z$127,MATCH(INDEX('Rate &amp; Vol Update'!$B$8:$B$127,MATCH(J23,'Rate &amp; Vol Update'!$B$8:$B$127,1)+1),'Rate &amp; Vol Update'!$B$8:$B$127,0),MATCH(INDEX('Rate &amp; Vol Update'!$E$6:$Z$6,1,MATCH(O23,'Rate &amp; Vol Update'!$E$6:$Z$6,1)),'Rate &amp; Vol Update'!$E$6:$Z$6,0))*(INDEX('Rate &amp; Vol Update'!$E$6:$Z$6,1,MATCH(O23,'Rate &amp; Vol Update'!$E$6:$Z$6,1)+1)-O23)*(J23-INDEX('Rate &amp; Vol Update'!$B$8:$B$127,MATCH(J23,'Rate &amp; Vol Update'!$B$8:$B$127,1)))+INDEX('Rate &amp; Vol Update'!$E$8:$Z$127,MATCH(INDEX('Rate &amp; Vol Update'!$B$8:$B$127,MATCH(J23,'Rate &amp; Vol Update'!$B$8:$B$127,1)+1),'Rate &amp; Vol Update'!$B$8:$B$127,0),MATCH(INDEX('Rate &amp; Vol Update'!$E$6:$Z$6,1,MATCH(O23,'Rate &amp; Vol Update'!$E$6:$Z$6,1)+1),'Rate &amp; Vol Update'!$E$6:$Z$6,0))*(O23-INDEX('Rate &amp; Vol Update'!$E$6:$Z$6,1,MATCH(O23,'Rate &amp; Vol Update'!$E$6:$Z$6,1)))*(J23-INDEX('Rate &amp; Vol Update'!$B$8:$B$127,MATCH(J23,'Rate &amp; Vol Update'!$B$8:$B$127,1)))))*0.01%))</f>
        <v>9.559734433987466E-3</v>
      </c>
      <c r="R23" s="5">
        <f>IF(I23="","",1/((1+P23)^((K23-'Rate &amp; Vol Update'!$C$2)/360)))</f>
        <v>0.94794543511623963</v>
      </c>
      <c r="T23" s="15">
        <f>IF(I23="","",IF(J23&lt;'Rate &amp; Vol Update'!$C$2,MAX(0,P23-O23)*(L23/360)*N23,(((IF('Adjustment Surface'!C$2='Data Validation'!$A$2,P23,IF('Adjustment Surface'!C$2='Data Validation'!$A$3,O23,"Unknown Option Type"))-IF('Adjustment Surface'!C$2='Data Validation'!$A$2,O23,IF('Adjustment Surface'!C$2='Data Validation'!$A$3,P23,"Unknown Option Type")))*(NORMDIST((IF('Adjustment Surface'!C$2='Data Validation'!$A$2,P23,IF('Adjustment Surface'!C$2='Data Validation'!$A$3,O23,"Unknown Option Type"))-IF('Adjustment Surface'!C$2='Data Validation'!$A$2,O23,IF('Adjustment Surface'!C$2='Data Validation'!$A$3,P23,"Unknown Option Type")))/(Q23*SQRT(M23)),0,1,TRUE)))+((Q23*SQRT(M23))*(NORMDIST((IF('Adjustment Surface'!C$2='Data Validation'!$A$2,P23,IF('Adjustment Surface'!C$2='Data Validation'!$A$3,O23,"Unknown Option Type"))-IF('Adjustment Surface'!C$2='Data Validation'!$A$2,O23,IF('Adjustment Surface'!C$2='Data Validation'!$A$3,P23,"Unknown Option Type")))/(Q23*SQRT(M23)),0,1,FALSE))))*R23*(L23/360)*N23))</f>
        <v>26225.427867613431</v>
      </c>
      <c r="U23" s="15">
        <f>IF(I23="","",SUM(T$4:T23))</f>
        <v>559679.98673352646</v>
      </c>
      <c r="W23" s="15">
        <f>IF(I23="","",IF(J23&lt;'Rate &amp; Vol Update'!$C$2,0,((((((IF('Adjustment Surface'!C$2='Data Validation'!$A$2,P23,IF('Adjustment Surface'!C$2='Data Validation'!$A$3,O23,"Unknown Option Type"))-IF('Adjustment Surface'!C$2='Data Validation'!$A$2,O23,IF('Adjustment Surface'!C$2='Data Validation'!$A$3,P23,"Unknown Option Type")))*(NORMDIST((IF('Adjustment Surface'!C$2='Data Validation'!$A$2,P23,IF('Adjustment Surface'!C$2='Data Validation'!$A$3,O23,"Unknown Option Type"))-IF('Adjustment Surface'!C$2='Data Validation'!$A$2,O23,IF('Adjustment Surface'!C$2='Data Validation'!$A$3,P23,"Unknown Option Type")))/((Q23+0.01%)*SQRT(M23)),0,1,TRUE)))+(((Q23+0.01%)*SQRT(M23))*(NORMDIST((IF('Adjustment Surface'!C$2='Data Validation'!$A$2,P23,IF('Adjustment Surface'!C$2='Data Validation'!$A$3,O23,"Unknown Option Type"))-IF('Adjustment Surface'!C$2='Data Validation'!$A$2,O23,IF('Adjustment Surface'!C$2='Data Validation'!$A$3,P23,"Unknown Option Type")))/((Q23+0.01%)*SQRT(M23)),0,1,FALSE))))*R23*(L23/360))-(T23/N23))*N23)*R23))</f>
        <v>60.070270114590343</v>
      </c>
      <c r="X23" s="15">
        <f>IF(I23="","",SUM(W$4:W23))</f>
        <v>564.94510488387107</v>
      </c>
      <c r="Y23" s="15"/>
      <c r="Z23" s="20"/>
      <c r="AA23" s="3">
        <v>20</v>
      </c>
      <c r="AB23" s="4">
        <f>IF(AC22=MAX('Adjustment Surface'!$C$14:$F$14),"",AC22)</f>
        <v>46641</v>
      </c>
      <c r="AC23" s="4">
        <f>IF(AB23="","",IF(AB23&lt;EDATE('Adjustment Surface'!$C$6,DATEDIF('Adjustment Surface'!$C$6,MAX('Adjustment Surface'!$C$14:$F$14),"M")),EDATE(AB$5,COUNT(AB$5:AB23)),IF(AB23=EDATE('Adjustment Surface'!$C$6,DATEDIF('Adjustment Surface'!$C$6,MAX('Adjustment Surface'!$C$14:$F$14),"M")),MAX('Adjustment Surface'!$C$14:$F$14),EDATE('Adjustment Surface'!$C$6,DATEDIF('Adjustment Surface'!$C$6,MAX('Adjustment Surface'!$C$14:$F$14),"M")))))</f>
        <v>46671</v>
      </c>
      <c r="AD23" s="3">
        <f t="shared" si="2"/>
        <v>30</v>
      </c>
      <c r="AE23" s="5">
        <f>IF(AA23="","",(AC23-'Rate &amp; Vol Update'!$C$2)/360)</f>
        <v>1.6861111111111111</v>
      </c>
      <c r="AF23" s="15">
        <f>IF(AA23="","",IF('Adjustment Surface'!$C$3='Data Validation'!$C$2,'Adjustment Surface'!$C$4,_xlfn.IFNA(IF(INDEX(Schedules!$E$3:$E$123,MATCH('Bachelier Model'!AB23,Schedules!$B$3:$B$123,0))="",AF22,INDEX(Schedules!$E$3:$E$123,MATCH('Bachelier Model'!AB23,Schedules!$B$3:$B$123,0))),AF22)))</f>
        <v>25000000</v>
      </c>
      <c r="AG23" s="16">
        <f>IF(AA23="","",'Adjustment Surface'!B$15)</f>
        <v>0.03</v>
      </c>
      <c r="AH23" s="16" cm="1">
        <f t="array" ref="AH23">IF(AA23="","",FORECAST(AB23,INDEX('Rate &amp; Vol Update'!$C$6:$C$127,MATCH(INDEX('Rate &amp; Vol Update'!$B$6:$B$127,MATCH(AB23,'Rate &amp; Vol Update'!$B$6:$B$127,1)),'Rate &amp; Vol Update'!$B$6:$B$127,0)+IF('Adjustment Surface'!$C$11='Data Validation'!$E$3,-1,0)):INDEX('Rate &amp; Vol Update'!$C$6:$C$127,MATCH(INDEX('Rate &amp; Vol Update'!$B$6:$B$127,MATCH(AB23,'Rate &amp; Vol Update'!$B$6:$B$127,1)+1),'Rate &amp; Vol Update'!$B$6:$B$127,0)+IF('Adjustment Surface'!$C$11='Data Validation'!$E$3,-1,0)),INDEX('Rate &amp; Vol Update'!$B$6:$B$127,MATCH(AB23,'Rate &amp; Vol Update'!$B$6:$B$127,1)):INDEX('Rate &amp; Vol Update'!$B$6:$B$127,MATCH(AB23,'Rate &amp; Vol Update'!$B$6:$B$127,1)+1))/100)</f>
        <v>3.2213069900191904E-2</v>
      </c>
      <c r="AI23" s="16" cm="1">
        <f t="array" ref="AI23">IF(AA23="","",IF(AB23&lt;'Rate &amp; Vol Update'!$C$2,0.001%,(1/((INDEX('Rate &amp; Vol Update'!$E$6:$Z$6,1,MATCH(AG23,'Rate &amp; Vol Update'!$E$6:$Z$6,1)+1)-INDEX('Rate &amp; Vol Update'!$E$6:$Z$6,1,MATCH(AG23,'Rate &amp; Vol Update'!$E$6:$Z$6,1)))*(INDEX('Rate &amp; Vol Update'!$B$8:$B$127,MATCH(AB23,'Rate &amp; Vol Update'!$B$8:$B$127,1)+1)-INDEX('Rate &amp; Vol Update'!$B$8:$B$127,MATCH(AB23,'Rate &amp; Vol Update'!$B$8:$B$127,1))))*(INDEX('Rate &amp; Vol Update'!$E$8:$Z$127,MATCH(INDEX('Rate &amp; Vol Update'!$B$8:$B$127,MATCH(AB23,'Rate &amp; Vol Update'!$B$8:$B$127,1)),'Rate &amp; Vol Update'!$B$8:$B$127,0),MATCH(INDEX('Rate &amp; Vol Update'!$E$6:$Z$6,1,MATCH(AG23,'Rate &amp; Vol Update'!$E$6:$Z$6,1)),'Rate &amp; Vol Update'!$E$6:$Z$6,0))*(INDEX('Rate &amp; Vol Update'!$E$6:$Z$6,1,MATCH(AG23,'Rate &amp; Vol Update'!$E$6:$Z$6,1)+1)-AG23)*(INDEX('Rate &amp; Vol Update'!$B$8:$B$127,MATCH(AB23,'Rate &amp; Vol Update'!$B$8:$B$127,1)+1)-AB23)+INDEX('Rate &amp; Vol Update'!$E$8:$Z$127,MATCH(INDEX('Rate &amp; Vol Update'!$B$8:$B$127,MATCH(AB23,'Rate &amp; Vol Update'!$B$8:$B$127,1)),'Rate &amp; Vol Update'!$B$8:$B$127,0),MATCH(INDEX('Rate &amp; Vol Update'!$E$6:$Z$6,1,MATCH(AG23,'Rate &amp; Vol Update'!$E$6:$Z$6,1)+1),'Rate &amp; Vol Update'!$E$6:$Z$6,0))*(AG23-INDEX('Rate &amp; Vol Update'!$E$6:$Z$6,1,MATCH(AG23,'Rate &amp; Vol Update'!$E$6:$Z$6,1)))*(INDEX('Rate &amp; Vol Update'!$B$8:$B$127,MATCH(AB23,'Rate &amp; Vol Update'!$B$8:$B$127,1)+1)-AB23)+INDEX('Rate &amp; Vol Update'!$E$8:$Z$127,MATCH(INDEX('Rate &amp; Vol Update'!$B$8:$B$127,MATCH(AB23,'Rate &amp; Vol Update'!$B$8:$B$127,1)+1),'Rate &amp; Vol Update'!$B$8:$B$127,0),MATCH(INDEX('Rate &amp; Vol Update'!$E$6:$Z$6,1,MATCH(AG23,'Rate &amp; Vol Update'!$E$6:$Z$6,1)),'Rate &amp; Vol Update'!$E$6:$Z$6,0))*(INDEX('Rate &amp; Vol Update'!$E$6:$Z$6,1,MATCH(AG23,'Rate &amp; Vol Update'!$E$6:$Z$6,1)+1)-AG23)*(AB23-INDEX('Rate &amp; Vol Update'!$B$8:$B$127,MATCH(AB23,'Rate &amp; Vol Update'!$B$8:$B$127,1)))+INDEX('Rate &amp; Vol Update'!$E$8:$Z$127,MATCH(INDEX('Rate &amp; Vol Update'!$B$8:$B$127,MATCH(AB23,'Rate &amp; Vol Update'!$B$8:$B$127,1)+1),'Rate &amp; Vol Update'!$B$8:$B$127,0),MATCH(INDEX('Rate &amp; Vol Update'!$E$6:$Z$6,1,MATCH(AG23,'Rate &amp; Vol Update'!$E$6:$Z$6,1)+1),'Rate &amp; Vol Update'!$E$6:$Z$6,0))*(AG23-INDEX('Rate &amp; Vol Update'!$E$6:$Z$6,1,MATCH(AG23,'Rate &amp; Vol Update'!$E$6:$Z$6,1)))*(AB23-INDEX('Rate &amp; Vol Update'!$B$8:$B$127,MATCH(AB23,'Rate &amp; Vol Update'!$B$8:$B$127,1)))))*0.01%))</f>
        <v>7.7723234942163591E-3</v>
      </c>
      <c r="AJ23" s="5">
        <f>IF(AA23="","",1/((1+AH23)^((AC23-'Rate &amp; Vol Update'!$C$2)/360)))</f>
        <v>0.94794543511623963</v>
      </c>
      <c r="AL23" s="15">
        <f>IF(AA23="","",IF(AB23&lt;'Rate &amp; Vol Update'!$C$2,MAX(0,AH23-AG23)*(AD23/360)*AF23,(((IF('Adjustment Surface'!$C$2='Data Validation'!$A$2,AH23,IF('Adjustment Surface'!$C$2='Data Validation'!$A$3,AG23,"Unknown Option Type"))-IF('Adjustment Surface'!$C$2='Data Validation'!$A$2,AG23,IF('Adjustment Surface'!$C$2='Data Validation'!$A$3,AH23,"Unknown Option Type")))*(NORMDIST((IF('Adjustment Surface'!$C$2='Data Validation'!$A$2,AH23,IF('Adjustment Surface'!$C$2='Data Validation'!$A$3,AG23,"Unknown Option Type"))-IF('Adjustment Surface'!$C$2='Data Validation'!$A$2,AG23,IF('Adjustment Surface'!$C$2='Data Validation'!$A$3,AH23,"Unknown Option Type")))/(AI23*SQRT(AE23)),0,1,TRUE)))+((AI23*SQRT(AE23))*(NORMDIST((IF('Adjustment Surface'!$C$2='Data Validation'!$A$2,AH23,IF('Adjustment Surface'!$C$2='Data Validation'!$A$3,AG23,"Unknown Option Type"))-IF('Adjustment Surface'!$C$2='Data Validation'!$A$2,AG23,IF('Adjustment Surface'!$C$2='Data Validation'!$A$3,AH23,"Unknown Option Type")))/(AI23*SQRT(AE23)),0,1,FALSE))))*AJ23*(AD23/360)*AF23))</f>
        <v>10327.134148649446</v>
      </c>
      <c r="AM23" s="15">
        <f>IF(AA23="","",SUM(AL$4:AL23))</f>
        <v>198601.40897050328</v>
      </c>
      <c r="AO23" s="15">
        <f>IF(AA23="","",IF(AB23&lt;'Rate &amp; Vol Update'!$C$2,0,((((((IF('Adjustment Surface'!$C$2='Data Validation'!$A$2,AH23,IF('Adjustment Surface'!$C$2='Data Validation'!$A$3,AG23,"Unknown Option Type"))-IF('Adjustment Surface'!$C$2='Data Validation'!$A$2,AG23,IF('Adjustment Surface'!$C$2='Data Validation'!$A$3,AH23,"Unknown Option Type")))*(NORMDIST((IF('Adjustment Surface'!$C$2='Data Validation'!$A$2,AH23,IF('Adjustment Surface'!$C$2='Data Validation'!$A$3,AG23,"Unknown Option Type"))-IF('Adjustment Surface'!$C$2='Data Validation'!$A$2,AG23,IF('Adjustment Surface'!$C$2='Data Validation'!$A$3,AH23,"Unknown Option Type")))/((AI23+0.01%)*SQRT(AE23)),0,1,TRUE)))+(((AI23+0.01%)*SQRT(AE23))*(NORMDIST((IF('Adjustment Surface'!$C$2='Data Validation'!$A$2,AH23,IF('Adjustment Surface'!$C$2='Data Validation'!$A$3,AG23,"Unknown Option Type"))-IF('Adjustment Surface'!$C$2='Data Validation'!$A$2,AG23,IF('Adjustment Surface'!$C$2='Data Validation'!$A$3,AH23,"Unknown Option Type")))/((AI23+0.01%)*SQRT(AE23)),0,1,FALSE))))*AJ23*(AD23/360))-(AL23/AF23))*AF23)*AJ23))</f>
        <v>94.704342453068605</v>
      </c>
      <c r="AP23" s="15">
        <f>IF(AA23="","",SUM(AO$4:AO23))</f>
        <v>1199.4908014444716</v>
      </c>
      <c r="AQ23" s="15"/>
      <c r="AR23" s="20"/>
      <c r="AS23" s="3">
        <v>20</v>
      </c>
      <c r="AT23" s="4">
        <f>IF(AU22=MAX('Adjustment Surface'!$C$14:$F$14),"",AU22)</f>
        <v>46641</v>
      </c>
      <c r="AU23" s="4">
        <f>IF(AT23="","",IF(AT23&lt;EDATE('Adjustment Surface'!$C$6,DATEDIF('Adjustment Surface'!$C$6,MAX('Adjustment Surface'!$C$14:$F$14),"M")),EDATE(AT$5,COUNT(AT$5:AT23)),IF(AT23=EDATE('Adjustment Surface'!$C$6,DATEDIF('Adjustment Surface'!$C$6,MAX('Adjustment Surface'!$C$14:$F$14),"M")),MAX('Adjustment Surface'!$C$14:$F$14),EDATE('Adjustment Surface'!$C$6,DATEDIF('Adjustment Surface'!$C$6,MAX('Adjustment Surface'!$C$14:$F$14),"M")))))</f>
        <v>46671</v>
      </c>
      <c r="AV23" s="3">
        <f t="shared" si="3"/>
        <v>30</v>
      </c>
      <c r="AW23" s="5">
        <f>IF(AS23="","",(AU23-'Rate &amp; Vol Update'!$C$2)/360)</f>
        <v>1.6861111111111111</v>
      </c>
      <c r="AX23" s="15">
        <f>IF(AS23="","",IF('Adjustment Surface'!$C$3='Data Validation'!$C$2,'Adjustment Surface'!$C$4,_xlfn.IFNA(IF(INDEX(Schedules!$E$3:$E$123,MATCH('Bachelier Model'!AT23,Schedules!$B$3:$B$123,0))="",AX22,INDEX(Schedules!$E$3:$E$123,MATCH('Bachelier Model'!AT23,Schedules!$B$3:$B$123,0))),AX22)))</f>
        <v>25000000</v>
      </c>
      <c r="AY23" s="16">
        <f>IF(AS23="","",'Adjustment Surface'!B$16)</f>
        <v>0.04</v>
      </c>
      <c r="AZ23" s="16" cm="1">
        <f t="array" ref="AZ23">IF(AS23="","",FORECAST(AT23,INDEX('Rate &amp; Vol Update'!$C$6:$C$127,MATCH(INDEX('Rate &amp; Vol Update'!$B$6:$B$127,MATCH(AT23,'Rate &amp; Vol Update'!$B$6:$B$127,1)),'Rate &amp; Vol Update'!$B$6:$B$127,0)+IF('Adjustment Surface'!$C$11='Data Validation'!$E$3,-1,0)):INDEX('Rate &amp; Vol Update'!$C$6:$C$127,MATCH(INDEX('Rate &amp; Vol Update'!$B$6:$B$127,MATCH(AT23,'Rate &amp; Vol Update'!$B$6:$B$127,1)+1),'Rate &amp; Vol Update'!$B$6:$B$127,0)+IF('Adjustment Surface'!$C$11='Data Validation'!$E$3,-1,0)),INDEX('Rate &amp; Vol Update'!$B$6:$B$127,MATCH(AT23,'Rate &amp; Vol Update'!$B$6:$B$127,1)):INDEX('Rate &amp; Vol Update'!$B$6:$B$127,MATCH(AT23,'Rate &amp; Vol Update'!$B$6:$B$127,1)+1))/100)</f>
        <v>3.2213069900191904E-2</v>
      </c>
      <c r="BA23" s="16" cm="1">
        <f t="array" ref="BA23">IF(AS23="","",IF(AT23&lt;'Rate &amp; Vol Update'!$C$2,0.001%,(1/((INDEX('Rate &amp; Vol Update'!$E$6:$Z$6,1,MATCH(AY23,'Rate &amp; Vol Update'!$E$6:$Z$6,1)+1)-INDEX('Rate &amp; Vol Update'!$E$6:$Z$6,1,MATCH(AY23,'Rate &amp; Vol Update'!$E$6:$Z$6,1)))*(INDEX('Rate &amp; Vol Update'!$B$8:$B$127,MATCH(AT23,'Rate &amp; Vol Update'!$B$8:$B$127,1)+1)-INDEX('Rate &amp; Vol Update'!$B$8:$B$127,MATCH(AT23,'Rate &amp; Vol Update'!$B$8:$B$127,1))))*(INDEX('Rate &amp; Vol Update'!$E$8:$Z$127,MATCH(INDEX('Rate &amp; Vol Update'!$B$8:$B$127,MATCH(AT23,'Rate &amp; Vol Update'!$B$8:$B$127,1)),'Rate &amp; Vol Update'!$B$8:$B$127,0),MATCH(INDEX('Rate &amp; Vol Update'!$E$6:$Z$6,1,MATCH(AY23,'Rate &amp; Vol Update'!$E$6:$Z$6,1)),'Rate &amp; Vol Update'!$E$6:$Z$6,0))*(INDEX('Rate &amp; Vol Update'!$E$6:$Z$6,1,MATCH(AY23,'Rate &amp; Vol Update'!$E$6:$Z$6,1)+1)-AY23)*(INDEX('Rate &amp; Vol Update'!$B$8:$B$127,MATCH(AT23,'Rate &amp; Vol Update'!$B$8:$B$127,1)+1)-AT23)+INDEX('Rate &amp; Vol Update'!$E$8:$Z$127,MATCH(INDEX('Rate &amp; Vol Update'!$B$8:$B$127,MATCH(AT23,'Rate &amp; Vol Update'!$B$8:$B$127,1)),'Rate &amp; Vol Update'!$B$8:$B$127,0),MATCH(INDEX('Rate &amp; Vol Update'!$E$6:$Z$6,1,MATCH(AY23,'Rate &amp; Vol Update'!$E$6:$Z$6,1)+1),'Rate &amp; Vol Update'!$E$6:$Z$6,0))*(AY23-INDEX('Rate &amp; Vol Update'!$E$6:$Z$6,1,MATCH(AY23,'Rate &amp; Vol Update'!$E$6:$Z$6,1)))*(INDEX('Rate &amp; Vol Update'!$B$8:$B$127,MATCH(AT23,'Rate &amp; Vol Update'!$B$8:$B$127,1)+1)-AT23)+INDEX('Rate &amp; Vol Update'!$E$8:$Z$127,MATCH(INDEX('Rate &amp; Vol Update'!$B$8:$B$127,MATCH(AT23,'Rate &amp; Vol Update'!$B$8:$B$127,1)+1),'Rate &amp; Vol Update'!$B$8:$B$127,0),MATCH(INDEX('Rate &amp; Vol Update'!$E$6:$Z$6,1,MATCH(AY23,'Rate &amp; Vol Update'!$E$6:$Z$6,1)),'Rate &amp; Vol Update'!$E$6:$Z$6,0))*(INDEX('Rate &amp; Vol Update'!$E$6:$Z$6,1,MATCH(AY23,'Rate &amp; Vol Update'!$E$6:$Z$6,1)+1)-AY23)*(AT23-INDEX('Rate &amp; Vol Update'!$B$8:$B$127,MATCH(AT23,'Rate &amp; Vol Update'!$B$8:$B$127,1)))+INDEX('Rate &amp; Vol Update'!$E$8:$Z$127,MATCH(INDEX('Rate &amp; Vol Update'!$B$8:$B$127,MATCH(AT23,'Rate &amp; Vol Update'!$B$8:$B$127,1)+1),'Rate &amp; Vol Update'!$B$8:$B$127,0),MATCH(INDEX('Rate &amp; Vol Update'!$E$6:$Z$6,1,MATCH(AY23,'Rate &amp; Vol Update'!$E$6:$Z$6,1)+1),'Rate &amp; Vol Update'!$E$6:$Z$6,0))*(AY23-INDEX('Rate &amp; Vol Update'!$E$6:$Z$6,1,MATCH(AY23,'Rate &amp; Vol Update'!$E$6:$Z$6,1)))*(AT23-INDEX('Rate &amp; Vol Update'!$B$8:$B$127,MATCH(AT23,'Rate &amp; Vol Update'!$B$8:$B$127,1)))))*0.01%))</f>
        <v>7.4823657207390201E-3</v>
      </c>
      <c r="BB23" s="5">
        <f>IF(AS23="","",1/((1+AZ23)^((AU23-'Rate &amp; Vol Update'!$C$2)/360)))</f>
        <v>0.94794543511623963</v>
      </c>
      <c r="BD23" s="15">
        <f>IF(AS23="","",IF(AT23&lt;'Rate &amp; Vol Update'!$C$2,MAX(0,AZ23-AY23)*(AV23/360)*AX23,(((IF('Adjustment Surface'!$C$2='Data Validation'!$A$2,AZ23,IF('Adjustment Surface'!$C$2='Data Validation'!$A$3,AY23,"Unknown Option Type"))-IF('Adjustment Surface'!$C$2='Data Validation'!$A$2,AY23,IF('Adjustment Surface'!$C$2='Data Validation'!$A$3,AZ23,"Unknown Option Type")))*(NORMDIST((IF('Adjustment Surface'!$C$2='Data Validation'!$A$2,AZ23,IF('Adjustment Surface'!$C$2='Data Validation'!$A$3,AY23,"Unknown Option Type"))-IF('Adjustment Surface'!$C$2='Data Validation'!$A$2,AY23,IF('Adjustment Surface'!$C$2='Data Validation'!$A$3,AZ23,"Unknown Option Type")))/(BA23*SQRT(AW23)),0,1,TRUE)))+((BA23*SQRT(AW23))*(NORMDIST((IF('Adjustment Surface'!$C$2='Data Validation'!$A$2,AZ23,IF('Adjustment Surface'!$C$2='Data Validation'!$A$3,AY23,"Unknown Option Type"))-IF('Adjustment Surface'!$C$2='Data Validation'!$A$2,AY23,IF('Adjustment Surface'!$C$2='Data Validation'!$A$3,AZ23,"Unknown Option Type")))/(BA23*SQRT(AW23)),0,1,FALSE))))*BB23*(AV23/360)*AX23))</f>
        <v>2300.5597959579668</v>
      </c>
      <c r="BE23" s="15">
        <f>IF(AS23="","",SUM(BD$4:BD23))</f>
        <v>18933.711312932741</v>
      </c>
      <c r="BG23" s="15">
        <f>IF(AS23="","",IF(AT23&lt;'Rate &amp; Vol Update'!$C$2,0,((((((IF('Adjustment Surface'!$C$2='Data Validation'!$A$2,AZ23,IF('Adjustment Surface'!$C$2='Data Validation'!$A$3,AY23,"Unknown Option Type"))-IF('Adjustment Surface'!$C$2='Data Validation'!$A$2,AY23,IF('Adjustment Surface'!$C$2='Data Validation'!$A$3,AZ23,"Unknown Option Type")))*(NORMDIST((IF('Adjustment Surface'!$C$2='Data Validation'!$A$2,AZ23,IF('Adjustment Surface'!$C$2='Data Validation'!$A$3,AY23,"Unknown Option Type"))-IF('Adjustment Surface'!$C$2='Data Validation'!$A$2,AY23,IF('Adjustment Surface'!$C$2='Data Validation'!$A$3,AZ23,"Unknown Option Type")))/((BA23+0.01%)*SQRT(AW23)),0,1,TRUE)))+(((BA23+0.01%)*SQRT(AW23))*(NORMDIST((IF('Adjustment Surface'!$C$2='Data Validation'!$A$2,AZ23,IF('Adjustment Surface'!$C$2='Data Validation'!$A$3,AY23,"Unknown Option Type"))-IF('Adjustment Surface'!$C$2='Data Validation'!$A$2,AY23,IF('Adjustment Surface'!$C$2='Data Validation'!$A$3,AZ23,"Unknown Option Type")))/((BA23+0.01%)*SQRT(AW23)),0,1,FALSE))))*BB23*(AV23/360))-(BD23/AX23))*AX23)*BB23))</f>
        <v>70.637605473096258</v>
      </c>
      <c r="BH23" s="15">
        <f>IF(AS23="","",SUM(BG$4:BG23))</f>
        <v>773.2979781292704</v>
      </c>
      <c r="BI23" s="15"/>
      <c r="BJ23" s="20"/>
      <c r="BK23" s="3">
        <v>20</v>
      </c>
      <c r="BL23" s="4">
        <f>IF(BM22=MAX('Adjustment Surface'!$C$14:$F$14),"",BM22)</f>
        <v>46641</v>
      </c>
      <c r="BM23" s="4">
        <f>IF(BL23="","",IF(BL23&lt;EDATE('Adjustment Surface'!$C$6,DATEDIF('Adjustment Surface'!$C$6,MAX('Adjustment Surface'!$C$14:$F$14),"M")),EDATE(BL$5,COUNT(BL$5:BL23)),IF(BL23=EDATE('Adjustment Surface'!$C$6,DATEDIF('Adjustment Surface'!$C$6,MAX('Adjustment Surface'!$C$14:$F$14),"M")),MAX('Adjustment Surface'!$C$14:$F$14),EDATE('Adjustment Surface'!$C$6,DATEDIF('Adjustment Surface'!$C$6,MAX('Adjustment Surface'!$C$14:$F$14),"M")))))</f>
        <v>46671</v>
      </c>
      <c r="BN23" s="3">
        <f t="shared" si="4"/>
        <v>30</v>
      </c>
      <c r="BO23" s="5">
        <f>IF(BK23="","",(BM23-'Rate &amp; Vol Update'!$C$2)/360)</f>
        <v>1.6861111111111111</v>
      </c>
      <c r="BP23" s="15">
        <f>IF(BK23="","",IF('Adjustment Surface'!$C$3='Data Validation'!$C$2,'Adjustment Surface'!$C$4,_xlfn.IFNA(IF(INDEX(Schedules!$E$3:$E$123,MATCH('Bachelier Model'!BL23,Schedules!$B$3:$B$123,0))="",BP22,INDEX(Schedules!$E$3:$E$123,MATCH('Bachelier Model'!BL23,Schedules!$B$3:$B$123,0))),BP22)))</f>
        <v>25000000</v>
      </c>
      <c r="BQ23" s="16">
        <f>IF(BK23="","",'Adjustment Surface'!B$17)</f>
        <v>0.05</v>
      </c>
      <c r="BR23" s="16" cm="1">
        <f t="array" ref="BR23">IF(BK23="","",FORECAST(BL23,INDEX('Rate &amp; Vol Update'!$C$6:$C$127,MATCH(INDEX('Rate &amp; Vol Update'!$B$6:$B$127,MATCH(BL23,'Rate &amp; Vol Update'!$B$6:$B$127,1)),'Rate &amp; Vol Update'!$B$6:$B$127,0)+IF('Adjustment Surface'!$C$11='Data Validation'!$E$3,-1,0)):INDEX('Rate &amp; Vol Update'!$C$6:$C$127,MATCH(INDEX('Rate &amp; Vol Update'!$B$6:$B$127,MATCH(BL23,'Rate &amp; Vol Update'!$B$6:$B$127,1)+1),'Rate &amp; Vol Update'!$B$6:$B$127,0)+IF('Adjustment Surface'!$C$11='Data Validation'!$E$3,-1,0)),INDEX('Rate &amp; Vol Update'!$B$6:$B$127,MATCH(BL23,'Rate &amp; Vol Update'!$B$6:$B$127,1)):INDEX('Rate &amp; Vol Update'!$B$6:$B$127,MATCH(BL23,'Rate &amp; Vol Update'!$B$6:$B$127,1)+1))/100)</f>
        <v>3.2213069900191904E-2</v>
      </c>
      <c r="BS23" s="16" cm="1">
        <f t="array" ref="BS23">IF(BK23="","",IF(BL23&lt;'Rate &amp; Vol Update'!$C$2,0.001%,(1/((INDEX('Rate &amp; Vol Update'!$E$6:$Z$6,1,MATCH(BQ23,'Rate &amp; Vol Update'!$E$6:$Z$6,1)+1)-INDEX('Rate &amp; Vol Update'!$E$6:$Z$6,1,MATCH(BQ23,'Rate &amp; Vol Update'!$E$6:$Z$6,1)))*(INDEX('Rate &amp; Vol Update'!$B$8:$B$127,MATCH(BL23,'Rate &amp; Vol Update'!$B$8:$B$127,1)+1)-INDEX('Rate &amp; Vol Update'!$B$8:$B$127,MATCH(BL23,'Rate &amp; Vol Update'!$B$8:$B$127,1))))*(INDEX('Rate &amp; Vol Update'!$E$8:$Z$127,MATCH(INDEX('Rate &amp; Vol Update'!$B$8:$B$127,MATCH(BL23,'Rate &amp; Vol Update'!$B$8:$B$127,1)),'Rate &amp; Vol Update'!$B$8:$B$127,0),MATCH(INDEX('Rate &amp; Vol Update'!$E$6:$Z$6,1,MATCH(BQ23,'Rate &amp; Vol Update'!$E$6:$Z$6,1)),'Rate &amp; Vol Update'!$E$6:$Z$6,0))*(INDEX('Rate &amp; Vol Update'!$E$6:$Z$6,1,MATCH(BQ23,'Rate &amp; Vol Update'!$E$6:$Z$6,1)+1)-BQ23)*(INDEX('Rate &amp; Vol Update'!$B$8:$B$127,MATCH(BL23,'Rate &amp; Vol Update'!$B$8:$B$127,1)+1)-BL23)+INDEX('Rate &amp; Vol Update'!$E$8:$Z$127,MATCH(INDEX('Rate &amp; Vol Update'!$B$8:$B$127,MATCH(BL23,'Rate &amp; Vol Update'!$B$8:$B$127,1)),'Rate &amp; Vol Update'!$B$8:$B$127,0),MATCH(INDEX('Rate &amp; Vol Update'!$E$6:$Z$6,1,MATCH(BQ23,'Rate &amp; Vol Update'!$E$6:$Z$6,1)+1),'Rate &amp; Vol Update'!$E$6:$Z$6,0))*(BQ23-INDEX('Rate &amp; Vol Update'!$E$6:$Z$6,1,MATCH(BQ23,'Rate &amp; Vol Update'!$E$6:$Z$6,1)))*(INDEX('Rate &amp; Vol Update'!$B$8:$B$127,MATCH(BL23,'Rate &amp; Vol Update'!$B$8:$B$127,1)+1)-BL23)+INDEX('Rate &amp; Vol Update'!$E$8:$Z$127,MATCH(INDEX('Rate &amp; Vol Update'!$B$8:$B$127,MATCH(BL23,'Rate &amp; Vol Update'!$B$8:$B$127,1)+1),'Rate &amp; Vol Update'!$B$8:$B$127,0),MATCH(INDEX('Rate &amp; Vol Update'!$E$6:$Z$6,1,MATCH(BQ23,'Rate &amp; Vol Update'!$E$6:$Z$6,1)),'Rate &amp; Vol Update'!$E$6:$Z$6,0))*(INDEX('Rate &amp; Vol Update'!$E$6:$Z$6,1,MATCH(BQ23,'Rate &amp; Vol Update'!$E$6:$Z$6,1)+1)-BQ23)*(BL23-INDEX('Rate &amp; Vol Update'!$B$8:$B$127,MATCH(BL23,'Rate &amp; Vol Update'!$B$8:$B$127,1)))+INDEX('Rate &amp; Vol Update'!$E$8:$Z$127,MATCH(INDEX('Rate &amp; Vol Update'!$B$8:$B$127,MATCH(BL23,'Rate &amp; Vol Update'!$B$8:$B$127,1)+1),'Rate &amp; Vol Update'!$B$8:$B$127,0),MATCH(INDEX('Rate &amp; Vol Update'!$E$6:$Z$6,1,MATCH(BQ23,'Rate &amp; Vol Update'!$E$6:$Z$6,1)+1),'Rate &amp; Vol Update'!$E$6:$Z$6,0))*(BQ23-INDEX('Rate &amp; Vol Update'!$E$6:$Z$6,1,MATCH(BQ23,'Rate &amp; Vol Update'!$E$6:$Z$6,1)))*(BL23-INDEX('Rate &amp; Vol Update'!$B$8:$B$127,MATCH(BL23,'Rate &amp; Vol Update'!$B$8:$B$127,1)))))*0.01%))</f>
        <v>9.0239262064971786E-3</v>
      </c>
      <c r="BT23" s="5">
        <f>IF(BK23="","",1/((1+BR23)^((BM23-'Rate &amp; Vol Update'!$C$2)/360)))</f>
        <v>0.94794543511623963</v>
      </c>
      <c r="BV23" s="15">
        <f>IF(BK23="","",IF(BL23&lt;'Rate &amp; Vol Update'!$C$2,MAX(0,BR23-BQ23)*(BN23/360)*BP23,(((IF('Adjustment Surface'!$C$2='Data Validation'!$A$2,BR23,IF('Adjustment Surface'!$C$2='Data Validation'!$A$3,BQ23,"Unknown Option Type"))-IF('Adjustment Surface'!$C$2='Data Validation'!$A$2,BQ23,IF('Adjustment Surface'!$C$2='Data Validation'!$A$3,BR23,"Unknown Option Type")))*(NORMDIST((IF('Adjustment Surface'!$C$2='Data Validation'!$A$2,BR23,IF('Adjustment Surface'!$C$2='Data Validation'!$A$3,BQ23,"Unknown Option Type"))-IF('Adjustment Surface'!$C$2='Data Validation'!$A$2,BQ23,IF('Adjustment Surface'!$C$2='Data Validation'!$A$3,BR23,"Unknown Option Type")))/(BS23*SQRT(BO23)),0,1,TRUE)))+((BS23*SQRT(BO23))*(NORMDIST((IF('Adjustment Surface'!$C$2='Data Validation'!$A$2,BR23,IF('Adjustment Surface'!$C$2='Data Validation'!$A$3,BQ23,"Unknown Option Type"))-IF('Adjustment Surface'!$C$2='Data Validation'!$A$2,BQ23,IF('Adjustment Surface'!$C$2='Data Validation'!$A$3,BR23,"Unknown Option Type")))/(BS23*SQRT(BO23)),0,1,FALSE))))*BT23*(BN23/360)*BP23))</f>
        <v>650.88894689558799</v>
      </c>
      <c r="BW23" s="15">
        <f>IF(BK23="","",SUM(BV$4:BV23))</f>
        <v>3519.3887778384619</v>
      </c>
      <c r="BY23" s="15">
        <f>IF(BK23="","",IF(BL23&lt;'Rate &amp; Vol Update'!$C$2,0,((((((IF('Adjustment Surface'!$C$2='Data Validation'!$A$2,BR23,IF('Adjustment Surface'!$C$2='Data Validation'!$A$3,BQ23,"Unknown Option Type"))-IF('Adjustment Surface'!$C$2='Data Validation'!$A$2,BQ23,IF('Adjustment Surface'!$C$2='Data Validation'!$A$3,BR23,"Unknown Option Type")))*(NORMDIST((IF('Adjustment Surface'!$C$2='Data Validation'!$A$2,BR23,IF('Adjustment Surface'!$C$2='Data Validation'!$A$3,BQ23,"Unknown Option Type"))-IF('Adjustment Surface'!$C$2='Data Validation'!$A$2,BQ23,IF('Adjustment Surface'!$C$2='Data Validation'!$A$3,BR23,"Unknown Option Type")))/((BS23+0.01%)*SQRT(BO23)),0,1,TRUE)))+(((BS23+0.01%)*SQRT(BO23))*(NORMDIST((IF('Adjustment Surface'!$C$2='Data Validation'!$A$2,BR23,IF('Adjustment Surface'!$C$2='Data Validation'!$A$3,BQ23,"Unknown Option Type"))-IF('Adjustment Surface'!$C$2='Data Validation'!$A$2,BQ23,IF('Adjustment Surface'!$C$2='Data Validation'!$A$3,BR23,"Unknown Option Type")))/((BS23+0.01%)*SQRT(BO23)),0,1,FALSE))))*BT23*(BN23/360))-(BV23/BP23))*BP23)*BT23))</f>
        <v>31.032594369074708</v>
      </c>
      <c r="BZ23" s="15">
        <f>IF(BK23="","",SUM(BY$4:BY23))</f>
        <v>202.59884536935058</v>
      </c>
      <c r="CA23" s="15"/>
      <c r="CB23" s="20"/>
      <c r="CC23" s="3">
        <v>20</v>
      </c>
      <c r="CD23" s="4">
        <f>IF(CE22=MAX('Adjustment Surface'!$C$14:$F$14),"",CE22)</f>
        <v>46641</v>
      </c>
      <c r="CE23" s="4">
        <f>IF(CD23="","",IF(CD23&lt;EDATE('Adjustment Surface'!$C$6,DATEDIF('Adjustment Surface'!$C$6,MAX('Adjustment Surface'!$C$14:$F$14),"M")),EDATE(CD$5,COUNT(CD$5:CD23)),IF(CD23=EDATE('Adjustment Surface'!$C$6,DATEDIF('Adjustment Surface'!$C$6,MAX('Adjustment Surface'!$C$14:$F$14),"M")),MAX('Adjustment Surface'!$C$14:$F$14),EDATE('Adjustment Surface'!$C$6,DATEDIF('Adjustment Surface'!$C$6,MAX('Adjustment Surface'!$C$14:$F$14),"M")))))</f>
        <v>46671</v>
      </c>
      <c r="CF23" s="3">
        <f t="shared" si="5"/>
        <v>30</v>
      </c>
      <c r="CG23" s="5">
        <f>IF(CC23="","",(CE23-'Rate &amp; Vol Update'!$C$2)/360)</f>
        <v>1.6861111111111111</v>
      </c>
      <c r="CH23" s="15">
        <f>IF(CC23="","",IF('Adjustment Surface'!$C$3='Data Validation'!$C$2,'Adjustment Surface'!$C$4,_xlfn.IFNA(IF(INDEX(Schedules!$E$3:$E$123,MATCH('Bachelier Model'!CD23,Schedules!$B$3:$B$123,0))="",CH22,INDEX(Schedules!$E$3:$E$123,MATCH('Bachelier Model'!CD23,Schedules!$B$3:$B$123,0))),CH22)))</f>
        <v>25000000</v>
      </c>
      <c r="CI23" s="16">
        <f>IF(CC23="","",'Adjustment Surface'!B$18)</f>
        <v>0.06</v>
      </c>
      <c r="CJ23" s="16" cm="1">
        <f t="array" ref="CJ23">IF(CC23="","",FORECAST(CD23,INDEX('Rate &amp; Vol Update'!$C$6:$C$127,MATCH(INDEX('Rate &amp; Vol Update'!$B$6:$B$127,MATCH(CD23,'Rate &amp; Vol Update'!$B$6:$B$127,1)),'Rate &amp; Vol Update'!$B$6:$B$127,0)+IF('Adjustment Surface'!$C$11='Data Validation'!$E$3,-1,0)):INDEX('Rate &amp; Vol Update'!$C$6:$C$127,MATCH(INDEX('Rate &amp; Vol Update'!$B$6:$B$127,MATCH(CD23,'Rate &amp; Vol Update'!$B$6:$B$127,1)+1),'Rate &amp; Vol Update'!$B$6:$B$127,0)+IF('Adjustment Surface'!$C$11='Data Validation'!$E$3,-1,0)),INDEX('Rate &amp; Vol Update'!$B$6:$B$127,MATCH(CD23,'Rate &amp; Vol Update'!$B$6:$B$127,1)):INDEX('Rate &amp; Vol Update'!$B$6:$B$127,MATCH(CD23,'Rate &amp; Vol Update'!$B$6:$B$127,1)+1))/100)</f>
        <v>3.2213069900191904E-2</v>
      </c>
      <c r="CK23" s="16" cm="1">
        <f t="array" ref="CK23">IF(CC23="","",IF(CD23&lt;'Rate &amp; Vol Update'!$C$2,0.001%,(1/((INDEX('Rate &amp; Vol Update'!$E$6:$Z$6,1,MATCH(CI23,'Rate &amp; Vol Update'!$E$6:$Z$6,1)+1)-INDEX('Rate &amp; Vol Update'!$E$6:$Z$6,1,MATCH(CI23,'Rate &amp; Vol Update'!$E$6:$Z$6,1)))*(INDEX('Rate &amp; Vol Update'!$B$8:$B$127,MATCH(CD23,'Rate &amp; Vol Update'!$B$8:$B$127,1)+1)-INDEX('Rate &amp; Vol Update'!$B$8:$B$127,MATCH(CD23,'Rate &amp; Vol Update'!$B$8:$B$127,1))))*(INDEX('Rate &amp; Vol Update'!$E$8:$Z$127,MATCH(INDEX('Rate &amp; Vol Update'!$B$8:$B$127,MATCH(CD23,'Rate &amp; Vol Update'!$B$8:$B$127,1)),'Rate &amp; Vol Update'!$B$8:$B$127,0),MATCH(INDEX('Rate &amp; Vol Update'!$E$6:$Z$6,1,MATCH(CI23,'Rate &amp; Vol Update'!$E$6:$Z$6,1)),'Rate &amp; Vol Update'!$E$6:$Z$6,0))*(INDEX('Rate &amp; Vol Update'!$E$6:$Z$6,1,MATCH(CI23,'Rate &amp; Vol Update'!$E$6:$Z$6,1)+1)-CI23)*(INDEX('Rate &amp; Vol Update'!$B$8:$B$127,MATCH(CD23,'Rate &amp; Vol Update'!$B$8:$B$127,1)+1)-CD23)+INDEX('Rate &amp; Vol Update'!$E$8:$Z$127,MATCH(INDEX('Rate &amp; Vol Update'!$B$8:$B$127,MATCH(CD23,'Rate &amp; Vol Update'!$B$8:$B$127,1)),'Rate &amp; Vol Update'!$B$8:$B$127,0),MATCH(INDEX('Rate &amp; Vol Update'!$E$6:$Z$6,1,MATCH(CI23,'Rate &amp; Vol Update'!$E$6:$Z$6,1)+1),'Rate &amp; Vol Update'!$E$6:$Z$6,0))*(CI23-INDEX('Rate &amp; Vol Update'!$E$6:$Z$6,1,MATCH(CI23,'Rate &amp; Vol Update'!$E$6:$Z$6,1)))*(INDEX('Rate &amp; Vol Update'!$B$8:$B$127,MATCH(CD23,'Rate &amp; Vol Update'!$B$8:$B$127,1)+1)-CD23)+INDEX('Rate &amp; Vol Update'!$E$8:$Z$127,MATCH(INDEX('Rate &amp; Vol Update'!$B$8:$B$127,MATCH(CD23,'Rate &amp; Vol Update'!$B$8:$B$127,1)+1),'Rate &amp; Vol Update'!$B$8:$B$127,0),MATCH(INDEX('Rate &amp; Vol Update'!$E$6:$Z$6,1,MATCH(CI23,'Rate &amp; Vol Update'!$E$6:$Z$6,1)),'Rate &amp; Vol Update'!$E$6:$Z$6,0))*(INDEX('Rate &amp; Vol Update'!$E$6:$Z$6,1,MATCH(CI23,'Rate &amp; Vol Update'!$E$6:$Z$6,1)+1)-CI23)*(CD23-INDEX('Rate &amp; Vol Update'!$B$8:$B$127,MATCH(CD23,'Rate &amp; Vol Update'!$B$8:$B$127,1)))+INDEX('Rate &amp; Vol Update'!$E$8:$Z$127,MATCH(INDEX('Rate &amp; Vol Update'!$B$8:$B$127,MATCH(CD23,'Rate &amp; Vol Update'!$B$8:$B$127,1)+1),'Rate &amp; Vol Update'!$B$8:$B$127,0),MATCH(INDEX('Rate &amp; Vol Update'!$E$6:$Z$6,1,MATCH(CI23,'Rate &amp; Vol Update'!$E$6:$Z$6,1)+1),'Rate &amp; Vol Update'!$E$6:$Z$6,0))*(CI23-INDEX('Rate &amp; Vol Update'!$E$6:$Z$6,1,MATCH(CI23,'Rate &amp; Vol Update'!$E$6:$Z$6,1)))*(CD23-INDEX('Rate &amp; Vol Update'!$B$8:$B$127,MATCH(CD23,'Rate &amp; Vol Update'!$B$8:$B$127,1)))))*0.01%))</f>
        <v>1.1012142646603176E-2</v>
      </c>
      <c r="CL23" s="5">
        <f>IF(CC23="","",1/((1+CJ23)^((CE23-'Rate &amp; Vol Update'!$C$2)/360)))</f>
        <v>0.94794543511623963</v>
      </c>
      <c r="CN23" s="15">
        <f>IF(CC23="","",IF(CD23&lt;'Rate &amp; Vol Update'!$C$2,MAX(0,CJ23-CI23)*(CF23/360)*CH23,(((IF('Adjustment Surface'!$C$2='Data Validation'!$A$2,CJ23,IF('Adjustment Surface'!$C$2='Data Validation'!$A$3,CI23,"Unknown Option Type"))-IF('Adjustment Surface'!$C$2='Data Validation'!$A$2,CI23,IF('Adjustment Surface'!$C$2='Data Validation'!$A$3,CJ23,"Unknown Option Type")))*(NORMDIST((IF('Adjustment Surface'!$C$2='Data Validation'!$A$2,CJ23,IF('Adjustment Surface'!$C$2='Data Validation'!$A$3,CI23,"Unknown Option Type"))-IF('Adjustment Surface'!$C$2='Data Validation'!$A$2,CI23,IF('Adjustment Surface'!$C$2='Data Validation'!$A$3,CJ23,"Unknown Option Type")))/(CK23*SQRT(CG23)),0,1,TRUE)))+((CK23*SQRT(CG23))*(NORMDIST((IF('Adjustment Surface'!$C$2='Data Validation'!$A$2,CJ23,IF('Adjustment Surface'!$C$2='Data Validation'!$A$3,CI23,"Unknown Option Type"))-IF('Adjustment Surface'!$C$2='Data Validation'!$A$2,CI23,IF('Adjustment Surface'!$C$2='Data Validation'!$A$3,CJ23,"Unknown Option Type")))/(CK23*SQRT(CG23)),0,1,FALSE))))*CL23*(CF23/360)*CH23))</f>
        <v>278.79237700361898</v>
      </c>
      <c r="CO23" s="15">
        <f>IF(CC23="","",SUM(CN$4:CN23))</f>
        <v>1274.3493840146161</v>
      </c>
      <c r="CQ23" s="15">
        <f>IF(CC23="","",IF(CD23&lt;'Rate &amp; Vol Update'!$C$2,0,((((((IF('Adjustment Surface'!$C$2='Data Validation'!$A$2,CJ23,IF('Adjustment Surface'!$C$2='Data Validation'!$A$3,CI23,"Unknown Option Type"))-IF('Adjustment Surface'!$C$2='Data Validation'!$A$2,CI23,IF('Adjustment Surface'!$C$2='Data Validation'!$A$3,CJ23,"Unknown Option Type")))*(NORMDIST((IF('Adjustment Surface'!$C$2='Data Validation'!$A$2,CJ23,IF('Adjustment Surface'!$C$2='Data Validation'!$A$3,CI23,"Unknown Option Type"))-IF('Adjustment Surface'!$C$2='Data Validation'!$A$2,CI23,IF('Adjustment Surface'!$C$2='Data Validation'!$A$3,CJ23,"Unknown Option Type")))/((CK23+0.01%)*SQRT(CG23)),0,1,TRUE)))+(((CK23+0.01%)*SQRT(CG23))*(NORMDIST((IF('Adjustment Surface'!$C$2='Data Validation'!$A$2,CJ23,IF('Adjustment Surface'!$C$2='Data Validation'!$A$3,CI23,"Unknown Option Type"))-IF('Adjustment Surface'!$C$2='Data Validation'!$A$2,CI23,IF('Adjustment Surface'!$C$2='Data Validation'!$A$3,CJ23,"Unknown Option Type")))/((CK23+0.01%)*SQRT(CG23)),0,1,FALSE))))*CL23*(CF23/360))-(CN23/CH23))*CH23)*CL23))</f>
        <v>14.931177424220762</v>
      </c>
      <c r="CR23" s="15">
        <f>IF(CC23="","",SUM(CQ$4:CQ23))</f>
        <v>79.4331797906422</v>
      </c>
    </row>
    <row r="24" spans="7:96" x14ac:dyDescent="0.25">
      <c r="G24" s="28"/>
      <c r="I24" s="3">
        <v>21</v>
      </c>
      <c r="J24" s="4">
        <f>IF(K23='Adjustment Surface'!C$8,"",K23)</f>
        <v>46671</v>
      </c>
      <c r="K24" s="4">
        <f>IF(J24="","",IF(J24&lt;'Adjustment Surface'!C$7,EDATE(J$5,COUNT(J$5:J24)),IF(J24='Adjustment Surface'!C$7,'Adjustment Surface'!C$8,'Adjustment Surface'!C$7)))</f>
        <v>46702</v>
      </c>
      <c r="L24" s="3">
        <f t="shared" si="1"/>
        <v>31</v>
      </c>
      <c r="M24" s="5">
        <f>IF(I24="","",(K24-'Rate &amp; Vol Update'!$C$2)/360)</f>
        <v>1.7722222222222221</v>
      </c>
      <c r="N24" s="15">
        <f>IF(I24="","",IF('Adjustment Surface'!C$3='Data Validation'!$C$2,'Adjustment Surface'!C$4,IF(INDEX(Schedules!$E$3:$E$123,MATCH('Bachelier Model'!J24,Schedules!$B$3:$B$123,0))="",N23,INDEX(Schedules!$E$3:$E$123,MATCH('Bachelier Model'!J24,Schedules!$B$3:$B$123,0)))))</f>
        <v>25000000</v>
      </c>
      <c r="O24" s="16">
        <f>IF(I24="","",IF('Adjustment Surface'!C$9='Data Validation'!$D$2,'Adjustment Surface'!C$10,IF(INDEX(Schedules!$H$3:$H$123,MATCH('Bachelier Model'!J24,Schedules!$B$3:$B$123,0))="",O23,INDEX(Schedules!$H$3:$H$123,MATCH('Bachelier Model'!J24,Schedules!$B$3:$B$123,0)))))</f>
        <v>0.02</v>
      </c>
      <c r="P24" s="16" cm="1">
        <f t="array" ref="P24">IF(I24="","",FORECAST(J24,INDEX('Rate &amp; Vol Update'!$C$6:$C$127,MATCH(INDEX('Rate &amp; Vol Update'!$B$6:$B$127,MATCH(J24,'Rate &amp; Vol Update'!$B$6:$B$127,1)),'Rate &amp; Vol Update'!$B$6:$B$127,0)+IF('Adjustment Surface'!C$11='Data Validation'!$E$3,-1,0)):INDEX('Rate &amp; Vol Update'!$C$6:$C$127,MATCH(INDEX('Rate &amp; Vol Update'!$B$6:$B$127,MATCH(J24,'Rate &amp; Vol Update'!$B$6:$B$127,1)+1),'Rate &amp; Vol Update'!$B$6:$B$127,0)+IF('Adjustment Surface'!C$11='Data Validation'!$E$3,-1,0)),INDEX('Rate &amp; Vol Update'!$B$6:$B$127,MATCH(J24,'Rate &amp; Vol Update'!$B$6:$B$127,1)):INDEX('Rate &amp; Vol Update'!$B$6:$B$127,MATCH(J24,'Rate &amp; Vol Update'!$B$6:$B$127,1)+1))/100)</f>
        <v>3.2215949945667843E-2</v>
      </c>
      <c r="Q24" s="16" cm="1">
        <f t="array" ref="Q24">IF(I24="","",IF(J24&lt;'Rate &amp; Vol Update'!$C$2,0.001%,(1/((INDEX('Rate &amp; Vol Update'!$E$6:$Z$6,1,MATCH(O24,'Rate &amp; Vol Update'!$E$6:$Z$6,1)+1)-INDEX('Rate &amp; Vol Update'!$E$6:$Z$6,1,MATCH(O24,'Rate &amp; Vol Update'!$E$6:$Z$6,1)))*(INDEX('Rate &amp; Vol Update'!$B$8:$B$127,MATCH(J24,'Rate &amp; Vol Update'!$B$8:$B$127,1)+1)-INDEX('Rate &amp; Vol Update'!$B$8:$B$127,MATCH(J24,'Rate &amp; Vol Update'!$B$8:$B$127,1))))*(INDEX('Rate &amp; Vol Update'!$E$8:$Z$127,MATCH(INDEX('Rate &amp; Vol Update'!$B$8:$B$127,MATCH(J24,'Rate &amp; Vol Update'!$B$8:$B$127,1)),'Rate &amp; Vol Update'!$B$8:$B$127,0),MATCH(INDEX('Rate &amp; Vol Update'!$E$6:$Z$6,1,MATCH(O24,'Rate &amp; Vol Update'!$E$6:$Z$6,1)),'Rate &amp; Vol Update'!$E$6:$Z$6,0))*(INDEX('Rate &amp; Vol Update'!$E$6:$Z$6,1,MATCH(O24,'Rate &amp; Vol Update'!$E$6:$Z$6,1)+1)-O24)*(INDEX('Rate &amp; Vol Update'!$B$8:$B$127,MATCH(J24,'Rate &amp; Vol Update'!$B$8:$B$127,1)+1)-J24)+INDEX('Rate &amp; Vol Update'!$E$8:$Z$127,MATCH(INDEX('Rate &amp; Vol Update'!$B$8:$B$127,MATCH(J24,'Rate &amp; Vol Update'!$B$8:$B$127,1)),'Rate &amp; Vol Update'!$B$8:$B$127,0),MATCH(INDEX('Rate &amp; Vol Update'!$E$6:$Z$6,1,MATCH(O24,'Rate &amp; Vol Update'!$E$6:$Z$6,1)+1),'Rate &amp; Vol Update'!$E$6:$Z$6,0))*(O24-INDEX('Rate &amp; Vol Update'!$E$6:$Z$6,1,MATCH(O24,'Rate &amp; Vol Update'!$E$6:$Z$6,1)))*(INDEX('Rate &amp; Vol Update'!$B$8:$B$127,MATCH(J24,'Rate &amp; Vol Update'!$B$8:$B$127,1)+1)-J24)+INDEX('Rate &amp; Vol Update'!$E$8:$Z$127,MATCH(INDEX('Rate &amp; Vol Update'!$B$8:$B$127,MATCH(J24,'Rate &amp; Vol Update'!$B$8:$B$127,1)+1),'Rate &amp; Vol Update'!$B$8:$B$127,0),MATCH(INDEX('Rate &amp; Vol Update'!$E$6:$Z$6,1,MATCH(O24,'Rate &amp; Vol Update'!$E$6:$Z$6,1)),'Rate &amp; Vol Update'!$E$6:$Z$6,0))*(INDEX('Rate &amp; Vol Update'!$E$6:$Z$6,1,MATCH(O24,'Rate &amp; Vol Update'!$E$6:$Z$6,1)+1)-O24)*(J24-INDEX('Rate &amp; Vol Update'!$B$8:$B$127,MATCH(J24,'Rate &amp; Vol Update'!$B$8:$B$127,1)))+INDEX('Rate &amp; Vol Update'!$E$8:$Z$127,MATCH(INDEX('Rate &amp; Vol Update'!$B$8:$B$127,MATCH(J24,'Rate &amp; Vol Update'!$B$8:$B$127,1)+1),'Rate &amp; Vol Update'!$B$8:$B$127,0),MATCH(INDEX('Rate &amp; Vol Update'!$E$6:$Z$6,1,MATCH(O24,'Rate &amp; Vol Update'!$E$6:$Z$6,1)+1),'Rate &amp; Vol Update'!$E$6:$Z$6,0))*(O24-INDEX('Rate &amp; Vol Update'!$E$6:$Z$6,1,MATCH(O24,'Rate &amp; Vol Update'!$E$6:$Z$6,1)))*(J24-INDEX('Rate &amp; Vol Update'!$B$8:$B$127,MATCH(J24,'Rate &amp; Vol Update'!$B$8:$B$127,1)))))*0.01%))</f>
        <v>9.563147745676728E-3</v>
      </c>
      <c r="R24" s="5">
        <f>IF(I24="","",1/((1+P24)^((K24-'Rate &amp; Vol Update'!$C$2)/360)))</f>
        <v>0.94535624545111607</v>
      </c>
      <c r="T24" s="15">
        <f>IF(I24="","",IF(J24&lt;'Rate &amp; Vol Update'!$C$2,MAX(0,P24-O24)*(L24/360)*N24,(((IF('Adjustment Surface'!C$2='Data Validation'!$A$2,P24,IF('Adjustment Surface'!C$2='Data Validation'!$A$3,O24,"Unknown Option Type"))-IF('Adjustment Surface'!C$2='Data Validation'!$A$2,O24,IF('Adjustment Surface'!C$2='Data Validation'!$A$3,P24,"Unknown Option Type")))*(NORMDIST((IF('Adjustment Surface'!C$2='Data Validation'!$A$2,P24,IF('Adjustment Surface'!C$2='Data Validation'!$A$3,O24,"Unknown Option Type"))-IF('Adjustment Surface'!C$2='Data Validation'!$A$2,O24,IF('Adjustment Surface'!C$2='Data Validation'!$A$3,P24,"Unknown Option Type")))/(Q24*SQRT(M24)),0,1,TRUE)))+((Q24*SQRT(M24))*(NORMDIST((IF('Adjustment Surface'!C$2='Data Validation'!$A$2,P24,IF('Adjustment Surface'!C$2='Data Validation'!$A$3,O24,"Unknown Option Type"))-IF('Adjustment Surface'!C$2='Data Validation'!$A$2,O24,IF('Adjustment Surface'!C$2='Data Validation'!$A$3,P24,"Unknown Option Type")))/(Q24*SQRT(M24)),0,1,FALSE))))*R24*(L24/360)*N24))</f>
        <v>27191.308611161603</v>
      </c>
      <c r="U24" s="15">
        <f>IF(I24="","",SUM(T$4:T24))</f>
        <v>586871.29534468811</v>
      </c>
      <c r="W24" s="15">
        <f>IF(I24="","",IF(J24&lt;'Rate &amp; Vol Update'!$C$2,0,((((((IF('Adjustment Surface'!C$2='Data Validation'!$A$2,P24,IF('Adjustment Surface'!C$2='Data Validation'!$A$3,O24,"Unknown Option Type"))-IF('Adjustment Surface'!C$2='Data Validation'!$A$2,O24,IF('Adjustment Surface'!C$2='Data Validation'!$A$3,P24,"Unknown Option Type")))*(NORMDIST((IF('Adjustment Surface'!C$2='Data Validation'!$A$2,P24,IF('Adjustment Surface'!C$2='Data Validation'!$A$3,O24,"Unknown Option Type"))-IF('Adjustment Surface'!C$2='Data Validation'!$A$2,O24,IF('Adjustment Surface'!C$2='Data Validation'!$A$3,P24,"Unknown Option Type")))/((Q24+0.01%)*SQRT(M24)),0,1,TRUE)))+(((Q24+0.01%)*SQRT(M24))*(NORMDIST((IF('Adjustment Surface'!C$2='Data Validation'!$A$2,P24,IF('Adjustment Surface'!C$2='Data Validation'!$A$3,O24,"Unknown Option Type"))-IF('Adjustment Surface'!C$2='Data Validation'!$A$2,O24,IF('Adjustment Surface'!C$2='Data Validation'!$A$3,P24,"Unknown Option Type")))/((Q24+0.01%)*SQRT(M24)),0,1,FALSE))))*R24*(L24/360))-(T24/N24))*N24)*R24))</f>
        <v>64.788062533344075</v>
      </c>
      <c r="X24" s="15">
        <f>IF(I24="","",SUM(W$4:W24))</f>
        <v>629.7331674172151</v>
      </c>
      <c r="Y24" s="15"/>
      <c r="Z24" s="20"/>
      <c r="AA24" s="3">
        <v>21</v>
      </c>
      <c r="AB24" s="4">
        <f>IF(AC23=MAX('Adjustment Surface'!$C$14:$F$14),"",AC23)</f>
        <v>46671</v>
      </c>
      <c r="AC24" s="4">
        <f>IF(AB24="","",IF(AB24&lt;EDATE('Adjustment Surface'!$C$6,DATEDIF('Adjustment Surface'!$C$6,MAX('Adjustment Surface'!$C$14:$F$14),"M")),EDATE(AB$5,COUNT(AB$5:AB24)),IF(AB24=EDATE('Adjustment Surface'!$C$6,DATEDIF('Adjustment Surface'!$C$6,MAX('Adjustment Surface'!$C$14:$F$14),"M")),MAX('Adjustment Surface'!$C$14:$F$14),EDATE('Adjustment Surface'!$C$6,DATEDIF('Adjustment Surface'!$C$6,MAX('Adjustment Surface'!$C$14:$F$14),"M")))))</f>
        <v>46702</v>
      </c>
      <c r="AD24" s="3">
        <f t="shared" si="2"/>
        <v>31</v>
      </c>
      <c r="AE24" s="5">
        <f>IF(AA24="","",(AC24-'Rate &amp; Vol Update'!$C$2)/360)</f>
        <v>1.7722222222222221</v>
      </c>
      <c r="AF24" s="15">
        <f>IF(AA24="","",IF('Adjustment Surface'!$C$3='Data Validation'!$C$2,'Adjustment Surface'!$C$4,_xlfn.IFNA(IF(INDEX(Schedules!$E$3:$E$123,MATCH('Bachelier Model'!AB24,Schedules!$B$3:$B$123,0))="",AF23,INDEX(Schedules!$E$3:$E$123,MATCH('Bachelier Model'!AB24,Schedules!$B$3:$B$123,0))),AF23)))</f>
        <v>25000000</v>
      </c>
      <c r="AG24" s="16">
        <f>IF(AA24="","",'Adjustment Surface'!B$15)</f>
        <v>0.03</v>
      </c>
      <c r="AH24" s="16" cm="1">
        <f t="array" ref="AH24">IF(AA24="","",FORECAST(AB24,INDEX('Rate &amp; Vol Update'!$C$6:$C$127,MATCH(INDEX('Rate &amp; Vol Update'!$B$6:$B$127,MATCH(AB24,'Rate &amp; Vol Update'!$B$6:$B$127,1)),'Rate &amp; Vol Update'!$B$6:$B$127,0)+IF('Adjustment Surface'!$C$11='Data Validation'!$E$3,-1,0)):INDEX('Rate &amp; Vol Update'!$C$6:$C$127,MATCH(INDEX('Rate &amp; Vol Update'!$B$6:$B$127,MATCH(AB24,'Rate &amp; Vol Update'!$B$6:$B$127,1)+1),'Rate &amp; Vol Update'!$B$6:$B$127,0)+IF('Adjustment Surface'!$C$11='Data Validation'!$E$3,-1,0)),INDEX('Rate &amp; Vol Update'!$B$6:$B$127,MATCH(AB24,'Rate &amp; Vol Update'!$B$6:$B$127,1)):INDEX('Rate &amp; Vol Update'!$B$6:$B$127,MATCH(AB24,'Rate &amp; Vol Update'!$B$6:$B$127,1)+1))/100)</f>
        <v>3.2215949945667843E-2</v>
      </c>
      <c r="AI24" s="16" cm="1">
        <f t="array" ref="AI24">IF(AA24="","",IF(AB24&lt;'Rate &amp; Vol Update'!$C$2,0.001%,(1/((INDEX('Rate &amp; Vol Update'!$E$6:$Z$6,1,MATCH(AG24,'Rate &amp; Vol Update'!$E$6:$Z$6,1)+1)-INDEX('Rate &amp; Vol Update'!$E$6:$Z$6,1,MATCH(AG24,'Rate &amp; Vol Update'!$E$6:$Z$6,1)))*(INDEX('Rate &amp; Vol Update'!$B$8:$B$127,MATCH(AB24,'Rate &amp; Vol Update'!$B$8:$B$127,1)+1)-INDEX('Rate &amp; Vol Update'!$B$8:$B$127,MATCH(AB24,'Rate &amp; Vol Update'!$B$8:$B$127,1))))*(INDEX('Rate &amp; Vol Update'!$E$8:$Z$127,MATCH(INDEX('Rate &amp; Vol Update'!$B$8:$B$127,MATCH(AB24,'Rate &amp; Vol Update'!$B$8:$B$127,1)),'Rate &amp; Vol Update'!$B$8:$B$127,0),MATCH(INDEX('Rate &amp; Vol Update'!$E$6:$Z$6,1,MATCH(AG24,'Rate &amp; Vol Update'!$E$6:$Z$6,1)),'Rate &amp; Vol Update'!$E$6:$Z$6,0))*(INDEX('Rate &amp; Vol Update'!$E$6:$Z$6,1,MATCH(AG24,'Rate &amp; Vol Update'!$E$6:$Z$6,1)+1)-AG24)*(INDEX('Rate &amp; Vol Update'!$B$8:$B$127,MATCH(AB24,'Rate &amp; Vol Update'!$B$8:$B$127,1)+1)-AB24)+INDEX('Rate &amp; Vol Update'!$E$8:$Z$127,MATCH(INDEX('Rate &amp; Vol Update'!$B$8:$B$127,MATCH(AB24,'Rate &amp; Vol Update'!$B$8:$B$127,1)),'Rate &amp; Vol Update'!$B$8:$B$127,0),MATCH(INDEX('Rate &amp; Vol Update'!$E$6:$Z$6,1,MATCH(AG24,'Rate &amp; Vol Update'!$E$6:$Z$6,1)+1),'Rate &amp; Vol Update'!$E$6:$Z$6,0))*(AG24-INDEX('Rate &amp; Vol Update'!$E$6:$Z$6,1,MATCH(AG24,'Rate &amp; Vol Update'!$E$6:$Z$6,1)))*(INDEX('Rate &amp; Vol Update'!$B$8:$B$127,MATCH(AB24,'Rate &amp; Vol Update'!$B$8:$B$127,1)+1)-AB24)+INDEX('Rate &amp; Vol Update'!$E$8:$Z$127,MATCH(INDEX('Rate &amp; Vol Update'!$B$8:$B$127,MATCH(AB24,'Rate &amp; Vol Update'!$B$8:$B$127,1)+1),'Rate &amp; Vol Update'!$B$8:$B$127,0),MATCH(INDEX('Rate &amp; Vol Update'!$E$6:$Z$6,1,MATCH(AG24,'Rate &amp; Vol Update'!$E$6:$Z$6,1)),'Rate &amp; Vol Update'!$E$6:$Z$6,0))*(INDEX('Rate &amp; Vol Update'!$E$6:$Z$6,1,MATCH(AG24,'Rate &amp; Vol Update'!$E$6:$Z$6,1)+1)-AG24)*(AB24-INDEX('Rate &amp; Vol Update'!$B$8:$B$127,MATCH(AB24,'Rate &amp; Vol Update'!$B$8:$B$127,1)))+INDEX('Rate &amp; Vol Update'!$E$8:$Z$127,MATCH(INDEX('Rate &amp; Vol Update'!$B$8:$B$127,MATCH(AB24,'Rate &amp; Vol Update'!$B$8:$B$127,1)+1),'Rate &amp; Vol Update'!$B$8:$B$127,0),MATCH(INDEX('Rate &amp; Vol Update'!$E$6:$Z$6,1,MATCH(AG24,'Rate &amp; Vol Update'!$E$6:$Z$6,1)+1),'Rate &amp; Vol Update'!$E$6:$Z$6,0))*(AG24-INDEX('Rate &amp; Vol Update'!$E$6:$Z$6,1,MATCH(AG24,'Rate &amp; Vol Update'!$E$6:$Z$6,1)))*(AB24-INDEX('Rate &amp; Vol Update'!$B$8:$B$127,MATCH(AB24,'Rate &amp; Vol Update'!$B$8:$B$127,1)))))*0.01%))</f>
        <v>7.7746725145665723E-3</v>
      </c>
      <c r="AJ24" s="5">
        <f>IF(AA24="","",1/((1+AH24)^((AC24-'Rate &amp; Vol Update'!$C$2)/360)))</f>
        <v>0.94535624545111607</v>
      </c>
      <c r="AL24" s="15">
        <f>IF(AA24="","",IF(AB24&lt;'Rate &amp; Vol Update'!$C$2,MAX(0,AH24-AG24)*(AD24/360)*AF24,(((IF('Adjustment Surface'!$C$2='Data Validation'!$A$2,AH24,IF('Adjustment Surface'!$C$2='Data Validation'!$A$3,AG24,"Unknown Option Type"))-IF('Adjustment Surface'!$C$2='Data Validation'!$A$2,AG24,IF('Adjustment Surface'!$C$2='Data Validation'!$A$3,AH24,"Unknown Option Type")))*(NORMDIST((IF('Adjustment Surface'!$C$2='Data Validation'!$A$2,AH24,IF('Adjustment Surface'!$C$2='Data Validation'!$A$3,AG24,"Unknown Option Type"))-IF('Adjustment Surface'!$C$2='Data Validation'!$A$2,AG24,IF('Adjustment Surface'!$C$2='Data Validation'!$A$3,AH24,"Unknown Option Type")))/(AI24*SQRT(AE24)),0,1,TRUE)))+((AI24*SQRT(AE24))*(NORMDIST((IF('Adjustment Surface'!$C$2='Data Validation'!$A$2,AH24,IF('Adjustment Surface'!$C$2='Data Validation'!$A$3,AG24,"Unknown Option Type"))-IF('Adjustment Surface'!$C$2='Data Validation'!$A$2,AG24,IF('Adjustment Surface'!$C$2='Data Validation'!$A$3,AH24,"Unknown Option Type")))/(AI24*SQRT(AE24)),0,1,FALSE))))*AJ24*(AD24/360)*AF24))</f>
        <v>10849.977063556295</v>
      </c>
      <c r="AM24" s="15">
        <f>IF(AA24="","",SUM(AL$4:AL24))</f>
        <v>209451.38603405957</v>
      </c>
      <c r="AO24" s="15">
        <f>IF(AA24="","",IF(AB24&lt;'Rate &amp; Vol Update'!$C$2,0,((((((IF('Adjustment Surface'!$C$2='Data Validation'!$A$2,AH24,IF('Adjustment Surface'!$C$2='Data Validation'!$A$3,AG24,"Unknown Option Type"))-IF('Adjustment Surface'!$C$2='Data Validation'!$A$2,AG24,IF('Adjustment Surface'!$C$2='Data Validation'!$A$3,AH24,"Unknown Option Type")))*(NORMDIST((IF('Adjustment Surface'!$C$2='Data Validation'!$A$2,AH24,IF('Adjustment Surface'!$C$2='Data Validation'!$A$3,AG24,"Unknown Option Type"))-IF('Adjustment Surface'!$C$2='Data Validation'!$A$2,AG24,IF('Adjustment Surface'!$C$2='Data Validation'!$A$3,AH24,"Unknown Option Type")))/((AI24+0.01%)*SQRT(AE24)),0,1,TRUE)))+(((AI24+0.01%)*SQRT(AE24))*(NORMDIST((IF('Adjustment Surface'!$C$2='Data Validation'!$A$2,AH24,IF('Adjustment Surface'!$C$2='Data Validation'!$A$3,AG24,"Unknown Option Type"))-IF('Adjustment Surface'!$C$2='Data Validation'!$A$2,AG24,IF('Adjustment Surface'!$C$2='Data Validation'!$A$3,AH24,"Unknown Option Type")))/((AI24+0.01%)*SQRT(AE24)),0,1,FALSE))))*AJ24*(AD24/360))-(AL24/AF24))*AF24)*AJ24))</f>
        <v>99.892272869686877</v>
      </c>
      <c r="AP24" s="15">
        <f>IF(AA24="","",SUM(AO$4:AO24))</f>
        <v>1299.3830743141584</v>
      </c>
      <c r="AQ24" s="15"/>
      <c r="AR24" s="20"/>
      <c r="AS24" s="3">
        <v>21</v>
      </c>
      <c r="AT24" s="4">
        <f>IF(AU23=MAX('Adjustment Surface'!$C$14:$F$14),"",AU23)</f>
        <v>46671</v>
      </c>
      <c r="AU24" s="4">
        <f>IF(AT24="","",IF(AT24&lt;EDATE('Adjustment Surface'!$C$6,DATEDIF('Adjustment Surface'!$C$6,MAX('Adjustment Surface'!$C$14:$F$14),"M")),EDATE(AT$5,COUNT(AT$5:AT24)),IF(AT24=EDATE('Adjustment Surface'!$C$6,DATEDIF('Adjustment Surface'!$C$6,MAX('Adjustment Surface'!$C$14:$F$14),"M")),MAX('Adjustment Surface'!$C$14:$F$14),EDATE('Adjustment Surface'!$C$6,DATEDIF('Adjustment Surface'!$C$6,MAX('Adjustment Surface'!$C$14:$F$14),"M")))))</f>
        <v>46702</v>
      </c>
      <c r="AV24" s="3">
        <f t="shared" si="3"/>
        <v>31</v>
      </c>
      <c r="AW24" s="5">
        <f>IF(AS24="","",(AU24-'Rate &amp; Vol Update'!$C$2)/360)</f>
        <v>1.7722222222222221</v>
      </c>
      <c r="AX24" s="15">
        <f>IF(AS24="","",IF('Adjustment Surface'!$C$3='Data Validation'!$C$2,'Adjustment Surface'!$C$4,_xlfn.IFNA(IF(INDEX(Schedules!$E$3:$E$123,MATCH('Bachelier Model'!AT24,Schedules!$B$3:$B$123,0))="",AX23,INDEX(Schedules!$E$3:$E$123,MATCH('Bachelier Model'!AT24,Schedules!$B$3:$B$123,0))),AX23)))</f>
        <v>25000000</v>
      </c>
      <c r="AY24" s="16">
        <f>IF(AS24="","",'Adjustment Surface'!B$16)</f>
        <v>0.04</v>
      </c>
      <c r="AZ24" s="16" cm="1">
        <f t="array" ref="AZ24">IF(AS24="","",FORECAST(AT24,INDEX('Rate &amp; Vol Update'!$C$6:$C$127,MATCH(INDEX('Rate &amp; Vol Update'!$B$6:$B$127,MATCH(AT24,'Rate &amp; Vol Update'!$B$6:$B$127,1)),'Rate &amp; Vol Update'!$B$6:$B$127,0)+IF('Adjustment Surface'!$C$11='Data Validation'!$E$3,-1,0)):INDEX('Rate &amp; Vol Update'!$C$6:$C$127,MATCH(INDEX('Rate &amp; Vol Update'!$B$6:$B$127,MATCH(AT24,'Rate &amp; Vol Update'!$B$6:$B$127,1)+1),'Rate &amp; Vol Update'!$B$6:$B$127,0)+IF('Adjustment Surface'!$C$11='Data Validation'!$E$3,-1,0)),INDEX('Rate &amp; Vol Update'!$B$6:$B$127,MATCH(AT24,'Rate &amp; Vol Update'!$B$6:$B$127,1)):INDEX('Rate &amp; Vol Update'!$B$6:$B$127,MATCH(AT24,'Rate &amp; Vol Update'!$B$6:$B$127,1)+1))/100)</f>
        <v>3.2215949945667843E-2</v>
      </c>
      <c r="BA24" s="16" cm="1">
        <f t="array" ref="BA24">IF(AS24="","",IF(AT24&lt;'Rate &amp; Vol Update'!$C$2,0.001%,(1/((INDEX('Rate &amp; Vol Update'!$E$6:$Z$6,1,MATCH(AY24,'Rate &amp; Vol Update'!$E$6:$Z$6,1)+1)-INDEX('Rate &amp; Vol Update'!$E$6:$Z$6,1,MATCH(AY24,'Rate &amp; Vol Update'!$E$6:$Z$6,1)))*(INDEX('Rate &amp; Vol Update'!$B$8:$B$127,MATCH(AT24,'Rate &amp; Vol Update'!$B$8:$B$127,1)+1)-INDEX('Rate &amp; Vol Update'!$B$8:$B$127,MATCH(AT24,'Rate &amp; Vol Update'!$B$8:$B$127,1))))*(INDEX('Rate &amp; Vol Update'!$E$8:$Z$127,MATCH(INDEX('Rate &amp; Vol Update'!$B$8:$B$127,MATCH(AT24,'Rate &amp; Vol Update'!$B$8:$B$127,1)),'Rate &amp; Vol Update'!$B$8:$B$127,0),MATCH(INDEX('Rate &amp; Vol Update'!$E$6:$Z$6,1,MATCH(AY24,'Rate &amp; Vol Update'!$E$6:$Z$6,1)),'Rate &amp; Vol Update'!$E$6:$Z$6,0))*(INDEX('Rate &amp; Vol Update'!$E$6:$Z$6,1,MATCH(AY24,'Rate &amp; Vol Update'!$E$6:$Z$6,1)+1)-AY24)*(INDEX('Rate &amp; Vol Update'!$B$8:$B$127,MATCH(AT24,'Rate &amp; Vol Update'!$B$8:$B$127,1)+1)-AT24)+INDEX('Rate &amp; Vol Update'!$E$8:$Z$127,MATCH(INDEX('Rate &amp; Vol Update'!$B$8:$B$127,MATCH(AT24,'Rate &amp; Vol Update'!$B$8:$B$127,1)),'Rate &amp; Vol Update'!$B$8:$B$127,0),MATCH(INDEX('Rate &amp; Vol Update'!$E$6:$Z$6,1,MATCH(AY24,'Rate &amp; Vol Update'!$E$6:$Z$6,1)+1),'Rate &amp; Vol Update'!$E$6:$Z$6,0))*(AY24-INDEX('Rate &amp; Vol Update'!$E$6:$Z$6,1,MATCH(AY24,'Rate &amp; Vol Update'!$E$6:$Z$6,1)))*(INDEX('Rate &amp; Vol Update'!$B$8:$B$127,MATCH(AT24,'Rate &amp; Vol Update'!$B$8:$B$127,1)+1)-AT24)+INDEX('Rate &amp; Vol Update'!$E$8:$Z$127,MATCH(INDEX('Rate &amp; Vol Update'!$B$8:$B$127,MATCH(AT24,'Rate &amp; Vol Update'!$B$8:$B$127,1)+1),'Rate &amp; Vol Update'!$B$8:$B$127,0),MATCH(INDEX('Rate &amp; Vol Update'!$E$6:$Z$6,1,MATCH(AY24,'Rate &amp; Vol Update'!$E$6:$Z$6,1)),'Rate &amp; Vol Update'!$E$6:$Z$6,0))*(INDEX('Rate &amp; Vol Update'!$E$6:$Z$6,1,MATCH(AY24,'Rate &amp; Vol Update'!$E$6:$Z$6,1)+1)-AY24)*(AT24-INDEX('Rate &amp; Vol Update'!$B$8:$B$127,MATCH(AT24,'Rate &amp; Vol Update'!$B$8:$B$127,1)))+INDEX('Rate &amp; Vol Update'!$E$8:$Z$127,MATCH(INDEX('Rate &amp; Vol Update'!$B$8:$B$127,MATCH(AT24,'Rate &amp; Vol Update'!$B$8:$B$127,1)+1),'Rate &amp; Vol Update'!$B$8:$B$127,0),MATCH(INDEX('Rate &amp; Vol Update'!$E$6:$Z$6,1,MATCH(AY24,'Rate &amp; Vol Update'!$E$6:$Z$6,1)+1),'Rate &amp; Vol Update'!$E$6:$Z$6,0))*(AY24-INDEX('Rate &amp; Vol Update'!$E$6:$Z$6,1,MATCH(AY24,'Rate &amp; Vol Update'!$E$6:$Z$6,1)))*(AT24-INDEX('Rate &amp; Vol Update'!$B$8:$B$127,MATCH(AT24,'Rate &amp; Vol Update'!$B$8:$B$127,1)))))*0.01%))</f>
        <v>7.4775727300452734E-3</v>
      </c>
      <c r="BB24" s="5">
        <f>IF(AS24="","",1/((1+AZ24)^((AU24-'Rate &amp; Vol Update'!$C$2)/360)))</f>
        <v>0.94535624545111607</v>
      </c>
      <c r="BD24" s="15">
        <f>IF(AS24="","",IF(AT24&lt;'Rate &amp; Vol Update'!$C$2,MAX(0,AZ24-AY24)*(AV24/360)*AX24,(((IF('Adjustment Surface'!$C$2='Data Validation'!$A$2,AZ24,IF('Adjustment Surface'!$C$2='Data Validation'!$A$3,AY24,"Unknown Option Type"))-IF('Adjustment Surface'!$C$2='Data Validation'!$A$2,AY24,IF('Adjustment Surface'!$C$2='Data Validation'!$A$3,AZ24,"Unknown Option Type")))*(NORMDIST((IF('Adjustment Surface'!$C$2='Data Validation'!$A$2,AZ24,IF('Adjustment Surface'!$C$2='Data Validation'!$A$3,AY24,"Unknown Option Type"))-IF('Adjustment Surface'!$C$2='Data Validation'!$A$2,AY24,IF('Adjustment Surface'!$C$2='Data Validation'!$A$3,AZ24,"Unknown Option Type")))/(BA24*SQRT(AW24)),0,1,TRUE)))+((BA24*SQRT(AW24))*(NORMDIST((IF('Adjustment Surface'!$C$2='Data Validation'!$A$2,AZ24,IF('Adjustment Surface'!$C$2='Data Validation'!$A$3,AY24,"Unknown Option Type"))-IF('Adjustment Surface'!$C$2='Data Validation'!$A$2,AY24,IF('Adjustment Surface'!$C$2='Data Validation'!$A$3,AZ24,"Unknown Option Type")))/(BA24*SQRT(AW24)),0,1,FALSE))))*BB24*(AV24/360)*AX24))</f>
        <v>2513.6338812664003</v>
      </c>
      <c r="BE24" s="15">
        <f>IF(AS24="","",SUM(BD$4:BD24))</f>
        <v>21447.345194199141</v>
      </c>
      <c r="BG24" s="15">
        <f>IF(AS24="","",IF(AT24&lt;'Rate &amp; Vol Update'!$C$2,0,((((((IF('Adjustment Surface'!$C$2='Data Validation'!$A$2,AZ24,IF('Adjustment Surface'!$C$2='Data Validation'!$A$3,AY24,"Unknown Option Type"))-IF('Adjustment Surface'!$C$2='Data Validation'!$A$2,AY24,IF('Adjustment Surface'!$C$2='Data Validation'!$A$3,AZ24,"Unknown Option Type")))*(NORMDIST((IF('Adjustment Surface'!$C$2='Data Validation'!$A$2,AZ24,IF('Adjustment Surface'!$C$2='Data Validation'!$A$3,AY24,"Unknown Option Type"))-IF('Adjustment Surface'!$C$2='Data Validation'!$A$2,AY24,IF('Adjustment Surface'!$C$2='Data Validation'!$A$3,AZ24,"Unknown Option Type")))/((BA24+0.01%)*SQRT(AW24)),0,1,TRUE)))+(((BA24+0.01%)*SQRT(AW24))*(NORMDIST((IF('Adjustment Surface'!$C$2='Data Validation'!$A$2,AZ24,IF('Adjustment Surface'!$C$2='Data Validation'!$A$3,AY24,"Unknown Option Type"))-IF('Adjustment Surface'!$C$2='Data Validation'!$A$2,AY24,IF('Adjustment Surface'!$C$2='Data Validation'!$A$3,AZ24,"Unknown Option Type")))/((BA24+0.01%)*SQRT(AW24)),0,1,FALSE))))*BB24*(AV24/360))-(BD24/AX24))*AX24)*BB24))</f>
        <v>75.56745142726831</v>
      </c>
      <c r="BH24" s="15">
        <f>IF(AS24="","",SUM(BG$4:BG24))</f>
        <v>848.86542955653874</v>
      </c>
      <c r="BI24" s="15"/>
      <c r="BJ24" s="20"/>
      <c r="BK24" s="3">
        <v>21</v>
      </c>
      <c r="BL24" s="4">
        <f>IF(BM23=MAX('Adjustment Surface'!$C$14:$F$14),"",BM23)</f>
        <v>46671</v>
      </c>
      <c r="BM24" s="4">
        <f>IF(BL24="","",IF(BL24&lt;EDATE('Adjustment Surface'!$C$6,DATEDIF('Adjustment Surface'!$C$6,MAX('Adjustment Surface'!$C$14:$F$14),"M")),EDATE(BL$5,COUNT(BL$5:BL24)),IF(BL24=EDATE('Adjustment Surface'!$C$6,DATEDIF('Adjustment Surface'!$C$6,MAX('Adjustment Surface'!$C$14:$F$14),"M")),MAX('Adjustment Surface'!$C$14:$F$14),EDATE('Adjustment Surface'!$C$6,DATEDIF('Adjustment Surface'!$C$6,MAX('Adjustment Surface'!$C$14:$F$14),"M")))))</f>
        <v>46702</v>
      </c>
      <c r="BN24" s="3">
        <f t="shared" si="4"/>
        <v>31</v>
      </c>
      <c r="BO24" s="5">
        <f>IF(BK24="","",(BM24-'Rate &amp; Vol Update'!$C$2)/360)</f>
        <v>1.7722222222222221</v>
      </c>
      <c r="BP24" s="15">
        <f>IF(BK24="","",IF('Adjustment Surface'!$C$3='Data Validation'!$C$2,'Adjustment Surface'!$C$4,_xlfn.IFNA(IF(INDEX(Schedules!$E$3:$E$123,MATCH('Bachelier Model'!BL24,Schedules!$B$3:$B$123,0))="",BP23,INDEX(Schedules!$E$3:$E$123,MATCH('Bachelier Model'!BL24,Schedules!$B$3:$B$123,0))),BP23)))</f>
        <v>25000000</v>
      </c>
      <c r="BQ24" s="16">
        <f>IF(BK24="","",'Adjustment Surface'!B$17)</f>
        <v>0.05</v>
      </c>
      <c r="BR24" s="16" cm="1">
        <f t="array" ref="BR24">IF(BK24="","",FORECAST(BL24,INDEX('Rate &amp; Vol Update'!$C$6:$C$127,MATCH(INDEX('Rate &amp; Vol Update'!$B$6:$B$127,MATCH(BL24,'Rate &amp; Vol Update'!$B$6:$B$127,1)),'Rate &amp; Vol Update'!$B$6:$B$127,0)+IF('Adjustment Surface'!$C$11='Data Validation'!$E$3,-1,0)):INDEX('Rate &amp; Vol Update'!$C$6:$C$127,MATCH(INDEX('Rate &amp; Vol Update'!$B$6:$B$127,MATCH(BL24,'Rate &amp; Vol Update'!$B$6:$B$127,1)+1),'Rate &amp; Vol Update'!$B$6:$B$127,0)+IF('Adjustment Surface'!$C$11='Data Validation'!$E$3,-1,0)),INDEX('Rate &amp; Vol Update'!$B$6:$B$127,MATCH(BL24,'Rate &amp; Vol Update'!$B$6:$B$127,1)):INDEX('Rate &amp; Vol Update'!$B$6:$B$127,MATCH(BL24,'Rate &amp; Vol Update'!$B$6:$B$127,1)+1))/100)</f>
        <v>3.2215949945667843E-2</v>
      </c>
      <c r="BS24" s="16" cm="1">
        <f t="array" ref="BS24">IF(BK24="","",IF(BL24&lt;'Rate &amp; Vol Update'!$C$2,0.001%,(1/((INDEX('Rate &amp; Vol Update'!$E$6:$Z$6,1,MATCH(BQ24,'Rate &amp; Vol Update'!$E$6:$Z$6,1)+1)-INDEX('Rate &amp; Vol Update'!$E$6:$Z$6,1,MATCH(BQ24,'Rate &amp; Vol Update'!$E$6:$Z$6,1)))*(INDEX('Rate &amp; Vol Update'!$B$8:$B$127,MATCH(BL24,'Rate &amp; Vol Update'!$B$8:$B$127,1)+1)-INDEX('Rate &amp; Vol Update'!$B$8:$B$127,MATCH(BL24,'Rate &amp; Vol Update'!$B$8:$B$127,1))))*(INDEX('Rate &amp; Vol Update'!$E$8:$Z$127,MATCH(INDEX('Rate &amp; Vol Update'!$B$8:$B$127,MATCH(BL24,'Rate &amp; Vol Update'!$B$8:$B$127,1)),'Rate &amp; Vol Update'!$B$8:$B$127,0),MATCH(INDEX('Rate &amp; Vol Update'!$E$6:$Z$6,1,MATCH(BQ24,'Rate &amp; Vol Update'!$E$6:$Z$6,1)),'Rate &amp; Vol Update'!$E$6:$Z$6,0))*(INDEX('Rate &amp; Vol Update'!$E$6:$Z$6,1,MATCH(BQ24,'Rate &amp; Vol Update'!$E$6:$Z$6,1)+1)-BQ24)*(INDEX('Rate &amp; Vol Update'!$B$8:$B$127,MATCH(BL24,'Rate &amp; Vol Update'!$B$8:$B$127,1)+1)-BL24)+INDEX('Rate &amp; Vol Update'!$E$8:$Z$127,MATCH(INDEX('Rate &amp; Vol Update'!$B$8:$B$127,MATCH(BL24,'Rate &amp; Vol Update'!$B$8:$B$127,1)),'Rate &amp; Vol Update'!$B$8:$B$127,0),MATCH(INDEX('Rate &amp; Vol Update'!$E$6:$Z$6,1,MATCH(BQ24,'Rate &amp; Vol Update'!$E$6:$Z$6,1)+1),'Rate &amp; Vol Update'!$E$6:$Z$6,0))*(BQ24-INDEX('Rate &amp; Vol Update'!$E$6:$Z$6,1,MATCH(BQ24,'Rate &amp; Vol Update'!$E$6:$Z$6,1)))*(INDEX('Rate &amp; Vol Update'!$B$8:$B$127,MATCH(BL24,'Rate &amp; Vol Update'!$B$8:$B$127,1)+1)-BL24)+INDEX('Rate &amp; Vol Update'!$E$8:$Z$127,MATCH(INDEX('Rate &amp; Vol Update'!$B$8:$B$127,MATCH(BL24,'Rate &amp; Vol Update'!$B$8:$B$127,1)+1),'Rate &amp; Vol Update'!$B$8:$B$127,0),MATCH(INDEX('Rate &amp; Vol Update'!$E$6:$Z$6,1,MATCH(BQ24,'Rate &amp; Vol Update'!$E$6:$Z$6,1)),'Rate &amp; Vol Update'!$E$6:$Z$6,0))*(INDEX('Rate &amp; Vol Update'!$E$6:$Z$6,1,MATCH(BQ24,'Rate &amp; Vol Update'!$E$6:$Z$6,1)+1)-BQ24)*(BL24-INDEX('Rate &amp; Vol Update'!$B$8:$B$127,MATCH(BL24,'Rate &amp; Vol Update'!$B$8:$B$127,1)))+INDEX('Rate &amp; Vol Update'!$E$8:$Z$127,MATCH(INDEX('Rate &amp; Vol Update'!$B$8:$B$127,MATCH(BL24,'Rate &amp; Vol Update'!$B$8:$B$127,1)+1),'Rate &amp; Vol Update'!$B$8:$B$127,0),MATCH(INDEX('Rate &amp; Vol Update'!$E$6:$Z$6,1,MATCH(BQ24,'Rate &amp; Vol Update'!$E$6:$Z$6,1)+1),'Rate &amp; Vol Update'!$E$6:$Z$6,0))*(BQ24-INDEX('Rate &amp; Vol Update'!$E$6:$Z$6,1,MATCH(BQ24,'Rate &amp; Vol Update'!$E$6:$Z$6,1)))*(BL24-INDEX('Rate &amp; Vol Update'!$B$8:$B$127,MATCH(BL24,'Rate &amp; Vol Update'!$B$8:$B$127,1)))))*0.01%))</f>
        <v>9.0183015712400547E-3</v>
      </c>
      <c r="BT24" s="5">
        <f>IF(BK24="","",1/((1+BR24)^((BM24-'Rate &amp; Vol Update'!$C$2)/360)))</f>
        <v>0.94535624545111607</v>
      </c>
      <c r="BV24" s="15">
        <f>IF(BK24="","",IF(BL24&lt;'Rate &amp; Vol Update'!$C$2,MAX(0,BR24-BQ24)*(BN24/360)*BP24,(((IF('Adjustment Surface'!$C$2='Data Validation'!$A$2,BR24,IF('Adjustment Surface'!$C$2='Data Validation'!$A$3,BQ24,"Unknown Option Type"))-IF('Adjustment Surface'!$C$2='Data Validation'!$A$2,BQ24,IF('Adjustment Surface'!$C$2='Data Validation'!$A$3,BR24,"Unknown Option Type")))*(NORMDIST((IF('Adjustment Surface'!$C$2='Data Validation'!$A$2,BR24,IF('Adjustment Surface'!$C$2='Data Validation'!$A$3,BQ24,"Unknown Option Type"))-IF('Adjustment Surface'!$C$2='Data Validation'!$A$2,BQ24,IF('Adjustment Surface'!$C$2='Data Validation'!$A$3,BR24,"Unknown Option Type")))/(BS24*SQRT(BO24)),0,1,TRUE)))+((BS24*SQRT(BO24))*(NORMDIST((IF('Adjustment Surface'!$C$2='Data Validation'!$A$2,BR24,IF('Adjustment Surface'!$C$2='Data Validation'!$A$3,BQ24,"Unknown Option Type"))-IF('Adjustment Surface'!$C$2='Data Validation'!$A$2,BQ24,IF('Adjustment Surface'!$C$2='Data Validation'!$A$3,BR24,"Unknown Option Type")))/(BS24*SQRT(BO24)),0,1,FALSE))))*BT24*(BN24/360)*BP24))</f>
        <v>747.11643548722247</v>
      </c>
      <c r="BW24" s="15">
        <f>IF(BK24="","",SUM(BV$4:BV24))</f>
        <v>4266.5052133256841</v>
      </c>
      <c r="BY24" s="15">
        <f>IF(BK24="","",IF(BL24&lt;'Rate &amp; Vol Update'!$C$2,0,((((((IF('Adjustment Surface'!$C$2='Data Validation'!$A$2,BR24,IF('Adjustment Surface'!$C$2='Data Validation'!$A$3,BQ24,"Unknown Option Type"))-IF('Adjustment Surface'!$C$2='Data Validation'!$A$2,BQ24,IF('Adjustment Surface'!$C$2='Data Validation'!$A$3,BR24,"Unknown Option Type")))*(NORMDIST((IF('Adjustment Surface'!$C$2='Data Validation'!$A$2,BR24,IF('Adjustment Surface'!$C$2='Data Validation'!$A$3,BQ24,"Unknown Option Type"))-IF('Adjustment Surface'!$C$2='Data Validation'!$A$2,BQ24,IF('Adjustment Surface'!$C$2='Data Validation'!$A$3,BR24,"Unknown Option Type")))/((BS24+0.01%)*SQRT(BO24)),0,1,TRUE)))+(((BS24+0.01%)*SQRT(BO24))*(NORMDIST((IF('Adjustment Surface'!$C$2='Data Validation'!$A$2,BR24,IF('Adjustment Surface'!$C$2='Data Validation'!$A$3,BQ24,"Unknown Option Type"))-IF('Adjustment Surface'!$C$2='Data Validation'!$A$2,BQ24,IF('Adjustment Surface'!$C$2='Data Validation'!$A$3,BR24,"Unknown Option Type")))/((BS24+0.01%)*SQRT(BO24)),0,1,FALSE))))*BT24*(BN24/360))-(BV24/BP24))*BP24)*BT24))</f>
        <v>34.523249915573238</v>
      </c>
      <c r="BZ24" s="15">
        <f>IF(BK24="","",SUM(BY$4:BY24))</f>
        <v>237.12209528492383</v>
      </c>
      <c r="CA24" s="15"/>
      <c r="CB24" s="20"/>
      <c r="CC24" s="3">
        <v>21</v>
      </c>
      <c r="CD24" s="4">
        <f>IF(CE23=MAX('Adjustment Surface'!$C$14:$F$14),"",CE23)</f>
        <v>46671</v>
      </c>
      <c r="CE24" s="4">
        <f>IF(CD24="","",IF(CD24&lt;EDATE('Adjustment Surface'!$C$6,DATEDIF('Adjustment Surface'!$C$6,MAX('Adjustment Surface'!$C$14:$F$14),"M")),EDATE(CD$5,COUNT(CD$5:CD24)),IF(CD24=EDATE('Adjustment Surface'!$C$6,DATEDIF('Adjustment Surface'!$C$6,MAX('Adjustment Surface'!$C$14:$F$14),"M")),MAX('Adjustment Surface'!$C$14:$F$14),EDATE('Adjustment Surface'!$C$6,DATEDIF('Adjustment Surface'!$C$6,MAX('Adjustment Surface'!$C$14:$F$14),"M")))))</f>
        <v>46702</v>
      </c>
      <c r="CF24" s="3">
        <f t="shared" si="5"/>
        <v>31</v>
      </c>
      <c r="CG24" s="5">
        <f>IF(CC24="","",(CE24-'Rate &amp; Vol Update'!$C$2)/360)</f>
        <v>1.7722222222222221</v>
      </c>
      <c r="CH24" s="15">
        <f>IF(CC24="","",IF('Adjustment Surface'!$C$3='Data Validation'!$C$2,'Adjustment Surface'!$C$4,_xlfn.IFNA(IF(INDEX(Schedules!$E$3:$E$123,MATCH('Bachelier Model'!CD24,Schedules!$B$3:$B$123,0))="",CH23,INDEX(Schedules!$E$3:$E$123,MATCH('Bachelier Model'!CD24,Schedules!$B$3:$B$123,0))),CH23)))</f>
        <v>25000000</v>
      </c>
      <c r="CI24" s="16">
        <f>IF(CC24="","",'Adjustment Surface'!B$18)</f>
        <v>0.06</v>
      </c>
      <c r="CJ24" s="16" cm="1">
        <f t="array" ref="CJ24">IF(CC24="","",FORECAST(CD24,INDEX('Rate &amp; Vol Update'!$C$6:$C$127,MATCH(INDEX('Rate &amp; Vol Update'!$B$6:$B$127,MATCH(CD24,'Rate &amp; Vol Update'!$B$6:$B$127,1)),'Rate &amp; Vol Update'!$B$6:$B$127,0)+IF('Adjustment Surface'!$C$11='Data Validation'!$E$3,-1,0)):INDEX('Rate &amp; Vol Update'!$C$6:$C$127,MATCH(INDEX('Rate &amp; Vol Update'!$B$6:$B$127,MATCH(CD24,'Rate &amp; Vol Update'!$B$6:$B$127,1)+1),'Rate &amp; Vol Update'!$B$6:$B$127,0)+IF('Adjustment Surface'!$C$11='Data Validation'!$E$3,-1,0)),INDEX('Rate &amp; Vol Update'!$B$6:$B$127,MATCH(CD24,'Rate &amp; Vol Update'!$B$6:$B$127,1)):INDEX('Rate &amp; Vol Update'!$B$6:$B$127,MATCH(CD24,'Rate &amp; Vol Update'!$B$6:$B$127,1)+1))/100)</f>
        <v>3.2215949945667843E-2</v>
      </c>
      <c r="CK24" s="16" cm="1">
        <f t="array" ref="CK24">IF(CC24="","",IF(CD24&lt;'Rate &amp; Vol Update'!$C$2,0.001%,(1/((INDEX('Rate &amp; Vol Update'!$E$6:$Z$6,1,MATCH(CI24,'Rate &amp; Vol Update'!$E$6:$Z$6,1)+1)-INDEX('Rate &amp; Vol Update'!$E$6:$Z$6,1,MATCH(CI24,'Rate &amp; Vol Update'!$E$6:$Z$6,1)))*(INDEX('Rate &amp; Vol Update'!$B$8:$B$127,MATCH(CD24,'Rate &amp; Vol Update'!$B$8:$B$127,1)+1)-INDEX('Rate &amp; Vol Update'!$B$8:$B$127,MATCH(CD24,'Rate &amp; Vol Update'!$B$8:$B$127,1))))*(INDEX('Rate &amp; Vol Update'!$E$8:$Z$127,MATCH(INDEX('Rate &amp; Vol Update'!$B$8:$B$127,MATCH(CD24,'Rate &amp; Vol Update'!$B$8:$B$127,1)),'Rate &amp; Vol Update'!$B$8:$B$127,0),MATCH(INDEX('Rate &amp; Vol Update'!$E$6:$Z$6,1,MATCH(CI24,'Rate &amp; Vol Update'!$E$6:$Z$6,1)),'Rate &amp; Vol Update'!$E$6:$Z$6,0))*(INDEX('Rate &amp; Vol Update'!$E$6:$Z$6,1,MATCH(CI24,'Rate &amp; Vol Update'!$E$6:$Z$6,1)+1)-CI24)*(INDEX('Rate &amp; Vol Update'!$B$8:$B$127,MATCH(CD24,'Rate &amp; Vol Update'!$B$8:$B$127,1)+1)-CD24)+INDEX('Rate &amp; Vol Update'!$E$8:$Z$127,MATCH(INDEX('Rate &amp; Vol Update'!$B$8:$B$127,MATCH(CD24,'Rate &amp; Vol Update'!$B$8:$B$127,1)),'Rate &amp; Vol Update'!$B$8:$B$127,0),MATCH(INDEX('Rate &amp; Vol Update'!$E$6:$Z$6,1,MATCH(CI24,'Rate &amp; Vol Update'!$E$6:$Z$6,1)+1),'Rate &amp; Vol Update'!$E$6:$Z$6,0))*(CI24-INDEX('Rate &amp; Vol Update'!$E$6:$Z$6,1,MATCH(CI24,'Rate &amp; Vol Update'!$E$6:$Z$6,1)))*(INDEX('Rate &amp; Vol Update'!$B$8:$B$127,MATCH(CD24,'Rate &amp; Vol Update'!$B$8:$B$127,1)+1)-CD24)+INDEX('Rate &amp; Vol Update'!$E$8:$Z$127,MATCH(INDEX('Rate &amp; Vol Update'!$B$8:$B$127,MATCH(CD24,'Rate &amp; Vol Update'!$B$8:$B$127,1)+1),'Rate &amp; Vol Update'!$B$8:$B$127,0),MATCH(INDEX('Rate &amp; Vol Update'!$E$6:$Z$6,1,MATCH(CI24,'Rate &amp; Vol Update'!$E$6:$Z$6,1)),'Rate &amp; Vol Update'!$E$6:$Z$6,0))*(INDEX('Rate &amp; Vol Update'!$E$6:$Z$6,1,MATCH(CI24,'Rate &amp; Vol Update'!$E$6:$Z$6,1)+1)-CI24)*(CD24-INDEX('Rate &amp; Vol Update'!$B$8:$B$127,MATCH(CD24,'Rate &amp; Vol Update'!$B$8:$B$127,1)))+INDEX('Rate &amp; Vol Update'!$E$8:$Z$127,MATCH(INDEX('Rate &amp; Vol Update'!$B$8:$B$127,MATCH(CD24,'Rate &amp; Vol Update'!$B$8:$B$127,1)+1),'Rate &amp; Vol Update'!$B$8:$B$127,0),MATCH(INDEX('Rate &amp; Vol Update'!$E$6:$Z$6,1,MATCH(CI24,'Rate &amp; Vol Update'!$E$6:$Z$6,1)+1),'Rate &amp; Vol Update'!$E$6:$Z$6,0))*(CI24-INDEX('Rate &amp; Vol Update'!$E$6:$Z$6,1,MATCH(CI24,'Rate &amp; Vol Update'!$E$6:$Z$6,1)))*(CD24-INDEX('Rate &amp; Vol Update'!$B$8:$B$127,MATCH(CD24,'Rate &amp; Vol Update'!$B$8:$B$127,1)))))*0.01%))</f>
        <v>1.1008375193128063E-2</v>
      </c>
      <c r="CL24" s="5">
        <f>IF(CC24="","",1/((1+CJ24)^((CE24-'Rate &amp; Vol Update'!$C$2)/360)))</f>
        <v>0.94535624545111607</v>
      </c>
      <c r="CN24" s="15">
        <f>IF(CC24="","",IF(CD24&lt;'Rate &amp; Vol Update'!$C$2,MAX(0,CJ24-CI24)*(CF24/360)*CH24,(((IF('Adjustment Surface'!$C$2='Data Validation'!$A$2,CJ24,IF('Adjustment Surface'!$C$2='Data Validation'!$A$3,CI24,"Unknown Option Type"))-IF('Adjustment Surface'!$C$2='Data Validation'!$A$2,CI24,IF('Adjustment Surface'!$C$2='Data Validation'!$A$3,CJ24,"Unknown Option Type")))*(NORMDIST((IF('Adjustment Surface'!$C$2='Data Validation'!$A$2,CJ24,IF('Adjustment Surface'!$C$2='Data Validation'!$A$3,CI24,"Unknown Option Type"))-IF('Adjustment Surface'!$C$2='Data Validation'!$A$2,CI24,IF('Adjustment Surface'!$C$2='Data Validation'!$A$3,CJ24,"Unknown Option Type")))/(CK24*SQRT(CG24)),0,1,TRUE)))+((CK24*SQRT(CG24))*(NORMDIST((IF('Adjustment Surface'!$C$2='Data Validation'!$A$2,CJ24,IF('Adjustment Surface'!$C$2='Data Validation'!$A$3,CI24,"Unknown Option Type"))-IF('Adjustment Surface'!$C$2='Data Validation'!$A$2,CI24,IF('Adjustment Surface'!$C$2='Data Validation'!$A$3,CJ24,"Unknown Option Type")))/(CK24*SQRT(CG24)),0,1,FALSE))))*CL24*(CF24/360)*CH24))</f>
        <v>333.22965563334606</v>
      </c>
      <c r="CO24" s="15">
        <f>IF(CC24="","",SUM(CN$4:CN24))</f>
        <v>1607.5790396479622</v>
      </c>
      <c r="CQ24" s="15">
        <f>IF(CC24="","",IF(CD24&lt;'Rate &amp; Vol Update'!$C$2,0,((((((IF('Adjustment Surface'!$C$2='Data Validation'!$A$2,CJ24,IF('Adjustment Surface'!$C$2='Data Validation'!$A$3,CI24,"Unknown Option Type"))-IF('Adjustment Surface'!$C$2='Data Validation'!$A$2,CI24,IF('Adjustment Surface'!$C$2='Data Validation'!$A$3,CJ24,"Unknown Option Type")))*(NORMDIST((IF('Adjustment Surface'!$C$2='Data Validation'!$A$2,CJ24,IF('Adjustment Surface'!$C$2='Data Validation'!$A$3,CI24,"Unknown Option Type"))-IF('Adjustment Surface'!$C$2='Data Validation'!$A$2,CI24,IF('Adjustment Surface'!$C$2='Data Validation'!$A$3,CJ24,"Unknown Option Type")))/((CK24+0.01%)*SQRT(CG24)),0,1,TRUE)))+(((CK24+0.01%)*SQRT(CG24))*(NORMDIST((IF('Adjustment Surface'!$C$2='Data Validation'!$A$2,CJ24,IF('Adjustment Surface'!$C$2='Data Validation'!$A$3,CI24,"Unknown Option Type"))-IF('Adjustment Surface'!$C$2='Data Validation'!$A$2,CI24,IF('Adjustment Surface'!$C$2='Data Validation'!$A$3,CJ24,"Unknown Option Type")))/((CK24+0.01%)*SQRT(CG24)),0,1,FALSE))))*CL24*(CF24/360))-(CN24/CH24))*CH24)*CL24))</f>
        <v>17.214337185454596</v>
      </c>
      <c r="CR24" s="15">
        <f>IF(CC24="","",SUM(CQ$4:CQ24))</f>
        <v>96.647516976096796</v>
      </c>
    </row>
    <row r="25" spans="7:96" x14ac:dyDescent="0.25">
      <c r="G25" s="28"/>
      <c r="I25" s="3">
        <v>22</v>
      </c>
      <c r="J25" s="4">
        <f>IF(K24='Adjustment Surface'!C$8,"",K24)</f>
        <v>46702</v>
      </c>
      <c r="K25" s="4">
        <f>IF(J25="","",IF(J25&lt;'Adjustment Surface'!C$7,EDATE(J$5,COUNT(J$5:J25)),IF(J25='Adjustment Surface'!C$7,'Adjustment Surface'!C$8,'Adjustment Surface'!C$7)))</f>
        <v>46732</v>
      </c>
      <c r="L25" s="3">
        <f t="shared" si="1"/>
        <v>30</v>
      </c>
      <c r="M25" s="5">
        <f>IF(I25="","",(K25-'Rate &amp; Vol Update'!$C$2)/360)</f>
        <v>1.8555555555555556</v>
      </c>
      <c r="N25" s="15">
        <f>IF(I25="","",IF('Adjustment Surface'!C$3='Data Validation'!$C$2,'Adjustment Surface'!C$4,IF(INDEX(Schedules!$E$3:$E$123,MATCH('Bachelier Model'!J25,Schedules!$B$3:$B$123,0))="",N24,INDEX(Schedules!$E$3:$E$123,MATCH('Bachelier Model'!J25,Schedules!$B$3:$B$123,0)))))</f>
        <v>25000000</v>
      </c>
      <c r="O25" s="16">
        <f>IF(I25="","",IF('Adjustment Surface'!C$9='Data Validation'!$D$2,'Adjustment Surface'!C$10,IF(INDEX(Schedules!$H$3:$H$123,MATCH('Bachelier Model'!J25,Schedules!$B$3:$B$123,0))="",O24,INDEX(Schedules!$H$3:$H$123,MATCH('Bachelier Model'!J25,Schedules!$B$3:$B$123,0)))))</f>
        <v>0.02</v>
      </c>
      <c r="P25" s="16" cm="1">
        <f t="array" ref="P25">IF(I25="","",FORECAST(J25,INDEX('Rate &amp; Vol Update'!$C$6:$C$127,MATCH(INDEX('Rate &amp; Vol Update'!$B$6:$B$127,MATCH(J25,'Rate &amp; Vol Update'!$B$6:$B$127,1)),'Rate &amp; Vol Update'!$B$6:$B$127,0)+IF('Adjustment Surface'!C$11='Data Validation'!$E$3,-1,0)):INDEX('Rate &amp; Vol Update'!$C$6:$C$127,MATCH(INDEX('Rate &amp; Vol Update'!$B$6:$B$127,MATCH(J25,'Rate &amp; Vol Update'!$B$6:$B$127,1)+1),'Rate &amp; Vol Update'!$B$6:$B$127,0)+IF('Adjustment Surface'!C$11='Data Validation'!$E$3,-1,0)),INDEX('Rate &amp; Vol Update'!$B$6:$B$127,MATCH(J25,'Rate &amp; Vol Update'!$B$6:$B$127,1)):INDEX('Rate &amp; Vol Update'!$B$6:$B$127,MATCH(J25,'Rate &amp; Vol Update'!$B$6:$B$127,1)+1))/100)</f>
        <v>3.2213069900194569E-2</v>
      </c>
      <c r="Q25" s="16" cm="1">
        <f t="array" ref="Q25">IF(I25="","",IF(J25&lt;'Rate &amp; Vol Update'!$C$2,0.001%,(1/((INDEX('Rate &amp; Vol Update'!$E$6:$Z$6,1,MATCH(O25,'Rate &amp; Vol Update'!$E$6:$Z$6,1)+1)-INDEX('Rate &amp; Vol Update'!$E$6:$Z$6,1,MATCH(O25,'Rate &amp; Vol Update'!$E$6:$Z$6,1)))*(INDEX('Rate &amp; Vol Update'!$B$8:$B$127,MATCH(J25,'Rate &amp; Vol Update'!$B$8:$B$127,1)+1)-INDEX('Rate &amp; Vol Update'!$B$8:$B$127,MATCH(J25,'Rate &amp; Vol Update'!$B$8:$B$127,1))))*(INDEX('Rate &amp; Vol Update'!$E$8:$Z$127,MATCH(INDEX('Rate &amp; Vol Update'!$B$8:$B$127,MATCH(J25,'Rate &amp; Vol Update'!$B$8:$B$127,1)),'Rate &amp; Vol Update'!$B$8:$B$127,0),MATCH(INDEX('Rate &amp; Vol Update'!$E$6:$Z$6,1,MATCH(O25,'Rate &amp; Vol Update'!$E$6:$Z$6,1)),'Rate &amp; Vol Update'!$E$6:$Z$6,0))*(INDEX('Rate &amp; Vol Update'!$E$6:$Z$6,1,MATCH(O25,'Rate &amp; Vol Update'!$E$6:$Z$6,1)+1)-O25)*(INDEX('Rate &amp; Vol Update'!$B$8:$B$127,MATCH(J25,'Rate &amp; Vol Update'!$B$8:$B$127,1)+1)-J25)+INDEX('Rate &amp; Vol Update'!$E$8:$Z$127,MATCH(INDEX('Rate &amp; Vol Update'!$B$8:$B$127,MATCH(J25,'Rate &amp; Vol Update'!$B$8:$B$127,1)),'Rate &amp; Vol Update'!$B$8:$B$127,0),MATCH(INDEX('Rate &amp; Vol Update'!$E$6:$Z$6,1,MATCH(O25,'Rate &amp; Vol Update'!$E$6:$Z$6,1)+1),'Rate &amp; Vol Update'!$E$6:$Z$6,0))*(O25-INDEX('Rate &amp; Vol Update'!$E$6:$Z$6,1,MATCH(O25,'Rate &amp; Vol Update'!$E$6:$Z$6,1)))*(INDEX('Rate &amp; Vol Update'!$B$8:$B$127,MATCH(J25,'Rate &amp; Vol Update'!$B$8:$B$127,1)+1)-J25)+INDEX('Rate &amp; Vol Update'!$E$8:$Z$127,MATCH(INDEX('Rate &amp; Vol Update'!$B$8:$B$127,MATCH(J25,'Rate &amp; Vol Update'!$B$8:$B$127,1)+1),'Rate &amp; Vol Update'!$B$8:$B$127,0),MATCH(INDEX('Rate &amp; Vol Update'!$E$6:$Z$6,1,MATCH(O25,'Rate &amp; Vol Update'!$E$6:$Z$6,1)),'Rate &amp; Vol Update'!$E$6:$Z$6,0))*(INDEX('Rate &amp; Vol Update'!$E$6:$Z$6,1,MATCH(O25,'Rate &amp; Vol Update'!$E$6:$Z$6,1)+1)-O25)*(J25-INDEX('Rate &amp; Vol Update'!$B$8:$B$127,MATCH(J25,'Rate &amp; Vol Update'!$B$8:$B$127,1)))+INDEX('Rate &amp; Vol Update'!$E$8:$Z$127,MATCH(INDEX('Rate &amp; Vol Update'!$B$8:$B$127,MATCH(J25,'Rate &amp; Vol Update'!$B$8:$B$127,1)+1),'Rate &amp; Vol Update'!$B$8:$B$127,0),MATCH(INDEX('Rate &amp; Vol Update'!$E$6:$Z$6,1,MATCH(O25,'Rate &amp; Vol Update'!$E$6:$Z$6,1)+1),'Rate &amp; Vol Update'!$E$6:$Z$6,0))*(O25-INDEX('Rate &amp; Vol Update'!$E$6:$Z$6,1,MATCH(O25,'Rate &amp; Vol Update'!$E$6:$Z$6,1)))*(J25-INDEX('Rate &amp; Vol Update'!$B$8:$B$127,MATCH(J25,'Rate &amp; Vol Update'!$B$8:$B$127,1)))))*0.01%))</f>
        <v>9.5645314862989484E-3</v>
      </c>
      <c r="R25" s="5">
        <f>IF(I25="","",1/((1+P25)^((K25-'Rate &amp; Vol Update'!$C$2)/360)))</f>
        <v>0.94286648585703825</v>
      </c>
      <c r="T25" s="15">
        <f>IF(I25="","",IF(J25&lt;'Rate &amp; Vol Update'!$C$2,MAX(0,P25-O25)*(L25/360)*N25,(((IF('Adjustment Surface'!C$2='Data Validation'!$A$2,P25,IF('Adjustment Surface'!C$2='Data Validation'!$A$3,O25,"Unknown Option Type"))-IF('Adjustment Surface'!C$2='Data Validation'!$A$2,O25,IF('Adjustment Surface'!C$2='Data Validation'!$A$3,P25,"Unknown Option Type")))*(NORMDIST((IF('Adjustment Surface'!C$2='Data Validation'!$A$2,P25,IF('Adjustment Surface'!C$2='Data Validation'!$A$3,O25,"Unknown Option Type"))-IF('Adjustment Surface'!C$2='Data Validation'!$A$2,O25,IF('Adjustment Surface'!C$2='Data Validation'!$A$3,P25,"Unknown Option Type")))/(Q25*SQRT(M25)),0,1,TRUE)))+((Q25*SQRT(M25))*(NORMDIST((IF('Adjustment Surface'!C$2='Data Validation'!$A$2,P25,IF('Adjustment Surface'!C$2='Data Validation'!$A$3,O25,"Unknown Option Type"))-IF('Adjustment Surface'!C$2='Data Validation'!$A$2,O25,IF('Adjustment Surface'!C$2='Data Validation'!$A$3,P25,"Unknown Option Type")))/(Q25*SQRT(M25)),0,1,FALSE))))*R25*(L25/360)*N25))</f>
        <v>26389.005171146229</v>
      </c>
      <c r="U25" s="15">
        <f>IF(I25="","",SUM(T$4:T25))</f>
        <v>613260.30051583436</v>
      </c>
      <c r="W25" s="15">
        <f>IF(I25="","",IF(J25&lt;'Rate &amp; Vol Update'!$C$2,0,((((((IF('Adjustment Surface'!C$2='Data Validation'!$A$2,P25,IF('Adjustment Surface'!C$2='Data Validation'!$A$3,O25,"Unknown Option Type"))-IF('Adjustment Surface'!C$2='Data Validation'!$A$2,O25,IF('Adjustment Surface'!C$2='Data Validation'!$A$3,P25,"Unknown Option Type")))*(NORMDIST((IF('Adjustment Surface'!C$2='Data Validation'!$A$2,P25,IF('Adjustment Surface'!C$2='Data Validation'!$A$3,O25,"Unknown Option Type"))-IF('Adjustment Surface'!C$2='Data Validation'!$A$2,O25,IF('Adjustment Surface'!C$2='Data Validation'!$A$3,P25,"Unknown Option Type")))/((Q25+0.01%)*SQRT(M25)),0,1,TRUE)))+(((Q25+0.01%)*SQRT(M25))*(NORMDIST((IF('Adjustment Surface'!C$2='Data Validation'!$A$2,P25,IF('Adjustment Surface'!C$2='Data Validation'!$A$3,O25,"Unknown Option Type"))-IF('Adjustment Surface'!C$2='Data Validation'!$A$2,O25,IF('Adjustment Surface'!C$2='Data Validation'!$A$3,P25,"Unknown Option Type")))/((Q25+0.01%)*SQRT(M25)),0,1,FALSE))))*R25*(L25/360))-(T25/N25))*N25)*R25))</f>
        <v>65.158543191854889</v>
      </c>
      <c r="X25" s="15">
        <f>IF(I25="","",SUM(W$4:W25))</f>
        <v>694.89171060906995</v>
      </c>
      <c r="Y25" s="15"/>
      <c r="Z25" s="20"/>
      <c r="AA25" s="3">
        <v>22</v>
      </c>
      <c r="AB25" s="4">
        <f>IF(AC24=MAX('Adjustment Surface'!$C$14:$F$14),"",AC24)</f>
        <v>46702</v>
      </c>
      <c r="AC25" s="4">
        <f>IF(AB25="","",IF(AB25&lt;EDATE('Adjustment Surface'!$C$6,DATEDIF('Adjustment Surface'!$C$6,MAX('Adjustment Surface'!$C$14:$F$14),"M")),EDATE(AB$5,COUNT(AB$5:AB25)),IF(AB25=EDATE('Adjustment Surface'!$C$6,DATEDIF('Adjustment Surface'!$C$6,MAX('Adjustment Surface'!$C$14:$F$14),"M")),MAX('Adjustment Surface'!$C$14:$F$14),EDATE('Adjustment Surface'!$C$6,DATEDIF('Adjustment Surface'!$C$6,MAX('Adjustment Surface'!$C$14:$F$14),"M")))))</f>
        <v>46732</v>
      </c>
      <c r="AD25" s="3">
        <f t="shared" si="2"/>
        <v>30</v>
      </c>
      <c r="AE25" s="5">
        <f>IF(AA25="","",(AC25-'Rate &amp; Vol Update'!$C$2)/360)</f>
        <v>1.8555555555555556</v>
      </c>
      <c r="AF25" s="15">
        <f>IF(AA25="","",IF('Adjustment Surface'!$C$3='Data Validation'!$C$2,'Adjustment Surface'!$C$4,_xlfn.IFNA(IF(INDEX(Schedules!$E$3:$E$123,MATCH('Bachelier Model'!AB25,Schedules!$B$3:$B$123,0))="",AF24,INDEX(Schedules!$E$3:$E$123,MATCH('Bachelier Model'!AB25,Schedules!$B$3:$B$123,0))),AF24)))</f>
        <v>25000000</v>
      </c>
      <c r="AG25" s="16">
        <f>IF(AA25="","",'Adjustment Surface'!B$15)</f>
        <v>0.03</v>
      </c>
      <c r="AH25" s="16" cm="1">
        <f t="array" ref="AH25">IF(AA25="","",FORECAST(AB25,INDEX('Rate &amp; Vol Update'!$C$6:$C$127,MATCH(INDEX('Rate &amp; Vol Update'!$B$6:$B$127,MATCH(AB25,'Rate &amp; Vol Update'!$B$6:$B$127,1)),'Rate &amp; Vol Update'!$B$6:$B$127,0)+IF('Adjustment Surface'!$C$11='Data Validation'!$E$3,-1,0)):INDEX('Rate &amp; Vol Update'!$C$6:$C$127,MATCH(INDEX('Rate &amp; Vol Update'!$B$6:$B$127,MATCH(AB25,'Rate &amp; Vol Update'!$B$6:$B$127,1)+1),'Rate &amp; Vol Update'!$B$6:$B$127,0)+IF('Adjustment Surface'!$C$11='Data Validation'!$E$3,-1,0)),INDEX('Rate &amp; Vol Update'!$B$6:$B$127,MATCH(AB25,'Rate &amp; Vol Update'!$B$6:$B$127,1)):INDEX('Rate &amp; Vol Update'!$B$6:$B$127,MATCH(AB25,'Rate &amp; Vol Update'!$B$6:$B$127,1)+1))/100)</f>
        <v>3.2213069900194569E-2</v>
      </c>
      <c r="AI25" s="16" cm="1">
        <f t="array" ref="AI25">IF(AA25="","",IF(AB25&lt;'Rate &amp; Vol Update'!$C$2,0.001%,(1/((INDEX('Rate &amp; Vol Update'!$E$6:$Z$6,1,MATCH(AG25,'Rate &amp; Vol Update'!$E$6:$Z$6,1)+1)-INDEX('Rate &amp; Vol Update'!$E$6:$Z$6,1,MATCH(AG25,'Rate &amp; Vol Update'!$E$6:$Z$6,1)))*(INDEX('Rate &amp; Vol Update'!$B$8:$B$127,MATCH(AB25,'Rate &amp; Vol Update'!$B$8:$B$127,1)+1)-INDEX('Rate &amp; Vol Update'!$B$8:$B$127,MATCH(AB25,'Rate &amp; Vol Update'!$B$8:$B$127,1))))*(INDEX('Rate &amp; Vol Update'!$E$8:$Z$127,MATCH(INDEX('Rate &amp; Vol Update'!$B$8:$B$127,MATCH(AB25,'Rate &amp; Vol Update'!$B$8:$B$127,1)),'Rate &amp; Vol Update'!$B$8:$B$127,0),MATCH(INDEX('Rate &amp; Vol Update'!$E$6:$Z$6,1,MATCH(AG25,'Rate &amp; Vol Update'!$E$6:$Z$6,1)),'Rate &amp; Vol Update'!$E$6:$Z$6,0))*(INDEX('Rate &amp; Vol Update'!$E$6:$Z$6,1,MATCH(AG25,'Rate &amp; Vol Update'!$E$6:$Z$6,1)+1)-AG25)*(INDEX('Rate &amp; Vol Update'!$B$8:$B$127,MATCH(AB25,'Rate &amp; Vol Update'!$B$8:$B$127,1)+1)-AB25)+INDEX('Rate &amp; Vol Update'!$E$8:$Z$127,MATCH(INDEX('Rate &amp; Vol Update'!$B$8:$B$127,MATCH(AB25,'Rate &amp; Vol Update'!$B$8:$B$127,1)),'Rate &amp; Vol Update'!$B$8:$B$127,0),MATCH(INDEX('Rate &amp; Vol Update'!$E$6:$Z$6,1,MATCH(AG25,'Rate &amp; Vol Update'!$E$6:$Z$6,1)+1),'Rate &amp; Vol Update'!$E$6:$Z$6,0))*(AG25-INDEX('Rate &amp; Vol Update'!$E$6:$Z$6,1,MATCH(AG25,'Rate &amp; Vol Update'!$E$6:$Z$6,1)))*(INDEX('Rate &amp; Vol Update'!$B$8:$B$127,MATCH(AB25,'Rate &amp; Vol Update'!$B$8:$B$127,1)+1)-AB25)+INDEX('Rate &amp; Vol Update'!$E$8:$Z$127,MATCH(INDEX('Rate &amp; Vol Update'!$B$8:$B$127,MATCH(AB25,'Rate &amp; Vol Update'!$B$8:$B$127,1)+1),'Rate &amp; Vol Update'!$B$8:$B$127,0),MATCH(INDEX('Rate &amp; Vol Update'!$E$6:$Z$6,1,MATCH(AG25,'Rate &amp; Vol Update'!$E$6:$Z$6,1)),'Rate &amp; Vol Update'!$E$6:$Z$6,0))*(INDEX('Rate &amp; Vol Update'!$E$6:$Z$6,1,MATCH(AG25,'Rate &amp; Vol Update'!$E$6:$Z$6,1)+1)-AG25)*(AB25-INDEX('Rate &amp; Vol Update'!$B$8:$B$127,MATCH(AB25,'Rate &amp; Vol Update'!$B$8:$B$127,1)))+INDEX('Rate &amp; Vol Update'!$E$8:$Z$127,MATCH(INDEX('Rate &amp; Vol Update'!$B$8:$B$127,MATCH(AB25,'Rate &amp; Vol Update'!$B$8:$B$127,1)+1),'Rate &amp; Vol Update'!$B$8:$B$127,0),MATCH(INDEX('Rate &amp; Vol Update'!$E$6:$Z$6,1,MATCH(AG25,'Rate &amp; Vol Update'!$E$6:$Z$6,1)+1),'Rate &amp; Vol Update'!$E$6:$Z$6,0))*(AG25-INDEX('Rate &amp; Vol Update'!$E$6:$Z$6,1,MATCH(AG25,'Rate &amp; Vol Update'!$E$6:$Z$6,1)))*(AB25-INDEX('Rate &amp; Vol Update'!$B$8:$B$127,MATCH(AB25,'Rate &amp; Vol Update'!$B$8:$B$127,1)))))*0.01%))</f>
        <v>7.7755638804780794E-3</v>
      </c>
      <c r="AJ25" s="5">
        <f>IF(AA25="","",1/((1+AH25)^((AC25-'Rate &amp; Vol Update'!$C$2)/360)))</f>
        <v>0.94286648585703825</v>
      </c>
      <c r="AL25" s="15">
        <f>IF(AA25="","",IF(AB25&lt;'Rate &amp; Vol Update'!$C$2,MAX(0,AH25-AG25)*(AD25/360)*AF25,(((IF('Adjustment Surface'!$C$2='Data Validation'!$A$2,AH25,IF('Adjustment Surface'!$C$2='Data Validation'!$A$3,AG25,"Unknown Option Type"))-IF('Adjustment Surface'!$C$2='Data Validation'!$A$2,AG25,IF('Adjustment Surface'!$C$2='Data Validation'!$A$3,AH25,"Unknown Option Type")))*(NORMDIST((IF('Adjustment Surface'!$C$2='Data Validation'!$A$2,AH25,IF('Adjustment Surface'!$C$2='Data Validation'!$A$3,AG25,"Unknown Option Type"))-IF('Adjustment Surface'!$C$2='Data Validation'!$A$2,AG25,IF('Adjustment Surface'!$C$2='Data Validation'!$A$3,AH25,"Unknown Option Type")))/(AI25*SQRT(AE25)),0,1,TRUE)))+((AI25*SQRT(AE25))*(NORMDIST((IF('Adjustment Surface'!$C$2='Data Validation'!$A$2,AH25,IF('Adjustment Surface'!$C$2='Data Validation'!$A$3,AG25,"Unknown Option Type"))-IF('Adjustment Surface'!$C$2='Data Validation'!$A$2,AG25,IF('Adjustment Surface'!$C$2='Data Validation'!$A$3,AH25,"Unknown Option Type")))/(AI25*SQRT(AE25)),0,1,FALSE))))*AJ25*(AD25/360)*AF25))</f>
        <v>10654.283600880106</v>
      </c>
      <c r="AM25" s="15">
        <f>IF(AA25="","",SUM(AL$4:AL25))</f>
        <v>220105.66963493967</v>
      </c>
      <c r="AO25" s="15">
        <f>IF(AA25="","",IF(AB25&lt;'Rate &amp; Vol Update'!$C$2,0,((((((IF('Adjustment Surface'!$C$2='Data Validation'!$A$2,AH25,IF('Adjustment Surface'!$C$2='Data Validation'!$A$3,AG25,"Unknown Option Type"))-IF('Adjustment Surface'!$C$2='Data Validation'!$A$2,AG25,IF('Adjustment Surface'!$C$2='Data Validation'!$A$3,AH25,"Unknown Option Type")))*(NORMDIST((IF('Adjustment Surface'!$C$2='Data Validation'!$A$2,AH25,IF('Adjustment Surface'!$C$2='Data Validation'!$A$3,AG25,"Unknown Option Type"))-IF('Adjustment Surface'!$C$2='Data Validation'!$A$2,AG25,IF('Adjustment Surface'!$C$2='Data Validation'!$A$3,AH25,"Unknown Option Type")))/((AI25+0.01%)*SQRT(AE25)),0,1,TRUE)))+(((AI25+0.01%)*SQRT(AE25))*(NORMDIST((IF('Adjustment Surface'!$C$2='Data Validation'!$A$2,AH25,IF('Adjustment Surface'!$C$2='Data Validation'!$A$3,AG25,"Unknown Option Type"))-IF('Adjustment Surface'!$C$2='Data Validation'!$A$2,AG25,IF('Adjustment Surface'!$C$2='Data Validation'!$A$3,AH25,"Unknown Option Type")))/((AI25+0.01%)*SQRT(AE25)),0,1,FALSE))))*AJ25*(AD25/360))-(AL25/AF25))*AF25)*AJ25))</f>
        <v>98.502355892036888</v>
      </c>
      <c r="AP25" s="15">
        <f>IF(AA25="","",SUM(AO$4:AO25))</f>
        <v>1397.8854302061952</v>
      </c>
      <c r="AQ25" s="15"/>
      <c r="AR25" s="20"/>
      <c r="AS25" s="3">
        <v>22</v>
      </c>
      <c r="AT25" s="4">
        <f>IF(AU24=MAX('Adjustment Surface'!$C$14:$F$14),"",AU24)</f>
        <v>46702</v>
      </c>
      <c r="AU25" s="4">
        <f>IF(AT25="","",IF(AT25&lt;EDATE('Adjustment Surface'!$C$6,DATEDIF('Adjustment Surface'!$C$6,MAX('Adjustment Surface'!$C$14:$F$14),"M")),EDATE(AT$5,COUNT(AT$5:AT25)),IF(AT25=EDATE('Adjustment Surface'!$C$6,DATEDIF('Adjustment Surface'!$C$6,MAX('Adjustment Surface'!$C$14:$F$14),"M")),MAX('Adjustment Surface'!$C$14:$F$14),EDATE('Adjustment Surface'!$C$6,DATEDIF('Adjustment Surface'!$C$6,MAX('Adjustment Surface'!$C$14:$F$14),"M")))))</f>
        <v>46732</v>
      </c>
      <c r="AV25" s="3">
        <f t="shared" si="3"/>
        <v>30</v>
      </c>
      <c r="AW25" s="5">
        <f>IF(AS25="","",(AU25-'Rate &amp; Vol Update'!$C$2)/360)</f>
        <v>1.8555555555555556</v>
      </c>
      <c r="AX25" s="15">
        <f>IF(AS25="","",IF('Adjustment Surface'!$C$3='Data Validation'!$C$2,'Adjustment Surface'!$C$4,_xlfn.IFNA(IF(INDEX(Schedules!$E$3:$E$123,MATCH('Bachelier Model'!AT25,Schedules!$B$3:$B$123,0))="",AX24,INDEX(Schedules!$E$3:$E$123,MATCH('Bachelier Model'!AT25,Schedules!$B$3:$B$123,0))),AX24)))</f>
        <v>25000000</v>
      </c>
      <c r="AY25" s="16">
        <f>IF(AS25="","",'Adjustment Surface'!B$16)</f>
        <v>0.04</v>
      </c>
      <c r="AZ25" s="16" cm="1">
        <f t="array" ref="AZ25">IF(AS25="","",FORECAST(AT25,INDEX('Rate &amp; Vol Update'!$C$6:$C$127,MATCH(INDEX('Rate &amp; Vol Update'!$B$6:$B$127,MATCH(AT25,'Rate &amp; Vol Update'!$B$6:$B$127,1)),'Rate &amp; Vol Update'!$B$6:$B$127,0)+IF('Adjustment Surface'!$C$11='Data Validation'!$E$3,-1,0)):INDEX('Rate &amp; Vol Update'!$C$6:$C$127,MATCH(INDEX('Rate &amp; Vol Update'!$B$6:$B$127,MATCH(AT25,'Rate &amp; Vol Update'!$B$6:$B$127,1)+1),'Rate &amp; Vol Update'!$B$6:$B$127,0)+IF('Adjustment Surface'!$C$11='Data Validation'!$E$3,-1,0)),INDEX('Rate &amp; Vol Update'!$B$6:$B$127,MATCH(AT25,'Rate &amp; Vol Update'!$B$6:$B$127,1)):INDEX('Rate &amp; Vol Update'!$B$6:$B$127,MATCH(AT25,'Rate &amp; Vol Update'!$B$6:$B$127,1)+1))/100)</f>
        <v>3.2213069900194569E-2</v>
      </c>
      <c r="BA25" s="16" cm="1">
        <f t="array" ref="BA25">IF(AS25="","",IF(AT25&lt;'Rate &amp; Vol Update'!$C$2,0.001%,(1/((INDEX('Rate &amp; Vol Update'!$E$6:$Z$6,1,MATCH(AY25,'Rate &amp; Vol Update'!$E$6:$Z$6,1)+1)-INDEX('Rate &amp; Vol Update'!$E$6:$Z$6,1,MATCH(AY25,'Rate &amp; Vol Update'!$E$6:$Z$6,1)))*(INDEX('Rate &amp; Vol Update'!$B$8:$B$127,MATCH(AT25,'Rate &amp; Vol Update'!$B$8:$B$127,1)+1)-INDEX('Rate &amp; Vol Update'!$B$8:$B$127,MATCH(AT25,'Rate &amp; Vol Update'!$B$8:$B$127,1))))*(INDEX('Rate &amp; Vol Update'!$E$8:$Z$127,MATCH(INDEX('Rate &amp; Vol Update'!$B$8:$B$127,MATCH(AT25,'Rate &amp; Vol Update'!$B$8:$B$127,1)),'Rate &amp; Vol Update'!$B$8:$B$127,0),MATCH(INDEX('Rate &amp; Vol Update'!$E$6:$Z$6,1,MATCH(AY25,'Rate &amp; Vol Update'!$E$6:$Z$6,1)),'Rate &amp; Vol Update'!$E$6:$Z$6,0))*(INDEX('Rate &amp; Vol Update'!$E$6:$Z$6,1,MATCH(AY25,'Rate &amp; Vol Update'!$E$6:$Z$6,1)+1)-AY25)*(INDEX('Rate &amp; Vol Update'!$B$8:$B$127,MATCH(AT25,'Rate &amp; Vol Update'!$B$8:$B$127,1)+1)-AT25)+INDEX('Rate &amp; Vol Update'!$E$8:$Z$127,MATCH(INDEX('Rate &amp; Vol Update'!$B$8:$B$127,MATCH(AT25,'Rate &amp; Vol Update'!$B$8:$B$127,1)),'Rate &amp; Vol Update'!$B$8:$B$127,0),MATCH(INDEX('Rate &amp; Vol Update'!$E$6:$Z$6,1,MATCH(AY25,'Rate &amp; Vol Update'!$E$6:$Z$6,1)+1),'Rate &amp; Vol Update'!$E$6:$Z$6,0))*(AY25-INDEX('Rate &amp; Vol Update'!$E$6:$Z$6,1,MATCH(AY25,'Rate &amp; Vol Update'!$E$6:$Z$6,1)))*(INDEX('Rate &amp; Vol Update'!$B$8:$B$127,MATCH(AT25,'Rate &amp; Vol Update'!$B$8:$B$127,1)+1)-AT25)+INDEX('Rate &amp; Vol Update'!$E$8:$Z$127,MATCH(INDEX('Rate &amp; Vol Update'!$B$8:$B$127,MATCH(AT25,'Rate &amp; Vol Update'!$B$8:$B$127,1)+1),'Rate &amp; Vol Update'!$B$8:$B$127,0),MATCH(INDEX('Rate &amp; Vol Update'!$E$6:$Z$6,1,MATCH(AY25,'Rate &amp; Vol Update'!$E$6:$Z$6,1)),'Rate &amp; Vol Update'!$E$6:$Z$6,0))*(INDEX('Rate &amp; Vol Update'!$E$6:$Z$6,1,MATCH(AY25,'Rate &amp; Vol Update'!$E$6:$Z$6,1)+1)-AY25)*(AT25-INDEX('Rate &amp; Vol Update'!$B$8:$B$127,MATCH(AT25,'Rate &amp; Vol Update'!$B$8:$B$127,1)))+INDEX('Rate &amp; Vol Update'!$E$8:$Z$127,MATCH(INDEX('Rate &amp; Vol Update'!$B$8:$B$127,MATCH(AT25,'Rate &amp; Vol Update'!$B$8:$B$127,1)+1),'Rate &amp; Vol Update'!$B$8:$B$127,0),MATCH(INDEX('Rate &amp; Vol Update'!$E$6:$Z$6,1,MATCH(AY25,'Rate &amp; Vol Update'!$E$6:$Z$6,1)+1),'Rate &amp; Vol Update'!$E$6:$Z$6,0))*(AY25-INDEX('Rate &amp; Vol Update'!$E$6:$Z$6,1,MATCH(AY25,'Rate &amp; Vol Update'!$E$6:$Z$6,1)))*(AT25-INDEX('Rate &amp; Vol Update'!$B$8:$B$127,MATCH(AT25,'Rate &amp; Vol Update'!$B$8:$B$127,1)))))*0.01%))</f>
        <v>7.473513044961206E-3</v>
      </c>
      <c r="BB25" s="5">
        <f>IF(AS25="","",1/((1+AZ25)^((AU25-'Rate &amp; Vol Update'!$C$2)/360)))</f>
        <v>0.94286648585703825</v>
      </c>
      <c r="BD25" s="15">
        <f>IF(AS25="","",IF(AT25&lt;'Rate &amp; Vol Update'!$C$2,MAX(0,AZ25-AY25)*(AV25/360)*AX25,(((IF('Adjustment Surface'!$C$2='Data Validation'!$A$2,AZ25,IF('Adjustment Surface'!$C$2='Data Validation'!$A$3,AY25,"Unknown Option Type"))-IF('Adjustment Surface'!$C$2='Data Validation'!$A$2,AY25,IF('Adjustment Surface'!$C$2='Data Validation'!$A$3,AZ25,"Unknown Option Type")))*(NORMDIST((IF('Adjustment Surface'!$C$2='Data Validation'!$A$2,AZ25,IF('Adjustment Surface'!$C$2='Data Validation'!$A$3,AY25,"Unknown Option Type"))-IF('Adjustment Surface'!$C$2='Data Validation'!$A$2,AY25,IF('Adjustment Surface'!$C$2='Data Validation'!$A$3,AZ25,"Unknown Option Type")))/(BA25*SQRT(AW25)),0,1,TRUE)))+((BA25*SQRT(AW25))*(NORMDIST((IF('Adjustment Surface'!$C$2='Data Validation'!$A$2,AZ25,IF('Adjustment Surface'!$C$2='Data Validation'!$A$3,AY25,"Unknown Option Type"))-IF('Adjustment Surface'!$C$2='Data Validation'!$A$2,AY25,IF('Adjustment Surface'!$C$2='Data Validation'!$A$3,AZ25,"Unknown Option Type")))/(BA25*SQRT(AW25)),0,1,FALSE))))*BB25*(AV25/360)*AX25))</f>
        <v>2556.1219498522291</v>
      </c>
      <c r="BE25" s="15">
        <f>IF(AS25="","",SUM(BD$4:BD25))</f>
        <v>24003.46714405137</v>
      </c>
      <c r="BG25" s="15">
        <f>IF(AS25="","",IF(AT25&lt;'Rate &amp; Vol Update'!$C$2,0,((((((IF('Adjustment Surface'!$C$2='Data Validation'!$A$2,AZ25,IF('Adjustment Surface'!$C$2='Data Validation'!$A$3,AY25,"Unknown Option Type"))-IF('Adjustment Surface'!$C$2='Data Validation'!$A$2,AY25,IF('Adjustment Surface'!$C$2='Data Validation'!$A$3,AZ25,"Unknown Option Type")))*(NORMDIST((IF('Adjustment Surface'!$C$2='Data Validation'!$A$2,AZ25,IF('Adjustment Surface'!$C$2='Data Validation'!$A$3,AY25,"Unknown Option Type"))-IF('Adjustment Surface'!$C$2='Data Validation'!$A$2,AY25,IF('Adjustment Surface'!$C$2='Data Validation'!$A$3,AZ25,"Unknown Option Type")))/((BA25+0.01%)*SQRT(AW25)),0,1,TRUE)))+(((BA25+0.01%)*SQRT(AW25))*(NORMDIST((IF('Adjustment Surface'!$C$2='Data Validation'!$A$2,AZ25,IF('Adjustment Surface'!$C$2='Data Validation'!$A$3,AY25,"Unknown Option Type"))-IF('Adjustment Surface'!$C$2='Data Validation'!$A$2,AY25,IF('Adjustment Surface'!$C$2='Data Validation'!$A$3,AZ25,"Unknown Option Type")))/((BA25+0.01%)*SQRT(AW25)),0,1,FALSE))))*BB25*(AV25/360))-(BD25/AX25))*AX25)*BB25))</f>
        <v>75.411591881698129</v>
      </c>
      <c r="BH25" s="15">
        <f>IF(AS25="","",SUM(BG$4:BG25))</f>
        <v>924.27702143823683</v>
      </c>
      <c r="BI25" s="15"/>
      <c r="BJ25" s="20"/>
      <c r="BK25" s="3">
        <v>22</v>
      </c>
      <c r="BL25" s="4">
        <f>IF(BM24=MAX('Adjustment Surface'!$C$14:$F$14),"",BM24)</f>
        <v>46702</v>
      </c>
      <c r="BM25" s="4">
        <f>IF(BL25="","",IF(BL25&lt;EDATE('Adjustment Surface'!$C$6,DATEDIF('Adjustment Surface'!$C$6,MAX('Adjustment Surface'!$C$14:$F$14),"M")),EDATE(BL$5,COUNT(BL$5:BL25)),IF(BL25=EDATE('Adjustment Surface'!$C$6,DATEDIF('Adjustment Surface'!$C$6,MAX('Adjustment Surface'!$C$14:$F$14),"M")),MAX('Adjustment Surface'!$C$14:$F$14),EDATE('Adjustment Surface'!$C$6,DATEDIF('Adjustment Surface'!$C$6,MAX('Adjustment Surface'!$C$14:$F$14),"M")))))</f>
        <v>46732</v>
      </c>
      <c r="BN25" s="3">
        <f t="shared" si="4"/>
        <v>30</v>
      </c>
      <c r="BO25" s="5">
        <f>IF(BK25="","",(BM25-'Rate &amp; Vol Update'!$C$2)/360)</f>
        <v>1.8555555555555556</v>
      </c>
      <c r="BP25" s="15">
        <f>IF(BK25="","",IF('Adjustment Surface'!$C$3='Data Validation'!$C$2,'Adjustment Surface'!$C$4,_xlfn.IFNA(IF(INDEX(Schedules!$E$3:$E$123,MATCH('Bachelier Model'!BL25,Schedules!$B$3:$B$123,0))="",BP24,INDEX(Schedules!$E$3:$E$123,MATCH('Bachelier Model'!BL25,Schedules!$B$3:$B$123,0))),BP24)))</f>
        <v>25000000</v>
      </c>
      <c r="BQ25" s="16">
        <f>IF(BK25="","",'Adjustment Surface'!B$17)</f>
        <v>0.05</v>
      </c>
      <c r="BR25" s="16" cm="1">
        <f t="array" ref="BR25">IF(BK25="","",FORECAST(BL25,INDEX('Rate &amp; Vol Update'!$C$6:$C$127,MATCH(INDEX('Rate &amp; Vol Update'!$B$6:$B$127,MATCH(BL25,'Rate &amp; Vol Update'!$B$6:$B$127,1)),'Rate &amp; Vol Update'!$B$6:$B$127,0)+IF('Adjustment Surface'!$C$11='Data Validation'!$E$3,-1,0)):INDEX('Rate &amp; Vol Update'!$C$6:$C$127,MATCH(INDEX('Rate &amp; Vol Update'!$B$6:$B$127,MATCH(BL25,'Rate &amp; Vol Update'!$B$6:$B$127,1)+1),'Rate &amp; Vol Update'!$B$6:$B$127,0)+IF('Adjustment Surface'!$C$11='Data Validation'!$E$3,-1,0)),INDEX('Rate &amp; Vol Update'!$B$6:$B$127,MATCH(BL25,'Rate &amp; Vol Update'!$B$6:$B$127,1)):INDEX('Rate &amp; Vol Update'!$B$6:$B$127,MATCH(BL25,'Rate &amp; Vol Update'!$B$6:$B$127,1)+1))/100)</f>
        <v>3.2213069900194569E-2</v>
      </c>
      <c r="BS25" s="16" cm="1">
        <f t="array" ref="BS25">IF(BK25="","",IF(BL25&lt;'Rate &amp; Vol Update'!$C$2,0.001%,(1/((INDEX('Rate &amp; Vol Update'!$E$6:$Z$6,1,MATCH(BQ25,'Rate &amp; Vol Update'!$E$6:$Z$6,1)+1)-INDEX('Rate &amp; Vol Update'!$E$6:$Z$6,1,MATCH(BQ25,'Rate &amp; Vol Update'!$E$6:$Z$6,1)))*(INDEX('Rate &amp; Vol Update'!$B$8:$B$127,MATCH(BL25,'Rate &amp; Vol Update'!$B$8:$B$127,1)+1)-INDEX('Rate &amp; Vol Update'!$B$8:$B$127,MATCH(BL25,'Rate &amp; Vol Update'!$B$8:$B$127,1))))*(INDEX('Rate &amp; Vol Update'!$E$8:$Z$127,MATCH(INDEX('Rate &amp; Vol Update'!$B$8:$B$127,MATCH(BL25,'Rate &amp; Vol Update'!$B$8:$B$127,1)),'Rate &amp; Vol Update'!$B$8:$B$127,0),MATCH(INDEX('Rate &amp; Vol Update'!$E$6:$Z$6,1,MATCH(BQ25,'Rate &amp; Vol Update'!$E$6:$Z$6,1)),'Rate &amp; Vol Update'!$E$6:$Z$6,0))*(INDEX('Rate &amp; Vol Update'!$E$6:$Z$6,1,MATCH(BQ25,'Rate &amp; Vol Update'!$E$6:$Z$6,1)+1)-BQ25)*(INDEX('Rate &amp; Vol Update'!$B$8:$B$127,MATCH(BL25,'Rate &amp; Vol Update'!$B$8:$B$127,1)+1)-BL25)+INDEX('Rate &amp; Vol Update'!$E$8:$Z$127,MATCH(INDEX('Rate &amp; Vol Update'!$B$8:$B$127,MATCH(BL25,'Rate &amp; Vol Update'!$B$8:$B$127,1)),'Rate &amp; Vol Update'!$B$8:$B$127,0),MATCH(INDEX('Rate &amp; Vol Update'!$E$6:$Z$6,1,MATCH(BQ25,'Rate &amp; Vol Update'!$E$6:$Z$6,1)+1),'Rate &amp; Vol Update'!$E$6:$Z$6,0))*(BQ25-INDEX('Rate &amp; Vol Update'!$E$6:$Z$6,1,MATCH(BQ25,'Rate &amp; Vol Update'!$E$6:$Z$6,1)))*(INDEX('Rate &amp; Vol Update'!$B$8:$B$127,MATCH(BL25,'Rate &amp; Vol Update'!$B$8:$B$127,1)+1)-BL25)+INDEX('Rate &amp; Vol Update'!$E$8:$Z$127,MATCH(INDEX('Rate &amp; Vol Update'!$B$8:$B$127,MATCH(BL25,'Rate &amp; Vol Update'!$B$8:$B$127,1)+1),'Rate &amp; Vol Update'!$B$8:$B$127,0),MATCH(INDEX('Rate &amp; Vol Update'!$E$6:$Z$6,1,MATCH(BQ25,'Rate &amp; Vol Update'!$E$6:$Z$6,1)),'Rate &amp; Vol Update'!$E$6:$Z$6,0))*(INDEX('Rate &amp; Vol Update'!$E$6:$Z$6,1,MATCH(BQ25,'Rate &amp; Vol Update'!$E$6:$Z$6,1)+1)-BQ25)*(BL25-INDEX('Rate &amp; Vol Update'!$B$8:$B$127,MATCH(BL25,'Rate &amp; Vol Update'!$B$8:$B$127,1)))+INDEX('Rate &amp; Vol Update'!$E$8:$Z$127,MATCH(INDEX('Rate &amp; Vol Update'!$B$8:$B$127,MATCH(BL25,'Rate &amp; Vol Update'!$B$8:$B$127,1)+1),'Rate &amp; Vol Update'!$B$8:$B$127,0),MATCH(INDEX('Rate &amp; Vol Update'!$E$6:$Z$6,1,MATCH(BQ25,'Rate &amp; Vol Update'!$E$6:$Z$6,1)+1),'Rate &amp; Vol Update'!$E$6:$Z$6,0))*(BQ25-INDEX('Rate &amp; Vol Update'!$E$6:$Z$6,1,MATCH(BQ25,'Rate &amp; Vol Update'!$E$6:$Z$6,1)))*(BL25-INDEX('Rate &amp; Vol Update'!$B$8:$B$127,MATCH(BL25,'Rate &amp; Vol Update'!$B$8:$B$127,1)))))*0.01%))</f>
        <v>9.0144983768991188E-3</v>
      </c>
      <c r="BT25" s="5">
        <f>IF(BK25="","",1/((1+BR25)^((BM25-'Rate &amp; Vol Update'!$C$2)/360)))</f>
        <v>0.94286648585703825</v>
      </c>
      <c r="BV25" s="15">
        <f>IF(BK25="","",IF(BL25&lt;'Rate &amp; Vol Update'!$C$2,MAX(0,BR25-BQ25)*(BN25/360)*BP25,(((IF('Adjustment Surface'!$C$2='Data Validation'!$A$2,BR25,IF('Adjustment Surface'!$C$2='Data Validation'!$A$3,BQ25,"Unknown Option Type"))-IF('Adjustment Surface'!$C$2='Data Validation'!$A$2,BQ25,IF('Adjustment Surface'!$C$2='Data Validation'!$A$3,BR25,"Unknown Option Type")))*(NORMDIST((IF('Adjustment Surface'!$C$2='Data Validation'!$A$2,BR25,IF('Adjustment Surface'!$C$2='Data Validation'!$A$3,BQ25,"Unknown Option Type"))-IF('Adjustment Surface'!$C$2='Data Validation'!$A$2,BQ25,IF('Adjustment Surface'!$C$2='Data Validation'!$A$3,BR25,"Unknown Option Type")))/(BS25*SQRT(BO25)),0,1,TRUE)))+((BS25*SQRT(BO25))*(NORMDIST((IF('Adjustment Surface'!$C$2='Data Validation'!$A$2,BR25,IF('Adjustment Surface'!$C$2='Data Validation'!$A$3,BQ25,"Unknown Option Type"))-IF('Adjustment Surface'!$C$2='Data Validation'!$A$2,BQ25,IF('Adjustment Surface'!$C$2='Data Validation'!$A$3,BR25,"Unknown Option Type")))/(BS25*SQRT(BO25)),0,1,FALSE))))*BT25*(BN25/360)*BP25))</f>
        <v>794.11221980194875</v>
      </c>
      <c r="BW25" s="15">
        <f>IF(BK25="","",SUM(BV$4:BV25))</f>
        <v>5060.6174331276325</v>
      </c>
      <c r="BY25" s="15">
        <f>IF(BK25="","",IF(BL25&lt;'Rate &amp; Vol Update'!$C$2,0,((((((IF('Adjustment Surface'!$C$2='Data Validation'!$A$2,BR25,IF('Adjustment Surface'!$C$2='Data Validation'!$A$3,BQ25,"Unknown Option Type"))-IF('Adjustment Surface'!$C$2='Data Validation'!$A$2,BQ25,IF('Adjustment Surface'!$C$2='Data Validation'!$A$3,BR25,"Unknown Option Type")))*(NORMDIST((IF('Adjustment Surface'!$C$2='Data Validation'!$A$2,BR25,IF('Adjustment Surface'!$C$2='Data Validation'!$A$3,BQ25,"Unknown Option Type"))-IF('Adjustment Surface'!$C$2='Data Validation'!$A$2,BQ25,IF('Adjustment Surface'!$C$2='Data Validation'!$A$3,BR25,"Unknown Option Type")))/((BS25+0.01%)*SQRT(BO25)),0,1,TRUE)))+(((BS25+0.01%)*SQRT(BO25))*(NORMDIST((IF('Adjustment Surface'!$C$2='Data Validation'!$A$2,BR25,IF('Adjustment Surface'!$C$2='Data Validation'!$A$3,BQ25,"Unknown Option Type"))-IF('Adjustment Surface'!$C$2='Data Validation'!$A$2,BQ25,IF('Adjustment Surface'!$C$2='Data Validation'!$A$3,BR25,"Unknown Option Type")))/((BS25+0.01%)*SQRT(BO25)),0,1,FALSE))))*BT25*(BN25/360))-(BV25/BP25))*BP25)*BT25))</f>
        <v>35.66138720013808</v>
      </c>
      <c r="BZ25" s="15">
        <f>IF(BK25="","",SUM(BY$4:BY25))</f>
        <v>272.78348248506188</v>
      </c>
      <c r="CA25" s="15"/>
      <c r="CB25" s="20"/>
      <c r="CC25" s="3">
        <v>22</v>
      </c>
      <c r="CD25" s="4">
        <f>IF(CE24=MAX('Adjustment Surface'!$C$14:$F$14),"",CE24)</f>
        <v>46702</v>
      </c>
      <c r="CE25" s="4">
        <f>IF(CD25="","",IF(CD25&lt;EDATE('Adjustment Surface'!$C$6,DATEDIF('Adjustment Surface'!$C$6,MAX('Adjustment Surface'!$C$14:$F$14),"M")),EDATE(CD$5,COUNT(CD$5:CD25)),IF(CD25=EDATE('Adjustment Surface'!$C$6,DATEDIF('Adjustment Surface'!$C$6,MAX('Adjustment Surface'!$C$14:$F$14),"M")),MAX('Adjustment Surface'!$C$14:$F$14),EDATE('Adjustment Surface'!$C$6,DATEDIF('Adjustment Surface'!$C$6,MAX('Adjustment Surface'!$C$14:$F$14),"M")))))</f>
        <v>46732</v>
      </c>
      <c r="CF25" s="3">
        <f t="shared" si="5"/>
        <v>30</v>
      </c>
      <c r="CG25" s="5">
        <f>IF(CC25="","",(CE25-'Rate &amp; Vol Update'!$C$2)/360)</f>
        <v>1.8555555555555556</v>
      </c>
      <c r="CH25" s="15">
        <f>IF(CC25="","",IF('Adjustment Surface'!$C$3='Data Validation'!$C$2,'Adjustment Surface'!$C$4,_xlfn.IFNA(IF(INDEX(Schedules!$E$3:$E$123,MATCH('Bachelier Model'!CD25,Schedules!$B$3:$B$123,0))="",CH24,INDEX(Schedules!$E$3:$E$123,MATCH('Bachelier Model'!CD25,Schedules!$B$3:$B$123,0))),CH24)))</f>
        <v>25000000</v>
      </c>
      <c r="CI25" s="16">
        <f>IF(CC25="","",'Adjustment Surface'!B$18)</f>
        <v>0.06</v>
      </c>
      <c r="CJ25" s="16" cm="1">
        <f t="array" ref="CJ25">IF(CC25="","",FORECAST(CD25,INDEX('Rate &amp; Vol Update'!$C$6:$C$127,MATCH(INDEX('Rate &amp; Vol Update'!$B$6:$B$127,MATCH(CD25,'Rate &amp; Vol Update'!$B$6:$B$127,1)),'Rate &amp; Vol Update'!$B$6:$B$127,0)+IF('Adjustment Surface'!$C$11='Data Validation'!$E$3,-1,0)):INDEX('Rate &amp; Vol Update'!$C$6:$C$127,MATCH(INDEX('Rate &amp; Vol Update'!$B$6:$B$127,MATCH(CD25,'Rate &amp; Vol Update'!$B$6:$B$127,1)+1),'Rate &amp; Vol Update'!$B$6:$B$127,0)+IF('Adjustment Surface'!$C$11='Data Validation'!$E$3,-1,0)),INDEX('Rate &amp; Vol Update'!$B$6:$B$127,MATCH(CD25,'Rate &amp; Vol Update'!$B$6:$B$127,1)):INDEX('Rate &amp; Vol Update'!$B$6:$B$127,MATCH(CD25,'Rate &amp; Vol Update'!$B$6:$B$127,1)+1))/100)</f>
        <v>3.2213069900194569E-2</v>
      </c>
      <c r="CK25" s="16" cm="1">
        <f t="array" ref="CK25">IF(CC25="","",IF(CD25&lt;'Rate &amp; Vol Update'!$C$2,0.001%,(1/((INDEX('Rate &amp; Vol Update'!$E$6:$Z$6,1,MATCH(CI25,'Rate &amp; Vol Update'!$E$6:$Z$6,1)+1)-INDEX('Rate &amp; Vol Update'!$E$6:$Z$6,1,MATCH(CI25,'Rate &amp; Vol Update'!$E$6:$Z$6,1)))*(INDEX('Rate &amp; Vol Update'!$B$8:$B$127,MATCH(CD25,'Rate &amp; Vol Update'!$B$8:$B$127,1)+1)-INDEX('Rate &amp; Vol Update'!$B$8:$B$127,MATCH(CD25,'Rate &amp; Vol Update'!$B$8:$B$127,1))))*(INDEX('Rate &amp; Vol Update'!$E$8:$Z$127,MATCH(INDEX('Rate &amp; Vol Update'!$B$8:$B$127,MATCH(CD25,'Rate &amp; Vol Update'!$B$8:$B$127,1)),'Rate &amp; Vol Update'!$B$8:$B$127,0),MATCH(INDEX('Rate &amp; Vol Update'!$E$6:$Z$6,1,MATCH(CI25,'Rate &amp; Vol Update'!$E$6:$Z$6,1)),'Rate &amp; Vol Update'!$E$6:$Z$6,0))*(INDEX('Rate &amp; Vol Update'!$E$6:$Z$6,1,MATCH(CI25,'Rate &amp; Vol Update'!$E$6:$Z$6,1)+1)-CI25)*(INDEX('Rate &amp; Vol Update'!$B$8:$B$127,MATCH(CD25,'Rate &amp; Vol Update'!$B$8:$B$127,1)+1)-CD25)+INDEX('Rate &amp; Vol Update'!$E$8:$Z$127,MATCH(INDEX('Rate &amp; Vol Update'!$B$8:$B$127,MATCH(CD25,'Rate &amp; Vol Update'!$B$8:$B$127,1)),'Rate &amp; Vol Update'!$B$8:$B$127,0),MATCH(INDEX('Rate &amp; Vol Update'!$E$6:$Z$6,1,MATCH(CI25,'Rate &amp; Vol Update'!$E$6:$Z$6,1)+1),'Rate &amp; Vol Update'!$E$6:$Z$6,0))*(CI25-INDEX('Rate &amp; Vol Update'!$E$6:$Z$6,1,MATCH(CI25,'Rate &amp; Vol Update'!$E$6:$Z$6,1)))*(INDEX('Rate &amp; Vol Update'!$B$8:$B$127,MATCH(CD25,'Rate &amp; Vol Update'!$B$8:$B$127,1)+1)-CD25)+INDEX('Rate &amp; Vol Update'!$E$8:$Z$127,MATCH(INDEX('Rate &amp; Vol Update'!$B$8:$B$127,MATCH(CD25,'Rate &amp; Vol Update'!$B$8:$B$127,1)+1),'Rate &amp; Vol Update'!$B$8:$B$127,0),MATCH(INDEX('Rate &amp; Vol Update'!$E$6:$Z$6,1,MATCH(CI25,'Rate &amp; Vol Update'!$E$6:$Z$6,1)),'Rate &amp; Vol Update'!$E$6:$Z$6,0))*(INDEX('Rate &amp; Vol Update'!$E$6:$Z$6,1,MATCH(CI25,'Rate &amp; Vol Update'!$E$6:$Z$6,1)+1)-CI25)*(CD25-INDEX('Rate &amp; Vol Update'!$B$8:$B$127,MATCH(CD25,'Rate &amp; Vol Update'!$B$8:$B$127,1)))+INDEX('Rate &amp; Vol Update'!$E$8:$Z$127,MATCH(INDEX('Rate &amp; Vol Update'!$B$8:$B$127,MATCH(CD25,'Rate &amp; Vol Update'!$B$8:$B$127,1)+1),'Rate &amp; Vol Update'!$B$8:$B$127,0),MATCH(INDEX('Rate &amp; Vol Update'!$E$6:$Z$6,1,MATCH(CI25,'Rate &amp; Vol Update'!$E$6:$Z$6,1)+1),'Rate &amp; Vol Update'!$E$6:$Z$6,0))*(CI25-INDEX('Rate &amp; Vol Update'!$E$6:$Z$6,1,MATCH(CI25,'Rate &amp; Vol Update'!$E$6:$Z$6,1)))*(CD25-INDEX('Rate &amp; Vol Update'!$B$8:$B$127,MATCH(CD25,'Rate &amp; Vol Update'!$B$8:$B$127,1)))))*0.01%))</f>
        <v>1.1006716844279665E-2</v>
      </c>
      <c r="CL25" s="5">
        <f>IF(CC25="","",1/((1+CJ25)^((CE25-'Rate &amp; Vol Update'!$C$2)/360)))</f>
        <v>0.94286648585703825</v>
      </c>
      <c r="CN25" s="15">
        <f>IF(CC25="","",IF(CD25&lt;'Rate &amp; Vol Update'!$C$2,MAX(0,CJ25-CI25)*(CF25/360)*CH25,(((IF('Adjustment Surface'!$C$2='Data Validation'!$A$2,CJ25,IF('Adjustment Surface'!$C$2='Data Validation'!$A$3,CI25,"Unknown Option Type"))-IF('Adjustment Surface'!$C$2='Data Validation'!$A$2,CI25,IF('Adjustment Surface'!$C$2='Data Validation'!$A$3,CJ25,"Unknown Option Type")))*(NORMDIST((IF('Adjustment Surface'!$C$2='Data Validation'!$A$2,CJ25,IF('Adjustment Surface'!$C$2='Data Validation'!$A$3,CI25,"Unknown Option Type"))-IF('Adjustment Surface'!$C$2='Data Validation'!$A$2,CI25,IF('Adjustment Surface'!$C$2='Data Validation'!$A$3,CJ25,"Unknown Option Type")))/(CK25*SQRT(CG25)),0,1,TRUE)))+((CK25*SQRT(CG25))*(NORMDIST((IF('Adjustment Surface'!$C$2='Data Validation'!$A$2,CJ25,IF('Adjustment Surface'!$C$2='Data Validation'!$A$3,CI25,"Unknown Option Type"))-IF('Adjustment Surface'!$C$2='Data Validation'!$A$2,CI25,IF('Adjustment Surface'!$C$2='Data Validation'!$A$3,CJ25,"Unknown Option Type")))/(CK25*SQRT(CG25)),0,1,FALSE))))*CL25*(CF25/360)*CH25))</f>
        <v>367.23076039718029</v>
      </c>
      <c r="CO25" s="15">
        <f>IF(CC25="","",SUM(CN$4:CN25))</f>
        <v>1974.8098000451425</v>
      </c>
      <c r="CQ25" s="15">
        <f>IF(CC25="","",IF(CD25&lt;'Rate &amp; Vol Update'!$C$2,0,((((((IF('Adjustment Surface'!$C$2='Data Validation'!$A$2,CJ25,IF('Adjustment Surface'!$C$2='Data Validation'!$A$3,CI25,"Unknown Option Type"))-IF('Adjustment Surface'!$C$2='Data Validation'!$A$2,CI25,IF('Adjustment Surface'!$C$2='Data Validation'!$A$3,CJ25,"Unknown Option Type")))*(NORMDIST((IF('Adjustment Surface'!$C$2='Data Validation'!$A$2,CJ25,IF('Adjustment Surface'!$C$2='Data Validation'!$A$3,CI25,"Unknown Option Type"))-IF('Adjustment Surface'!$C$2='Data Validation'!$A$2,CI25,IF('Adjustment Surface'!$C$2='Data Validation'!$A$3,CJ25,"Unknown Option Type")))/((CK25+0.01%)*SQRT(CG25)),0,1,TRUE)))+(((CK25+0.01%)*SQRT(CG25))*(NORMDIST((IF('Adjustment Surface'!$C$2='Data Validation'!$A$2,CJ25,IF('Adjustment Surface'!$C$2='Data Validation'!$A$3,CI25,"Unknown Option Type"))-IF('Adjustment Surface'!$C$2='Data Validation'!$A$2,CI25,IF('Adjustment Surface'!$C$2='Data Validation'!$A$3,CJ25,"Unknown Option Type")))/((CK25+0.01%)*SQRT(CG25)),0,1,FALSE))))*CL25*(CF25/360))-(CN25/CH25))*CH25)*CL25))</f>
        <v>18.35262445793925</v>
      </c>
      <c r="CR25" s="15">
        <f>IF(CC25="","",SUM(CQ$4:CQ25))</f>
        <v>115.00014143403604</v>
      </c>
    </row>
    <row r="26" spans="7:96" x14ac:dyDescent="0.25">
      <c r="G26" s="28"/>
      <c r="I26" s="3">
        <v>23</v>
      </c>
      <c r="J26" s="4">
        <f>IF(K25='Adjustment Surface'!C$8,"",K25)</f>
        <v>46732</v>
      </c>
      <c r="K26" s="4">
        <f>IF(J26="","",IF(J26&lt;'Adjustment Surface'!C$7,EDATE(J$5,COUNT(J$5:J26)),IF(J26='Adjustment Surface'!C$7,'Adjustment Surface'!C$8,'Adjustment Surface'!C$7)))</f>
        <v>46763</v>
      </c>
      <c r="L26" s="3">
        <f t="shared" si="1"/>
        <v>31</v>
      </c>
      <c r="M26" s="5">
        <f>IF(I26="","",(K26-'Rate &amp; Vol Update'!$C$2)/360)</f>
        <v>1.9416666666666667</v>
      </c>
      <c r="N26" s="15">
        <f>IF(I26="","",IF('Adjustment Surface'!C$3='Data Validation'!$C$2,'Adjustment Surface'!C$4,IF(INDEX(Schedules!$E$3:$E$123,MATCH('Bachelier Model'!J26,Schedules!$B$3:$B$123,0))="",N25,INDEX(Schedules!$E$3:$E$123,MATCH('Bachelier Model'!J26,Schedules!$B$3:$B$123,0)))))</f>
        <v>25000000</v>
      </c>
      <c r="O26" s="16">
        <f>IF(I26="","",IF('Adjustment Surface'!C$9='Data Validation'!$D$2,'Adjustment Surface'!C$10,IF(INDEX(Schedules!$H$3:$H$123,MATCH('Bachelier Model'!J26,Schedules!$B$3:$B$123,0))="",O25,INDEX(Schedules!$H$3:$H$123,MATCH('Bachelier Model'!J26,Schedules!$B$3:$B$123,0)))))</f>
        <v>0.02</v>
      </c>
      <c r="P26" s="16" cm="1">
        <f t="array" ref="P26">IF(I26="","",FORECAST(J26,INDEX('Rate &amp; Vol Update'!$C$6:$C$127,MATCH(INDEX('Rate &amp; Vol Update'!$B$6:$B$127,MATCH(J26,'Rate &amp; Vol Update'!$B$6:$B$127,1)),'Rate &amp; Vol Update'!$B$6:$B$127,0)+IF('Adjustment Surface'!C$11='Data Validation'!$E$3,-1,0)):INDEX('Rate &amp; Vol Update'!$C$6:$C$127,MATCH(INDEX('Rate &amp; Vol Update'!$B$6:$B$127,MATCH(J26,'Rate &amp; Vol Update'!$B$6:$B$127,1)+1),'Rate &amp; Vol Update'!$B$6:$B$127,0)+IF('Adjustment Surface'!C$11='Data Validation'!$E$3,-1,0)),INDEX('Rate &amp; Vol Update'!$B$6:$B$127,MATCH(J26,'Rate &amp; Vol Update'!$B$6:$B$127,1)):INDEX('Rate &amp; Vol Update'!$B$6:$B$127,MATCH(J26,'Rate &amp; Vol Update'!$B$6:$B$127,1)+1))/100)</f>
        <v>3.2218830334396993E-2</v>
      </c>
      <c r="Q26" s="16" cm="1">
        <f t="array" ref="Q26">IF(I26="","",IF(J26&lt;'Rate &amp; Vol Update'!$C$2,0.001%,(1/((INDEX('Rate &amp; Vol Update'!$E$6:$Z$6,1,MATCH(O26,'Rate &amp; Vol Update'!$E$6:$Z$6,1)+1)-INDEX('Rate &amp; Vol Update'!$E$6:$Z$6,1,MATCH(O26,'Rate &amp; Vol Update'!$E$6:$Z$6,1)))*(INDEX('Rate &amp; Vol Update'!$B$8:$B$127,MATCH(J26,'Rate &amp; Vol Update'!$B$8:$B$127,1)+1)-INDEX('Rate &amp; Vol Update'!$B$8:$B$127,MATCH(J26,'Rate &amp; Vol Update'!$B$8:$B$127,1))))*(INDEX('Rate &amp; Vol Update'!$E$8:$Z$127,MATCH(INDEX('Rate &amp; Vol Update'!$B$8:$B$127,MATCH(J26,'Rate &amp; Vol Update'!$B$8:$B$127,1)),'Rate &amp; Vol Update'!$B$8:$B$127,0),MATCH(INDEX('Rate &amp; Vol Update'!$E$6:$Z$6,1,MATCH(O26,'Rate &amp; Vol Update'!$E$6:$Z$6,1)),'Rate &amp; Vol Update'!$E$6:$Z$6,0))*(INDEX('Rate &amp; Vol Update'!$E$6:$Z$6,1,MATCH(O26,'Rate &amp; Vol Update'!$E$6:$Z$6,1)+1)-O26)*(INDEX('Rate &amp; Vol Update'!$B$8:$B$127,MATCH(J26,'Rate &amp; Vol Update'!$B$8:$B$127,1)+1)-J26)+INDEX('Rate &amp; Vol Update'!$E$8:$Z$127,MATCH(INDEX('Rate &amp; Vol Update'!$B$8:$B$127,MATCH(J26,'Rate &amp; Vol Update'!$B$8:$B$127,1)),'Rate &amp; Vol Update'!$B$8:$B$127,0),MATCH(INDEX('Rate &amp; Vol Update'!$E$6:$Z$6,1,MATCH(O26,'Rate &amp; Vol Update'!$E$6:$Z$6,1)+1),'Rate &amp; Vol Update'!$E$6:$Z$6,0))*(O26-INDEX('Rate &amp; Vol Update'!$E$6:$Z$6,1,MATCH(O26,'Rate &amp; Vol Update'!$E$6:$Z$6,1)))*(INDEX('Rate &amp; Vol Update'!$B$8:$B$127,MATCH(J26,'Rate &amp; Vol Update'!$B$8:$B$127,1)+1)-J26)+INDEX('Rate &amp; Vol Update'!$E$8:$Z$127,MATCH(INDEX('Rate &amp; Vol Update'!$B$8:$B$127,MATCH(J26,'Rate &amp; Vol Update'!$B$8:$B$127,1)+1),'Rate &amp; Vol Update'!$B$8:$B$127,0),MATCH(INDEX('Rate &amp; Vol Update'!$E$6:$Z$6,1,MATCH(O26,'Rate &amp; Vol Update'!$E$6:$Z$6,1)),'Rate &amp; Vol Update'!$E$6:$Z$6,0))*(INDEX('Rate &amp; Vol Update'!$E$6:$Z$6,1,MATCH(O26,'Rate &amp; Vol Update'!$E$6:$Z$6,1)+1)-O26)*(J26-INDEX('Rate &amp; Vol Update'!$B$8:$B$127,MATCH(J26,'Rate &amp; Vol Update'!$B$8:$B$127,1)))+INDEX('Rate &amp; Vol Update'!$E$8:$Z$127,MATCH(INDEX('Rate &amp; Vol Update'!$B$8:$B$127,MATCH(J26,'Rate &amp; Vol Update'!$B$8:$B$127,1)+1),'Rate &amp; Vol Update'!$B$8:$B$127,0),MATCH(INDEX('Rate &amp; Vol Update'!$E$6:$Z$6,1,MATCH(O26,'Rate &amp; Vol Update'!$E$6:$Z$6,1)+1),'Rate &amp; Vol Update'!$E$6:$Z$6,0))*(O26-INDEX('Rate &amp; Vol Update'!$E$6:$Z$6,1,MATCH(O26,'Rate &amp; Vol Update'!$E$6:$Z$6,1)))*(J26-INDEX('Rate &amp; Vol Update'!$B$8:$B$127,MATCH(J26,'Rate &amp; Vol Update'!$B$8:$B$127,1)))))*0.01%))</f>
        <v>9.3337157061592624E-3</v>
      </c>
      <c r="R26" s="5">
        <f>IF(I26="","",1/((1+P26)^((K26-'Rate &amp; Vol Update'!$C$2)/360)))</f>
        <v>0.94028562946851879</v>
      </c>
      <c r="T26" s="15">
        <f>IF(I26="","",IF(J26&lt;'Rate &amp; Vol Update'!$C$2,MAX(0,P26-O26)*(L26/360)*N26,(((IF('Adjustment Surface'!C$2='Data Validation'!$A$2,P26,IF('Adjustment Surface'!C$2='Data Validation'!$A$3,O26,"Unknown Option Type"))-IF('Adjustment Surface'!C$2='Data Validation'!$A$2,O26,IF('Adjustment Surface'!C$2='Data Validation'!$A$3,P26,"Unknown Option Type")))*(NORMDIST((IF('Adjustment Surface'!C$2='Data Validation'!$A$2,P26,IF('Adjustment Surface'!C$2='Data Validation'!$A$3,O26,"Unknown Option Type"))-IF('Adjustment Surface'!C$2='Data Validation'!$A$2,O26,IF('Adjustment Surface'!C$2='Data Validation'!$A$3,P26,"Unknown Option Type")))/(Q26*SQRT(M26)),0,1,TRUE)))+((Q26*SQRT(M26))*(NORMDIST((IF('Adjustment Surface'!C$2='Data Validation'!$A$2,P26,IF('Adjustment Surface'!C$2='Data Validation'!$A$3,O26,"Unknown Option Type"))-IF('Adjustment Surface'!C$2='Data Validation'!$A$2,O26,IF('Adjustment Surface'!C$2='Data Validation'!$A$3,P26,"Unknown Option Type")))/(Q26*SQRT(M26)),0,1,FALSE))))*R26*(L26/360)*N26))</f>
        <v>27191.804569294643</v>
      </c>
      <c r="U26" s="15">
        <f>IF(I26="","",SUM(T$4:T26))</f>
        <v>640452.10508512903</v>
      </c>
      <c r="W26" s="15">
        <f>IF(I26="","",IF(J26&lt;'Rate &amp; Vol Update'!$C$2,0,((((((IF('Adjustment Surface'!C$2='Data Validation'!$A$2,P26,IF('Adjustment Surface'!C$2='Data Validation'!$A$3,O26,"Unknown Option Type"))-IF('Adjustment Surface'!C$2='Data Validation'!$A$2,O26,IF('Adjustment Surface'!C$2='Data Validation'!$A$3,P26,"Unknown Option Type")))*(NORMDIST((IF('Adjustment Surface'!C$2='Data Validation'!$A$2,P26,IF('Adjustment Surface'!C$2='Data Validation'!$A$3,O26,"Unknown Option Type"))-IF('Adjustment Surface'!C$2='Data Validation'!$A$2,O26,IF('Adjustment Surface'!C$2='Data Validation'!$A$3,P26,"Unknown Option Type")))/((Q26+0.01%)*SQRT(M26)),0,1,TRUE)))+(((Q26+0.01%)*SQRT(M26))*(NORMDIST((IF('Adjustment Surface'!C$2='Data Validation'!$A$2,P26,IF('Adjustment Surface'!C$2='Data Validation'!$A$3,O26,"Unknown Option Type"))-IF('Adjustment Surface'!C$2='Data Validation'!$A$2,O26,IF('Adjustment Surface'!C$2='Data Validation'!$A$3,P26,"Unknown Option Type")))/((Q26+0.01%)*SQRT(M26)),0,1,FALSE))))*R26*(L26/360))-(T26/N26))*N26)*R26))</f>
        <v>68.373870683353417</v>
      </c>
      <c r="X26" s="15">
        <f>IF(I26="","",SUM(W$4:W26))</f>
        <v>763.26558129242335</v>
      </c>
      <c r="Y26" s="15"/>
      <c r="Z26" s="20"/>
      <c r="AA26" s="3">
        <v>23</v>
      </c>
      <c r="AB26" s="4">
        <f>IF(AC25=MAX('Adjustment Surface'!$C$14:$F$14),"",AC25)</f>
        <v>46732</v>
      </c>
      <c r="AC26" s="4">
        <f>IF(AB26="","",IF(AB26&lt;EDATE('Adjustment Surface'!$C$6,DATEDIF('Adjustment Surface'!$C$6,MAX('Adjustment Surface'!$C$14:$F$14),"M")),EDATE(AB$5,COUNT(AB$5:AB26)),IF(AB26=EDATE('Adjustment Surface'!$C$6,DATEDIF('Adjustment Surface'!$C$6,MAX('Adjustment Surface'!$C$14:$F$14),"M")),MAX('Adjustment Surface'!$C$14:$F$14),EDATE('Adjustment Surface'!$C$6,DATEDIF('Adjustment Surface'!$C$6,MAX('Adjustment Surface'!$C$14:$F$14),"M")))))</f>
        <v>46763</v>
      </c>
      <c r="AD26" s="3">
        <f t="shared" si="2"/>
        <v>31</v>
      </c>
      <c r="AE26" s="5">
        <f>IF(AA26="","",(AC26-'Rate &amp; Vol Update'!$C$2)/360)</f>
        <v>1.9416666666666667</v>
      </c>
      <c r="AF26" s="15">
        <f>IF(AA26="","",IF('Adjustment Surface'!$C$3='Data Validation'!$C$2,'Adjustment Surface'!$C$4,_xlfn.IFNA(IF(INDEX(Schedules!$E$3:$E$123,MATCH('Bachelier Model'!AB26,Schedules!$B$3:$B$123,0))="",AF25,INDEX(Schedules!$E$3:$E$123,MATCH('Bachelier Model'!AB26,Schedules!$B$3:$B$123,0))),AF25)))</f>
        <v>25000000</v>
      </c>
      <c r="AG26" s="16">
        <f>IF(AA26="","",'Adjustment Surface'!B$15)</f>
        <v>0.03</v>
      </c>
      <c r="AH26" s="16" cm="1">
        <f t="array" ref="AH26">IF(AA26="","",FORECAST(AB26,INDEX('Rate &amp; Vol Update'!$C$6:$C$127,MATCH(INDEX('Rate &amp; Vol Update'!$B$6:$B$127,MATCH(AB26,'Rate &amp; Vol Update'!$B$6:$B$127,1)),'Rate &amp; Vol Update'!$B$6:$B$127,0)+IF('Adjustment Surface'!$C$11='Data Validation'!$E$3,-1,0)):INDEX('Rate &amp; Vol Update'!$C$6:$C$127,MATCH(INDEX('Rate &amp; Vol Update'!$B$6:$B$127,MATCH(AB26,'Rate &amp; Vol Update'!$B$6:$B$127,1)+1),'Rate &amp; Vol Update'!$B$6:$B$127,0)+IF('Adjustment Surface'!$C$11='Data Validation'!$E$3,-1,0)),INDEX('Rate &amp; Vol Update'!$B$6:$B$127,MATCH(AB26,'Rate &amp; Vol Update'!$B$6:$B$127,1)):INDEX('Rate &amp; Vol Update'!$B$6:$B$127,MATCH(AB26,'Rate &amp; Vol Update'!$B$6:$B$127,1)+1))/100)</f>
        <v>3.2218830334396993E-2</v>
      </c>
      <c r="AI26" s="16" cm="1">
        <f t="array" ref="AI26">IF(AA26="","",IF(AB26&lt;'Rate &amp; Vol Update'!$C$2,0.001%,(1/((INDEX('Rate &amp; Vol Update'!$E$6:$Z$6,1,MATCH(AG26,'Rate &amp; Vol Update'!$E$6:$Z$6,1)+1)-INDEX('Rate &amp; Vol Update'!$E$6:$Z$6,1,MATCH(AG26,'Rate &amp; Vol Update'!$E$6:$Z$6,1)))*(INDEX('Rate &amp; Vol Update'!$B$8:$B$127,MATCH(AB26,'Rate &amp; Vol Update'!$B$8:$B$127,1)+1)-INDEX('Rate &amp; Vol Update'!$B$8:$B$127,MATCH(AB26,'Rate &amp; Vol Update'!$B$8:$B$127,1))))*(INDEX('Rate &amp; Vol Update'!$E$8:$Z$127,MATCH(INDEX('Rate &amp; Vol Update'!$B$8:$B$127,MATCH(AB26,'Rate &amp; Vol Update'!$B$8:$B$127,1)),'Rate &amp; Vol Update'!$B$8:$B$127,0),MATCH(INDEX('Rate &amp; Vol Update'!$E$6:$Z$6,1,MATCH(AG26,'Rate &amp; Vol Update'!$E$6:$Z$6,1)),'Rate &amp; Vol Update'!$E$6:$Z$6,0))*(INDEX('Rate &amp; Vol Update'!$E$6:$Z$6,1,MATCH(AG26,'Rate &amp; Vol Update'!$E$6:$Z$6,1)+1)-AG26)*(INDEX('Rate &amp; Vol Update'!$B$8:$B$127,MATCH(AB26,'Rate &amp; Vol Update'!$B$8:$B$127,1)+1)-AB26)+INDEX('Rate &amp; Vol Update'!$E$8:$Z$127,MATCH(INDEX('Rate &amp; Vol Update'!$B$8:$B$127,MATCH(AB26,'Rate &amp; Vol Update'!$B$8:$B$127,1)),'Rate &amp; Vol Update'!$B$8:$B$127,0),MATCH(INDEX('Rate &amp; Vol Update'!$E$6:$Z$6,1,MATCH(AG26,'Rate &amp; Vol Update'!$E$6:$Z$6,1)+1),'Rate &amp; Vol Update'!$E$6:$Z$6,0))*(AG26-INDEX('Rate &amp; Vol Update'!$E$6:$Z$6,1,MATCH(AG26,'Rate &amp; Vol Update'!$E$6:$Z$6,1)))*(INDEX('Rate &amp; Vol Update'!$B$8:$B$127,MATCH(AB26,'Rate &amp; Vol Update'!$B$8:$B$127,1)+1)-AB26)+INDEX('Rate &amp; Vol Update'!$E$8:$Z$127,MATCH(INDEX('Rate &amp; Vol Update'!$B$8:$B$127,MATCH(AB26,'Rate &amp; Vol Update'!$B$8:$B$127,1)+1),'Rate &amp; Vol Update'!$B$8:$B$127,0),MATCH(INDEX('Rate &amp; Vol Update'!$E$6:$Z$6,1,MATCH(AG26,'Rate &amp; Vol Update'!$E$6:$Z$6,1)),'Rate &amp; Vol Update'!$E$6:$Z$6,0))*(INDEX('Rate &amp; Vol Update'!$E$6:$Z$6,1,MATCH(AG26,'Rate &amp; Vol Update'!$E$6:$Z$6,1)+1)-AG26)*(AB26-INDEX('Rate &amp; Vol Update'!$B$8:$B$127,MATCH(AB26,'Rate &amp; Vol Update'!$B$8:$B$127,1)))+INDEX('Rate &amp; Vol Update'!$E$8:$Z$127,MATCH(INDEX('Rate &amp; Vol Update'!$B$8:$B$127,MATCH(AB26,'Rate &amp; Vol Update'!$B$8:$B$127,1)+1),'Rate &amp; Vol Update'!$B$8:$B$127,0),MATCH(INDEX('Rate &amp; Vol Update'!$E$6:$Z$6,1,MATCH(AG26,'Rate &amp; Vol Update'!$E$6:$Z$6,1)+1),'Rate &amp; Vol Update'!$E$6:$Z$6,0))*(AG26-INDEX('Rate &amp; Vol Update'!$E$6:$Z$6,1,MATCH(AG26,'Rate &amp; Vol Update'!$E$6:$Z$6,1)))*(AB26-INDEX('Rate &amp; Vol Update'!$B$8:$B$127,MATCH(AB26,'Rate &amp; Vol Update'!$B$8:$B$127,1)))))*0.01%))</f>
        <v>7.8598505134393239E-3</v>
      </c>
      <c r="AJ26" s="5">
        <f>IF(AA26="","",1/((1+AH26)^((AC26-'Rate &amp; Vol Update'!$C$2)/360)))</f>
        <v>0.94028562946851879</v>
      </c>
      <c r="AL26" s="15">
        <f>IF(AA26="","",IF(AB26&lt;'Rate &amp; Vol Update'!$C$2,MAX(0,AH26-AG26)*(AD26/360)*AF26,(((IF('Adjustment Surface'!$C$2='Data Validation'!$A$2,AH26,IF('Adjustment Surface'!$C$2='Data Validation'!$A$3,AG26,"Unknown Option Type"))-IF('Adjustment Surface'!$C$2='Data Validation'!$A$2,AG26,IF('Adjustment Surface'!$C$2='Data Validation'!$A$3,AH26,"Unknown Option Type")))*(NORMDIST((IF('Adjustment Surface'!$C$2='Data Validation'!$A$2,AH26,IF('Adjustment Surface'!$C$2='Data Validation'!$A$3,AG26,"Unknown Option Type"))-IF('Adjustment Surface'!$C$2='Data Validation'!$A$2,AG26,IF('Adjustment Surface'!$C$2='Data Validation'!$A$3,AH26,"Unknown Option Type")))/(AI26*SQRT(AE26)),0,1,TRUE)))+((AI26*SQRT(AE26))*(NORMDIST((IF('Adjustment Surface'!$C$2='Data Validation'!$A$2,AH26,IF('Adjustment Surface'!$C$2='Data Validation'!$A$3,AG26,"Unknown Option Type"))-IF('Adjustment Surface'!$C$2='Data Validation'!$A$2,AG26,IF('Adjustment Surface'!$C$2='Data Validation'!$A$3,AH26,"Unknown Option Type")))/(AI26*SQRT(AE26)),0,1,FALSE))))*AJ26*(AD26/360)*AF26))</f>
        <v>11271.039669512753</v>
      </c>
      <c r="AM26" s="15">
        <f>IF(AA26="","",SUM(AL$4:AL26))</f>
        <v>231376.70930445241</v>
      </c>
      <c r="AO26" s="15">
        <f>IF(AA26="","",IF(AB26&lt;'Rate &amp; Vol Update'!$C$2,0,((((((IF('Adjustment Surface'!$C$2='Data Validation'!$A$2,AH26,IF('Adjustment Surface'!$C$2='Data Validation'!$A$3,AG26,"Unknown Option Type"))-IF('Adjustment Surface'!$C$2='Data Validation'!$A$2,AG26,IF('Adjustment Surface'!$C$2='Data Validation'!$A$3,AH26,"Unknown Option Type")))*(NORMDIST((IF('Adjustment Surface'!$C$2='Data Validation'!$A$2,AH26,IF('Adjustment Surface'!$C$2='Data Validation'!$A$3,AG26,"Unknown Option Type"))-IF('Adjustment Surface'!$C$2='Data Validation'!$A$2,AG26,IF('Adjustment Surface'!$C$2='Data Validation'!$A$3,AH26,"Unknown Option Type")))/((AI26+0.01%)*SQRT(AE26)),0,1,TRUE)))+(((AI26+0.01%)*SQRT(AE26))*(NORMDIST((IF('Adjustment Surface'!$C$2='Data Validation'!$A$2,AH26,IF('Adjustment Surface'!$C$2='Data Validation'!$A$3,AG26,"Unknown Option Type"))-IF('Adjustment Surface'!$C$2='Data Validation'!$A$2,AG26,IF('Adjustment Surface'!$C$2='Data Validation'!$A$3,AH26,"Unknown Option Type")))/((AI26+0.01%)*SQRT(AE26)),0,1,FALSE))))*AJ26*(AD26/360))-(AL26/AF26))*AF26)*AJ26))</f>
        <v>103.68494014677073</v>
      </c>
      <c r="AP26" s="15">
        <f>IF(AA26="","",SUM(AO$4:AO26))</f>
        <v>1501.5703703529659</v>
      </c>
      <c r="AQ26" s="15"/>
      <c r="AR26" s="20"/>
      <c r="AS26" s="3">
        <v>23</v>
      </c>
      <c r="AT26" s="4">
        <f>IF(AU25=MAX('Adjustment Surface'!$C$14:$F$14),"",AU25)</f>
        <v>46732</v>
      </c>
      <c r="AU26" s="4">
        <f>IF(AT26="","",IF(AT26&lt;EDATE('Adjustment Surface'!$C$6,DATEDIF('Adjustment Surface'!$C$6,MAX('Adjustment Surface'!$C$14:$F$14),"M")),EDATE(AT$5,COUNT(AT$5:AT26)),IF(AT26=EDATE('Adjustment Surface'!$C$6,DATEDIF('Adjustment Surface'!$C$6,MAX('Adjustment Surface'!$C$14:$F$14),"M")),MAX('Adjustment Surface'!$C$14:$F$14),EDATE('Adjustment Surface'!$C$6,DATEDIF('Adjustment Surface'!$C$6,MAX('Adjustment Surface'!$C$14:$F$14),"M")))))</f>
        <v>46763</v>
      </c>
      <c r="AV26" s="3">
        <f t="shared" si="3"/>
        <v>31</v>
      </c>
      <c r="AW26" s="5">
        <f>IF(AS26="","",(AU26-'Rate &amp; Vol Update'!$C$2)/360)</f>
        <v>1.9416666666666667</v>
      </c>
      <c r="AX26" s="15">
        <f>IF(AS26="","",IF('Adjustment Surface'!$C$3='Data Validation'!$C$2,'Adjustment Surface'!$C$4,_xlfn.IFNA(IF(INDEX(Schedules!$E$3:$E$123,MATCH('Bachelier Model'!AT26,Schedules!$B$3:$B$123,0))="",AX25,INDEX(Schedules!$E$3:$E$123,MATCH('Bachelier Model'!AT26,Schedules!$B$3:$B$123,0))),AX25)))</f>
        <v>25000000</v>
      </c>
      <c r="AY26" s="16">
        <f>IF(AS26="","",'Adjustment Surface'!B$16)</f>
        <v>0.04</v>
      </c>
      <c r="AZ26" s="16" cm="1">
        <f t="array" ref="AZ26">IF(AS26="","",FORECAST(AT26,INDEX('Rate &amp; Vol Update'!$C$6:$C$127,MATCH(INDEX('Rate &amp; Vol Update'!$B$6:$B$127,MATCH(AT26,'Rate &amp; Vol Update'!$B$6:$B$127,1)),'Rate &amp; Vol Update'!$B$6:$B$127,0)+IF('Adjustment Surface'!$C$11='Data Validation'!$E$3,-1,0)):INDEX('Rate &amp; Vol Update'!$C$6:$C$127,MATCH(INDEX('Rate &amp; Vol Update'!$B$6:$B$127,MATCH(AT26,'Rate &amp; Vol Update'!$B$6:$B$127,1)+1),'Rate &amp; Vol Update'!$B$6:$B$127,0)+IF('Adjustment Surface'!$C$11='Data Validation'!$E$3,-1,0)),INDEX('Rate &amp; Vol Update'!$B$6:$B$127,MATCH(AT26,'Rate &amp; Vol Update'!$B$6:$B$127,1)):INDEX('Rate &amp; Vol Update'!$B$6:$B$127,MATCH(AT26,'Rate &amp; Vol Update'!$B$6:$B$127,1)+1))/100)</f>
        <v>3.2218830334396993E-2</v>
      </c>
      <c r="BA26" s="16" cm="1">
        <f t="array" ref="BA26">IF(AS26="","",IF(AT26&lt;'Rate &amp; Vol Update'!$C$2,0.001%,(1/((INDEX('Rate &amp; Vol Update'!$E$6:$Z$6,1,MATCH(AY26,'Rate &amp; Vol Update'!$E$6:$Z$6,1)+1)-INDEX('Rate &amp; Vol Update'!$E$6:$Z$6,1,MATCH(AY26,'Rate &amp; Vol Update'!$E$6:$Z$6,1)))*(INDEX('Rate &amp; Vol Update'!$B$8:$B$127,MATCH(AT26,'Rate &amp; Vol Update'!$B$8:$B$127,1)+1)-INDEX('Rate &amp; Vol Update'!$B$8:$B$127,MATCH(AT26,'Rate &amp; Vol Update'!$B$8:$B$127,1))))*(INDEX('Rate &amp; Vol Update'!$E$8:$Z$127,MATCH(INDEX('Rate &amp; Vol Update'!$B$8:$B$127,MATCH(AT26,'Rate &amp; Vol Update'!$B$8:$B$127,1)),'Rate &amp; Vol Update'!$B$8:$B$127,0),MATCH(INDEX('Rate &amp; Vol Update'!$E$6:$Z$6,1,MATCH(AY26,'Rate &amp; Vol Update'!$E$6:$Z$6,1)),'Rate &amp; Vol Update'!$E$6:$Z$6,0))*(INDEX('Rate &amp; Vol Update'!$E$6:$Z$6,1,MATCH(AY26,'Rate &amp; Vol Update'!$E$6:$Z$6,1)+1)-AY26)*(INDEX('Rate &amp; Vol Update'!$B$8:$B$127,MATCH(AT26,'Rate &amp; Vol Update'!$B$8:$B$127,1)+1)-AT26)+INDEX('Rate &amp; Vol Update'!$E$8:$Z$127,MATCH(INDEX('Rate &amp; Vol Update'!$B$8:$B$127,MATCH(AT26,'Rate &amp; Vol Update'!$B$8:$B$127,1)),'Rate &amp; Vol Update'!$B$8:$B$127,0),MATCH(INDEX('Rate &amp; Vol Update'!$E$6:$Z$6,1,MATCH(AY26,'Rate &amp; Vol Update'!$E$6:$Z$6,1)+1),'Rate &amp; Vol Update'!$E$6:$Z$6,0))*(AY26-INDEX('Rate &amp; Vol Update'!$E$6:$Z$6,1,MATCH(AY26,'Rate &amp; Vol Update'!$E$6:$Z$6,1)))*(INDEX('Rate &amp; Vol Update'!$B$8:$B$127,MATCH(AT26,'Rate &amp; Vol Update'!$B$8:$B$127,1)+1)-AT26)+INDEX('Rate &amp; Vol Update'!$E$8:$Z$127,MATCH(INDEX('Rate &amp; Vol Update'!$B$8:$B$127,MATCH(AT26,'Rate &amp; Vol Update'!$B$8:$B$127,1)+1),'Rate &amp; Vol Update'!$B$8:$B$127,0),MATCH(INDEX('Rate &amp; Vol Update'!$E$6:$Z$6,1,MATCH(AY26,'Rate &amp; Vol Update'!$E$6:$Z$6,1)),'Rate &amp; Vol Update'!$E$6:$Z$6,0))*(INDEX('Rate &amp; Vol Update'!$E$6:$Z$6,1,MATCH(AY26,'Rate &amp; Vol Update'!$E$6:$Z$6,1)+1)-AY26)*(AT26-INDEX('Rate &amp; Vol Update'!$B$8:$B$127,MATCH(AT26,'Rate &amp; Vol Update'!$B$8:$B$127,1)))+INDEX('Rate &amp; Vol Update'!$E$8:$Z$127,MATCH(INDEX('Rate &amp; Vol Update'!$B$8:$B$127,MATCH(AT26,'Rate &amp; Vol Update'!$B$8:$B$127,1)+1),'Rate &amp; Vol Update'!$B$8:$B$127,0),MATCH(INDEX('Rate &amp; Vol Update'!$E$6:$Z$6,1,MATCH(AY26,'Rate &amp; Vol Update'!$E$6:$Z$6,1)+1),'Rate &amp; Vol Update'!$E$6:$Z$6,0))*(AY26-INDEX('Rate &amp; Vol Update'!$E$6:$Z$6,1,MATCH(AY26,'Rate &amp; Vol Update'!$E$6:$Z$6,1)))*(AT26-INDEX('Rate &amp; Vol Update'!$B$8:$B$127,MATCH(AT26,'Rate &amp; Vol Update'!$B$8:$B$127,1)))))*0.01%))</f>
        <v>7.7906225584571422E-3</v>
      </c>
      <c r="BB26" s="5">
        <f>IF(AS26="","",1/((1+AZ26)^((AU26-'Rate &amp; Vol Update'!$C$2)/360)))</f>
        <v>0.94028562946851879</v>
      </c>
      <c r="BD26" s="15">
        <f>IF(AS26="","",IF(AT26&lt;'Rate &amp; Vol Update'!$C$2,MAX(0,AZ26-AY26)*(AV26/360)*AX26,(((IF('Adjustment Surface'!$C$2='Data Validation'!$A$2,AZ26,IF('Adjustment Surface'!$C$2='Data Validation'!$A$3,AY26,"Unknown Option Type"))-IF('Adjustment Surface'!$C$2='Data Validation'!$A$2,AY26,IF('Adjustment Surface'!$C$2='Data Validation'!$A$3,AZ26,"Unknown Option Type")))*(NORMDIST((IF('Adjustment Surface'!$C$2='Data Validation'!$A$2,AZ26,IF('Adjustment Surface'!$C$2='Data Validation'!$A$3,AY26,"Unknown Option Type"))-IF('Adjustment Surface'!$C$2='Data Validation'!$A$2,AY26,IF('Adjustment Surface'!$C$2='Data Validation'!$A$3,AZ26,"Unknown Option Type")))/(BA26*SQRT(AW26)),0,1,TRUE)))+((BA26*SQRT(AW26))*(NORMDIST((IF('Adjustment Surface'!$C$2='Data Validation'!$A$2,AZ26,IF('Adjustment Surface'!$C$2='Data Validation'!$A$3,AY26,"Unknown Option Type"))-IF('Adjustment Surface'!$C$2='Data Validation'!$A$2,AY26,IF('Adjustment Surface'!$C$2='Data Validation'!$A$3,AZ26,"Unknown Option Type")))/(BA26*SQRT(AW26)),0,1,FALSE))))*BB26*(AV26/360)*AX26))</f>
        <v>3051.4460530225092</v>
      </c>
      <c r="BE26" s="15">
        <f>IF(AS26="","",SUM(BD$4:BD26))</f>
        <v>27054.913197073878</v>
      </c>
      <c r="BG26" s="15">
        <f>IF(AS26="","",IF(AT26&lt;'Rate &amp; Vol Update'!$C$2,0,((((((IF('Adjustment Surface'!$C$2='Data Validation'!$A$2,AZ26,IF('Adjustment Surface'!$C$2='Data Validation'!$A$3,AY26,"Unknown Option Type"))-IF('Adjustment Surface'!$C$2='Data Validation'!$A$2,AY26,IF('Adjustment Surface'!$C$2='Data Validation'!$A$3,AZ26,"Unknown Option Type")))*(NORMDIST((IF('Adjustment Surface'!$C$2='Data Validation'!$A$2,AZ26,IF('Adjustment Surface'!$C$2='Data Validation'!$A$3,AY26,"Unknown Option Type"))-IF('Adjustment Surface'!$C$2='Data Validation'!$A$2,AY26,IF('Adjustment Surface'!$C$2='Data Validation'!$A$3,AZ26,"Unknown Option Type")))/((BA26+0.01%)*SQRT(AW26)),0,1,TRUE)))+(((BA26+0.01%)*SQRT(AW26))*(NORMDIST((IF('Adjustment Surface'!$C$2='Data Validation'!$A$2,AZ26,IF('Adjustment Surface'!$C$2='Data Validation'!$A$3,AY26,"Unknown Option Type"))-IF('Adjustment Surface'!$C$2='Data Validation'!$A$2,AY26,IF('Adjustment Surface'!$C$2='Data Validation'!$A$3,AZ26,"Unknown Option Type")))/((BA26+0.01%)*SQRT(AW26)),0,1,FALSE))))*BB26*(AV26/360))-(BD26/AX26))*AX26)*BB26))</f>
        <v>82.104429131811784</v>
      </c>
      <c r="BH26" s="15">
        <f>IF(AS26="","",SUM(BG$4:BG26))</f>
        <v>1006.3814505700486</v>
      </c>
      <c r="BI26" s="15"/>
      <c r="BJ26" s="20"/>
      <c r="BK26" s="3">
        <v>23</v>
      </c>
      <c r="BL26" s="4">
        <f>IF(BM25=MAX('Adjustment Surface'!$C$14:$F$14),"",BM25)</f>
        <v>46732</v>
      </c>
      <c r="BM26" s="4">
        <f>IF(BL26="","",IF(BL26&lt;EDATE('Adjustment Surface'!$C$6,DATEDIF('Adjustment Surface'!$C$6,MAX('Adjustment Surface'!$C$14:$F$14),"M")),EDATE(BL$5,COUNT(BL$5:BL26)),IF(BL26=EDATE('Adjustment Surface'!$C$6,DATEDIF('Adjustment Surface'!$C$6,MAX('Adjustment Surface'!$C$14:$F$14),"M")),MAX('Adjustment Surface'!$C$14:$F$14),EDATE('Adjustment Surface'!$C$6,DATEDIF('Adjustment Surface'!$C$6,MAX('Adjustment Surface'!$C$14:$F$14),"M")))))</f>
        <v>46763</v>
      </c>
      <c r="BN26" s="3">
        <f t="shared" si="4"/>
        <v>31</v>
      </c>
      <c r="BO26" s="5">
        <f>IF(BK26="","",(BM26-'Rate &amp; Vol Update'!$C$2)/360)</f>
        <v>1.9416666666666667</v>
      </c>
      <c r="BP26" s="15">
        <f>IF(BK26="","",IF('Adjustment Surface'!$C$3='Data Validation'!$C$2,'Adjustment Surface'!$C$4,_xlfn.IFNA(IF(INDEX(Schedules!$E$3:$E$123,MATCH('Bachelier Model'!BL26,Schedules!$B$3:$B$123,0))="",BP25,INDEX(Schedules!$E$3:$E$123,MATCH('Bachelier Model'!BL26,Schedules!$B$3:$B$123,0))),BP25)))</f>
        <v>25000000</v>
      </c>
      <c r="BQ26" s="16">
        <f>IF(BK26="","",'Adjustment Surface'!B$17)</f>
        <v>0.05</v>
      </c>
      <c r="BR26" s="16" cm="1">
        <f t="array" ref="BR26">IF(BK26="","",FORECAST(BL26,INDEX('Rate &amp; Vol Update'!$C$6:$C$127,MATCH(INDEX('Rate &amp; Vol Update'!$B$6:$B$127,MATCH(BL26,'Rate &amp; Vol Update'!$B$6:$B$127,1)),'Rate &amp; Vol Update'!$B$6:$B$127,0)+IF('Adjustment Surface'!$C$11='Data Validation'!$E$3,-1,0)):INDEX('Rate &amp; Vol Update'!$C$6:$C$127,MATCH(INDEX('Rate &amp; Vol Update'!$B$6:$B$127,MATCH(BL26,'Rate &amp; Vol Update'!$B$6:$B$127,1)+1),'Rate &amp; Vol Update'!$B$6:$B$127,0)+IF('Adjustment Surface'!$C$11='Data Validation'!$E$3,-1,0)),INDEX('Rate &amp; Vol Update'!$B$6:$B$127,MATCH(BL26,'Rate &amp; Vol Update'!$B$6:$B$127,1)):INDEX('Rate &amp; Vol Update'!$B$6:$B$127,MATCH(BL26,'Rate &amp; Vol Update'!$B$6:$B$127,1)+1))/100)</f>
        <v>3.2218830334396993E-2</v>
      </c>
      <c r="BS26" s="16" cm="1">
        <f t="array" ref="BS26">IF(BK26="","",IF(BL26&lt;'Rate &amp; Vol Update'!$C$2,0.001%,(1/((INDEX('Rate &amp; Vol Update'!$E$6:$Z$6,1,MATCH(BQ26,'Rate &amp; Vol Update'!$E$6:$Z$6,1)+1)-INDEX('Rate &amp; Vol Update'!$E$6:$Z$6,1,MATCH(BQ26,'Rate &amp; Vol Update'!$E$6:$Z$6,1)))*(INDEX('Rate &amp; Vol Update'!$B$8:$B$127,MATCH(BL26,'Rate &amp; Vol Update'!$B$8:$B$127,1)+1)-INDEX('Rate &amp; Vol Update'!$B$8:$B$127,MATCH(BL26,'Rate &amp; Vol Update'!$B$8:$B$127,1))))*(INDEX('Rate &amp; Vol Update'!$E$8:$Z$127,MATCH(INDEX('Rate &amp; Vol Update'!$B$8:$B$127,MATCH(BL26,'Rate &amp; Vol Update'!$B$8:$B$127,1)),'Rate &amp; Vol Update'!$B$8:$B$127,0),MATCH(INDEX('Rate &amp; Vol Update'!$E$6:$Z$6,1,MATCH(BQ26,'Rate &amp; Vol Update'!$E$6:$Z$6,1)),'Rate &amp; Vol Update'!$E$6:$Z$6,0))*(INDEX('Rate &amp; Vol Update'!$E$6:$Z$6,1,MATCH(BQ26,'Rate &amp; Vol Update'!$E$6:$Z$6,1)+1)-BQ26)*(INDEX('Rate &amp; Vol Update'!$B$8:$B$127,MATCH(BL26,'Rate &amp; Vol Update'!$B$8:$B$127,1)+1)-BL26)+INDEX('Rate &amp; Vol Update'!$E$8:$Z$127,MATCH(INDEX('Rate &amp; Vol Update'!$B$8:$B$127,MATCH(BL26,'Rate &amp; Vol Update'!$B$8:$B$127,1)),'Rate &amp; Vol Update'!$B$8:$B$127,0),MATCH(INDEX('Rate &amp; Vol Update'!$E$6:$Z$6,1,MATCH(BQ26,'Rate &amp; Vol Update'!$E$6:$Z$6,1)+1),'Rate &amp; Vol Update'!$E$6:$Z$6,0))*(BQ26-INDEX('Rate &amp; Vol Update'!$E$6:$Z$6,1,MATCH(BQ26,'Rate &amp; Vol Update'!$E$6:$Z$6,1)))*(INDEX('Rate &amp; Vol Update'!$B$8:$B$127,MATCH(BL26,'Rate &amp; Vol Update'!$B$8:$B$127,1)+1)-BL26)+INDEX('Rate &amp; Vol Update'!$E$8:$Z$127,MATCH(INDEX('Rate &amp; Vol Update'!$B$8:$B$127,MATCH(BL26,'Rate &amp; Vol Update'!$B$8:$B$127,1)+1),'Rate &amp; Vol Update'!$B$8:$B$127,0),MATCH(INDEX('Rate &amp; Vol Update'!$E$6:$Z$6,1,MATCH(BQ26,'Rate &amp; Vol Update'!$E$6:$Z$6,1)),'Rate &amp; Vol Update'!$E$6:$Z$6,0))*(INDEX('Rate &amp; Vol Update'!$E$6:$Z$6,1,MATCH(BQ26,'Rate &amp; Vol Update'!$E$6:$Z$6,1)+1)-BQ26)*(BL26-INDEX('Rate &amp; Vol Update'!$B$8:$B$127,MATCH(BL26,'Rate &amp; Vol Update'!$B$8:$B$127,1)))+INDEX('Rate &amp; Vol Update'!$E$8:$Z$127,MATCH(INDEX('Rate &amp; Vol Update'!$B$8:$B$127,MATCH(BL26,'Rate &amp; Vol Update'!$B$8:$B$127,1)+1),'Rate &amp; Vol Update'!$B$8:$B$127,0),MATCH(INDEX('Rate &amp; Vol Update'!$E$6:$Z$6,1,MATCH(BQ26,'Rate &amp; Vol Update'!$E$6:$Z$6,1)+1),'Rate &amp; Vol Update'!$E$6:$Z$6,0))*(BQ26-INDEX('Rate &amp; Vol Update'!$E$6:$Z$6,1,MATCH(BQ26,'Rate &amp; Vol Update'!$E$6:$Z$6,1)))*(BL26-INDEX('Rate &amp; Vol Update'!$B$8:$B$127,MATCH(BL26,'Rate &amp; Vol Update'!$B$8:$B$127,1)))))*0.01%))</f>
        <v>9.2694789116651681E-3</v>
      </c>
      <c r="BT26" s="5">
        <f>IF(BK26="","",1/((1+BR26)^((BM26-'Rate &amp; Vol Update'!$C$2)/360)))</f>
        <v>0.94028562946851879</v>
      </c>
      <c r="BV26" s="15">
        <f>IF(BK26="","",IF(BL26&lt;'Rate &amp; Vol Update'!$C$2,MAX(0,BR26-BQ26)*(BN26/360)*BP26,(((IF('Adjustment Surface'!$C$2='Data Validation'!$A$2,BR26,IF('Adjustment Surface'!$C$2='Data Validation'!$A$3,BQ26,"Unknown Option Type"))-IF('Adjustment Surface'!$C$2='Data Validation'!$A$2,BQ26,IF('Adjustment Surface'!$C$2='Data Validation'!$A$3,BR26,"Unknown Option Type")))*(NORMDIST((IF('Adjustment Surface'!$C$2='Data Validation'!$A$2,BR26,IF('Adjustment Surface'!$C$2='Data Validation'!$A$3,BQ26,"Unknown Option Type"))-IF('Adjustment Surface'!$C$2='Data Validation'!$A$2,BQ26,IF('Adjustment Surface'!$C$2='Data Validation'!$A$3,BR26,"Unknown Option Type")))/(BS26*SQRT(BO26)),0,1,TRUE)))+((BS26*SQRT(BO26))*(NORMDIST((IF('Adjustment Surface'!$C$2='Data Validation'!$A$2,BR26,IF('Adjustment Surface'!$C$2='Data Validation'!$A$3,BQ26,"Unknown Option Type"))-IF('Adjustment Surface'!$C$2='Data Validation'!$A$2,BQ26,IF('Adjustment Surface'!$C$2='Data Validation'!$A$3,BR26,"Unknown Option Type")))/(BS26*SQRT(BO26)),0,1,FALSE))))*BT26*(BN26/360)*BP26))</f>
        <v>1009.1394877144895</v>
      </c>
      <c r="BW26" s="15">
        <f>IF(BK26="","",SUM(BV$4:BV26))</f>
        <v>6069.7569208421219</v>
      </c>
      <c r="BY26" s="15">
        <f>IF(BK26="","",IF(BL26&lt;'Rate &amp; Vol Update'!$C$2,0,((((((IF('Adjustment Surface'!$C$2='Data Validation'!$A$2,BR26,IF('Adjustment Surface'!$C$2='Data Validation'!$A$3,BQ26,"Unknown Option Type"))-IF('Adjustment Surface'!$C$2='Data Validation'!$A$2,BQ26,IF('Adjustment Surface'!$C$2='Data Validation'!$A$3,BR26,"Unknown Option Type")))*(NORMDIST((IF('Adjustment Surface'!$C$2='Data Validation'!$A$2,BR26,IF('Adjustment Surface'!$C$2='Data Validation'!$A$3,BQ26,"Unknown Option Type"))-IF('Adjustment Surface'!$C$2='Data Validation'!$A$2,BQ26,IF('Adjustment Surface'!$C$2='Data Validation'!$A$3,BR26,"Unknown Option Type")))/((BS26+0.01%)*SQRT(BO26)),0,1,TRUE)))+(((BS26+0.01%)*SQRT(BO26))*(NORMDIST((IF('Adjustment Surface'!$C$2='Data Validation'!$A$2,BR26,IF('Adjustment Surface'!$C$2='Data Validation'!$A$3,BQ26,"Unknown Option Type"))-IF('Adjustment Surface'!$C$2='Data Validation'!$A$2,BQ26,IF('Adjustment Surface'!$C$2='Data Validation'!$A$3,BR26,"Unknown Option Type")))/((BS26+0.01%)*SQRT(BO26)),0,1,FALSE))))*BT26*(BN26/360))-(BV26/BP26))*BP26)*BT26))</f>
        <v>41.437817610220776</v>
      </c>
      <c r="BZ26" s="15">
        <f>IF(BK26="","",SUM(BY$4:BY26))</f>
        <v>314.22130009528269</v>
      </c>
      <c r="CA26" s="15"/>
      <c r="CB26" s="20"/>
      <c r="CC26" s="3">
        <v>23</v>
      </c>
      <c r="CD26" s="4">
        <f>IF(CE25=MAX('Adjustment Surface'!$C$14:$F$14),"",CE25)</f>
        <v>46732</v>
      </c>
      <c r="CE26" s="4">
        <f>IF(CD26="","",IF(CD26&lt;EDATE('Adjustment Surface'!$C$6,DATEDIF('Adjustment Surface'!$C$6,MAX('Adjustment Surface'!$C$14:$F$14),"M")),EDATE(CD$5,COUNT(CD$5:CD26)),IF(CD26=EDATE('Adjustment Surface'!$C$6,DATEDIF('Adjustment Surface'!$C$6,MAX('Adjustment Surface'!$C$14:$F$14),"M")),MAX('Adjustment Surface'!$C$14:$F$14),EDATE('Adjustment Surface'!$C$6,DATEDIF('Adjustment Surface'!$C$6,MAX('Adjustment Surface'!$C$14:$F$14),"M")))))</f>
        <v>46763</v>
      </c>
      <c r="CF26" s="3">
        <f t="shared" si="5"/>
        <v>31</v>
      </c>
      <c r="CG26" s="5">
        <f>IF(CC26="","",(CE26-'Rate &amp; Vol Update'!$C$2)/360)</f>
        <v>1.9416666666666667</v>
      </c>
      <c r="CH26" s="15">
        <f>IF(CC26="","",IF('Adjustment Surface'!$C$3='Data Validation'!$C$2,'Adjustment Surface'!$C$4,_xlfn.IFNA(IF(INDEX(Schedules!$E$3:$E$123,MATCH('Bachelier Model'!CD26,Schedules!$B$3:$B$123,0))="",CH25,INDEX(Schedules!$E$3:$E$123,MATCH('Bachelier Model'!CD26,Schedules!$B$3:$B$123,0))),CH25)))</f>
        <v>25000000</v>
      </c>
      <c r="CI26" s="16">
        <f>IF(CC26="","",'Adjustment Surface'!B$18)</f>
        <v>0.06</v>
      </c>
      <c r="CJ26" s="16" cm="1">
        <f t="array" ref="CJ26">IF(CC26="","",FORECAST(CD26,INDEX('Rate &amp; Vol Update'!$C$6:$C$127,MATCH(INDEX('Rate &amp; Vol Update'!$B$6:$B$127,MATCH(CD26,'Rate &amp; Vol Update'!$B$6:$B$127,1)),'Rate &amp; Vol Update'!$B$6:$B$127,0)+IF('Adjustment Surface'!$C$11='Data Validation'!$E$3,-1,0)):INDEX('Rate &amp; Vol Update'!$C$6:$C$127,MATCH(INDEX('Rate &amp; Vol Update'!$B$6:$B$127,MATCH(CD26,'Rate &amp; Vol Update'!$B$6:$B$127,1)+1),'Rate &amp; Vol Update'!$B$6:$B$127,0)+IF('Adjustment Surface'!$C$11='Data Validation'!$E$3,-1,0)),INDEX('Rate &amp; Vol Update'!$B$6:$B$127,MATCH(CD26,'Rate &amp; Vol Update'!$B$6:$B$127,1)):INDEX('Rate &amp; Vol Update'!$B$6:$B$127,MATCH(CD26,'Rate &amp; Vol Update'!$B$6:$B$127,1)+1))/100)</f>
        <v>3.2218830334396993E-2</v>
      </c>
      <c r="CK26" s="16" cm="1">
        <f t="array" ref="CK26">IF(CC26="","",IF(CD26&lt;'Rate &amp; Vol Update'!$C$2,0.001%,(1/((INDEX('Rate &amp; Vol Update'!$E$6:$Z$6,1,MATCH(CI26,'Rate &amp; Vol Update'!$E$6:$Z$6,1)+1)-INDEX('Rate &amp; Vol Update'!$E$6:$Z$6,1,MATCH(CI26,'Rate &amp; Vol Update'!$E$6:$Z$6,1)))*(INDEX('Rate &amp; Vol Update'!$B$8:$B$127,MATCH(CD26,'Rate &amp; Vol Update'!$B$8:$B$127,1)+1)-INDEX('Rate &amp; Vol Update'!$B$8:$B$127,MATCH(CD26,'Rate &amp; Vol Update'!$B$8:$B$127,1))))*(INDEX('Rate &amp; Vol Update'!$E$8:$Z$127,MATCH(INDEX('Rate &amp; Vol Update'!$B$8:$B$127,MATCH(CD26,'Rate &amp; Vol Update'!$B$8:$B$127,1)),'Rate &amp; Vol Update'!$B$8:$B$127,0),MATCH(INDEX('Rate &amp; Vol Update'!$E$6:$Z$6,1,MATCH(CI26,'Rate &amp; Vol Update'!$E$6:$Z$6,1)),'Rate &amp; Vol Update'!$E$6:$Z$6,0))*(INDEX('Rate &amp; Vol Update'!$E$6:$Z$6,1,MATCH(CI26,'Rate &amp; Vol Update'!$E$6:$Z$6,1)+1)-CI26)*(INDEX('Rate &amp; Vol Update'!$B$8:$B$127,MATCH(CD26,'Rate &amp; Vol Update'!$B$8:$B$127,1)+1)-CD26)+INDEX('Rate &amp; Vol Update'!$E$8:$Z$127,MATCH(INDEX('Rate &amp; Vol Update'!$B$8:$B$127,MATCH(CD26,'Rate &amp; Vol Update'!$B$8:$B$127,1)),'Rate &amp; Vol Update'!$B$8:$B$127,0),MATCH(INDEX('Rate &amp; Vol Update'!$E$6:$Z$6,1,MATCH(CI26,'Rate &amp; Vol Update'!$E$6:$Z$6,1)+1),'Rate &amp; Vol Update'!$E$6:$Z$6,0))*(CI26-INDEX('Rate &amp; Vol Update'!$E$6:$Z$6,1,MATCH(CI26,'Rate &amp; Vol Update'!$E$6:$Z$6,1)))*(INDEX('Rate &amp; Vol Update'!$B$8:$B$127,MATCH(CD26,'Rate &amp; Vol Update'!$B$8:$B$127,1)+1)-CD26)+INDEX('Rate &amp; Vol Update'!$E$8:$Z$127,MATCH(INDEX('Rate &amp; Vol Update'!$B$8:$B$127,MATCH(CD26,'Rate &amp; Vol Update'!$B$8:$B$127,1)+1),'Rate &amp; Vol Update'!$B$8:$B$127,0),MATCH(INDEX('Rate &amp; Vol Update'!$E$6:$Z$6,1,MATCH(CI26,'Rate &amp; Vol Update'!$E$6:$Z$6,1)),'Rate &amp; Vol Update'!$E$6:$Z$6,0))*(INDEX('Rate &amp; Vol Update'!$E$6:$Z$6,1,MATCH(CI26,'Rate &amp; Vol Update'!$E$6:$Z$6,1)+1)-CI26)*(CD26-INDEX('Rate &amp; Vol Update'!$B$8:$B$127,MATCH(CD26,'Rate &amp; Vol Update'!$B$8:$B$127,1)))+INDEX('Rate &amp; Vol Update'!$E$8:$Z$127,MATCH(INDEX('Rate &amp; Vol Update'!$B$8:$B$127,MATCH(CD26,'Rate &amp; Vol Update'!$B$8:$B$127,1)+1),'Rate &amp; Vol Update'!$B$8:$B$127,0),MATCH(INDEX('Rate &amp; Vol Update'!$E$6:$Z$6,1,MATCH(CI26,'Rate &amp; Vol Update'!$E$6:$Z$6,1)+1),'Rate &amp; Vol Update'!$E$6:$Z$6,0))*(CI26-INDEX('Rate &amp; Vol Update'!$E$6:$Z$6,1,MATCH(CI26,'Rate &amp; Vol Update'!$E$6:$Z$6,1)))*(CD26-INDEX('Rate &amp; Vol Update'!$B$8:$B$127,MATCH(CD26,'Rate &amp; Vol Update'!$B$8:$B$127,1)))))*0.01%))</f>
        <v>1.1152790688143281E-2</v>
      </c>
      <c r="CL26" s="5">
        <f>IF(CC26="","",1/((1+CJ26)^((CE26-'Rate &amp; Vol Update'!$C$2)/360)))</f>
        <v>0.94028562946851879</v>
      </c>
      <c r="CN26" s="15">
        <f>IF(CC26="","",IF(CD26&lt;'Rate &amp; Vol Update'!$C$2,MAX(0,CJ26-CI26)*(CF26/360)*CH26,(((IF('Adjustment Surface'!$C$2='Data Validation'!$A$2,CJ26,IF('Adjustment Surface'!$C$2='Data Validation'!$A$3,CI26,"Unknown Option Type"))-IF('Adjustment Surface'!$C$2='Data Validation'!$A$2,CI26,IF('Adjustment Surface'!$C$2='Data Validation'!$A$3,CJ26,"Unknown Option Type")))*(NORMDIST((IF('Adjustment Surface'!$C$2='Data Validation'!$A$2,CJ26,IF('Adjustment Surface'!$C$2='Data Validation'!$A$3,CI26,"Unknown Option Type"))-IF('Adjustment Surface'!$C$2='Data Validation'!$A$2,CI26,IF('Adjustment Surface'!$C$2='Data Validation'!$A$3,CJ26,"Unknown Option Type")))/(CK26*SQRT(CG26)),0,1,TRUE)))+((CK26*SQRT(CG26))*(NORMDIST((IF('Adjustment Surface'!$C$2='Data Validation'!$A$2,CJ26,IF('Adjustment Surface'!$C$2='Data Validation'!$A$3,CI26,"Unknown Option Type"))-IF('Adjustment Surface'!$C$2='Data Validation'!$A$2,CI26,IF('Adjustment Surface'!$C$2='Data Validation'!$A$3,CJ26,"Unknown Option Type")))/(CK26*SQRT(CG26)),0,1,FALSE))))*CL26*(CF26/360)*CH26))</f>
        <v>463.24363624608634</v>
      </c>
      <c r="CO26" s="15">
        <f>IF(CC26="","",SUM(CN$4:CN26))</f>
        <v>2438.053436291229</v>
      </c>
      <c r="CQ26" s="15">
        <f>IF(CC26="","",IF(CD26&lt;'Rate &amp; Vol Update'!$C$2,0,((((((IF('Adjustment Surface'!$C$2='Data Validation'!$A$2,CJ26,IF('Adjustment Surface'!$C$2='Data Validation'!$A$3,CI26,"Unknown Option Type"))-IF('Adjustment Surface'!$C$2='Data Validation'!$A$2,CI26,IF('Adjustment Surface'!$C$2='Data Validation'!$A$3,CJ26,"Unknown Option Type")))*(NORMDIST((IF('Adjustment Surface'!$C$2='Data Validation'!$A$2,CJ26,IF('Adjustment Surface'!$C$2='Data Validation'!$A$3,CI26,"Unknown Option Type"))-IF('Adjustment Surface'!$C$2='Data Validation'!$A$2,CI26,IF('Adjustment Surface'!$C$2='Data Validation'!$A$3,CJ26,"Unknown Option Type")))/((CK26+0.01%)*SQRT(CG26)),0,1,TRUE)))+(((CK26+0.01%)*SQRT(CG26))*(NORMDIST((IF('Adjustment Surface'!$C$2='Data Validation'!$A$2,CJ26,IF('Adjustment Surface'!$C$2='Data Validation'!$A$3,CI26,"Unknown Option Type"))-IF('Adjustment Surface'!$C$2='Data Validation'!$A$2,CI26,IF('Adjustment Surface'!$C$2='Data Validation'!$A$3,CJ26,"Unknown Option Type")))/((CK26+0.01%)*SQRT(CG26)),0,1,FALSE))))*CL26*(CF26/360))-(CN26/CH26))*CH26)*CL26))</f>
        <v>21.71554257317792</v>
      </c>
      <c r="CR26" s="15">
        <f>IF(CC26="","",SUM(CQ$4:CQ26))</f>
        <v>136.71568400721395</v>
      </c>
    </row>
    <row r="27" spans="7:96" x14ac:dyDescent="0.25">
      <c r="G27" s="28"/>
      <c r="I27" s="3">
        <v>24</v>
      </c>
      <c r="J27" s="4">
        <f>IF(K26='Adjustment Surface'!C$8,"",K26)</f>
        <v>46763</v>
      </c>
      <c r="K27" s="4">
        <f>IF(J27="","",IF(J27&lt;'Adjustment Surface'!C$7,EDATE(J$5,COUNT(J$5:J27)),IF(J27='Adjustment Surface'!C$7,'Adjustment Surface'!C$8,'Adjustment Surface'!C$7)))</f>
        <v>46794</v>
      </c>
      <c r="L27" s="3">
        <f t="shared" si="1"/>
        <v>31</v>
      </c>
      <c r="M27" s="5">
        <f>IF(I27="","",(K27-'Rate &amp; Vol Update'!$C$2)/360)</f>
        <v>2.0277777777777777</v>
      </c>
      <c r="N27" s="15">
        <f>IF(I27="","",IF('Adjustment Surface'!C$3='Data Validation'!$C$2,'Adjustment Surface'!C$4,IF(INDEX(Schedules!$E$3:$E$123,MATCH('Bachelier Model'!J27,Schedules!$B$3:$B$123,0))="",N26,INDEX(Schedules!$E$3:$E$123,MATCH('Bachelier Model'!J27,Schedules!$B$3:$B$123,0)))))</f>
        <v>25000000</v>
      </c>
      <c r="O27" s="16">
        <f>IF(I27="","",IF('Adjustment Surface'!C$9='Data Validation'!$D$2,'Adjustment Surface'!C$10,IF(INDEX(Schedules!$H$3:$H$123,MATCH('Bachelier Model'!J27,Schedules!$B$3:$B$123,0))="",O26,INDEX(Schedules!$H$3:$H$123,MATCH('Bachelier Model'!J27,Schedules!$B$3:$B$123,0)))))</f>
        <v>0.02</v>
      </c>
      <c r="P27" s="16" cm="1">
        <f t="array" ref="P27">IF(I27="","",FORECAST(J27,INDEX('Rate &amp; Vol Update'!$C$6:$C$127,MATCH(INDEX('Rate &amp; Vol Update'!$B$6:$B$127,MATCH(J27,'Rate &amp; Vol Update'!$B$6:$B$127,1)),'Rate &amp; Vol Update'!$B$6:$B$127,0)+IF('Adjustment Surface'!C$11='Data Validation'!$E$3,-1,0)):INDEX('Rate &amp; Vol Update'!$C$6:$C$127,MATCH(INDEX('Rate &amp; Vol Update'!$B$6:$B$127,MATCH(J27,'Rate &amp; Vol Update'!$B$6:$B$127,1)+1),'Rate &amp; Vol Update'!$B$6:$B$127,0)+IF('Adjustment Surface'!C$11='Data Validation'!$E$3,-1,0)),INDEX('Rate &amp; Vol Update'!$B$6:$B$127,MATCH(J27,'Rate &amp; Vol Update'!$B$6:$B$127,1)):INDEX('Rate &amp; Vol Update'!$B$6:$B$127,MATCH(J27,'Rate &amp; Vol Update'!$B$6:$B$127,1)+1))/100)</f>
        <v>3.2215949945670556E-2</v>
      </c>
      <c r="Q27" s="16" cm="1">
        <f t="array" ref="Q27">IF(I27="","",IF(J27&lt;'Rate &amp; Vol Update'!$C$2,0.001%,(1/((INDEX('Rate &amp; Vol Update'!$E$6:$Z$6,1,MATCH(O27,'Rate &amp; Vol Update'!$E$6:$Z$6,1)+1)-INDEX('Rate &amp; Vol Update'!$E$6:$Z$6,1,MATCH(O27,'Rate &amp; Vol Update'!$E$6:$Z$6,1)))*(INDEX('Rate &amp; Vol Update'!$B$8:$B$127,MATCH(J27,'Rate &amp; Vol Update'!$B$8:$B$127,1)+1)-INDEX('Rate &amp; Vol Update'!$B$8:$B$127,MATCH(J27,'Rate &amp; Vol Update'!$B$8:$B$127,1))))*(INDEX('Rate &amp; Vol Update'!$E$8:$Z$127,MATCH(INDEX('Rate &amp; Vol Update'!$B$8:$B$127,MATCH(J27,'Rate &amp; Vol Update'!$B$8:$B$127,1)),'Rate &amp; Vol Update'!$B$8:$B$127,0),MATCH(INDEX('Rate &amp; Vol Update'!$E$6:$Z$6,1,MATCH(O27,'Rate &amp; Vol Update'!$E$6:$Z$6,1)),'Rate &amp; Vol Update'!$E$6:$Z$6,0))*(INDEX('Rate &amp; Vol Update'!$E$6:$Z$6,1,MATCH(O27,'Rate &amp; Vol Update'!$E$6:$Z$6,1)+1)-O27)*(INDEX('Rate &amp; Vol Update'!$B$8:$B$127,MATCH(J27,'Rate &amp; Vol Update'!$B$8:$B$127,1)+1)-J27)+INDEX('Rate &amp; Vol Update'!$E$8:$Z$127,MATCH(INDEX('Rate &amp; Vol Update'!$B$8:$B$127,MATCH(J27,'Rate &amp; Vol Update'!$B$8:$B$127,1)),'Rate &amp; Vol Update'!$B$8:$B$127,0),MATCH(INDEX('Rate &amp; Vol Update'!$E$6:$Z$6,1,MATCH(O27,'Rate &amp; Vol Update'!$E$6:$Z$6,1)+1),'Rate &amp; Vol Update'!$E$6:$Z$6,0))*(O27-INDEX('Rate &amp; Vol Update'!$E$6:$Z$6,1,MATCH(O27,'Rate &amp; Vol Update'!$E$6:$Z$6,1)))*(INDEX('Rate &amp; Vol Update'!$B$8:$B$127,MATCH(J27,'Rate &amp; Vol Update'!$B$8:$B$127,1)+1)-J27)+INDEX('Rate &amp; Vol Update'!$E$8:$Z$127,MATCH(INDEX('Rate &amp; Vol Update'!$B$8:$B$127,MATCH(J27,'Rate &amp; Vol Update'!$B$8:$B$127,1)+1),'Rate &amp; Vol Update'!$B$8:$B$127,0),MATCH(INDEX('Rate &amp; Vol Update'!$E$6:$Z$6,1,MATCH(O27,'Rate &amp; Vol Update'!$E$6:$Z$6,1)),'Rate &amp; Vol Update'!$E$6:$Z$6,0))*(INDEX('Rate &amp; Vol Update'!$E$6:$Z$6,1,MATCH(O27,'Rate &amp; Vol Update'!$E$6:$Z$6,1)+1)-O27)*(J27-INDEX('Rate &amp; Vol Update'!$B$8:$B$127,MATCH(J27,'Rate &amp; Vol Update'!$B$8:$B$127,1)))+INDEX('Rate &amp; Vol Update'!$E$8:$Z$127,MATCH(INDEX('Rate &amp; Vol Update'!$B$8:$B$127,MATCH(J27,'Rate &amp; Vol Update'!$B$8:$B$127,1)+1),'Rate &amp; Vol Update'!$B$8:$B$127,0),MATCH(INDEX('Rate &amp; Vol Update'!$E$6:$Z$6,1,MATCH(O27,'Rate &amp; Vol Update'!$E$6:$Z$6,1)+1),'Rate &amp; Vol Update'!$E$6:$Z$6,0))*(O27-INDEX('Rate &amp; Vol Update'!$E$6:$Z$6,1,MATCH(O27,'Rate &amp; Vol Update'!$E$6:$Z$6,1)))*(J27-INDEX('Rate &amp; Vol Update'!$B$8:$B$127,MATCH(J27,'Rate &amp; Vol Update'!$B$8:$B$127,1)))))*0.01%))</f>
        <v>9.1312227682338459E-3</v>
      </c>
      <c r="R27" s="5">
        <f>IF(I27="","",1/((1+P27)^((K27-'Rate &amp; Vol Update'!$C$2)/360)))</f>
        <v>0.93772685386223764</v>
      </c>
      <c r="T27" s="15">
        <f>IF(I27="","",IF(J27&lt;'Rate &amp; Vol Update'!$C$2,MAX(0,P27-O27)*(L27/360)*N27,(((IF('Adjustment Surface'!C$2='Data Validation'!$A$2,P27,IF('Adjustment Surface'!C$2='Data Validation'!$A$3,O27,"Unknown Option Type"))-IF('Adjustment Surface'!C$2='Data Validation'!$A$2,O27,IF('Adjustment Surface'!C$2='Data Validation'!$A$3,P27,"Unknown Option Type")))*(NORMDIST((IF('Adjustment Surface'!C$2='Data Validation'!$A$2,P27,IF('Adjustment Surface'!C$2='Data Validation'!$A$3,O27,"Unknown Option Type"))-IF('Adjustment Surface'!C$2='Data Validation'!$A$2,O27,IF('Adjustment Surface'!C$2='Data Validation'!$A$3,P27,"Unknown Option Type")))/(Q27*SQRT(M27)),0,1,TRUE)))+((Q27*SQRT(M27))*(NORMDIST((IF('Adjustment Surface'!C$2='Data Validation'!$A$2,P27,IF('Adjustment Surface'!C$2='Data Validation'!$A$3,O27,"Unknown Option Type"))-IF('Adjustment Surface'!C$2='Data Validation'!$A$2,O27,IF('Adjustment Surface'!C$2='Data Validation'!$A$3,P27,"Unknown Option Type")))/(Q27*SQRT(M27)),0,1,FALSE))))*R27*(L27/360)*N27))</f>
        <v>27111.409437549242</v>
      </c>
      <c r="U27" s="15">
        <f>IF(I27="","",SUM(T$4:T27))</f>
        <v>667563.51452267822</v>
      </c>
      <c r="W27" s="15">
        <f>IF(I27="","",IF(J27&lt;'Rate &amp; Vol Update'!$C$2,0,((((((IF('Adjustment Surface'!C$2='Data Validation'!$A$2,P27,IF('Adjustment Surface'!C$2='Data Validation'!$A$3,O27,"Unknown Option Type"))-IF('Adjustment Surface'!C$2='Data Validation'!$A$2,O27,IF('Adjustment Surface'!C$2='Data Validation'!$A$3,P27,"Unknown Option Type")))*(NORMDIST((IF('Adjustment Surface'!C$2='Data Validation'!$A$2,P27,IF('Adjustment Surface'!C$2='Data Validation'!$A$3,O27,"Unknown Option Type"))-IF('Adjustment Surface'!C$2='Data Validation'!$A$2,O27,IF('Adjustment Surface'!C$2='Data Validation'!$A$3,P27,"Unknown Option Type")))/((Q27+0.01%)*SQRT(M27)),0,1,TRUE)))+(((Q27+0.01%)*SQRT(M27))*(NORMDIST((IF('Adjustment Surface'!C$2='Data Validation'!$A$2,P27,IF('Adjustment Surface'!C$2='Data Validation'!$A$3,O27,"Unknown Option Type"))-IF('Adjustment Surface'!C$2='Data Validation'!$A$2,O27,IF('Adjustment Surface'!C$2='Data Validation'!$A$3,P27,"Unknown Option Type")))/((Q27+0.01%)*SQRT(M27)),0,1,FALSE))))*R27*(L27/360))-(T27/N27))*N27)*R27))</f>
        <v>69.500896046922307</v>
      </c>
      <c r="X27" s="15">
        <f>IF(I27="","",SUM(W$4:W27))</f>
        <v>832.76647733934567</v>
      </c>
      <c r="Y27" s="15"/>
      <c r="Z27" s="20"/>
      <c r="AA27" s="3">
        <v>24</v>
      </c>
      <c r="AB27" s="4">
        <f>IF(AC26=MAX('Adjustment Surface'!$C$14:$F$14),"",AC26)</f>
        <v>46763</v>
      </c>
      <c r="AC27" s="4">
        <f>IF(AB27="","",IF(AB27&lt;EDATE('Adjustment Surface'!$C$6,DATEDIF('Adjustment Surface'!$C$6,MAX('Adjustment Surface'!$C$14:$F$14),"M")),EDATE(AB$5,COUNT(AB$5:AB27)),IF(AB27=EDATE('Adjustment Surface'!$C$6,DATEDIF('Adjustment Surface'!$C$6,MAX('Adjustment Surface'!$C$14:$F$14),"M")),MAX('Adjustment Surface'!$C$14:$F$14),EDATE('Adjustment Surface'!$C$6,DATEDIF('Adjustment Surface'!$C$6,MAX('Adjustment Surface'!$C$14:$F$14),"M")))))</f>
        <v>46794</v>
      </c>
      <c r="AD27" s="3">
        <f t="shared" si="2"/>
        <v>31</v>
      </c>
      <c r="AE27" s="5">
        <f>IF(AA27="","",(AC27-'Rate &amp; Vol Update'!$C$2)/360)</f>
        <v>2.0277777777777777</v>
      </c>
      <c r="AF27" s="15">
        <f>IF(AA27="","",IF('Adjustment Surface'!$C$3='Data Validation'!$C$2,'Adjustment Surface'!$C$4,_xlfn.IFNA(IF(INDEX(Schedules!$E$3:$E$123,MATCH('Bachelier Model'!AB27,Schedules!$B$3:$B$123,0))="",AF26,INDEX(Schedules!$E$3:$E$123,MATCH('Bachelier Model'!AB27,Schedules!$B$3:$B$123,0))),AF26)))</f>
        <v>25000000</v>
      </c>
      <c r="AG27" s="16">
        <f>IF(AA27="","",'Adjustment Surface'!B$15)</f>
        <v>0.03</v>
      </c>
      <c r="AH27" s="16" cm="1">
        <f t="array" ref="AH27">IF(AA27="","",FORECAST(AB27,INDEX('Rate &amp; Vol Update'!$C$6:$C$127,MATCH(INDEX('Rate &amp; Vol Update'!$B$6:$B$127,MATCH(AB27,'Rate &amp; Vol Update'!$B$6:$B$127,1)),'Rate &amp; Vol Update'!$B$6:$B$127,0)+IF('Adjustment Surface'!$C$11='Data Validation'!$E$3,-1,0)):INDEX('Rate &amp; Vol Update'!$C$6:$C$127,MATCH(INDEX('Rate &amp; Vol Update'!$B$6:$B$127,MATCH(AB27,'Rate &amp; Vol Update'!$B$6:$B$127,1)+1),'Rate &amp; Vol Update'!$B$6:$B$127,0)+IF('Adjustment Surface'!$C$11='Data Validation'!$E$3,-1,0)),INDEX('Rate &amp; Vol Update'!$B$6:$B$127,MATCH(AB27,'Rate &amp; Vol Update'!$B$6:$B$127,1)):INDEX('Rate &amp; Vol Update'!$B$6:$B$127,MATCH(AB27,'Rate &amp; Vol Update'!$B$6:$B$127,1)+1))/100)</f>
        <v>3.2215949945670556E-2</v>
      </c>
      <c r="AI27" s="16" cm="1">
        <f t="array" ref="AI27">IF(AA27="","",IF(AB27&lt;'Rate &amp; Vol Update'!$C$2,0.001%,(1/((INDEX('Rate &amp; Vol Update'!$E$6:$Z$6,1,MATCH(AG27,'Rate &amp; Vol Update'!$E$6:$Z$6,1)+1)-INDEX('Rate &amp; Vol Update'!$E$6:$Z$6,1,MATCH(AG27,'Rate &amp; Vol Update'!$E$6:$Z$6,1)))*(INDEX('Rate &amp; Vol Update'!$B$8:$B$127,MATCH(AB27,'Rate &amp; Vol Update'!$B$8:$B$127,1)+1)-INDEX('Rate &amp; Vol Update'!$B$8:$B$127,MATCH(AB27,'Rate &amp; Vol Update'!$B$8:$B$127,1))))*(INDEX('Rate &amp; Vol Update'!$E$8:$Z$127,MATCH(INDEX('Rate &amp; Vol Update'!$B$8:$B$127,MATCH(AB27,'Rate &amp; Vol Update'!$B$8:$B$127,1)),'Rate &amp; Vol Update'!$B$8:$B$127,0),MATCH(INDEX('Rate &amp; Vol Update'!$E$6:$Z$6,1,MATCH(AG27,'Rate &amp; Vol Update'!$E$6:$Z$6,1)),'Rate &amp; Vol Update'!$E$6:$Z$6,0))*(INDEX('Rate &amp; Vol Update'!$E$6:$Z$6,1,MATCH(AG27,'Rate &amp; Vol Update'!$E$6:$Z$6,1)+1)-AG27)*(INDEX('Rate &amp; Vol Update'!$B$8:$B$127,MATCH(AB27,'Rate &amp; Vol Update'!$B$8:$B$127,1)+1)-AB27)+INDEX('Rate &amp; Vol Update'!$E$8:$Z$127,MATCH(INDEX('Rate &amp; Vol Update'!$B$8:$B$127,MATCH(AB27,'Rate &amp; Vol Update'!$B$8:$B$127,1)),'Rate &amp; Vol Update'!$B$8:$B$127,0),MATCH(INDEX('Rate &amp; Vol Update'!$E$6:$Z$6,1,MATCH(AG27,'Rate &amp; Vol Update'!$E$6:$Z$6,1)+1),'Rate &amp; Vol Update'!$E$6:$Z$6,0))*(AG27-INDEX('Rate &amp; Vol Update'!$E$6:$Z$6,1,MATCH(AG27,'Rate &amp; Vol Update'!$E$6:$Z$6,1)))*(INDEX('Rate &amp; Vol Update'!$B$8:$B$127,MATCH(AB27,'Rate &amp; Vol Update'!$B$8:$B$127,1)+1)-AB27)+INDEX('Rate &amp; Vol Update'!$E$8:$Z$127,MATCH(INDEX('Rate &amp; Vol Update'!$B$8:$B$127,MATCH(AB27,'Rate &amp; Vol Update'!$B$8:$B$127,1)+1),'Rate &amp; Vol Update'!$B$8:$B$127,0),MATCH(INDEX('Rate &amp; Vol Update'!$E$6:$Z$6,1,MATCH(AG27,'Rate &amp; Vol Update'!$E$6:$Z$6,1)),'Rate &amp; Vol Update'!$E$6:$Z$6,0))*(INDEX('Rate &amp; Vol Update'!$E$6:$Z$6,1,MATCH(AG27,'Rate &amp; Vol Update'!$E$6:$Z$6,1)+1)-AG27)*(AB27-INDEX('Rate &amp; Vol Update'!$B$8:$B$127,MATCH(AB27,'Rate &amp; Vol Update'!$B$8:$B$127,1)))+INDEX('Rate &amp; Vol Update'!$E$8:$Z$127,MATCH(INDEX('Rate &amp; Vol Update'!$B$8:$B$127,MATCH(AB27,'Rate &amp; Vol Update'!$B$8:$B$127,1)+1),'Rate &amp; Vol Update'!$B$8:$B$127,0),MATCH(INDEX('Rate &amp; Vol Update'!$E$6:$Z$6,1,MATCH(AG27,'Rate &amp; Vol Update'!$E$6:$Z$6,1)+1),'Rate &amp; Vol Update'!$E$6:$Z$6,0))*(AG27-INDEX('Rate &amp; Vol Update'!$E$6:$Z$6,1,MATCH(AG27,'Rate &amp; Vol Update'!$E$6:$Z$6,1)))*(AB27-INDEX('Rate &amp; Vol Update'!$B$8:$B$127,MATCH(AB27,'Rate &amp; Vol Update'!$B$8:$B$127,1)))))*0.01%))</f>
        <v>7.9657725702332819E-3</v>
      </c>
      <c r="AJ27" s="5">
        <f>IF(AA27="","",1/((1+AH27)^((AC27-'Rate &amp; Vol Update'!$C$2)/360)))</f>
        <v>0.93772685386223764</v>
      </c>
      <c r="AL27" s="15">
        <f>IF(AA27="","",IF(AB27&lt;'Rate &amp; Vol Update'!$C$2,MAX(0,AH27-AG27)*(AD27/360)*AF27,(((IF('Adjustment Surface'!$C$2='Data Validation'!$A$2,AH27,IF('Adjustment Surface'!$C$2='Data Validation'!$A$3,AG27,"Unknown Option Type"))-IF('Adjustment Surface'!$C$2='Data Validation'!$A$2,AG27,IF('Adjustment Surface'!$C$2='Data Validation'!$A$3,AH27,"Unknown Option Type")))*(NORMDIST((IF('Adjustment Surface'!$C$2='Data Validation'!$A$2,AH27,IF('Adjustment Surface'!$C$2='Data Validation'!$A$3,AG27,"Unknown Option Type"))-IF('Adjustment Surface'!$C$2='Data Validation'!$A$2,AG27,IF('Adjustment Surface'!$C$2='Data Validation'!$A$3,AH27,"Unknown Option Type")))/(AI27*SQRT(AE27)),0,1,TRUE)))+((AI27*SQRT(AE27))*(NORMDIST((IF('Adjustment Surface'!$C$2='Data Validation'!$A$2,AH27,IF('Adjustment Surface'!$C$2='Data Validation'!$A$3,AG27,"Unknown Option Type"))-IF('Adjustment Surface'!$C$2='Data Validation'!$A$2,AG27,IF('Adjustment Surface'!$C$2='Data Validation'!$A$3,AH27,"Unknown Option Type")))/(AI27*SQRT(AE27)),0,1,FALSE))))*AJ27*(AD27/360)*AF27))</f>
        <v>11545.771018540214</v>
      </c>
      <c r="AM27" s="15">
        <f>IF(AA27="","",SUM(AL$4:AL27))</f>
        <v>242922.48032299263</v>
      </c>
      <c r="AO27" s="15">
        <f>IF(AA27="","",IF(AB27&lt;'Rate &amp; Vol Update'!$C$2,0,((((((IF('Adjustment Surface'!$C$2='Data Validation'!$A$2,AH27,IF('Adjustment Surface'!$C$2='Data Validation'!$A$3,AG27,"Unknown Option Type"))-IF('Adjustment Surface'!$C$2='Data Validation'!$A$2,AG27,IF('Adjustment Surface'!$C$2='Data Validation'!$A$3,AH27,"Unknown Option Type")))*(NORMDIST((IF('Adjustment Surface'!$C$2='Data Validation'!$A$2,AH27,IF('Adjustment Surface'!$C$2='Data Validation'!$A$3,AG27,"Unknown Option Type"))-IF('Adjustment Surface'!$C$2='Data Validation'!$A$2,AG27,IF('Adjustment Surface'!$C$2='Data Validation'!$A$3,AH27,"Unknown Option Type")))/((AI27+0.01%)*SQRT(AE27)),0,1,TRUE)))+(((AI27+0.01%)*SQRT(AE27))*(NORMDIST((IF('Adjustment Surface'!$C$2='Data Validation'!$A$2,AH27,IF('Adjustment Surface'!$C$2='Data Validation'!$A$3,AG27,"Unknown Option Type"))-IF('Adjustment Surface'!$C$2='Data Validation'!$A$2,AG27,IF('Adjustment Surface'!$C$2='Data Validation'!$A$3,AH27,"Unknown Option Type")))/((AI27+0.01%)*SQRT(AE27)),0,1,FALSE))))*AJ27*(AD27/360))-(AL27/AF27))*AF27)*AJ27))</f>
        <v>105.53290353349509</v>
      </c>
      <c r="AP27" s="15">
        <f>IF(AA27="","",SUM(AO$4:AO27))</f>
        <v>1607.103273886461</v>
      </c>
      <c r="AQ27" s="15"/>
      <c r="AR27" s="20"/>
      <c r="AS27" s="3">
        <v>24</v>
      </c>
      <c r="AT27" s="4">
        <f>IF(AU26=MAX('Adjustment Surface'!$C$14:$F$14),"",AU26)</f>
        <v>46763</v>
      </c>
      <c r="AU27" s="4">
        <f>IF(AT27="","",IF(AT27&lt;EDATE('Adjustment Surface'!$C$6,DATEDIF('Adjustment Surface'!$C$6,MAX('Adjustment Surface'!$C$14:$F$14),"M")),EDATE(AT$5,COUNT(AT$5:AT27)),IF(AT27=EDATE('Adjustment Surface'!$C$6,DATEDIF('Adjustment Surface'!$C$6,MAX('Adjustment Surface'!$C$14:$F$14),"M")),MAX('Adjustment Surface'!$C$14:$F$14),EDATE('Adjustment Surface'!$C$6,DATEDIF('Adjustment Surface'!$C$6,MAX('Adjustment Surface'!$C$14:$F$14),"M")))))</f>
        <v>46794</v>
      </c>
      <c r="AV27" s="3">
        <f t="shared" si="3"/>
        <v>31</v>
      </c>
      <c r="AW27" s="5">
        <f>IF(AS27="","",(AU27-'Rate &amp; Vol Update'!$C$2)/360)</f>
        <v>2.0277777777777777</v>
      </c>
      <c r="AX27" s="15">
        <f>IF(AS27="","",IF('Adjustment Surface'!$C$3='Data Validation'!$C$2,'Adjustment Surface'!$C$4,_xlfn.IFNA(IF(INDEX(Schedules!$E$3:$E$123,MATCH('Bachelier Model'!AT27,Schedules!$B$3:$B$123,0))="",AX26,INDEX(Schedules!$E$3:$E$123,MATCH('Bachelier Model'!AT27,Schedules!$B$3:$B$123,0))),AX26)))</f>
        <v>25000000</v>
      </c>
      <c r="AY27" s="16">
        <f>IF(AS27="","",'Adjustment Surface'!B$16)</f>
        <v>0.04</v>
      </c>
      <c r="AZ27" s="16" cm="1">
        <f t="array" ref="AZ27">IF(AS27="","",FORECAST(AT27,INDEX('Rate &amp; Vol Update'!$C$6:$C$127,MATCH(INDEX('Rate &amp; Vol Update'!$B$6:$B$127,MATCH(AT27,'Rate &amp; Vol Update'!$B$6:$B$127,1)),'Rate &amp; Vol Update'!$B$6:$B$127,0)+IF('Adjustment Surface'!$C$11='Data Validation'!$E$3,-1,0)):INDEX('Rate &amp; Vol Update'!$C$6:$C$127,MATCH(INDEX('Rate &amp; Vol Update'!$B$6:$B$127,MATCH(AT27,'Rate &amp; Vol Update'!$B$6:$B$127,1)+1),'Rate &amp; Vol Update'!$B$6:$B$127,0)+IF('Adjustment Surface'!$C$11='Data Validation'!$E$3,-1,0)),INDEX('Rate &amp; Vol Update'!$B$6:$B$127,MATCH(AT27,'Rate &amp; Vol Update'!$B$6:$B$127,1)):INDEX('Rate &amp; Vol Update'!$B$6:$B$127,MATCH(AT27,'Rate &amp; Vol Update'!$B$6:$B$127,1)+1))/100)</f>
        <v>3.2215949945670556E-2</v>
      </c>
      <c r="BA27" s="16" cm="1">
        <f t="array" ref="BA27">IF(AS27="","",IF(AT27&lt;'Rate &amp; Vol Update'!$C$2,0.001%,(1/((INDEX('Rate &amp; Vol Update'!$E$6:$Z$6,1,MATCH(AY27,'Rate &amp; Vol Update'!$E$6:$Z$6,1)+1)-INDEX('Rate &amp; Vol Update'!$E$6:$Z$6,1,MATCH(AY27,'Rate &amp; Vol Update'!$E$6:$Z$6,1)))*(INDEX('Rate &amp; Vol Update'!$B$8:$B$127,MATCH(AT27,'Rate &amp; Vol Update'!$B$8:$B$127,1)+1)-INDEX('Rate &amp; Vol Update'!$B$8:$B$127,MATCH(AT27,'Rate &amp; Vol Update'!$B$8:$B$127,1))))*(INDEX('Rate &amp; Vol Update'!$E$8:$Z$127,MATCH(INDEX('Rate &amp; Vol Update'!$B$8:$B$127,MATCH(AT27,'Rate &amp; Vol Update'!$B$8:$B$127,1)),'Rate &amp; Vol Update'!$B$8:$B$127,0),MATCH(INDEX('Rate &amp; Vol Update'!$E$6:$Z$6,1,MATCH(AY27,'Rate &amp; Vol Update'!$E$6:$Z$6,1)),'Rate &amp; Vol Update'!$E$6:$Z$6,0))*(INDEX('Rate &amp; Vol Update'!$E$6:$Z$6,1,MATCH(AY27,'Rate &amp; Vol Update'!$E$6:$Z$6,1)+1)-AY27)*(INDEX('Rate &amp; Vol Update'!$B$8:$B$127,MATCH(AT27,'Rate &amp; Vol Update'!$B$8:$B$127,1)+1)-AT27)+INDEX('Rate &amp; Vol Update'!$E$8:$Z$127,MATCH(INDEX('Rate &amp; Vol Update'!$B$8:$B$127,MATCH(AT27,'Rate &amp; Vol Update'!$B$8:$B$127,1)),'Rate &amp; Vol Update'!$B$8:$B$127,0),MATCH(INDEX('Rate &amp; Vol Update'!$E$6:$Z$6,1,MATCH(AY27,'Rate &amp; Vol Update'!$E$6:$Z$6,1)+1),'Rate &amp; Vol Update'!$E$6:$Z$6,0))*(AY27-INDEX('Rate &amp; Vol Update'!$E$6:$Z$6,1,MATCH(AY27,'Rate &amp; Vol Update'!$E$6:$Z$6,1)))*(INDEX('Rate &amp; Vol Update'!$B$8:$B$127,MATCH(AT27,'Rate &amp; Vol Update'!$B$8:$B$127,1)+1)-AT27)+INDEX('Rate &amp; Vol Update'!$E$8:$Z$127,MATCH(INDEX('Rate &amp; Vol Update'!$B$8:$B$127,MATCH(AT27,'Rate &amp; Vol Update'!$B$8:$B$127,1)+1),'Rate &amp; Vol Update'!$B$8:$B$127,0),MATCH(INDEX('Rate &amp; Vol Update'!$E$6:$Z$6,1,MATCH(AY27,'Rate &amp; Vol Update'!$E$6:$Z$6,1)),'Rate &amp; Vol Update'!$E$6:$Z$6,0))*(INDEX('Rate &amp; Vol Update'!$E$6:$Z$6,1,MATCH(AY27,'Rate &amp; Vol Update'!$E$6:$Z$6,1)+1)-AY27)*(AT27-INDEX('Rate &amp; Vol Update'!$B$8:$B$127,MATCH(AT27,'Rate &amp; Vol Update'!$B$8:$B$127,1)))+INDEX('Rate &amp; Vol Update'!$E$8:$Z$127,MATCH(INDEX('Rate &amp; Vol Update'!$B$8:$B$127,MATCH(AT27,'Rate &amp; Vol Update'!$B$8:$B$127,1)+1),'Rate &amp; Vol Update'!$B$8:$B$127,0),MATCH(INDEX('Rate &amp; Vol Update'!$E$6:$Z$6,1,MATCH(AY27,'Rate &amp; Vol Update'!$E$6:$Z$6,1)+1),'Rate &amp; Vol Update'!$E$6:$Z$6,0))*(AY27-INDEX('Rate &amp; Vol Update'!$E$6:$Z$6,1,MATCH(AY27,'Rate &amp; Vol Update'!$E$6:$Z$6,1)))*(AT27-INDEX('Rate &amp; Vol Update'!$B$8:$B$127,MATCH(AT27,'Rate &amp; Vol Update'!$B$8:$B$127,1)))))*0.01%))</f>
        <v>8.0968338075424039E-3</v>
      </c>
      <c r="BB27" s="5">
        <f>IF(AS27="","",1/((1+AZ27)^((AU27-'Rate &amp; Vol Update'!$C$2)/360)))</f>
        <v>0.93772685386223764</v>
      </c>
      <c r="BD27" s="15">
        <f>IF(AS27="","",IF(AT27&lt;'Rate &amp; Vol Update'!$C$2,MAX(0,AZ27-AY27)*(AV27/360)*AX27,(((IF('Adjustment Surface'!$C$2='Data Validation'!$A$2,AZ27,IF('Adjustment Surface'!$C$2='Data Validation'!$A$3,AY27,"Unknown Option Type"))-IF('Adjustment Surface'!$C$2='Data Validation'!$A$2,AY27,IF('Adjustment Surface'!$C$2='Data Validation'!$A$3,AZ27,"Unknown Option Type")))*(NORMDIST((IF('Adjustment Surface'!$C$2='Data Validation'!$A$2,AZ27,IF('Adjustment Surface'!$C$2='Data Validation'!$A$3,AY27,"Unknown Option Type"))-IF('Adjustment Surface'!$C$2='Data Validation'!$A$2,AY27,IF('Adjustment Surface'!$C$2='Data Validation'!$A$3,AZ27,"Unknown Option Type")))/(BA27*SQRT(AW27)),0,1,TRUE)))+((BA27*SQRT(AW27))*(NORMDIST((IF('Adjustment Surface'!$C$2='Data Validation'!$A$2,AZ27,IF('Adjustment Surface'!$C$2='Data Validation'!$A$3,AY27,"Unknown Option Type"))-IF('Adjustment Surface'!$C$2='Data Validation'!$A$2,AY27,IF('Adjustment Surface'!$C$2='Data Validation'!$A$3,AZ27,"Unknown Option Type")))/(BA27*SQRT(AW27)),0,1,FALSE))))*BB27*(AV27/360)*AX27))</f>
        <v>3467.9935510234436</v>
      </c>
      <c r="BE27" s="15">
        <f>IF(AS27="","",SUM(BD$4:BD27))</f>
        <v>30522.906748097321</v>
      </c>
      <c r="BG27" s="15">
        <f>IF(AS27="","",IF(AT27&lt;'Rate &amp; Vol Update'!$C$2,0,((((((IF('Adjustment Surface'!$C$2='Data Validation'!$A$2,AZ27,IF('Adjustment Surface'!$C$2='Data Validation'!$A$3,AY27,"Unknown Option Type"))-IF('Adjustment Surface'!$C$2='Data Validation'!$A$2,AY27,IF('Adjustment Surface'!$C$2='Data Validation'!$A$3,AZ27,"Unknown Option Type")))*(NORMDIST((IF('Adjustment Surface'!$C$2='Data Validation'!$A$2,AZ27,IF('Adjustment Surface'!$C$2='Data Validation'!$A$3,AY27,"Unknown Option Type"))-IF('Adjustment Surface'!$C$2='Data Validation'!$A$2,AY27,IF('Adjustment Surface'!$C$2='Data Validation'!$A$3,AZ27,"Unknown Option Type")))/((BA27+0.01%)*SQRT(AW27)),0,1,TRUE)))+(((BA27+0.01%)*SQRT(AW27))*(NORMDIST((IF('Adjustment Surface'!$C$2='Data Validation'!$A$2,AZ27,IF('Adjustment Surface'!$C$2='Data Validation'!$A$3,AY27,"Unknown Option Type"))-IF('Adjustment Surface'!$C$2='Data Validation'!$A$2,AY27,IF('Adjustment Surface'!$C$2='Data Validation'!$A$3,AZ27,"Unknown Option Type")))/((BA27+0.01%)*SQRT(AW27)),0,1,FALSE))))*BB27*(AV27/360))-(BD27/AX27))*AX27)*BB27))</f>
        <v>85.863306359011503</v>
      </c>
      <c r="BH27" s="15">
        <f>IF(AS27="","",SUM(BG$4:BG27))</f>
        <v>1092.24475692906</v>
      </c>
      <c r="BI27" s="15"/>
      <c r="BJ27" s="20"/>
      <c r="BK27" s="3">
        <v>24</v>
      </c>
      <c r="BL27" s="4">
        <f>IF(BM26=MAX('Adjustment Surface'!$C$14:$F$14),"",BM26)</f>
        <v>46763</v>
      </c>
      <c r="BM27" s="4">
        <f>IF(BL27="","",IF(BL27&lt;EDATE('Adjustment Surface'!$C$6,DATEDIF('Adjustment Surface'!$C$6,MAX('Adjustment Surface'!$C$14:$F$14),"M")),EDATE(BL$5,COUNT(BL$5:BL27)),IF(BL27=EDATE('Adjustment Surface'!$C$6,DATEDIF('Adjustment Surface'!$C$6,MAX('Adjustment Surface'!$C$14:$F$14),"M")),MAX('Adjustment Surface'!$C$14:$F$14),EDATE('Adjustment Surface'!$C$6,DATEDIF('Adjustment Surface'!$C$6,MAX('Adjustment Surface'!$C$14:$F$14),"M")))))</f>
        <v>46794</v>
      </c>
      <c r="BN27" s="3">
        <f t="shared" si="4"/>
        <v>31</v>
      </c>
      <c r="BO27" s="5">
        <f>IF(BK27="","",(BM27-'Rate &amp; Vol Update'!$C$2)/360)</f>
        <v>2.0277777777777777</v>
      </c>
      <c r="BP27" s="15">
        <f>IF(BK27="","",IF('Adjustment Surface'!$C$3='Data Validation'!$C$2,'Adjustment Surface'!$C$4,_xlfn.IFNA(IF(INDEX(Schedules!$E$3:$E$123,MATCH('Bachelier Model'!BL27,Schedules!$B$3:$B$123,0))="",BP26,INDEX(Schedules!$E$3:$E$123,MATCH('Bachelier Model'!BL27,Schedules!$B$3:$B$123,0))),BP26)))</f>
        <v>25000000</v>
      </c>
      <c r="BQ27" s="16">
        <f>IF(BK27="","",'Adjustment Surface'!B$17)</f>
        <v>0.05</v>
      </c>
      <c r="BR27" s="16" cm="1">
        <f t="array" ref="BR27">IF(BK27="","",FORECAST(BL27,INDEX('Rate &amp; Vol Update'!$C$6:$C$127,MATCH(INDEX('Rate &amp; Vol Update'!$B$6:$B$127,MATCH(BL27,'Rate &amp; Vol Update'!$B$6:$B$127,1)),'Rate &amp; Vol Update'!$B$6:$B$127,0)+IF('Adjustment Surface'!$C$11='Data Validation'!$E$3,-1,0)):INDEX('Rate &amp; Vol Update'!$C$6:$C$127,MATCH(INDEX('Rate &amp; Vol Update'!$B$6:$B$127,MATCH(BL27,'Rate &amp; Vol Update'!$B$6:$B$127,1)+1),'Rate &amp; Vol Update'!$B$6:$B$127,0)+IF('Adjustment Surface'!$C$11='Data Validation'!$E$3,-1,0)),INDEX('Rate &amp; Vol Update'!$B$6:$B$127,MATCH(BL27,'Rate &amp; Vol Update'!$B$6:$B$127,1)):INDEX('Rate &amp; Vol Update'!$B$6:$B$127,MATCH(BL27,'Rate &amp; Vol Update'!$B$6:$B$127,1)+1))/100)</f>
        <v>3.2215949945670556E-2</v>
      </c>
      <c r="BS27" s="16" cm="1">
        <f t="array" ref="BS27">IF(BK27="","",IF(BL27&lt;'Rate &amp; Vol Update'!$C$2,0.001%,(1/((INDEX('Rate &amp; Vol Update'!$E$6:$Z$6,1,MATCH(BQ27,'Rate &amp; Vol Update'!$E$6:$Z$6,1)+1)-INDEX('Rate &amp; Vol Update'!$E$6:$Z$6,1,MATCH(BQ27,'Rate &amp; Vol Update'!$E$6:$Z$6,1)))*(INDEX('Rate &amp; Vol Update'!$B$8:$B$127,MATCH(BL27,'Rate &amp; Vol Update'!$B$8:$B$127,1)+1)-INDEX('Rate &amp; Vol Update'!$B$8:$B$127,MATCH(BL27,'Rate &amp; Vol Update'!$B$8:$B$127,1))))*(INDEX('Rate &amp; Vol Update'!$E$8:$Z$127,MATCH(INDEX('Rate &amp; Vol Update'!$B$8:$B$127,MATCH(BL27,'Rate &amp; Vol Update'!$B$8:$B$127,1)),'Rate &amp; Vol Update'!$B$8:$B$127,0),MATCH(INDEX('Rate &amp; Vol Update'!$E$6:$Z$6,1,MATCH(BQ27,'Rate &amp; Vol Update'!$E$6:$Z$6,1)),'Rate &amp; Vol Update'!$E$6:$Z$6,0))*(INDEX('Rate &amp; Vol Update'!$E$6:$Z$6,1,MATCH(BQ27,'Rate &amp; Vol Update'!$E$6:$Z$6,1)+1)-BQ27)*(INDEX('Rate &amp; Vol Update'!$B$8:$B$127,MATCH(BL27,'Rate &amp; Vol Update'!$B$8:$B$127,1)+1)-BL27)+INDEX('Rate &amp; Vol Update'!$E$8:$Z$127,MATCH(INDEX('Rate &amp; Vol Update'!$B$8:$B$127,MATCH(BL27,'Rate &amp; Vol Update'!$B$8:$B$127,1)),'Rate &amp; Vol Update'!$B$8:$B$127,0),MATCH(INDEX('Rate &amp; Vol Update'!$E$6:$Z$6,1,MATCH(BQ27,'Rate &amp; Vol Update'!$E$6:$Z$6,1)+1),'Rate &amp; Vol Update'!$E$6:$Z$6,0))*(BQ27-INDEX('Rate &amp; Vol Update'!$E$6:$Z$6,1,MATCH(BQ27,'Rate &amp; Vol Update'!$E$6:$Z$6,1)))*(INDEX('Rate &amp; Vol Update'!$B$8:$B$127,MATCH(BL27,'Rate &amp; Vol Update'!$B$8:$B$127,1)+1)-BL27)+INDEX('Rate &amp; Vol Update'!$E$8:$Z$127,MATCH(INDEX('Rate &amp; Vol Update'!$B$8:$B$127,MATCH(BL27,'Rate &amp; Vol Update'!$B$8:$B$127,1)+1),'Rate &amp; Vol Update'!$B$8:$B$127,0),MATCH(INDEX('Rate &amp; Vol Update'!$E$6:$Z$6,1,MATCH(BQ27,'Rate &amp; Vol Update'!$E$6:$Z$6,1)),'Rate &amp; Vol Update'!$E$6:$Z$6,0))*(INDEX('Rate &amp; Vol Update'!$E$6:$Z$6,1,MATCH(BQ27,'Rate &amp; Vol Update'!$E$6:$Z$6,1)+1)-BQ27)*(BL27-INDEX('Rate &amp; Vol Update'!$B$8:$B$127,MATCH(BL27,'Rate &amp; Vol Update'!$B$8:$B$127,1)))+INDEX('Rate &amp; Vol Update'!$E$8:$Z$127,MATCH(INDEX('Rate &amp; Vol Update'!$B$8:$B$127,MATCH(BL27,'Rate &amp; Vol Update'!$B$8:$B$127,1)+1),'Rate &amp; Vol Update'!$B$8:$B$127,0),MATCH(INDEX('Rate &amp; Vol Update'!$E$6:$Z$6,1,MATCH(BQ27,'Rate &amp; Vol Update'!$E$6:$Z$6,1)+1),'Rate &amp; Vol Update'!$E$6:$Z$6,0))*(BQ27-INDEX('Rate &amp; Vol Update'!$E$6:$Z$6,1,MATCH(BQ27,'Rate &amp; Vol Update'!$E$6:$Z$6,1)))*(BL27-INDEX('Rate &amp; Vol Update'!$B$8:$B$127,MATCH(BL27,'Rate &amp; Vol Update'!$B$8:$B$127,1)))))*0.01%))</f>
        <v>9.5071717264597396E-3</v>
      </c>
      <c r="BT27" s="5">
        <f>IF(BK27="","",1/((1+BR27)^((BM27-'Rate &amp; Vol Update'!$C$2)/360)))</f>
        <v>0.93772685386223764</v>
      </c>
      <c r="BV27" s="15">
        <f>IF(BK27="","",IF(BL27&lt;'Rate &amp; Vol Update'!$C$2,MAX(0,BR27-BQ27)*(BN27/360)*BP27,(((IF('Adjustment Surface'!$C$2='Data Validation'!$A$2,BR27,IF('Adjustment Surface'!$C$2='Data Validation'!$A$3,BQ27,"Unknown Option Type"))-IF('Adjustment Surface'!$C$2='Data Validation'!$A$2,BQ27,IF('Adjustment Surface'!$C$2='Data Validation'!$A$3,BR27,"Unknown Option Type")))*(NORMDIST((IF('Adjustment Surface'!$C$2='Data Validation'!$A$2,BR27,IF('Adjustment Surface'!$C$2='Data Validation'!$A$3,BQ27,"Unknown Option Type"))-IF('Adjustment Surface'!$C$2='Data Validation'!$A$2,BQ27,IF('Adjustment Surface'!$C$2='Data Validation'!$A$3,BR27,"Unknown Option Type")))/(BS27*SQRT(BO27)),0,1,TRUE)))+((BS27*SQRT(BO27))*(NORMDIST((IF('Adjustment Surface'!$C$2='Data Validation'!$A$2,BR27,IF('Adjustment Surface'!$C$2='Data Validation'!$A$3,BQ27,"Unknown Option Type"))-IF('Adjustment Surface'!$C$2='Data Validation'!$A$2,BQ27,IF('Adjustment Surface'!$C$2='Data Validation'!$A$3,BR27,"Unknown Option Type")))/(BS27*SQRT(BO27)),0,1,FALSE))))*BT27*(BN27/360)*BP27))</f>
        <v>1208.6761120827027</v>
      </c>
      <c r="BW27" s="15">
        <f>IF(BK27="","",SUM(BV$4:BV27))</f>
        <v>7278.4330329248241</v>
      </c>
      <c r="BY27" s="15">
        <f>IF(BK27="","",IF(BL27&lt;'Rate &amp; Vol Update'!$C$2,0,((((((IF('Adjustment Surface'!$C$2='Data Validation'!$A$2,BR27,IF('Adjustment Surface'!$C$2='Data Validation'!$A$3,BQ27,"Unknown Option Type"))-IF('Adjustment Surface'!$C$2='Data Validation'!$A$2,BQ27,IF('Adjustment Surface'!$C$2='Data Validation'!$A$3,BR27,"Unknown Option Type")))*(NORMDIST((IF('Adjustment Surface'!$C$2='Data Validation'!$A$2,BR27,IF('Adjustment Surface'!$C$2='Data Validation'!$A$3,BQ27,"Unknown Option Type"))-IF('Adjustment Surface'!$C$2='Data Validation'!$A$2,BQ27,IF('Adjustment Surface'!$C$2='Data Validation'!$A$3,BR27,"Unknown Option Type")))/((BS27+0.01%)*SQRT(BO27)),0,1,TRUE)))+(((BS27+0.01%)*SQRT(BO27))*(NORMDIST((IF('Adjustment Surface'!$C$2='Data Validation'!$A$2,BR27,IF('Adjustment Surface'!$C$2='Data Validation'!$A$3,BQ27,"Unknown Option Type"))-IF('Adjustment Surface'!$C$2='Data Validation'!$A$2,BQ27,IF('Adjustment Surface'!$C$2='Data Validation'!$A$3,BR27,"Unknown Option Type")))/((BS27+0.01%)*SQRT(BO27)),0,1,FALSE))))*BT27*(BN27/360))-(BV27/BP27))*BP27)*BT27))</f>
        <v>45.789986692312866</v>
      </c>
      <c r="BZ27" s="15">
        <f>IF(BK27="","",SUM(BY$4:BY27))</f>
        <v>360.01128678759557</v>
      </c>
      <c r="CA27" s="15"/>
      <c r="CB27" s="20"/>
      <c r="CC27" s="3">
        <v>24</v>
      </c>
      <c r="CD27" s="4">
        <f>IF(CE26=MAX('Adjustment Surface'!$C$14:$F$14),"",CE26)</f>
        <v>46763</v>
      </c>
      <c r="CE27" s="4">
        <f>IF(CD27="","",IF(CD27&lt;EDATE('Adjustment Surface'!$C$6,DATEDIF('Adjustment Surface'!$C$6,MAX('Adjustment Surface'!$C$14:$F$14),"M")),EDATE(CD$5,COUNT(CD$5:CD27)),IF(CD27=EDATE('Adjustment Surface'!$C$6,DATEDIF('Adjustment Surface'!$C$6,MAX('Adjustment Surface'!$C$14:$F$14),"M")),MAX('Adjustment Surface'!$C$14:$F$14),EDATE('Adjustment Surface'!$C$6,DATEDIF('Adjustment Surface'!$C$6,MAX('Adjustment Surface'!$C$14:$F$14),"M")))))</f>
        <v>46794</v>
      </c>
      <c r="CF27" s="3">
        <f t="shared" si="5"/>
        <v>31</v>
      </c>
      <c r="CG27" s="5">
        <f>IF(CC27="","",(CE27-'Rate &amp; Vol Update'!$C$2)/360)</f>
        <v>2.0277777777777777</v>
      </c>
      <c r="CH27" s="15">
        <f>IF(CC27="","",IF('Adjustment Surface'!$C$3='Data Validation'!$C$2,'Adjustment Surface'!$C$4,_xlfn.IFNA(IF(INDEX(Schedules!$E$3:$E$123,MATCH('Bachelier Model'!CD27,Schedules!$B$3:$B$123,0))="",CH26,INDEX(Schedules!$E$3:$E$123,MATCH('Bachelier Model'!CD27,Schedules!$B$3:$B$123,0))),CH26)))</f>
        <v>25000000</v>
      </c>
      <c r="CI27" s="16">
        <f>IF(CC27="","",'Adjustment Surface'!B$18)</f>
        <v>0.06</v>
      </c>
      <c r="CJ27" s="16" cm="1">
        <f t="array" ref="CJ27">IF(CC27="","",FORECAST(CD27,INDEX('Rate &amp; Vol Update'!$C$6:$C$127,MATCH(INDEX('Rate &amp; Vol Update'!$B$6:$B$127,MATCH(CD27,'Rate &amp; Vol Update'!$B$6:$B$127,1)),'Rate &amp; Vol Update'!$B$6:$B$127,0)+IF('Adjustment Surface'!$C$11='Data Validation'!$E$3,-1,0)):INDEX('Rate &amp; Vol Update'!$C$6:$C$127,MATCH(INDEX('Rate &amp; Vol Update'!$B$6:$B$127,MATCH(CD27,'Rate &amp; Vol Update'!$B$6:$B$127,1)+1),'Rate &amp; Vol Update'!$B$6:$B$127,0)+IF('Adjustment Surface'!$C$11='Data Validation'!$E$3,-1,0)),INDEX('Rate &amp; Vol Update'!$B$6:$B$127,MATCH(CD27,'Rate &amp; Vol Update'!$B$6:$B$127,1)):INDEX('Rate &amp; Vol Update'!$B$6:$B$127,MATCH(CD27,'Rate &amp; Vol Update'!$B$6:$B$127,1)+1))/100)</f>
        <v>3.2215949945670556E-2</v>
      </c>
      <c r="CK27" s="16" cm="1">
        <f t="array" ref="CK27">IF(CC27="","",IF(CD27&lt;'Rate &amp; Vol Update'!$C$2,0.001%,(1/((INDEX('Rate &amp; Vol Update'!$E$6:$Z$6,1,MATCH(CI27,'Rate &amp; Vol Update'!$E$6:$Z$6,1)+1)-INDEX('Rate &amp; Vol Update'!$E$6:$Z$6,1,MATCH(CI27,'Rate &amp; Vol Update'!$E$6:$Z$6,1)))*(INDEX('Rate &amp; Vol Update'!$B$8:$B$127,MATCH(CD27,'Rate &amp; Vol Update'!$B$8:$B$127,1)+1)-INDEX('Rate &amp; Vol Update'!$B$8:$B$127,MATCH(CD27,'Rate &amp; Vol Update'!$B$8:$B$127,1))))*(INDEX('Rate &amp; Vol Update'!$E$8:$Z$127,MATCH(INDEX('Rate &amp; Vol Update'!$B$8:$B$127,MATCH(CD27,'Rate &amp; Vol Update'!$B$8:$B$127,1)),'Rate &amp; Vol Update'!$B$8:$B$127,0),MATCH(INDEX('Rate &amp; Vol Update'!$E$6:$Z$6,1,MATCH(CI27,'Rate &amp; Vol Update'!$E$6:$Z$6,1)),'Rate &amp; Vol Update'!$E$6:$Z$6,0))*(INDEX('Rate &amp; Vol Update'!$E$6:$Z$6,1,MATCH(CI27,'Rate &amp; Vol Update'!$E$6:$Z$6,1)+1)-CI27)*(INDEX('Rate &amp; Vol Update'!$B$8:$B$127,MATCH(CD27,'Rate &amp; Vol Update'!$B$8:$B$127,1)+1)-CD27)+INDEX('Rate &amp; Vol Update'!$E$8:$Z$127,MATCH(INDEX('Rate &amp; Vol Update'!$B$8:$B$127,MATCH(CD27,'Rate &amp; Vol Update'!$B$8:$B$127,1)),'Rate &amp; Vol Update'!$B$8:$B$127,0),MATCH(INDEX('Rate &amp; Vol Update'!$E$6:$Z$6,1,MATCH(CI27,'Rate &amp; Vol Update'!$E$6:$Z$6,1)+1),'Rate &amp; Vol Update'!$E$6:$Z$6,0))*(CI27-INDEX('Rate &amp; Vol Update'!$E$6:$Z$6,1,MATCH(CI27,'Rate &amp; Vol Update'!$E$6:$Z$6,1)))*(INDEX('Rate &amp; Vol Update'!$B$8:$B$127,MATCH(CD27,'Rate &amp; Vol Update'!$B$8:$B$127,1)+1)-CD27)+INDEX('Rate &amp; Vol Update'!$E$8:$Z$127,MATCH(INDEX('Rate &amp; Vol Update'!$B$8:$B$127,MATCH(CD27,'Rate &amp; Vol Update'!$B$8:$B$127,1)+1),'Rate &amp; Vol Update'!$B$8:$B$127,0),MATCH(INDEX('Rate &amp; Vol Update'!$E$6:$Z$6,1,MATCH(CI27,'Rate &amp; Vol Update'!$E$6:$Z$6,1)),'Rate &amp; Vol Update'!$E$6:$Z$6,0))*(INDEX('Rate &amp; Vol Update'!$E$6:$Z$6,1,MATCH(CI27,'Rate &amp; Vol Update'!$E$6:$Z$6,1)+1)-CI27)*(CD27-INDEX('Rate &amp; Vol Update'!$B$8:$B$127,MATCH(CD27,'Rate &amp; Vol Update'!$B$8:$B$127,1)))+INDEX('Rate &amp; Vol Update'!$E$8:$Z$127,MATCH(INDEX('Rate &amp; Vol Update'!$B$8:$B$127,MATCH(CD27,'Rate &amp; Vol Update'!$B$8:$B$127,1)+1),'Rate &amp; Vol Update'!$B$8:$B$127,0),MATCH(INDEX('Rate &amp; Vol Update'!$E$6:$Z$6,1,MATCH(CI27,'Rate &amp; Vol Update'!$E$6:$Z$6,1)+1),'Rate &amp; Vol Update'!$E$6:$Z$6,0))*(CI27-INDEX('Rate &amp; Vol Update'!$E$6:$Z$6,1,MATCH(CI27,'Rate &amp; Vol Update'!$E$6:$Z$6,1)))*(CD27-INDEX('Rate &amp; Vol Update'!$B$8:$B$127,MATCH(CD27,'Rate &amp; Vol Update'!$B$8:$B$127,1)))))*0.01%))</f>
        <v>1.1286032835095279E-2</v>
      </c>
      <c r="CL27" s="5">
        <f>IF(CC27="","",1/((1+CJ27)^((CE27-'Rate &amp; Vol Update'!$C$2)/360)))</f>
        <v>0.93772685386223764</v>
      </c>
      <c r="CN27" s="15">
        <f>IF(CC27="","",IF(CD27&lt;'Rate &amp; Vol Update'!$C$2,MAX(0,CJ27-CI27)*(CF27/360)*CH27,(((IF('Adjustment Surface'!$C$2='Data Validation'!$A$2,CJ27,IF('Adjustment Surface'!$C$2='Data Validation'!$A$3,CI27,"Unknown Option Type"))-IF('Adjustment Surface'!$C$2='Data Validation'!$A$2,CI27,IF('Adjustment Surface'!$C$2='Data Validation'!$A$3,CJ27,"Unknown Option Type")))*(NORMDIST((IF('Adjustment Surface'!$C$2='Data Validation'!$A$2,CJ27,IF('Adjustment Surface'!$C$2='Data Validation'!$A$3,CI27,"Unknown Option Type"))-IF('Adjustment Surface'!$C$2='Data Validation'!$A$2,CI27,IF('Adjustment Surface'!$C$2='Data Validation'!$A$3,CJ27,"Unknown Option Type")))/(CK27*SQRT(CG27)),0,1,TRUE)))+((CK27*SQRT(CG27))*(NORMDIST((IF('Adjustment Surface'!$C$2='Data Validation'!$A$2,CJ27,IF('Adjustment Surface'!$C$2='Data Validation'!$A$3,CI27,"Unknown Option Type"))-IF('Adjustment Surface'!$C$2='Data Validation'!$A$2,CI27,IF('Adjustment Surface'!$C$2='Data Validation'!$A$3,CJ27,"Unknown Option Type")))/(CK27*SQRT(CG27)),0,1,FALSE))))*CL27*(CF27/360)*CH27))</f>
        <v>552.92702458190138</v>
      </c>
      <c r="CO27" s="15">
        <f>IF(CC27="","",SUM(CN$4:CN27))</f>
        <v>2990.9804608731301</v>
      </c>
      <c r="CQ27" s="15">
        <f>IF(CC27="","",IF(CD27&lt;'Rate &amp; Vol Update'!$C$2,0,((((((IF('Adjustment Surface'!$C$2='Data Validation'!$A$2,CJ27,IF('Adjustment Surface'!$C$2='Data Validation'!$A$3,CI27,"Unknown Option Type"))-IF('Adjustment Surface'!$C$2='Data Validation'!$A$2,CI27,IF('Adjustment Surface'!$C$2='Data Validation'!$A$3,CJ27,"Unknown Option Type")))*(NORMDIST((IF('Adjustment Surface'!$C$2='Data Validation'!$A$2,CJ27,IF('Adjustment Surface'!$C$2='Data Validation'!$A$3,CI27,"Unknown Option Type"))-IF('Adjustment Surface'!$C$2='Data Validation'!$A$2,CI27,IF('Adjustment Surface'!$C$2='Data Validation'!$A$3,CJ27,"Unknown Option Type")))/((CK27+0.01%)*SQRT(CG27)),0,1,TRUE)))+(((CK27+0.01%)*SQRT(CG27))*(NORMDIST((IF('Adjustment Surface'!$C$2='Data Validation'!$A$2,CJ27,IF('Adjustment Surface'!$C$2='Data Validation'!$A$3,CI27,"Unknown Option Type"))-IF('Adjustment Surface'!$C$2='Data Validation'!$A$2,CI27,IF('Adjustment Surface'!$C$2='Data Validation'!$A$3,CJ27,"Unknown Option Type")))/((CK27+0.01%)*SQRT(CG27)),0,1,FALSE))))*CL27*(CF27/360))-(CN27/CH27))*CH27)*CL27))</f>
        <v>24.450504054645116</v>
      </c>
      <c r="CR27" s="15">
        <f>IF(CC27="","",SUM(CQ$4:CQ27))</f>
        <v>161.16618806185906</v>
      </c>
    </row>
    <row r="28" spans="7:96" x14ac:dyDescent="0.25">
      <c r="G28" s="28"/>
      <c r="I28" s="3">
        <v>25</v>
      </c>
      <c r="J28" s="4">
        <f>IF(K27='Adjustment Surface'!C$8,"",K27)</f>
        <v>46794</v>
      </c>
      <c r="K28" s="4">
        <f>IF(J28="","",IF(J28&lt;'Adjustment Surface'!C$7,EDATE(J$5,COUNT(J$5:J28)),IF(J28='Adjustment Surface'!C$7,'Adjustment Surface'!C$8,'Adjustment Surface'!C$7)))</f>
        <v>46823</v>
      </c>
      <c r="L28" s="3">
        <f>IF(I28="","",K28-J28)</f>
        <v>29</v>
      </c>
      <c r="M28" s="5">
        <f>IF(I28="","",(K28-'Rate &amp; Vol Update'!$C$2)/360)</f>
        <v>2.1083333333333334</v>
      </c>
      <c r="N28" s="15">
        <f>IF(I28="","",IF('Adjustment Surface'!C$3='Data Validation'!$C$2,'Adjustment Surface'!C$4,IF(INDEX(Schedules!$E$3:$E$123,MATCH('Bachelier Model'!J28,Schedules!$B$3:$B$123,0))="",N27,INDEX(Schedules!$E$3:$E$123,MATCH('Bachelier Model'!J28,Schedules!$B$3:$B$123,0)))))</f>
        <v>25000000</v>
      </c>
      <c r="O28" s="16">
        <f>IF(I28="","",IF('Adjustment Surface'!C$9='Data Validation'!$D$2,'Adjustment Surface'!C$10,IF(INDEX(Schedules!$H$3:$H$123,MATCH('Bachelier Model'!J28,Schedules!$B$3:$B$123,0))="",O27,INDEX(Schedules!$H$3:$H$123,MATCH('Bachelier Model'!J28,Schedules!$B$3:$B$123,0)))))</f>
        <v>0.02</v>
      </c>
      <c r="P28" s="16" cm="1">
        <f t="array" ref="P28">IF(I28="","",FORECAST(J28,INDEX('Rate &amp; Vol Update'!$C$6:$C$127,MATCH(INDEX('Rate &amp; Vol Update'!$B$6:$B$127,MATCH(J28,'Rate &amp; Vol Update'!$B$6:$B$127,1)),'Rate &amp; Vol Update'!$B$6:$B$127,0)+IF('Adjustment Surface'!C$11='Data Validation'!$E$3,-1,0)):INDEX('Rate &amp; Vol Update'!$C$6:$C$127,MATCH(INDEX('Rate &amp; Vol Update'!$B$6:$B$127,MATCH(J28,'Rate &amp; Vol Update'!$B$6:$B$127,1)+1),'Rate &amp; Vol Update'!$B$6:$B$127,0)+IF('Adjustment Surface'!C$11='Data Validation'!$E$3,-1,0)),INDEX('Rate &amp; Vol Update'!$B$6:$B$127,MATCH(J28,'Rate &amp; Vol Update'!$B$6:$B$127,1)):INDEX('Rate &amp; Vol Update'!$B$6:$B$127,MATCH(J28,'Rate &amp; Vol Update'!$B$6:$B$127,1)+1))/100)</f>
        <v>3.3516024401973946E-2</v>
      </c>
      <c r="Q28" s="16" cm="1">
        <f t="array" ref="Q28">IF(I28="","",IF(J28&lt;'Rate &amp; Vol Update'!$C$2,0.001%,(1/((INDEX('Rate &amp; Vol Update'!$E$6:$Z$6,1,MATCH(O28,'Rate &amp; Vol Update'!$E$6:$Z$6,1)+1)-INDEX('Rate &amp; Vol Update'!$E$6:$Z$6,1,MATCH(O28,'Rate &amp; Vol Update'!$E$6:$Z$6,1)))*(INDEX('Rate &amp; Vol Update'!$B$8:$B$127,MATCH(J28,'Rate &amp; Vol Update'!$B$8:$B$127,1)+1)-INDEX('Rate &amp; Vol Update'!$B$8:$B$127,MATCH(J28,'Rate &amp; Vol Update'!$B$8:$B$127,1))))*(INDEX('Rate &amp; Vol Update'!$E$8:$Z$127,MATCH(INDEX('Rate &amp; Vol Update'!$B$8:$B$127,MATCH(J28,'Rate &amp; Vol Update'!$B$8:$B$127,1)),'Rate &amp; Vol Update'!$B$8:$B$127,0),MATCH(INDEX('Rate &amp; Vol Update'!$E$6:$Z$6,1,MATCH(O28,'Rate &amp; Vol Update'!$E$6:$Z$6,1)),'Rate &amp; Vol Update'!$E$6:$Z$6,0))*(INDEX('Rate &amp; Vol Update'!$E$6:$Z$6,1,MATCH(O28,'Rate &amp; Vol Update'!$E$6:$Z$6,1)+1)-O28)*(INDEX('Rate &amp; Vol Update'!$B$8:$B$127,MATCH(J28,'Rate &amp; Vol Update'!$B$8:$B$127,1)+1)-J28)+INDEX('Rate &amp; Vol Update'!$E$8:$Z$127,MATCH(INDEX('Rate &amp; Vol Update'!$B$8:$B$127,MATCH(J28,'Rate &amp; Vol Update'!$B$8:$B$127,1)),'Rate &amp; Vol Update'!$B$8:$B$127,0),MATCH(INDEX('Rate &amp; Vol Update'!$E$6:$Z$6,1,MATCH(O28,'Rate &amp; Vol Update'!$E$6:$Z$6,1)+1),'Rate &amp; Vol Update'!$E$6:$Z$6,0))*(O28-INDEX('Rate &amp; Vol Update'!$E$6:$Z$6,1,MATCH(O28,'Rate &amp; Vol Update'!$E$6:$Z$6,1)))*(INDEX('Rate &amp; Vol Update'!$B$8:$B$127,MATCH(J28,'Rate &amp; Vol Update'!$B$8:$B$127,1)+1)-J28)+INDEX('Rate &amp; Vol Update'!$E$8:$Z$127,MATCH(INDEX('Rate &amp; Vol Update'!$B$8:$B$127,MATCH(J28,'Rate &amp; Vol Update'!$B$8:$B$127,1)+1),'Rate &amp; Vol Update'!$B$8:$B$127,0),MATCH(INDEX('Rate &amp; Vol Update'!$E$6:$Z$6,1,MATCH(O28,'Rate &amp; Vol Update'!$E$6:$Z$6,1)),'Rate &amp; Vol Update'!$E$6:$Z$6,0))*(INDEX('Rate &amp; Vol Update'!$E$6:$Z$6,1,MATCH(O28,'Rate &amp; Vol Update'!$E$6:$Z$6,1)+1)-O28)*(J28-INDEX('Rate &amp; Vol Update'!$B$8:$B$127,MATCH(J28,'Rate &amp; Vol Update'!$B$8:$B$127,1)))+INDEX('Rate &amp; Vol Update'!$E$8:$Z$127,MATCH(INDEX('Rate &amp; Vol Update'!$B$8:$B$127,MATCH(J28,'Rate &amp; Vol Update'!$B$8:$B$127,1)+1),'Rate &amp; Vol Update'!$B$8:$B$127,0),MATCH(INDEX('Rate &amp; Vol Update'!$E$6:$Z$6,1,MATCH(O28,'Rate &amp; Vol Update'!$E$6:$Z$6,1)+1),'Rate &amp; Vol Update'!$E$6:$Z$6,0))*(O28-INDEX('Rate &amp; Vol Update'!$E$6:$Z$6,1,MATCH(O28,'Rate &amp; Vol Update'!$E$6:$Z$6,1)))*(J28-INDEX('Rate &amp; Vol Update'!$B$8:$B$127,MATCH(J28,'Rate &amp; Vol Update'!$B$8:$B$127,1)))))*0.01%))</f>
        <v>9.0777855990269544E-3</v>
      </c>
      <c r="R28" s="5">
        <f>IF(I28="","",1/((1+P28)^((K28-'Rate &amp; Vol Update'!$C$2)/360)))</f>
        <v>0.93285584949753808</v>
      </c>
      <c r="T28" s="15">
        <f>IF(I28="","",IF(J28&lt;'Rate &amp; Vol Update'!$C$2,MAX(0,P28-O28)*(L28/360)*N28,(((IF('Adjustment Surface'!C$2='Data Validation'!$A$2,P28,IF('Adjustment Surface'!C$2='Data Validation'!$A$3,O28,"Unknown Option Type"))-IF('Adjustment Surface'!C$2='Data Validation'!$A$2,O28,IF('Adjustment Surface'!C$2='Data Validation'!$A$3,P28,"Unknown Option Type")))*(NORMDIST((IF('Adjustment Surface'!C$2='Data Validation'!$A$2,P28,IF('Adjustment Surface'!C$2='Data Validation'!$A$3,O28,"Unknown Option Type"))-IF('Adjustment Surface'!C$2='Data Validation'!$A$2,O28,IF('Adjustment Surface'!C$2='Data Validation'!$A$3,P28,"Unknown Option Type")))/(Q28*SQRT(M28)),0,1,TRUE)))+((Q28*SQRT(M28))*(NORMDIST((IF('Adjustment Surface'!C$2='Data Validation'!$A$2,P28,IF('Adjustment Surface'!C$2='Data Validation'!$A$3,O28,"Unknown Option Type"))-IF('Adjustment Surface'!C$2='Data Validation'!$A$2,O28,IF('Adjustment Surface'!C$2='Data Validation'!$A$3,P28,"Unknown Option Type")))/(Q28*SQRT(M28)),0,1,FALSE))))*R28*(L28/360)*N28))</f>
        <v>27357.318523123089</v>
      </c>
      <c r="U28" s="15">
        <f>IF(I28="","",SUM(T$4:T28))</f>
        <v>694920.83304580126</v>
      </c>
      <c r="W28" s="15">
        <f>IF(I28="","",IF(J28&lt;'Rate &amp; Vol Update'!$C$2,0,((((((IF('Adjustment Surface'!C$2='Data Validation'!$A$2,P28,IF('Adjustment Surface'!C$2='Data Validation'!$A$3,O28,"Unknown Option Type"))-IF('Adjustment Surface'!C$2='Data Validation'!$A$2,O28,IF('Adjustment Surface'!C$2='Data Validation'!$A$3,P28,"Unknown Option Type")))*(NORMDIST((IF('Adjustment Surface'!C$2='Data Validation'!$A$2,P28,IF('Adjustment Surface'!C$2='Data Validation'!$A$3,O28,"Unknown Option Type"))-IF('Adjustment Surface'!C$2='Data Validation'!$A$2,O28,IF('Adjustment Surface'!C$2='Data Validation'!$A$3,P28,"Unknown Option Type")))/((Q28+0.01%)*SQRT(M28)),0,1,TRUE)))+(((Q28+0.01%)*SQRT(M28))*(NORMDIST((IF('Adjustment Surface'!C$2='Data Validation'!$A$2,P28,IF('Adjustment Surface'!C$2='Data Validation'!$A$3,O28,"Unknown Option Type"))-IF('Adjustment Surface'!C$2='Data Validation'!$A$2,O28,IF('Adjustment Surface'!C$2='Data Validation'!$A$3,P28,"Unknown Option Type")))/((Q28+0.01%)*SQRT(M28)),0,1,FALSE))))*R28*(L28/360))-(T28/N28))*N28)*R28))</f>
        <v>60.354493680356768</v>
      </c>
      <c r="X28" s="15">
        <f>IF(I28="","",SUM(W$4:W28))</f>
        <v>893.12097101970244</v>
      </c>
      <c r="Y28" s="15"/>
      <c r="Z28" s="20"/>
      <c r="AA28" s="3">
        <v>25</v>
      </c>
      <c r="AB28" s="4">
        <f>IF(AC27=MAX('Adjustment Surface'!$C$14:$F$14),"",AC27)</f>
        <v>46794</v>
      </c>
      <c r="AC28" s="4">
        <f>IF(AB28="","",IF(AB28&lt;EDATE('Adjustment Surface'!$C$6,DATEDIF('Adjustment Surface'!$C$6,MAX('Adjustment Surface'!$C$14:$F$14),"M")),EDATE(AB$5,COUNT(AB$5:AB28)),IF(AB28=EDATE('Adjustment Surface'!$C$6,DATEDIF('Adjustment Surface'!$C$6,MAX('Adjustment Surface'!$C$14:$F$14),"M")),MAX('Adjustment Surface'!$C$14:$F$14),EDATE('Adjustment Surface'!$C$6,DATEDIF('Adjustment Surface'!$C$6,MAX('Adjustment Surface'!$C$14:$F$14),"M")))))</f>
        <v>46823</v>
      </c>
      <c r="AD28" s="3">
        <f t="shared" si="2"/>
        <v>29</v>
      </c>
      <c r="AE28" s="5">
        <f>IF(AA28="","",(AC28-'Rate &amp; Vol Update'!$C$2)/360)</f>
        <v>2.1083333333333334</v>
      </c>
      <c r="AF28" s="15">
        <f>IF(AA28="","",IF('Adjustment Surface'!$C$3='Data Validation'!$C$2,'Adjustment Surface'!$C$4,_xlfn.IFNA(IF(INDEX(Schedules!$E$3:$E$123,MATCH('Bachelier Model'!AB28,Schedules!$B$3:$B$123,0))="",AF27,INDEX(Schedules!$E$3:$E$123,MATCH('Bachelier Model'!AB28,Schedules!$B$3:$B$123,0))),AF27)))</f>
        <v>25000000</v>
      </c>
      <c r="AG28" s="16">
        <f>IF(AA28="","",'Adjustment Surface'!B$15)</f>
        <v>0.03</v>
      </c>
      <c r="AH28" s="16" cm="1">
        <f t="array" ref="AH28">IF(AA28="","",FORECAST(AB28,INDEX('Rate &amp; Vol Update'!$C$6:$C$127,MATCH(INDEX('Rate &amp; Vol Update'!$B$6:$B$127,MATCH(AB28,'Rate &amp; Vol Update'!$B$6:$B$127,1)),'Rate &amp; Vol Update'!$B$6:$B$127,0)+IF('Adjustment Surface'!$C$11='Data Validation'!$E$3,-1,0)):INDEX('Rate &amp; Vol Update'!$C$6:$C$127,MATCH(INDEX('Rate &amp; Vol Update'!$B$6:$B$127,MATCH(AB28,'Rate &amp; Vol Update'!$B$6:$B$127,1)+1),'Rate &amp; Vol Update'!$B$6:$B$127,0)+IF('Adjustment Surface'!$C$11='Data Validation'!$E$3,-1,0)),INDEX('Rate &amp; Vol Update'!$B$6:$B$127,MATCH(AB28,'Rate &amp; Vol Update'!$B$6:$B$127,1)):INDEX('Rate &amp; Vol Update'!$B$6:$B$127,MATCH(AB28,'Rate &amp; Vol Update'!$B$6:$B$127,1)+1))/100)</f>
        <v>3.3516024401973946E-2</v>
      </c>
      <c r="AI28" s="16" cm="1">
        <f t="array" ref="AI28">IF(AA28="","",IF(AB28&lt;'Rate &amp; Vol Update'!$C$2,0.001%,(1/((INDEX('Rate &amp; Vol Update'!$E$6:$Z$6,1,MATCH(AG28,'Rate &amp; Vol Update'!$E$6:$Z$6,1)+1)-INDEX('Rate &amp; Vol Update'!$E$6:$Z$6,1,MATCH(AG28,'Rate &amp; Vol Update'!$E$6:$Z$6,1)))*(INDEX('Rate &amp; Vol Update'!$B$8:$B$127,MATCH(AB28,'Rate &amp; Vol Update'!$B$8:$B$127,1)+1)-INDEX('Rate &amp; Vol Update'!$B$8:$B$127,MATCH(AB28,'Rate &amp; Vol Update'!$B$8:$B$127,1))))*(INDEX('Rate &amp; Vol Update'!$E$8:$Z$127,MATCH(INDEX('Rate &amp; Vol Update'!$B$8:$B$127,MATCH(AB28,'Rate &amp; Vol Update'!$B$8:$B$127,1)),'Rate &amp; Vol Update'!$B$8:$B$127,0),MATCH(INDEX('Rate &amp; Vol Update'!$E$6:$Z$6,1,MATCH(AG28,'Rate &amp; Vol Update'!$E$6:$Z$6,1)),'Rate &amp; Vol Update'!$E$6:$Z$6,0))*(INDEX('Rate &amp; Vol Update'!$E$6:$Z$6,1,MATCH(AG28,'Rate &amp; Vol Update'!$E$6:$Z$6,1)+1)-AG28)*(INDEX('Rate &amp; Vol Update'!$B$8:$B$127,MATCH(AB28,'Rate &amp; Vol Update'!$B$8:$B$127,1)+1)-AB28)+INDEX('Rate &amp; Vol Update'!$E$8:$Z$127,MATCH(INDEX('Rate &amp; Vol Update'!$B$8:$B$127,MATCH(AB28,'Rate &amp; Vol Update'!$B$8:$B$127,1)),'Rate &amp; Vol Update'!$B$8:$B$127,0),MATCH(INDEX('Rate &amp; Vol Update'!$E$6:$Z$6,1,MATCH(AG28,'Rate &amp; Vol Update'!$E$6:$Z$6,1)+1),'Rate &amp; Vol Update'!$E$6:$Z$6,0))*(AG28-INDEX('Rate &amp; Vol Update'!$E$6:$Z$6,1,MATCH(AG28,'Rate &amp; Vol Update'!$E$6:$Z$6,1)))*(INDEX('Rate &amp; Vol Update'!$B$8:$B$127,MATCH(AB28,'Rate &amp; Vol Update'!$B$8:$B$127,1)+1)-AB28)+INDEX('Rate &amp; Vol Update'!$E$8:$Z$127,MATCH(INDEX('Rate &amp; Vol Update'!$B$8:$B$127,MATCH(AB28,'Rate &amp; Vol Update'!$B$8:$B$127,1)+1),'Rate &amp; Vol Update'!$B$8:$B$127,0),MATCH(INDEX('Rate &amp; Vol Update'!$E$6:$Z$6,1,MATCH(AG28,'Rate &amp; Vol Update'!$E$6:$Z$6,1)),'Rate &amp; Vol Update'!$E$6:$Z$6,0))*(INDEX('Rate &amp; Vol Update'!$E$6:$Z$6,1,MATCH(AG28,'Rate &amp; Vol Update'!$E$6:$Z$6,1)+1)-AG28)*(AB28-INDEX('Rate &amp; Vol Update'!$B$8:$B$127,MATCH(AB28,'Rate &amp; Vol Update'!$B$8:$B$127,1)))+INDEX('Rate &amp; Vol Update'!$E$8:$Z$127,MATCH(INDEX('Rate &amp; Vol Update'!$B$8:$B$127,MATCH(AB28,'Rate &amp; Vol Update'!$B$8:$B$127,1)+1),'Rate &amp; Vol Update'!$B$8:$B$127,0),MATCH(INDEX('Rate &amp; Vol Update'!$E$6:$Z$6,1,MATCH(AG28,'Rate &amp; Vol Update'!$E$6:$Z$6,1)+1),'Rate &amp; Vol Update'!$E$6:$Z$6,0))*(AG28-INDEX('Rate &amp; Vol Update'!$E$6:$Z$6,1,MATCH(AG28,'Rate &amp; Vol Update'!$E$6:$Z$6,1)))*(AB28-INDEX('Rate &amp; Vol Update'!$B$8:$B$127,MATCH(AB28,'Rate &amp; Vol Update'!$B$8:$B$127,1)))))*0.01%))</f>
        <v>8.1589778857350491E-3</v>
      </c>
      <c r="AJ28" s="5">
        <f>IF(AA28="","",1/((1+AH28)^((AC28-'Rate &amp; Vol Update'!$C$2)/360)))</f>
        <v>0.93285584949753808</v>
      </c>
      <c r="AL28" s="15">
        <f>IF(AA28="","",IF(AB28&lt;'Rate &amp; Vol Update'!$C$2,MAX(0,AH28-AG28)*(AD28/360)*AF28,(((IF('Adjustment Surface'!$C$2='Data Validation'!$A$2,AH28,IF('Adjustment Surface'!$C$2='Data Validation'!$A$3,AG28,"Unknown Option Type"))-IF('Adjustment Surface'!$C$2='Data Validation'!$A$2,AG28,IF('Adjustment Surface'!$C$2='Data Validation'!$A$3,AH28,"Unknown Option Type")))*(NORMDIST((IF('Adjustment Surface'!$C$2='Data Validation'!$A$2,AH28,IF('Adjustment Surface'!$C$2='Data Validation'!$A$3,AG28,"Unknown Option Type"))-IF('Adjustment Surface'!$C$2='Data Validation'!$A$2,AG28,IF('Adjustment Surface'!$C$2='Data Validation'!$A$3,AH28,"Unknown Option Type")))/(AI28*SQRT(AE28)),0,1,TRUE)))+((AI28*SQRT(AE28))*(NORMDIST((IF('Adjustment Surface'!$C$2='Data Validation'!$A$2,AH28,IF('Adjustment Surface'!$C$2='Data Validation'!$A$3,AG28,"Unknown Option Type"))-IF('Adjustment Surface'!$C$2='Data Validation'!$A$2,AG28,IF('Adjustment Surface'!$C$2='Data Validation'!$A$3,AH28,"Unknown Option Type")))/(AI28*SQRT(AE28)),0,1,FALSE))))*AJ28*(AD28/360)*AF28))</f>
        <v>12569.952201560704</v>
      </c>
      <c r="AM28" s="15">
        <f>IF(AA28="","",SUM(AL$4:AL28))</f>
        <v>255492.43252455333</v>
      </c>
      <c r="AO28" s="15">
        <f>IF(AA28="","",IF(AB28&lt;'Rate &amp; Vol Update'!$C$2,0,((((((IF('Adjustment Surface'!$C$2='Data Validation'!$A$2,AH28,IF('Adjustment Surface'!$C$2='Data Validation'!$A$3,AG28,"Unknown Option Type"))-IF('Adjustment Surface'!$C$2='Data Validation'!$A$2,AG28,IF('Adjustment Surface'!$C$2='Data Validation'!$A$3,AH28,"Unknown Option Type")))*(NORMDIST((IF('Adjustment Surface'!$C$2='Data Validation'!$A$2,AH28,IF('Adjustment Surface'!$C$2='Data Validation'!$A$3,AG28,"Unknown Option Type"))-IF('Adjustment Surface'!$C$2='Data Validation'!$A$2,AG28,IF('Adjustment Surface'!$C$2='Data Validation'!$A$3,AH28,"Unknown Option Type")))/((AI28+0.01%)*SQRT(AE28)),0,1,TRUE)))+(((AI28+0.01%)*SQRT(AE28))*(NORMDIST((IF('Adjustment Surface'!$C$2='Data Validation'!$A$2,AH28,IF('Adjustment Surface'!$C$2='Data Validation'!$A$3,AG28,"Unknown Option Type"))-IF('Adjustment Surface'!$C$2='Data Validation'!$A$2,AG28,IF('Adjustment Surface'!$C$2='Data Validation'!$A$3,AH28,"Unknown Option Type")))/((AI28+0.01%)*SQRT(AE28)),0,1,FALSE))))*AJ28*(AD28/360))-(AL28/AF28))*AF28)*AJ28))</f>
        <v>97.196109003199254</v>
      </c>
      <c r="AP28" s="15">
        <f>IF(AA28="","",SUM(AO$4:AO28))</f>
        <v>1704.2993828896604</v>
      </c>
      <c r="AQ28" s="15"/>
      <c r="AR28" s="20"/>
      <c r="AS28" s="3">
        <v>25</v>
      </c>
      <c r="AT28" s="4">
        <f>IF(AU27=MAX('Adjustment Surface'!$C$14:$F$14),"",AU27)</f>
        <v>46794</v>
      </c>
      <c r="AU28" s="4">
        <f>IF(AT28="","",IF(AT28&lt;EDATE('Adjustment Surface'!$C$6,DATEDIF('Adjustment Surface'!$C$6,MAX('Adjustment Surface'!$C$14:$F$14),"M")),EDATE(AT$5,COUNT(AT$5:AT28)),IF(AT28=EDATE('Adjustment Surface'!$C$6,DATEDIF('Adjustment Surface'!$C$6,MAX('Adjustment Surface'!$C$14:$F$14),"M")),MAX('Adjustment Surface'!$C$14:$F$14),EDATE('Adjustment Surface'!$C$6,DATEDIF('Adjustment Surface'!$C$6,MAX('Adjustment Surface'!$C$14:$F$14),"M")))))</f>
        <v>46823</v>
      </c>
      <c r="AV28" s="3">
        <f t="shared" si="3"/>
        <v>29</v>
      </c>
      <c r="AW28" s="5">
        <f>IF(AS28="","",(AU28-'Rate &amp; Vol Update'!$C$2)/360)</f>
        <v>2.1083333333333334</v>
      </c>
      <c r="AX28" s="15">
        <f>IF(AS28="","",IF('Adjustment Surface'!$C$3='Data Validation'!$C$2,'Adjustment Surface'!$C$4,_xlfn.IFNA(IF(INDEX(Schedules!$E$3:$E$123,MATCH('Bachelier Model'!AT28,Schedules!$B$3:$B$123,0))="",AX27,INDEX(Schedules!$E$3:$E$123,MATCH('Bachelier Model'!AT28,Schedules!$B$3:$B$123,0))),AX27)))</f>
        <v>25000000</v>
      </c>
      <c r="AY28" s="16">
        <f>IF(AS28="","",'Adjustment Surface'!B$16)</f>
        <v>0.04</v>
      </c>
      <c r="AZ28" s="16" cm="1">
        <f t="array" ref="AZ28">IF(AS28="","",FORECAST(AT28,INDEX('Rate &amp; Vol Update'!$C$6:$C$127,MATCH(INDEX('Rate &amp; Vol Update'!$B$6:$B$127,MATCH(AT28,'Rate &amp; Vol Update'!$B$6:$B$127,1)),'Rate &amp; Vol Update'!$B$6:$B$127,0)+IF('Adjustment Surface'!$C$11='Data Validation'!$E$3,-1,0)):INDEX('Rate &amp; Vol Update'!$C$6:$C$127,MATCH(INDEX('Rate &amp; Vol Update'!$B$6:$B$127,MATCH(AT28,'Rate &amp; Vol Update'!$B$6:$B$127,1)+1),'Rate &amp; Vol Update'!$B$6:$B$127,0)+IF('Adjustment Surface'!$C$11='Data Validation'!$E$3,-1,0)),INDEX('Rate &amp; Vol Update'!$B$6:$B$127,MATCH(AT28,'Rate &amp; Vol Update'!$B$6:$B$127,1)):INDEX('Rate &amp; Vol Update'!$B$6:$B$127,MATCH(AT28,'Rate &amp; Vol Update'!$B$6:$B$127,1)+1))/100)</f>
        <v>3.3516024401973946E-2</v>
      </c>
      <c r="BA28" s="16" cm="1">
        <f t="array" ref="BA28">IF(AS28="","",IF(AT28&lt;'Rate &amp; Vol Update'!$C$2,0.001%,(1/((INDEX('Rate &amp; Vol Update'!$E$6:$Z$6,1,MATCH(AY28,'Rate &amp; Vol Update'!$E$6:$Z$6,1)+1)-INDEX('Rate &amp; Vol Update'!$E$6:$Z$6,1,MATCH(AY28,'Rate &amp; Vol Update'!$E$6:$Z$6,1)))*(INDEX('Rate &amp; Vol Update'!$B$8:$B$127,MATCH(AT28,'Rate &amp; Vol Update'!$B$8:$B$127,1)+1)-INDEX('Rate &amp; Vol Update'!$B$8:$B$127,MATCH(AT28,'Rate &amp; Vol Update'!$B$8:$B$127,1))))*(INDEX('Rate &amp; Vol Update'!$E$8:$Z$127,MATCH(INDEX('Rate &amp; Vol Update'!$B$8:$B$127,MATCH(AT28,'Rate &amp; Vol Update'!$B$8:$B$127,1)),'Rate &amp; Vol Update'!$B$8:$B$127,0),MATCH(INDEX('Rate &amp; Vol Update'!$E$6:$Z$6,1,MATCH(AY28,'Rate &amp; Vol Update'!$E$6:$Z$6,1)),'Rate &amp; Vol Update'!$E$6:$Z$6,0))*(INDEX('Rate &amp; Vol Update'!$E$6:$Z$6,1,MATCH(AY28,'Rate &amp; Vol Update'!$E$6:$Z$6,1)+1)-AY28)*(INDEX('Rate &amp; Vol Update'!$B$8:$B$127,MATCH(AT28,'Rate &amp; Vol Update'!$B$8:$B$127,1)+1)-AT28)+INDEX('Rate &amp; Vol Update'!$E$8:$Z$127,MATCH(INDEX('Rate &amp; Vol Update'!$B$8:$B$127,MATCH(AT28,'Rate &amp; Vol Update'!$B$8:$B$127,1)),'Rate &amp; Vol Update'!$B$8:$B$127,0),MATCH(INDEX('Rate &amp; Vol Update'!$E$6:$Z$6,1,MATCH(AY28,'Rate &amp; Vol Update'!$E$6:$Z$6,1)+1),'Rate &amp; Vol Update'!$E$6:$Z$6,0))*(AY28-INDEX('Rate &amp; Vol Update'!$E$6:$Z$6,1,MATCH(AY28,'Rate &amp; Vol Update'!$E$6:$Z$6,1)))*(INDEX('Rate &amp; Vol Update'!$B$8:$B$127,MATCH(AT28,'Rate &amp; Vol Update'!$B$8:$B$127,1)+1)-AT28)+INDEX('Rate &amp; Vol Update'!$E$8:$Z$127,MATCH(INDEX('Rate &amp; Vol Update'!$B$8:$B$127,MATCH(AT28,'Rate &amp; Vol Update'!$B$8:$B$127,1)+1),'Rate &amp; Vol Update'!$B$8:$B$127,0),MATCH(INDEX('Rate &amp; Vol Update'!$E$6:$Z$6,1,MATCH(AY28,'Rate &amp; Vol Update'!$E$6:$Z$6,1)),'Rate &amp; Vol Update'!$E$6:$Z$6,0))*(INDEX('Rate &amp; Vol Update'!$E$6:$Z$6,1,MATCH(AY28,'Rate &amp; Vol Update'!$E$6:$Z$6,1)+1)-AY28)*(AT28-INDEX('Rate &amp; Vol Update'!$B$8:$B$127,MATCH(AT28,'Rate &amp; Vol Update'!$B$8:$B$127,1)))+INDEX('Rate &amp; Vol Update'!$E$8:$Z$127,MATCH(INDEX('Rate &amp; Vol Update'!$B$8:$B$127,MATCH(AT28,'Rate &amp; Vol Update'!$B$8:$B$127,1)+1),'Rate &amp; Vol Update'!$B$8:$B$127,0),MATCH(INDEX('Rate &amp; Vol Update'!$E$6:$Z$6,1,MATCH(AY28,'Rate &amp; Vol Update'!$E$6:$Z$6,1)+1),'Rate &amp; Vol Update'!$E$6:$Z$6,0))*(AY28-INDEX('Rate &amp; Vol Update'!$E$6:$Z$6,1,MATCH(AY28,'Rate &amp; Vol Update'!$E$6:$Z$6,1)))*(AT28-INDEX('Rate &amp; Vol Update'!$B$8:$B$127,MATCH(AT28,'Rate &amp; Vol Update'!$B$8:$B$127,1)))))*0.01%))</f>
        <v>8.3132346057776547E-3</v>
      </c>
      <c r="BB28" s="5">
        <f>IF(AS28="","",1/((1+AZ28)^((AU28-'Rate &amp; Vol Update'!$C$2)/360)))</f>
        <v>0.93285584949753808</v>
      </c>
      <c r="BD28" s="15">
        <f>IF(AS28="","",IF(AT28&lt;'Rate &amp; Vol Update'!$C$2,MAX(0,AZ28-AY28)*(AV28/360)*AX28,(((IF('Adjustment Surface'!$C$2='Data Validation'!$A$2,AZ28,IF('Adjustment Surface'!$C$2='Data Validation'!$A$3,AY28,"Unknown Option Type"))-IF('Adjustment Surface'!$C$2='Data Validation'!$A$2,AY28,IF('Adjustment Surface'!$C$2='Data Validation'!$A$3,AZ28,"Unknown Option Type")))*(NORMDIST((IF('Adjustment Surface'!$C$2='Data Validation'!$A$2,AZ28,IF('Adjustment Surface'!$C$2='Data Validation'!$A$3,AY28,"Unknown Option Type"))-IF('Adjustment Surface'!$C$2='Data Validation'!$A$2,AY28,IF('Adjustment Surface'!$C$2='Data Validation'!$A$3,AZ28,"Unknown Option Type")))/(BA28*SQRT(AW28)),0,1,TRUE)))+((BA28*SQRT(AW28))*(NORMDIST((IF('Adjustment Surface'!$C$2='Data Validation'!$A$2,AZ28,IF('Adjustment Surface'!$C$2='Data Validation'!$A$3,AY28,"Unknown Option Type"))-IF('Adjustment Surface'!$C$2='Data Validation'!$A$2,AY28,IF('Adjustment Surface'!$C$2='Data Validation'!$A$3,AZ28,"Unknown Option Type")))/(BA28*SQRT(AW28)),0,1,FALSE))))*BB28*(AV28/360)*AX28))</f>
        <v>4230.9690484779267</v>
      </c>
      <c r="BE28" s="15">
        <f>IF(AS28="","",SUM(BD$4:BD28))</f>
        <v>34753.875796575245</v>
      </c>
      <c r="BG28" s="15">
        <f>IF(AS28="","",IF(AT28&lt;'Rate &amp; Vol Update'!$C$2,0,((((((IF('Adjustment Surface'!$C$2='Data Validation'!$A$2,AZ28,IF('Adjustment Surface'!$C$2='Data Validation'!$A$3,AY28,"Unknown Option Type"))-IF('Adjustment Surface'!$C$2='Data Validation'!$A$2,AY28,IF('Adjustment Surface'!$C$2='Data Validation'!$A$3,AZ28,"Unknown Option Type")))*(NORMDIST((IF('Adjustment Surface'!$C$2='Data Validation'!$A$2,AZ28,IF('Adjustment Surface'!$C$2='Data Validation'!$A$3,AY28,"Unknown Option Type"))-IF('Adjustment Surface'!$C$2='Data Validation'!$A$2,AY28,IF('Adjustment Surface'!$C$2='Data Validation'!$A$3,AZ28,"Unknown Option Type")))/((BA28+0.01%)*SQRT(AW28)),0,1,TRUE)))+(((BA28+0.01%)*SQRT(AW28))*(NORMDIST((IF('Adjustment Surface'!$C$2='Data Validation'!$A$2,AZ28,IF('Adjustment Surface'!$C$2='Data Validation'!$A$3,AY28,"Unknown Option Type"))-IF('Adjustment Surface'!$C$2='Data Validation'!$A$2,AY28,IF('Adjustment Surface'!$C$2='Data Validation'!$A$3,AZ28,"Unknown Option Type")))/((BA28+0.01%)*SQRT(AW28)),0,1,FALSE))))*BB28*(AV28/360))-(BD28/AX28))*AX28)*BB28))</f>
        <v>88.030655467260928</v>
      </c>
      <c r="BH28" s="15">
        <f>IF(AS28="","",SUM(BG$4:BG28))</f>
        <v>1180.2754123963209</v>
      </c>
      <c r="BI28" s="15"/>
      <c r="BJ28" s="20"/>
      <c r="BK28" s="3">
        <v>25</v>
      </c>
      <c r="BL28" s="4">
        <f>IF(BM27=MAX('Adjustment Surface'!$C$14:$F$14),"",BM27)</f>
        <v>46794</v>
      </c>
      <c r="BM28" s="4">
        <f>IF(BL28="","",IF(BL28&lt;EDATE('Adjustment Surface'!$C$6,DATEDIF('Adjustment Surface'!$C$6,MAX('Adjustment Surface'!$C$14:$F$14),"M")),EDATE(BL$5,COUNT(BL$5:BL28)),IF(BL28=EDATE('Adjustment Surface'!$C$6,DATEDIF('Adjustment Surface'!$C$6,MAX('Adjustment Surface'!$C$14:$F$14),"M")),MAX('Adjustment Surface'!$C$14:$F$14),EDATE('Adjustment Surface'!$C$6,DATEDIF('Adjustment Surface'!$C$6,MAX('Adjustment Surface'!$C$14:$F$14),"M")))))</f>
        <v>46823</v>
      </c>
      <c r="BN28" s="3">
        <f t="shared" si="4"/>
        <v>29</v>
      </c>
      <c r="BO28" s="5">
        <f>IF(BK28="","",(BM28-'Rate &amp; Vol Update'!$C$2)/360)</f>
        <v>2.1083333333333334</v>
      </c>
      <c r="BP28" s="15">
        <f>IF(BK28="","",IF('Adjustment Surface'!$C$3='Data Validation'!$C$2,'Adjustment Surface'!$C$4,_xlfn.IFNA(IF(INDEX(Schedules!$E$3:$E$123,MATCH('Bachelier Model'!BL28,Schedules!$B$3:$B$123,0))="",BP27,INDEX(Schedules!$E$3:$E$123,MATCH('Bachelier Model'!BL28,Schedules!$B$3:$B$123,0))),BP27)))</f>
        <v>25000000</v>
      </c>
      <c r="BQ28" s="16">
        <f>IF(BK28="","",'Adjustment Surface'!B$17)</f>
        <v>0.05</v>
      </c>
      <c r="BR28" s="16" cm="1">
        <f t="array" ref="BR28">IF(BK28="","",FORECAST(BL28,INDEX('Rate &amp; Vol Update'!$C$6:$C$127,MATCH(INDEX('Rate &amp; Vol Update'!$B$6:$B$127,MATCH(BL28,'Rate &amp; Vol Update'!$B$6:$B$127,1)),'Rate &amp; Vol Update'!$B$6:$B$127,0)+IF('Adjustment Surface'!$C$11='Data Validation'!$E$3,-1,0)):INDEX('Rate &amp; Vol Update'!$C$6:$C$127,MATCH(INDEX('Rate &amp; Vol Update'!$B$6:$B$127,MATCH(BL28,'Rate &amp; Vol Update'!$B$6:$B$127,1)+1),'Rate &amp; Vol Update'!$B$6:$B$127,0)+IF('Adjustment Surface'!$C$11='Data Validation'!$E$3,-1,0)),INDEX('Rate &amp; Vol Update'!$B$6:$B$127,MATCH(BL28,'Rate &amp; Vol Update'!$B$6:$B$127,1)):INDEX('Rate &amp; Vol Update'!$B$6:$B$127,MATCH(BL28,'Rate &amp; Vol Update'!$B$6:$B$127,1)+1))/100)</f>
        <v>3.3516024401973946E-2</v>
      </c>
      <c r="BS28" s="16" cm="1">
        <f t="array" ref="BS28">IF(BK28="","",IF(BL28&lt;'Rate &amp; Vol Update'!$C$2,0.001%,(1/((INDEX('Rate &amp; Vol Update'!$E$6:$Z$6,1,MATCH(BQ28,'Rate &amp; Vol Update'!$E$6:$Z$6,1)+1)-INDEX('Rate &amp; Vol Update'!$E$6:$Z$6,1,MATCH(BQ28,'Rate &amp; Vol Update'!$E$6:$Z$6,1)))*(INDEX('Rate &amp; Vol Update'!$B$8:$B$127,MATCH(BL28,'Rate &amp; Vol Update'!$B$8:$B$127,1)+1)-INDEX('Rate &amp; Vol Update'!$B$8:$B$127,MATCH(BL28,'Rate &amp; Vol Update'!$B$8:$B$127,1))))*(INDEX('Rate &amp; Vol Update'!$E$8:$Z$127,MATCH(INDEX('Rate &amp; Vol Update'!$B$8:$B$127,MATCH(BL28,'Rate &amp; Vol Update'!$B$8:$B$127,1)),'Rate &amp; Vol Update'!$B$8:$B$127,0),MATCH(INDEX('Rate &amp; Vol Update'!$E$6:$Z$6,1,MATCH(BQ28,'Rate &amp; Vol Update'!$E$6:$Z$6,1)),'Rate &amp; Vol Update'!$E$6:$Z$6,0))*(INDEX('Rate &amp; Vol Update'!$E$6:$Z$6,1,MATCH(BQ28,'Rate &amp; Vol Update'!$E$6:$Z$6,1)+1)-BQ28)*(INDEX('Rate &amp; Vol Update'!$B$8:$B$127,MATCH(BL28,'Rate &amp; Vol Update'!$B$8:$B$127,1)+1)-BL28)+INDEX('Rate &amp; Vol Update'!$E$8:$Z$127,MATCH(INDEX('Rate &amp; Vol Update'!$B$8:$B$127,MATCH(BL28,'Rate &amp; Vol Update'!$B$8:$B$127,1)),'Rate &amp; Vol Update'!$B$8:$B$127,0),MATCH(INDEX('Rate &amp; Vol Update'!$E$6:$Z$6,1,MATCH(BQ28,'Rate &amp; Vol Update'!$E$6:$Z$6,1)+1),'Rate &amp; Vol Update'!$E$6:$Z$6,0))*(BQ28-INDEX('Rate &amp; Vol Update'!$E$6:$Z$6,1,MATCH(BQ28,'Rate &amp; Vol Update'!$E$6:$Z$6,1)))*(INDEX('Rate &amp; Vol Update'!$B$8:$B$127,MATCH(BL28,'Rate &amp; Vol Update'!$B$8:$B$127,1)+1)-BL28)+INDEX('Rate &amp; Vol Update'!$E$8:$Z$127,MATCH(INDEX('Rate &amp; Vol Update'!$B$8:$B$127,MATCH(BL28,'Rate &amp; Vol Update'!$B$8:$B$127,1)+1),'Rate &amp; Vol Update'!$B$8:$B$127,0),MATCH(INDEX('Rate &amp; Vol Update'!$E$6:$Z$6,1,MATCH(BQ28,'Rate &amp; Vol Update'!$E$6:$Z$6,1)),'Rate &amp; Vol Update'!$E$6:$Z$6,0))*(INDEX('Rate &amp; Vol Update'!$E$6:$Z$6,1,MATCH(BQ28,'Rate &amp; Vol Update'!$E$6:$Z$6,1)+1)-BQ28)*(BL28-INDEX('Rate &amp; Vol Update'!$B$8:$B$127,MATCH(BL28,'Rate &amp; Vol Update'!$B$8:$B$127,1)))+INDEX('Rate &amp; Vol Update'!$E$8:$Z$127,MATCH(INDEX('Rate &amp; Vol Update'!$B$8:$B$127,MATCH(BL28,'Rate &amp; Vol Update'!$B$8:$B$127,1)+1),'Rate &amp; Vol Update'!$B$8:$B$127,0),MATCH(INDEX('Rate &amp; Vol Update'!$E$6:$Z$6,1,MATCH(BQ28,'Rate &amp; Vol Update'!$E$6:$Z$6,1)+1),'Rate &amp; Vol Update'!$E$6:$Z$6,0))*(BQ28-INDEX('Rate &amp; Vol Update'!$E$6:$Z$6,1,MATCH(BQ28,'Rate &amp; Vol Update'!$E$6:$Z$6,1)))*(BL28-INDEX('Rate &amp; Vol Update'!$B$8:$B$127,MATCH(BL28,'Rate &amp; Vol Update'!$B$8:$B$127,1)))))*0.01%))</f>
        <v>9.5635952203815926E-3</v>
      </c>
      <c r="BT28" s="5">
        <f>IF(BK28="","",1/((1+BR28)^((BM28-'Rate &amp; Vol Update'!$C$2)/360)))</f>
        <v>0.93285584949753808</v>
      </c>
      <c r="BV28" s="15">
        <f>IF(BK28="","",IF(BL28&lt;'Rate &amp; Vol Update'!$C$2,MAX(0,BR28-BQ28)*(BN28/360)*BP28,(((IF('Adjustment Surface'!$C$2='Data Validation'!$A$2,BR28,IF('Adjustment Surface'!$C$2='Data Validation'!$A$3,BQ28,"Unknown Option Type"))-IF('Adjustment Surface'!$C$2='Data Validation'!$A$2,BQ28,IF('Adjustment Surface'!$C$2='Data Validation'!$A$3,BR28,"Unknown Option Type")))*(NORMDIST((IF('Adjustment Surface'!$C$2='Data Validation'!$A$2,BR28,IF('Adjustment Surface'!$C$2='Data Validation'!$A$3,BQ28,"Unknown Option Type"))-IF('Adjustment Surface'!$C$2='Data Validation'!$A$2,BQ28,IF('Adjustment Surface'!$C$2='Data Validation'!$A$3,BR28,"Unknown Option Type")))/(BS28*SQRT(BO28)),0,1,TRUE)))+((BS28*SQRT(BO28))*(NORMDIST((IF('Adjustment Surface'!$C$2='Data Validation'!$A$2,BR28,IF('Adjustment Surface'!$C$2='Data Validation'!$A$3,BQ28,"Unknown Option Type"))-IF('Adjustment Surface'!$C$2='Data Validation'!$A$2,BQ28,IF('Adjustment Surface'!$C$2='Data Validation'!$A$3,BR28,"Unknown Option Type")))/(BS28*SQRT(BO28)),0,1,FALSE))))*BT28*(BN28/360)*BP28))</f>
        <v>1502.8852656690271</v>
      </c>
      <c r="BW28" s="15">
        <f>IF(BK28="","",SUM(BV$4:BV28))</f>
        <v>8781.3182985938511</v>
      </c>
      <c r="BY28" s="15">
        <f>IF(BK28="","",IF(BL28&lt;'Rate &amp; Vol Update'!$C$2,0,((((((IF('Adjustment Surface'!$C$2='Data Validation'!$A$2,BR28,IF('Adjustment Surface'!$C$2='Data Validation'!$A$3,BQ28,"Unknown Option Type"))-IF('Adjustment Surface'!$C$2='Data Validation'!$A$2,BQ28,IF('Adjustment Surface'!$C$2='Data Validation'!$A$3,BR28,"Unknown Option Type")))*(NORMDIST((IF('Adjustment Surface'!$C$2='Data Validation'!$A$2,BR28,IF('Adjustment Surface'!$C$2='Data Validation'!$A$3,BQ28,"Unknown Option Type"))-IF('Adjustment Surface'!$C$2='Data Validation'!$A$2,BQ28,IF('Adjustment Surface'!$C$2='Data Validation'!$A$3,BR28,"Unknown Option Type")))/((BS28+0.01%)*SQRT(BO28)),0,1,TRUE)))+(((BS28+0.01%)*SQRT(BO28))*(NORMDIST((IF('Adjustment Surface'!$C$2='Data Validation'!$A$2,BR28,IF('Adjustment Surface'!$C$2='Data Validation'!$A$3,BQ28,"Unknown Option Type"))-IF('Adjustment Surface'!$C$2='Data Validation'!$A$2,BQ28,IF('Adjustment Surface'!$C$2='Data Validation'!$A$3,BR28,"Unknown Option Type")))/((BS28+0.01%)*SQRT(BO28)),0,1,FALSE))))*BT28*(BN28/360))-(BV28/BP28))*BP28)*BT28))</f>
        <v>50.551254044818478</v>
      </c>
      <c r="BZ28" s="15">
        <f>IF(BK28="","",SUM(BY$4:BY28))</f>
        <v>410.56254083241402</v>
      </c>
      <c r="CA28" s="15"/>
      <c r="CB28" s="20"/>
      <c r="CC28" s="3">
        <v>25</v>
      </c>
      <c r="CD28" s="4">
        <f>IF(CE27=MAX('Adjustment Surface'!$C$14:$F$14),"",CE27)</f>
        <v>46794</v>
      </c>
      <c r="CE28" s="4">
        <f>IF(CD28="","",IF(CD28&lt;EDATE('Adjustment Surface'!$C$6,DATEDIF('Adjustment Surface'!$C$6,MAX('Adjustment Surface'!$C$14:$F$14),"M")),EDATE(CD$5,COUNT(CD$5:CD28)),IF(CD28=EDATE('Adjustment Surface'!$C$6,DATEDIF('Adjustment Surface'!$C$6,MAX('Adjustment Surface'!$C$14:$F$14),"M")),MAX('Adjustment Surface'!$C$14:$F$14),EDATE('Adjustment Surface'!$C$6,DATEDIF('Adjustment Surface'!$C$6,MAX('Adjustment Surface'!$C$14:$F$14),"M")))))</f>
        <v>46823</v>
      </c>
      <c r="CF28" s="3">
        <f t="shared" si="5"/>
        <v>29</v>
      </c>
      <c r="CG28" s="5">
        <f>IF(CC28="","",(CE28-'Rate &amp; Vol Update'!$C$2)/360)</f>
        <v>2.1083333333333334</v>
      </c>
      <c r="CH28" s="15">
        <f>IF(CC28="","",IF('Adjustment Surface'!$C$3='Data Validation'!$C$2,'Adjustment Surface'!$C$4,_xlfn.IFNA(IF(INDEX(Schedules!$E$3:$E$123,MATCH('Bachelier Model'!CD28,Schedules!$B$3:$B$123,0))="",CH27,INDEX(Schedules!$E$3:$E$123,MATCH('Bachelier Model'!CD28,Schedules!$B$3:$B$123,0))),CH27)))</f>
        <v>25000000</v>
      </c>
      <c r="CI28" s="16">
        <f>IF(CC28="","",'Adjustment Surface'!B$18)</f>
        <v>0.06</v>
      </c>
      <c r="CJ28" s="16" cm="1">
        <f t="array" ref="CJ28">IF(CC28="","",FORECAST(CD28,INDEX('Rate &amp; Vol Update'!$C$6:$C$127,MATCH(INDEX('Rate &amp; Vol Update'!$B$6:$B$127,MATCH(CD28,'Rate &amp; Vol Update'!$B$6:$B$127,1)),'Rate &amp; Vol Update'!$B$6:$B$127,0)+IF('Adjustment Surface'!$C$11='Data Validation'!$E$3,-1,0)):INDEX('Rate &amp; Vol Update'!$C$6:$C$127,MATCH(INDEX('Rate &amp; Vol Update'!$B$6:$B$127,MATCH(CD28,'Rate &amp; Vol Update'!$B$6:$B$127,1)+1),'Rate &amp; Vol Update'!$B$6:$B$127,0)+IF('Adjustment Surface'!$C$11='Data Validation'!$E$3,-1,0)),INDEX('Rate &amp; Vol Update'!$B$6:$B$127,MATCH(CD28,'Rate &amp; Vol Update'!$B$6:$B$127,1)):INDEX('Rate &amp; Vol Update'!$B$6:$B$127,MATCH(CD28,'Rate &amp; Vol Update'!$B$6:$B$127,1)+1))/100)</f>
        <v>3.3516024401973946E-2</v>
      </c>
      <c r="CK28" s="16" cm="1">
        <f t="array" ref="CK28">IF(CC28="","",IF(CD28&lt;'Rate &amp; Vol Update'!$C$2,0.001%,(1/((INDEX('Rate &amp; Vol Update'!$E$6:$Z$6,1,MATCH(CI28,'Rate &amp; Vol Update'!$E$6:$Z$6,1)+1)-INDEX('Rate &amp; Vol Update'!$E$6:$Z$6,1,MATCH(CI28,'Rate &amp; Vol Update'!$E$6:$Z$6,1)))*(INDEX('Rate &amp; Vol Update'!$B$8:$B$127,MATCH(CD28,'Rate &amp; Vol Update'!$B$8:$B$127,1)+1)-INDEX('Rate &amp; Vol Update'!$B$8:$B$127,MATCH(CD28,'Rate &amp; Vol Update'!$B$8:$B$127,1))))*(INDEX('Rate &amp; Vol Update'!$E$8:$Z$127,MATCH(INDEX('Rate &amp; Vol Update'!$B$8:$B$127,MATCH(CD28,'Rate &amp; Vol Update'!$B$8:$B$127,1)),'Rate &amp; Vol Update'!$B$8:$B$127,0),MATCH(INDEX('Rate &amp; Vol Update'!$E$6:$Z$6,1,MATCH(CI28,'Rate &amp; Vol Update'!$E$6:$Z$6,1)),'Rate &amp; Vol Update'!$E$6:$Z$6,0))*(INDEX('Rate &amp; Vol Update'!$E$6:$Z$6,1,MATCH(CI28,'Rate &amp; Vol Update'!$E$6:$Z$6,1)+1)-CI28)*(INDEX('Rate &amp; Vol Update'!$B$8:$B$127,MATCH(CD28,'Rate &amp; Vol Update'!$B$8:$B$127,1)+1)-CD28)+INDEX('Rate &amp; Vol Update'!$E$8:$Z$127,MATCH(INDEX('Rate &amp; Vol Update'!$B$8:$B$127,MATCH(CD28,'Rate &amp; Vol Update'!$B$8:$B$127,1)),'Rate &amp; Vol Update'!$B$8:$B$127,0),MATCH(INDEX('Rate &amp; Vol Update'!$E$6:$Z$6,1,MATCH(CI28,'Rate &amp; Vol Update'!$E$6:$Z$6,1)+1),'Rate &amp; Vol Update'!$E$6:$Z$6,0))*(CI28-INDEX('Rate &amp; Vol Update'!$E$6:$Z$6,1,MATCH(CI28,'Rate &amp; Vol Update'!$E$6:$Z$6,1)))*(INDEX('Rate &amp; Vol Update'!$B$8:$B$127,MATCH(CD28,'Rate &amp; Vol Update'!$B$8:$B$127,1)+1)-CD28)+INDEX('Rate &amp; Vol Update'!$E$8:$Z$127,MATCH(INDEX('Rate &amp; Vol Update'!$B$8:$B$127,MATCH(CD28,'Rate &amp; Vol Update'!$B$8:$B$127,1)+1),'Rate &amp; Vol Update'!$B$8:$B$127,0),MATCH(INDEX('Rate &amp; Vol Update'!$E$6:$Z$6,1,MATCH(CI28,'Rate &amp; Vol Update'!$E$6:$Z$6,1)),'Rate &amp; Vol Update'!$E$6:$Z$6,0))*(INDEX('Rate &amp; Vol Update'!$E$6:$Z$6,1,MATCH(CI28,'Rate &amp; Vol Update'!$E$6:$Z$6,1)+1)-CI28)*(CD28-INDEX('Rate &amp; Vol Update'!$B$8:$B$127,MATCH(CD28,'Rate &amp; Vol Update'!$B$8:$B$127,1)))+INDEX('Rate &amp; Vol Update'!$E$8:$Z$127,MATCH(INDEX('Rate &amp; Vol Update'!$B$8:$B$127,MATCH(CD28,'Rate &amp; Vol Update'!$B$8:$B$127,1)+1),'Rate &amp; Vol Update'!$B$8:$B$127,0),MATCH(INDEX('Rate &amp; Vol Update'!$E$6:$Z$6,1,MATCH(CI28,'Rate &amp; Vol Update'!$E$6:$Z$6,1)+1),'Rate &amp; Vol Update'!$E$6:$Z$6,0))*(CI28-INDEX('Rate &amp; Vol Update'!$E$6:$Z$6,1,MATCH(CI28,'Rate &amp; Vol Update'!$E$6:$Z$6,1)))*(CD28-INDEX('Rate &amp; Vol Update'!$B$8:$B$127,MATCH(CD28,'Rate &amp; Vol Update'!$B$8:$B$127,1)))))*0.01%))</f>
        <v>1.1211783798557032E-2</v>
      </c>
      <c r="CL28" s="5">
        <f>IF(CC28="","",1/((1+CJ28)^((CE28-'Rate &amp; Vol Update'!$C$2)/360)))</f>
        <v>0.93285584949753808</v>
      </c>
      <c r="CN28" s="15">
        <f>IF(CC28="","",IF(CD28&lt;'Rate &amp; Vol Update'!$C$2,MAX(0,CJ28-CI28)*(CF28/360)*CH28,(((IF('Adjustment Surface'!$C$2='Data Validation'!$A$2,CJ28,IF('Adjustment Surface'!$C$2='Data Validation'!$A$3,CI28,"Unknown Option Type"))-IF('Adjustment Surface'!$C$2='Data Validation'!$A$2,CI28,IF('Adjustment Surface'!$C$2='Data Validation'!$A$3,CJ28,"Unknown Option Type")))*(NORMDIST((IF('Adjustment Surface'!$C$2='Data Validation'!$A$2,CJ28,IF('Adjustment Surface'!$C$2='Data Validation'!$A$3,CI28,"Unknown Option Type"))-IF('Adjustment Surface'!$C$2='Data Validation'!$A$2,CI28,IF('Adjustment Surface'!$C$2='Data Validation'!$A$3,CJ28,"Unknown Option Type")))/(CK28*SQRT(CG28)),0,1,TRUE)))+((CK28*SQRT(CG28))*(NORMDIST((IF('Adjustment Surface'!$C$2='Data Validation'!$A$2,CJ28,IF('Adjustment Surface'!$C$2='Data Validation'!$A$3,CI28,"Unknown Option Type"))-IF('Adjustment Surface'!$C$2='Data Validation'!$A$2,CI28,IF('Adjustment Surface'!$C$2='Data Validation'!$A$3,CJ28,"Unknown Option Type")))/(CK28*SQRT(CG28)),0,1,FALSE))))*CL28*(CF28/360)*CH28))</f>
        <v>667.0894741855692</v>
      </c>
      <c r="CO28" s="15">
        <f>IF(CC28="","",SUM(CN$4:CN28))</f>
        <v>3658.0699350586992</v>
      </c>
      <c r="CQ28" s="15">
        <f>IF(CC28="","",IF(CD28&lt;'Rate &amp; Vol Update'!$C$2,0,((((((IF('Adjustment Surface'!$C$2='Data Validation'!$A$2,CJ28,IF('Adjustment Surface'!$C$2='Data Validation'!$A$3,CI28,"Unknown Option Type"))-IF('Adjustment Surface'!$C$2='Data Validation'!$A$2,CI28,IF('Adjustment Surface'!$C$2='Data Validation'!$A$3,CJ28,"Unknown Option Type")))*(NORMDIST((IF('Adjustment Surface'!$C$2='Data Validation'!$A$2,CJ28,IF('Adjustment Surface'!$C$2='Data Validation'!$A$3,CI28,"Unknown Option Type"))-IF('Adjustment Surface'!$C$2='Data Validation'!$A$2,CI28,IF('Adjustment Surface'!$C$2='Data Validation'!$A$3,CJ28,"Unknown Option Type")))/((CK28+0.01%)*SQRT(CG28)),0,1,TRUE)))+(((CK28+0.01%)*SQRT(CG28))*(NORMDIST((IF('Adjustment Surface'!$C$2='Data Validation'!$A$2,CJ28,IF('Adjustment Surface'!$C$2='Data Validation'!$A$3,CI28,"Unknown Option Type"))-IF('Adjustment Surface'!$C$2='Data Validation'!$A$2,CI28,IF('Adjustment Surface'!$C$2='Data Validation'!$A$3,CJ28,"Unknown Option Type")))/((CK28+0.01%)*SQRT(CG28)),0,1,FALSE))))*CL28*(CF28/360))-(CN28/CH28))*CH28)*CL28))</f>
        <v>27.349333694330522</v>
      </c>
      <c r="CR28" s="15">
        <f>IF(CC28="","",SUM(CQ$4:CQ28))</f>
        <v>188.51552175618957</v>
      </c>
    </row>
    <row r="29" spans="7:96" x14ac:dyDescent="0.25">
      <c r="G29" s="28"/>
      <c r="I29" s="3">
        <v>26</v>
      </c>
      <c r="J29" s="4">
        <f>IF(K28='Adjustment Surface'!C$8,"",K28)</f>
        <v>46823</v>
      </c>
      <c r="K29" s="4">
        <f>IF(J29="","",IF(J29&lt;'Adjustment Surface'!C$7,EDATE(J$5,COUNT(J$5:J29)),IF(J29='Adjustment Surface'!C$7,'Adjustment Surface'!C$8,'Adjustment Surface'!C$7)))</f>
        <v>46854</v>
      </c>
      <c r="L29" s="3">
        <f t="shared" si="1"/>
        <v>31</v>
      </c>
      <c r="M29" s="5">
        <f>IF(I29="","",(K29-'Rate &amp; Vol Update'!$C$2)/360)</f>
        <v>2.1944444444444446</v>
      </c>
      <c r="N29" s="15">
        <f>IF(I29="","",IF('Adjustment Surface'!C$3='Data Validation'!$C$2,'Adjustment Surface'!C$4,IF(INDEX(Schedules!$E$3:$E$123,MATCH('Bachelier Model'!J29,Schedules!$B$3:$B$123,0))="",N28,INDEX(Schedules!$E$3:$E$123,MATCH('Bachelier Model'!J29,Schedules!$B$3:$B$123,0)))))</f>
        <v>25000000</v>
      </c>
      <c r="O29" s="16">
        <f>IF(I29="","",IF('Adjustment Surface'!C$9='Data Validation'!$D$2,'Adjustment Surface'!C$10,IF(INDEX(Schedules!$H$3:$H$123,MATCH('Bachelier Model'!J29,Schedules!$B$3:$B$123,0))="",O28,INDEX(Schedules!$H$3:$H$123,MATCH('Bachelier Model'!J29,Schedules!$B$3:$B$123,0)))))</f>
        <v>0.02</v>
      </c>
      <c r="P29" s="16" cm="1">
        <f t="array" ref="P29">IF(I29="","",FORECAST(J29,INDEX('Rate &amp; Vol Update'!$C$6:$C$127,MATCH(INDEX('Rate &amp; Vol Update'!$B$6:$B$127,MATCH(J29,'Rate &amp; Vol Update'!$B$6:$B$127,1)),'Rate &amp; Vol Update'!$B$6:$B$127,0)+IF('Adjustment Surface'!C$11='Data Validation'!$E$3,-1,0)):INDEX('Rate &amp; Vol Update'!$C$6:$C$127,MATCH(INDEX('Rate &amp; Vol Update'!$B$6:$B$127,MATCH(J29,'Rate &amp; Vol Update'!$B$6:$B$127,1)+1),'Rate &amp; Vol Update'!$B$6:$B$127,0)+IF('Adjustment Surface'!C$11='Data Validation'!$E$3,-1,0)),INDEX('Rate &amp; Vol Update'!$B$6:$B$127,MATCH(J29,'Rate &amp; Vol Update'!$B$6:$B$127,1)):INDEX('Rate &amp; Vol Update'!$B$6:$B$127,MATCH(J29,'Rate &amp; Vol Update'!$B$6:$B$127,1)+1))/100)</f>
        <v>3.3568865638292748E-2</v>
      </c>
      <c r="Q29" s="16" cm="1">
        <f t="array" ref="Q29">IF(I29="","",IF(J29&lt;'Rate &amp; Vol Update'!$C$2,0.001%,(1/((INDEX('Rate &amp; Vol Update'!$E$6:$Z$6,1,MATCH(O29,'Rate &amp; Vol Update'!$E$6:$Z$6,1)+1)-INDEX('Rate &amp; Vol Update'!$E$6:$Z$6,1,MATCH(O29,'Rate &amp; Vol Update'!$E$6:$Z$6,1)))*(INDEX('Rate &amp; Vol Update'!$B$8:$B$127,MATCH(J29,'Rate &amp; Vol Update'!$B$8:$B$127,1)+1)-INDEX('Rate &amp; Vol Update'!$B$8:$B$127,MATCH(J29,'Rate &amp; Vol Update'!$B$8:$B$127,1))))*(INDEX('Rate &amp; Vol Update'!$E$8:$Z$127,MATCH(INDEX('Rate &amp; Vol Update'!$B$8:$B$127,MATCH(J29,'Rate &amp; Vol Update'!$B$8:$B$127,1)),'Rate &amp; Vol Update'!$B$8:$B$127,0),MATCH(INDEX('Rate &amp; Vol Update'!$E$6:$Z$6,1,MATCH(O29,'Rate &amp; Vol Update'!$E$6:$Z$6,1)),'Rate &amp; Vol Update'!$E$6:$Z$6,0))*(INDEX('Rate &amp; Vol Update'!$E$6:$Z$6,1,MATCH(O29,'Rate &amp; Vol Update'!$E$6:$Z$6,1)+1)-O29)*(INDEX('Rate &amp; Vol Update'!$B$8:$B$127,MATCH(J29,'Rate &amp; Vol Update'!$B$8:$B$127,1)+1)-J29)+INDEX('Rate &amp; Vol Update'!$E$8:$Z$127,MATCH(INDEX('Rate &amp; Vol Update'!$B$8:$B$127,MATCH(J29,'Rate &amp; Vol Update'!$B$8:$B$127,1)),'Rate &amp; Vol Update'!$B$8:$B$127,0),MATCH(INDEX('Rate &amp; Vol Update'!$E$6:$Z$6,1,MATCH(O29,'Rate &amp; Vol Update'!$E$6:$Z$6,1)+1),'Rate &amp; Vol Update'!$E$6:$Z$6,0))*(O29-INDEX('Rate &amp; Vol Update'!$E$6:$Z$6,1,MATCH(O29,'Rate &amp; Vol Update'!$E$6:$Z$6,1)))*(INDEX('Rate &amp; Vol Update'!$B$8:$B$127,MATCH(J29,'Rate &amp; Vol Update'!$B$8:$B$127,1)+1)-J29)+INDEX('Rate &amp; Vol Update'!$E$8:$Z$127,MATCH(INDEX('Rate &amp; Vol Update'!$B$8:$B$127,MATCH(J29,'Rate &amp; Vol Update'!$B$8:$B$127,1)+1),'Rate &amp; Vol Update'!$B$8:$B$127,0),MATCH(INDEX('Rate &amp; Vol Update'!$E$6:$Z$6,1,MATCH(O29,'Rate &amp; Vol Update'!$E$6:$Z$6,1)),'Rate &amp; Vol Update'!$E$6:$Z$6,0))*(INDEX('Rate &amp; Vol Update'!$E$6:$Z$6,1,MATCH(O29,'Rate &amp; Vol Update'!$E$6:$Z$6,1)+1)-O29)*(J29-INDEX('Rate &amp; Vol Update'!$B$8:$B$127,MATCH(J29,'Rate &amp; Vol Update'!$B$8:$B$127,1)))+INDEX('Rate &amp; Vol Update'!$E$8:$Z$127,MATCH(INDEX('Rate &amp; Vol Update'!$B$8:$B$127,MATCH(J29,'Rate &amp; Vol Update'!$B$8:$B$127,1)+1),'Rate &amp; Vol Update'!$B$8:$B$127,0),MATCH(INDEX('Rate &amp; Vol Update'!$E$6:$Z$6,1,MATCH(O29,'Rate &amp; Vol Update'!$E$6:$Z$6,1)+1),'Rate &amp; Vol Update'!$E$6:$Z$6,0))*(O29-INDEX('Rate &amp; Vol Update'!$E$6:$Z$6,1,MATCH(O29,'Rate &amp; Vol Update'!$E$6:$Z$6,1)))*(J29-INDEX('Rate &amp; Vol Update'!$B$8:$B$127,MATCH(J29,'Rate &amp; Vol Update'!$B$8:$B$127,1)))))*0.01%))</f>
        <v>9.0762335261534467E-3</v>
      </c>
      <c r="R29" s="5">
        <f>IF(I29="","",1/((1+P29)^((K29-'Rate &amp; Vol Update'!$C$2)/360)))</f>
        <v>0.93010706379190022</v>
      </c>
      <c r="T29" s="15">
        <f>IF(I29="","",IF(J29&lt;'Rate &amp; Vol Update'!$C$2,MAX(0,P29-O29)*(L29/360)*N29,(((IF('Adjustment Surface'!C$2='Data Validation'!$A$2,P29,IF('Adjustment Surface'!C$2='Data Validation'!$A$3,O29,"Unknown Option Type"))-IF('Adjustment Surface'!C$2='Data Validation'!$A$2,O29,IF('Adjustment Surface'!C$2='Data Validation'!$A$3,P29,"Unknown Option Type")))*(NORMDIST((IF('Adjustment Surface'!C$2='Data Validation'!$A$2,P29,IF('Adjustment Surface'!C$2='Data Validation'!$A$3,O29,"Unknown Option Type"))-IF('Adjustment Surface'!C$2='Data Validation'!$A$2,O29,IF('Adjustment Surface'!C$2='Data Validation'!$A$3,P29,"Unknown Option Type")))/(Q29*SQRT(M29)),0,1,TRUE)))+((Q29*SQRT(M29))*(NORMDIST((IF('Adjustment Surface'!C$2='Data Validation'!$A$2,P29,IF('Adjustment Surface'!C$2='Data Validation'!$A$3,O29,"Unknown Option Type"))-IF('Adjustment Surface'!C$2='Data Validation'!$A$2,O29,IF('Adjustment Surface'!C$2='Data Validation'!$A$3,P29,"Unknown Option Type")))/(Q29*SQRT(M29)),0,1,FALSE))))*R29*(L29/360)*N29))</f>
        <v>29373.10456562083</v>
      </c>
      <c r="U29" s="15">
        <f>IF(I29="","",SUM(T$4:T29))</f>
        <v>724293.93761142204</v>
      </c>
      <c r="W29" s="15">
        <f>IF(I29="","",IF(J29&lt;'Rate &amp; Vol Update'!$C$2,0,((((((IF('Adjustment Surface'!C$2='Data Validation'!$A$2,P29,IF('Adjustment Surface'!C$2='Data Validation'!$A$3,O29,"Unknown Option Type"))-IF('Adjustment Surface'!C$2='Data Validation'!$A$2,O29,IF('Adjustment Surface'!C$2='Data Validation'!$A$3,P29,"Unknown Option Type")))*(NORMDIST((IF('Adjustment Surface'!C$2='Data Validation'!$A$2,P29,IF('Adjustment Surface'!C$2='Data Validation'!$A$3,O29,"Unknown Option Type"))-IF('Adjustment Surface'!C$2='Data Validation'!$A$2,O29,IF('Adjustment Surface'!C$2='Data Validation'!$A$3,P29,"Unknown Option Type")))/((Q29+0.01%)*SQRT(M29)),0,1,TRUE)))+(((Q29+0.01%)*SQRT(M29))*(NORMDIST((IF('Adjustment Surface'!C$2='Data Validation'!$A$2,P29,IF('Adjustment Surface'!C$2='Data Validation'!$A$3,O29,"Unknown Option Type"))-IF('Adjustment Surface'!C$2='Data Validation'!$A$2,O29,IF('Adjustment Surface'!C$2='Data Validation'!$A$3,P29,"Unknown Option Type")))/((Q29+0.01%)*SQRT(M29)),0,1,FALSE))))*R29*(L29/360))-(T29/N29))*N29)*R29))</f>
        <v>66.510520082492349</v>
      </c>
      <c r="X29" s="15">
        <f>IF(I29="","",SUM(W$4:W29))</f>
        <v>959.63149110219479</v>
      </c>
      <c r="Y29" s="15"/>
      <c r="Z29" s="20"/>
      <c r="AA29" s="3">
        <v>26</v>
      </c>
      <c r="AB29" s="4">
        <f>IF(AC28=MAX('Adjustment Surface'!$C$14:$F$14),"",AC28)</f>
        <v>46823</v>
      </c>
      <c r="AC29" s="4">
        <f>IF(AB29="","",IF(AB29&lt;EDATE('Adjustment Surface'!$C$6,DATEDIF('Adjustment Surface'!$C$6,MAX('Adjustment Surface'!$C$14:$F$14),"M")),EDATE(AB$5,COUNT(AB$5:AB29)),IF(AB29=EDATE('Adjustment Surface'!$C$6,DATEDIF('Adjustment Surface'!$C$6,MAX('Adjustment Surface'!$C$14:$F$14),"M")),MAX('Adjustment Surface'!$C$14:$F$14),EDATE('Adjustment Surface'!$C$6,DATEDIF('Adjustment Surface'!$C$6,MAX('Adjustment Surface'!$C$14:$F$14),"M")))))</f>
        <v>46854</v>
      </c>
      <c r="AD29" s="3">
        <f t="shared" si="2"/>
        <v>31</v>
      </c>
      <c r="AE29" s="5">
        <f>IF(AA29="","",(AC29-'Rate &amp; Vol Update'!$C$2)/360)</f>
        <v>2.1944444444444446</v>
      </c>
      <c r="AF29" s="15">
        <f>IF(AA29="","",IF('Adjustment Surface'!$C$3='Data Validation'!$C$2,'Adjustment Surface'!$C$4,_xlfn.IFNA(IF(INDEX(Schedules!$E$3:$E$123,MATCH('Bachelier Model'!AB29,Schedules!$B$3:$B$123,0))="",AF28,INDEX(Schedules!$E$3:$E$123,MATCH('Bachelier Model'!AB29,Schedules!$B$3:$B$123,0))),AF28)))</f>
        <v>25000000</v>
      </c>
      <c r="AG29" s="16">
        <f>IF(AA29="","",'Adjustment Surface'!B$15)</f>
        <v>0.03</v>
      </c>
      <c r="AH29" s="16" cm="1">
        <f t="array" ref="AH29">IF(AA29="","",FORECAST(AB29,INDEX('Rate &amp; Vol Update'!$C$6:$C$127,MATCH(INDEX('Rate &amp; Vol Update'!$B$6:$B$127,MATCH(AB29,'Rate &amp; Vol Update'!$B$6:$B$127,1)),'Rate &amp; Vol Update'!$B$6:$B$127,0)+IF('Adjustment Surface'!$C$11='Data Validation'!$E$3,-1,0)):INDEX('Rate &amp; Vol Update'!$C$6:$C$127,MATCH(INDEX('Rate &amp; Vol Update'!$B$6:$B$127,MATCH(AB29,'Rate &amp; Vol Update'!$B$6:$B$127,1)+1),'Rate &amp; Vol Update'!$B$6:$B$127,0)+IF('Adjustment Surface'!$C$11='Data Validation'!$E$3,-1,0)),INDEX('Rate &amp; Vol Update'!$B$6:$B$127,MATCH(AB29,'Rate &amp; Vol Update'!$B$6:$B$127,1)):INDEX('Rate &amp; Vol Update'!$B$6:$B$127,MATCH(AB29,'Rate &amp; Vol Update'!$B$6:$B$127,1)+1))/100)</f>
        <v>3.3568865638292748E-2</v>
      </c>
      <c r="AI29" s="16" cm="1">
        <f t="array" ref="AI29">IF(AA29="","",IF(AB29&lt;'Rate &amp; Vol Update'!$C$2,0.001%,(1/((INDEX('Rate &amp; Vol Update'!$E$6:$Z$6,1,MATCH(AG29,'Rate &amp; Vol Update'!$E$6:$Z$6,1)+1)-INDEX('Rate &amp; Vol Update'!$E$6:$Z$6,1,MATCH(AG29,'Rate &amp; Vol Update'!$E$6:$Z$6,1)))*(INDEX('Rate &amp; Vol Update'!$B$8:$B$127,MATCH(AB29,'Rate &amp; Vol Update'!$B$8:$B$127,1)+1)-INDEX('Rate &amp; Vol Update'!$B$8:$B$127,MATCH(AB29,'Rate &amp; Vol Update'!$B$8:$B$127,1))))*(INDEX('Rate &amp; Vol Update'!$E$8:$Z$127,MATCH(INDEX('Rate &amp; Vol Update'!$B$8:$B$127,MATCH(AB29,'Rate &amp; Vol Update'!$B$8:$B$127,1)),'Rate &amp; Vol Update'!$B$8:$B$127,0),MATCH(INDEX('Rate &amp; Vol Update'!$E$6:$Z$6,1,MATCH(AG29,'Rate &amp; Vol Update'!$E$6:$Z$6,1)),'Rate &amp; Vol Update'!$E$6:$Z$6,0))*(INDEX('Rate &amp; Vol Update'!$E$6:$Z$6,1,MATCH(AG29,'Rate &amp; Vol Update'!$E$6:$Z$6,1)+1)-AG29)*(INDEX('Rate &amp; Vol Update'!$B$8:$B$127,MATCH(AB29,'Rate &amp; Vol Update'!$B$8:$B$127,1)+1)-AB29)+INDEX('Rate &amp; Vol Update'!$E$8:$Z$127,MATCH(INDEX('Rate &amp; Vol Update'!$B$8:$B$127,MATCH(AB29,'Rate &amp; Vol Update'!$B$8:$B$127,1)),'Rate &amp; Vol Update'!$B$8:$B$127,0),MATCH(INDEX('Rate &amp; Vol Update'!$E$6:$Z$6,1,MATCH(AG29,'Rate &amp; Vol Update'!$E$6:$Z$6,1)+1),'Rate &amp; Vol Update'!$E$6:$Z$6,0))*(AG29-INDEX('Rate &amp; Vol Update'!$E$6:$Z$6,1,MATCH(AG29,'Rate &amp; Vol Update'!$E$6:$Z$6,1)))*(INDEX('Rate &amp; Vol Update'!$B$8:$B$127,MATCH(AB29,'Rate &amp; Vol Update'!$B$8:$B$127,1)+1)-AB29)+INDEX('Rate &amp; Vol Update'!$E$8:$Z$127,MATCH(INDEX('Rate &amp; Vol Update'!$B$8:$B$127,MATCH(AB29,'Rate &amp; Vol Update'!$B$8:$B$127,1)+1),'Rate &amp; Vol Update'!$B$8:$B$127,0),MATCH(INDEX('Rate &amp; Vol Update'!$E$6:$Z$6,1,MATCH(AG29,'Rate &amp; Vol Update'!$E$6:$Z$6,1)),'Rate &amp; Vol Update'!$E$6:$Z$6,0))*(INDEX('Rate &amp; Vol Update'!$E$6:$Z$6,1,MATCH(AG29,'Rate &amp; Vol Update'!$E$6:$Z$6,1)+1)-AG29)*(AB29-INDEX('Rate &amp; Vol Update'!$B$8:$B$127,MATCH(AB29,'Rate &amp; Vol Update'!$B$8:$B$127,1)))+INDEX('Rate &amp; Vol Update'!$E$8:$Z$127,MATCH(INDEX('Rate &amp; Vol Update'!$B$8:$B$127,MATCH(AB29,'Rate &amp; Vol Update'!$B$8:$B$127,1)+1),'Rate &amp; Vol Update'!$B$8:$B$127,0),MATCH(INDEX('Rate &amp; Vol Update'!$E$6:$Z$6,1,MATCH(AG29,'Rate &amp; Vol Update'!$E$6:$Z$6,1)+1),'Rate &amp; Vol Update'!$E$6:$Z$6,0))*(AG29-INDEX('Rate &amp; Vol Update'!$E$6:$Z$6,1,MATCH(AG29,'Rate &amp; Vol Update'!$E$6:$Z$6,1)))*(AB29-INDEX('Rate &amp; Vol Update'!$B$8:$B$127,MATCH(AB29,'Rate &amp; Vol Update'!$B$8:$B$127,1)))))*0.01%))</f>
        <v>8.1648612456301697E-3</v>
      </c>
      <c r="AJ29" s="5">
        <f>IF(AA29="","",1/((1+AH29)^((AC29-'Rate &amp; Vol Update'!$C$2)/360)))</f>
        <v>0.93010706379190022</v>
      </c>
      <c r="AL29" s="15">
        <f>IF(AA29="","",IF(AB29&lt;'Rate &amp; Vol Update'!$C$2,MAX(0,AH29-AG29)*(AD29/360)*AF29,(((IF('Adjustment Surface'!$C$2='Data Validation'!$A$2,AH29,IF('Adjustment Surface'!$C$2='Data Validation'!$A$3,AG29,"Unknown Option Type"))-IF('Adjustment Surface'!$C$2='Data Validation'!$A$2,AG29,IF('Adjustment Surface'!$C$2='Data Validation'!$A$3,AH29,"Unknown Option Type")))*(NORMDIST((IF('Adjustment Surface'!$C$2='Data Validation'!$A$2,AH29,IF('Adjustment Surface'!$C$2='Data Validation'!$A$3,AG29,"Unknown Option Type"))-IF('Adjustment Surface'!$C$2='Data Validation'!$A$2,AG29,IF('Adjustment Surface'!$C$2='Data Validation'!$A$3,AH29,"Unknown Option Type")))/(AI29*SQRT(AE29)),0,1,TRUE)))+((AI29*SQRT(AE29))*(NORMDIST((IF('Adjustment Surface'!$C$2='Data Validation'!$A$2,AH29,IF('Adjustment Surface'!$C$2='Data Validation'!$A$3,AG29,"Unknown Option Type"))-IF('Adjustment Surface'!$C$2='Data Validation'!$A$2,AG29,IF('Adjustment Surface'!$C$2='Data Validation'!$A$3,AH29,"Unknown Option Type")))/(AI29*SQRT(AE29)),0,1,FALSE))))*AJ29*(AD29/360)*AF29))</f>
        <v>13652.256592058073</v>
      </c>
      <c r="AM29" s="15">
        <f>IF(AA29="","",SUM(AL$4:AL29))</f>
        <v>269144.68911661138</v>
      </c>
      <c r="AO29" s="15">
        <f>IF(AA29="","",IF(AB29&lt;'Rate &amp; Vol Update'!$C$2,0,((((((IF('Adjustment Surface'!$C$2='Data Validation'!$A$2,AH29,IF('Adjustment Surface'!$C$2='Data Validation'!$A$3,AG29,"Unknown Option Type"))-IF('Adjustment Surface'!$C$2='Data Validation'!$A$2,AG29,IF('Adjustment Surface'!$C$2='Data Validation'!$A$3,AH29,"Unknown Option Type")))*(NORMDIST((IF('Adjustment Surface'!$C$2='Data Validation'!$A$2,AH29,IF('Adjustment Surface'!$C$2='Data Validation'!$A$3,AG29,"Unknown Option Type"))-IF('Adjustment Surface'!$C$2='Data Validation'!$A$2,AG29,IF('Adjustment Surface'!$C$2='Data Validation'!$A$3,AH29,"Unknown Option Type")))/((AI29+0.01%)*SQRT(AE29)),0,1,TRUE)))+(((AI29+0.01%)*SQRT(AE29))*(NORMDIST((IF('Adjustment Surface'!$C$2='Data Validation'!$A$2,AH29,IF('Adjustment Surface'!$C$2='Data Validation'!$A$3,AG29,"Unknown Option Type"))-IF('Adjustment Surface'!$C$2='Data Validation'!$A$2,AG29,IF('Adjustment Surface'!$C$2='Data Validation'!$A$3,AH29,"Unknown Option Type")))/((AI29+0.01%)*SQRT(AE29)),0,1,FALSE))))*AJ29*(AD29/360))-(AL29/AF29))*AF29)*AJ29))</f>
        <v>105.42910678040177</v>
      </c>
      <c r="AP29" s="15">
        <f>IF(AA29="","",SUM(AO$4:AO29))</f>
        <v>1809.7284896700621</v>
      </c>
      <c r="AQ29" s="15"/>
      <c r="AR29" s="20"/>
      <c r="AS29" s="3">
        <v>26</v>
      </c>
      <c r="AT29" s="4">
        <f>IF(AU28=MAX('Adjustment Surface'!$C$14:$F$14),"",AU28)</f>
        <v>46823</v>
      </c>
      <c r="AU29" s="4">
        <f>IF(AT29="","",IF(AT29&lt;EDATE('Adjustment Surface'!$C$6,DATEDIF('Adjustment Surface'!$C$6,MAX('Adjustment Surface'!$C$14:$F$14),"M")),EDATE(AT$5,COUNT(AT$5:AT29)),IF(AT29=EDATE('Adjustment Surface'!$C$6,DATEDIF('Adjustment Surface'!$C$6,MAX('Adjustment Surface'!$C$14:$F$14),"M")),MAX('Adjustment Surface'!$C$14:$F$14),EDATE('Adjustment Surface'!$C$6,DATEDIF('Adjustment Surface'!$C$6,MAX('Adjustment Surface'!$C$14:$F$14),"M")))))</f>
        <v>46854</v>
      </c>
      <c r="AV29" s="3">
        <f t="shared" si="3"/>
        <v>31</v>
      </c>
      <c r="AW29" s="5">
        <f>IF(AS29="","",(AU29-'Rate &amp; Vol Update'!$C$2)/360)</f>
        <v>2.1944444444444446</v>
      </c>
      <c r="AX29" s="15">
        <f>IF(AS29="","",IF('Adjustment Surface'!$C$3='Data Validation'!$C$2,'Adjustment Surface'!$C$4,_xlfn.IFNA(IF(INDEX(Schedules!$E$3:$E$123,MATCH('Bachelier Model'!AT29,Schedules!$B$3:$B$123,0))="",AX28,INDEX(Schedules!$E$3:$E$123,MATCH('Bachelier Model'!AT29,Schedules!$B$3:$B$123,0))),AX28)))</f>
        <v>25000000</v>
      </c>
      <c r="AY29" s="16">
        <f>IF(AS29="","",'Adjustment Surface'!B$16)</f>
        <v>0.04</v>
      </c>
      <c r="AZ29" s="16" cm="1">
        <f t="array" ref="AZ29">IF(AS29="","",FORECAST(AT29,INDEX('Rate &amp; Vol Update'!$C$6:$C$127,MATCH(INDEX('Rate &amp; Vol Update'!$B$6:$B$127,MATCH(AT29,'Rate &amp; Vol Update'!$B$6:$B$127,1)),'Rate &amp; Vol Update'!$B$6:$B$127,0)+IF('Adjustment Surface'!$C$11='Data Validation'!$E$3,-1,0)):INDEX('Rate &amp; Vol Update'!$C$6:$C$127,MATCH(INDEX('Rate &amp; Vol Update'!$B$6:$B$127,MATCH(AT29,'Rate &amp; Vol Update'!$B$6:$B$127,1)+1),'Rate &amp; Vol Update'!$B$6:$B$127,0)+IF('Adjustment Surface'!$C$11='Data Validation'!$E$3,-1,0)),INDEX('Rate &amp; Vol Update'!$B$6:$B$127,MATCH(AT29,'Rate &amp; Vol Update'!$B$6:$B$127,1)):INDEX('Rate &amp; Vol Update'!$B$6:$B$127,MATCH(AT29,'Rate &amp; Vol Update'!$B$6:$B$127,1)+1))/100)</f>
        <v>3.3568865638292748E-2</v>
      </c>
      <c r="BA29" s="16" cm="1">
        <f t="array" ref="BA29">IF(AS29="","",IF(AT29&lt;'Rate &amp; Vol Update'!$C$2,0.001%,(1/((INDEX('Rate &amp; Vol Update'!$E$6:$Z$6,1,MATCH(AY29,'Rate &amp; Vol Update'!$E$6:$Z$6,1)+1)-INDEX('Rate &amp; Vol Update'!$E$6:$Z$6,1,MATCH(AY29,'Rate &amp; Vol Update'!$E$6:$Z$6,1)))*(INDEX('Rate &amp; Vol Update'!$B$8:$B$127,MATCH(AT29,'Rate &amp; Vol Update'!$B$8:$B$127,1)+1)-INDEX('Rate &amp; Vol Update'!$B$8:$B$127,MATCH(AT29,'Rate &amp; Vol Update'!$B$8:$B$127,1))))*(INDEX('Rate &amp; Vol Update'!$E$8:$Z$127,MATCH(INDEX('Rate &amp; Vol Update'!$B$8:$B$127,MATCH(AT29,'Rate &amp; Vol Update'!$B$8:$B$127,1)),'Rate &amp; Vol Update'!$B$8:$B$127,0),MATCH(INDEX('Rate &amp; Vol Update'!$E$6:$Z$6,1,MATCH(AY29,'Rate &amp; Vol Update'!$E$6:$Z$6,1)),'Rate &amp; Vol Update'!$E$6:$Z$6,0))*(INDEX('Rate &amp; Vol Update'!$E$6:$Z$6,1,MATCH(AY29,'Rate &amp; Vol Update'!$E$6:$Z$6,1)+1)-AY29)*(INDEX('Rate &amp; Vol Update'!$B$8:$B$127,MATCH(AT29,'Rate &amp; Vol Update'!$B$8:$B$127,1)+1)-AT29)+INDEX('Rate &amp; Vol Update'!$E$8:$Z$127,MATCH(INDEX('Rate &amp; Vol Update'!$B$8:$B$127,MATCH(AT29,'Rate &amp; Vol Update'!$B$8:$B$127,1)),'Rate &amp; Vol Update'!$B$8:$B$127,0),MATCH(INDEX('Rate &amp; Vol Update'!$E$6:$Z$6,1,MATCH(AY29,'Rate &amp; Vol Update'!$E$6:$Z$6,1)+1),'Rate &amp; Vol Update'!$E$6:$Z$6,0))*(AY29-INDEX('Rate &amp; Vol Update'!$E$6:$Z$6,1,MATCH(AY29,'Rate &amp; Vol Update'!$E$6:$Z$6,1)))*(INDEX('Rate &amp; Vol Update'!$B$8:$B$127,MATCH(AT29,'Rate &amp; Vol Update'!$B$8:$B$127,1)+1)-AT29)+INDEX('Rate &amp; Vol Update'!$E$8:$Z$127,MATCH(INDEX('Rate &amp; Vol Update'!$B$8:$B$127,MATCH(AT29,'Rate &amp; Vol Update'!$B$8:$B$127,1)+1),'Rate &amp; Vol Update'!$B$8:$B$127,0),MATCH(INDEX('Rate &amp; Vol Update'!$E$6:$Z$6,1,MATCH(AY29,'Rate &amp; Vol Update'!$E$6:$Z$6,1)),'Rate &amp; Vol Update'!$E$6:$Z$6,0))*(INDEX('Rate &amp; Vol Update'!$E$6:$Z$6,1,MATCH(AY29,'Rate &amp; Vol Update'!$E$6:$Z$6,1)+1)-AY29)*(AT29-INDEX('Rate &amp; Vol Update'!$B$8:$B$127,MATCH(AT29,'Rate &amp; Vol Update'!$B$8:$B$127,1)))+INDEX('Rate &amp; Vol Update'!$E$8:$Z$127,MATCH(INDEX('Rate &amp; Vol Update'!$B$8:$B$127,MATCH(AT29,'Rate &amp; Vol Update'!$B$8:$B$127,1)+1),'Rate &amp; Vol Update'!$B$8:$B$127,0),MATCH(INDEX('Rate &amp; Vol Update'!$E$6:$Z$6,1,MATCH(AY29,'Rate &amp; Vol Update'!$E$6:$Z$6,1)+1),'Rate &amp; Vol Update'!$E$6:$Z$6,0))*(AY29-INDEX('Rate &amp; Vol Update'!$E$6:$Z$6,1,MATCH(AY29,'Rate &amp; Vol Update'!$E$6:$Z$6,1)))*(AT29-INDEX('Rate &amp; Vol Update'!$B$8:$B$127,MATCH(AT29,'Rate &amp; Vol Update'!$B$8:$B$127,1)))))*0.01%))</f>
        <v>8.3199141510320856E-3</v>
      </c>
      <c r="BB29" s="5">
        <f>IF(AS29="","",1/((1+AZ29)^((AU29-'Rate &amp; Vol Update'!$C$2)/360)))</f>
        <v>0.93010706379190022</v>
      </c>
      <c r="BD29" s="15">
        <f>IF(AS29="","",IF(AT29&lt;'Rate &amp; Vol Update'!$C$2,MAX(0,AZ29-AY29)*(AV29/360)*AX29,(((IF('Adjustment Surface'!$C$2='Data Validation'!$A$2,AZ29,IF('Adjustment Surface'!$C$2='Data Validation'!$A$3,AY29,"Unknown Option Type"))-IF('Adjustment Surface'!$C$2='Data Validation'!$A$2,AY29,IF('Adjustment Surface'!$C$2='Data Validation'!$A$3,AZ29,"Unknown Option Type")))*(NORMDIST((IF('Adjustment Surface'!$C$2='Data Validation'!$A$2,AZ29,IF('Adjustment Surface'!$C$2='Data Validation'!$A$3,AY29,"Unknown Option Type"))-IF('Adjustment Surface'!$C$2='Data Validation'!$A$2,AY29,IF('Adjustment Surface'!$C$2='Data Validation'!$A$3,AZ29,"Unknown Option Type")))/(BA29*SQRT(AW29)),0,1,TRUE)))+((BA29*SQRT(AW29))*(NORMDIST((IF('Adjustment Surface'!$C$2='Data Validation'!$A$2,AZ29,IF('Adjustment Surface'!$C$2='Data Validation'!$A$3,AY29,"Unknown Option Type"))-IF('Adjustment Surface'!$C$2='Data Validation'!$A$2,AY29,IF('Adjustment Surface'!$C$2='Data Validation'!$A$3,AZ29,"Unknown Option Type")))/(BA29*SQRT(AW29)),0,1,FALSE))))*BB29*(AV29/360)*AX29))</f>
        <v>4717.3082261414065</v>
      </c>
      <c r="BE29" s="15">
        <f>IF(AS29="","",SUM(BD$4:BD29))</f>
        <v>39471.184022716654</v>
      </c>
      <c r="BG29" s="15">
        <f>IF(AS29="","",IF(AT29&lt;'Rate &amp; Vol Update'!$C$2,0,((((((IF('Adjustment Surface'!$C$2='Data Validation'!$A$2,AZ29,IF('Adjustment Surface'!$C$2='Data Validation'!$A$3,AY29,"Unknown Option Type"))-IF('Adjustment Surface'!$C$2='Data Validation'!$A$2,AY29,IF('Adjustment Surface'!$C$2='Data Validation'!$A$3,AZ29,"Unknown Option Type")))*(NORMDIST((IF('Adjustment Surface'!$C$2='Data Validation'!$A$2,AZ29,IF('Adjustment Surface'!$C$2='Data Validation'!$A$3,AY29,"Unknown Option Type"))-IF('Adjustment Surface'!$C$2='Data Validation'!$A$2,AY29,IF('Adjustment Surface'!$C$2='Data Validation'!$A$3,AZ29,"Unknown Option Type")))/((BA29+0.01%)*SQRT(AW29)),0,1,TRUE)))+(((BA29+0.01%)*SQRT(AW29))*(NORMDIST((IF('Adjustment Surface'!$C$2='Data Validation'!$A$2,AZ29,IF('Adjustment Surface'!$C$2='Data Validation'!$A$3,AY29,"Unknown Option Type"))-IF('Adjustment Surface'!$C$2='Data Validation'!$A$2,AY29,IF('Adjustment Surface'!$C$2='Data Validation'!$A$3,AZ29,"Unknown Option Type")))/((BA29+0.01%)*SQRT(AW29)),0,1,FALSE))))*BB29*(AV29/360))-(BD29/AX29))*AX29)*BB29))</f>
        <v>96.208927022126232</v>
      </c>
      <c r="BH29" s="15">
        <f>IF(AS29="","",SUM(BG$4:BG29))</f>
        <v>1276.4843394184472</v>
      </c>
      <c r="BI29" s="15"/>
      <c r="BJ29" s="20"/>
      <c r="BK29" s="3">
        <v>26</v>
      </c>
      <c r="BL29" s="4">
        <f>IF(BM28=MAX('Adjustment Surface'!$C$14:$F$14),"",BM28)</f>
        <v>46823</v>
      </c>
      <c r="BM29" s="4">
        <f>IF(BL29="","",IF(BL29&lt;EDATE('Adjustment Surface'!$C$6,DATEDIF('Adjustment Surface'!$C$6,MAX('Adjustment Surface'!$C$14:$F$14),"M")),EDATE(BL$5,COUNT(BL$5:BL29)),IF(BL29=EDATE('Adjustment Surface'!$C$6,DATEDIF('Adjustment Surface'!$C$6,MAX('Adjustment Surface'!$C$14:$F$14),"M")),MAX('Adjustment Surface'!$C$14:$F$14),EDATE('Adjustment Surface'!$C$6,DATEDIF('Adjustment Surface'!$C$6,MAX('Adjustment Surface'!$C$14:$F$14),"M")))))</f>
        <v>46854</v>
      </c>
      <c r="BN29" s="3">
        <f t="shared" si="4"/>
        <v>31</v>
      </c>
      <c r="BO29" s="5">
        <f>IF(BK29="","",(BM29-'Rate &amp; Vol Update'!$C$2)/360)</f>
        <v>2.1944444444444446</v>
      </c>
      <c r="BP29" s="15">
        <f>IF(BK29="","",IF('Adjustment Surface'!$C$3='Data Validation'!$C$2,'Adjustment Surface'!$C$4,_xlfn.IFNA(IF(INDEX(Schedules!$E$3:$E$123,MATCH('Bachelier Model'!BL29,Schedules!$B$3:$B$123,0))="",BP28,INDEX(Schedules!$E$3:$E$123,MATCH('Bachelier Model'!BL29,Schedules!$B$3:$B$123,0))),BP28)))</f>
        <v>25000000</v>
      </c>
      <c r="BQ29" s="16">
        <f>IF(BK29="","",'Adjustment Surface'!B$17)</f>
        <v>0.05</v>
      </c>
      <c r="BR29" s="16" cm="1">
        <f t="array" ref="BR29">IF(BK29="","",FORECAST(BL29,INDEX('Rate &amp; Vol Update'!$C$6:$C$127,MATCH(INDEX('Rate &amp; Vol Update'!$B$6:$B$127,MATCH(BL29,'Rate &amp; Vol Update'!$B$6:$B$127,1)),'Rate &amp; Vol Update'!$B$6:$B$127,0)+IF('Adjustment Surface'!$C$11='Data Validation'!$E$3,-1,0)):INDEX('Rate &amp; Vol Update'!$C$6:$C$127,MATCH(INDEX('Rate &amp; Vol Update'!$B$6:$B$127,MATCH(BL29,'Rate &amp; Vol Update'!$B$6:$B$127,1)+1),'Rate &amp; Vol Update'!$B$6:$B$127,0)+IF('Adjustment Surface'!$C$11='Data Validation'!$E$3,-1,0)),INDEX('Rate &amp; Vol Update'!$B$6:$B$127,MATCH(BL29,'Rate &amp; Vol Update'!$B$6:$B$127,1)):INDEX('Rate &amp; Vol Update'!$B$6:$B$127,MATCH(BL29,'Rate &amp; Vol Update'!$B$6:$B$127,1)+1))/100)</f>
        <v>3.3568865638292748E-2</v>
      </c>
      <c r="BS29" s="16" cm="1">
        <f t="array" ref="BS29">IF(BK29="","",IF(BL29&lt;'Rate &amp; Vol Update'!$C$2,0.001%,(1/((INDEX('Rate &amp; Vol Update'!$E$6:$Z$6,1,MATCH(BQ29,'Rate &amp; Vol Update'!$E$6:$Z$6,1)+1)-INDEX('Rate &amp; Vol Update'!$E$6:$Z$6,1,MATCH(BQ29,'Rate &amp; Vol Update'!$E$6:$Z$6,1)))*(INDEX('Rate &amp; Vol Update'!$B$8:$B$127,MATCH(BL29,'Rate &amp; Vol Update'!$B$8:$B$127,1)+1)-INDEX('Rate &amp; Vol Update'!$B$8:$B$127,MATCH(BL29,'Rate &amp; Vol Update'!$B$8:$B$127,1))))*(INDEX('Rate &amp; Vol Update'!$E$8:$Z$127,MATCH(INDEX('Rate &amp; Vol Update'!$B$8:$B$127,MATCH(BL29,'Rate &amp; Vol Update'!$B$8:$B$127,1)),'Rate &amp; Vol Update'!$B$8:$B$127,0),MATCH(INDEX('Rate &amp; Vol Update'!$E$6:$Z$6,1,MATCH(BQ29,'Rate &amp; Vol Update'!$E$6:$Z$6,1)),'Rate &amp; Vol Update'!$E$6:$Z$6,0))*(INDEX('Rate &amp; Vol Update'!$E$6:$Z$6,1,MATCH(BQ29,'Rate &amp; Vol Update'!$E$6:$Z$6,1)+1)-BQ29)*(INDEX('Rate &amp; Vol Update'!$B$8:$B$127,MATCH(BL29,'Rate &amp; Vol Update'!$B$8:$B$127,1)+1)-BL29)+INDEX('Rate &amp; Vol Update'!$E$8:$Z$127,MATCH(INDEX('Rate &amp; Vol Update'!$B$8:$B$127,MATCH(BL29,'Rate &amp; Vol Update'!$B$8:$B$127,1)),'Rate &amp; Vol Update'!$B$8:$B$127,0),MATCH(INDEX('Rate &amp; Vol Update'!$E$6:$Z$6,1,MATCH(BQ29,'Rate &amp; Vol Update'!$E$6:$Z$6,1)+1),'Rate &amp; Vol Update'!$E$6:$Z$6,0))*(BQ29-INDEX('Rate &amp; Vol Update'!$E$6:$Z$6,1,MATCH(BQ29,'Rate &amp; Vol Update'!$E$6:$Z$6,1)))*(INDEX('Rate &amp; Vol Update'!$B$8:$B$127,MATCH(BL29,'Rate &amp; Vol Update'!$B$8:$B$127,1)+1)-BL29)+INDEX('Rate &amp; Vol Update'!$E$8:$Z$127,MATCH(INDEX('Rate &amp; Vol Update'!$B$8:$B$127,MATCH(BL29,'Rate &amp; Vol Update'!$B$8:$B$127,1)+1),'Rate &amp; Vol Update'!$B$8:$B$127,0),MATCH(INDEX('Rate &amp; Vol Update'!$E$6:$Z$6,1,MATCH(BQ29,'Rate &amp; Vol Update'!$E$6:$Z$6,1)),'Rate &amp; Vol Update'!$E$6:$Z$6,0))*(INDEX('Rate &amp; Vol Update'!$E$6:$Z$6,1,MATCH(BQ29,'Rate &amp; Vol Update'!$E$6:$Z$6,1)+1)-BQ29)*(BL29-INDEX('Rate &amp; Vol Update'!$B$8:$B$127,MATCH(BL29,'Rate &amp; Vol Update'!$B$8:$B$127,1)))+INDEX('Rate &amp; Vol Update'!$E$8:$Z$127,MATCH(INDEX('Rate &amp; Vol Update'!$B$8:$B$127,MATCH(BL29,'Rate &amp; Vol Update'!$B$8:$B$127,1)+1),'Rate &amp; Vol Update'!$B$8:$B$127,0),MATCH(INDEX('Rate &amp; Vol Update'!$E$6:$Z$6,1,MATCH(BQ29,'Rate &amp; Vol Update'!$E$6:$Z$6,1)+1),'Rate &amp; Vol Update'!$E$6:$Z$6,0))*(BQ29-INDEX('Rate &amp; Vol Update'!$E$6:$Z$6,1,MATCH(BQ29,'Rate &amp; Vol Update'!$E$6:$Z$6,1)))*(BL29-INDEX('Rate &amp; Vol Update'!$B$8:$B$127,MATCH(BL29,'Rate &amp; Vol Update'!$B$8:$B$127,1)))))*0.01%))</f>
        <v>9.564886985793504E-3</v>
      </c>
      <c r="BT29" s="5">
        <f>IF(BK29="","",1/((1+BR29)^((BM29-'Rate &amp; Vol Update'!$C$2)/360)))</f>
        <v>0.93010706379190022</v>
      </c>
      <c r="BV29" s="15">
        <f>IF(BK29="","",IF(BL29&lt;'Rate &amp; Vol Update'!$C$2,MAX(0,BR29-BQ29)*(BN29/360)*BP29,(((IF('Adjustment Surface'!$C$2='Data Validation'!$A$2,BR29,IF('Adjustment Surface'!$C$2='Data Validation'!$A$3,BQ29,"Unknown Option Type"))-IF('Adjustment Surface'!$C$2='Data Validation'!$A$2,BQ29,IF('Adjustment Surface'!$C$2='Data Validation'!$A$3,BR29,"Unknown Option Type")))*(NORMDIST((IF('Adjustment Surface'!$C$2='Data Validation'!$A$2,BR29,IF('Adjustment Surface'!$C$2='Data Validation'!$A$3,BQ29,"Unknown Option Type"))-IF('Adjustment Surface'!$C$2='Data Validation'!$A$2,BQ29,IF('Adjustment Surface'!$C$2='Data Validation'!$A$3,BR29,"Unknown Option Type")))/(BS29*SQRT(BO29)),0,1,TRUE)))+((BS29*SQRT(BO29))*(NORMDIST((IF('Adjustment Surface'!$C$2='Data Validation'!$A$2,BR29,IF('Adjustment Surface'!$C$2='Data Validation'!$A$3,BQ29,"Unknown Option Type"))-IF('Adjustment Surface'!$C$2='Data Validation'!$A$2,BQ29,IF('Adjustment Surface'!$C$2='Data Validation'!$A$3,BR29,"Unknown Option Type")))/(BS29*SQRT(BO29)),0,1,FALSE))))*BT29*(BN29/360)*BP29))</f>
        <v>1727.981202479928</v>
      </c>
      <c r="BW29" s="15">
        <f>IF(BK29="","",SUM(BV$4:BV29))</f>
        <v>10509.29950107378</v>
      </c>
      <c r="BY29" s="15">
        <f>IF(BK29="","",IF(BL29&lt;'Rate &amp; Vol Update'!$C$2,0,((((((IF('Adjustment Surface'!$C$2='Data Validation'!$A$2,BR29,IF('Adjustment Surface'!$C$2='Data Validation'!$A$3,BQ29,"Unknown Option Type"))-IF('Adjustment Surface'!$C$2='Data Validation'!$A$2,BQ29,IF('Adjustment Surface'!$C$2='Data Validation'!$A$3,BR29,"Unknown Option Type")))*(NORMDIST((IF('Adjustment Surface'!$C$2='Data Validation'!$A$2,BR29,IF('Adjustment Surface'!$C$2='Data Validation'!$A$3,BQ29,"Unknown Option Type"))-IF('Adjustment Surface'!$C$2='Data Validation'!$A$2,BQ29,IF('Adjustment Surface'!$C$2='Data Validation'!$A$3,BR29,"Unknown Option Type")))/((BS29+0.01%)*SQRT(BO29)),0,1,TRUE)))+(((BS29+0.01%)*SQRT(BO29))*(NORMDIST((IF('Adjustment Surface'!$C$2='Data Validation'!$A$2,BR29,IF('Adjustment Surface'!$C$2='Data Validation'!$A$3,BQ29,"Unknown Option Type"))-IF('Adjustment Surface'!$C$2='Data Validation'!$A$2,BQ29,IF('Adjustment Surface'!$C$2='Data Validation'!$A$3,BR29,"Unknown Option Type")))/((BS29+0.01%)*SQRT(BO29)),0,1,FALSE))))*BT29*(BN29/360))-(BV29/BP29))*BP29)*BT29))</f>
        <v>56.577966540427042</v>
      </c>
      <c r="BZ29" s="15">
        <f>IF(BK29="","",SUM(BY$4:BY29))</f>
        <v>467.14050737284106</v>
      </c>
      <c r="CA29" s="15"/>
      <c r="CB29" s="20"/>
      <c r="CC29" s="3">
        <v>26</v>
      </c>
      <c r="CD29" s="4">
        <f>IF(CE28=MAX('Adjustment Surface'!$C$14:$F$14),"",CE28)</f>
        <v>46823</v>
      </c>
      <c r="CE29" s="4">
        <f>IF(CD29="","",IF(CD29&lt;EDATE('Adjustment Surface'!$C$6,DATEDIF('Adjustment Surface'!$C$6,MAX('Adjustment Surface'!$C$14:$F$14),"M")),EDATE(CD$5,COUNT(CD$5:CD29)),IF(CD29=EDATE('Adjustment Surface'!$C$6,DATEDIF('Adjustment Surface'!$C$6,MAX('Adjustment Surface'!$C$14:$F$14),"M")),MAX('Adjustment Surface'!$C$14:$F$14),EDATE('Adjustment Surface'!$C$6,DATEDIF('Adjustment Surface'!$C$6,MAX('Adjustment Surface'!$C$14:$F$14),"M")))))</f>
        <v>46854</v>
      </c>
      <c r="CF29" s="3">
        <f t="shared" si="5"/>
        <v>31</v>
      </c>
      <c r="CG29" s="5">
        <f>IF(CC29="","",(CE29-'Rate &amp; Vol Update'!$C$2)/360)</f>
        <v>2.1944444444444446</v>
      </c>
      <c r="CH29" s="15">
        <f>IF(CC29="","",IF('Adjustment Surface'!$C$3='Data Validation'!$C$2,'Adjustment Surface'!$C$4,_xlfn.IFNA(IF(INDEX(Schedules!$E$3:$E$123,MATCH('Bachelier Model'!CD29,Schedules!$B$3:$B$123,0))="",CH28,INDEX(Schedules!$E$3:$E$123,MATCH('Bachelier Model'!CD29,Schedules!$B$3:$B$123,0))),CH28)))</f>
        <v>25000000</v>
      </c>
      <c r="CI29" s="16">
        <f>IF(CC29="","",'Adjustment Surface'!B$18)</f>
        <v>0.06</v>
      </c>
      <c r="CJ29" s="16" cm="1">
        <f t="array" ref="CJ29">IF(CC29="","",FORECAST(CD29,INDEX('Rate &amp; Vol Update'!$C$6:$C$127,MATCH(INDEX('Rate &amp; Vol Update'!$B$6:$B$127,MATCH(CD29,'Rate &amp; Vol Update'!$B$6:$B$127,1)),'Rate &amp; Vol Update'!$B$6:$B$127,0)+IF('Adjustment Surface'!$C$11='Data Validation'!$E$3,-1,0)):INDEX('Rate &amp; Vol Update'!$C$6:$C$127,MATCH(INDEX('Rate &amp; Vol Update'!$B$6:$B$127,MATCH(CD29,'Rate &amp; Vol Update'!$B$6:$B$127,1)+1),'Rate &amp; Vol Update'!$B$6:$B$127,0)+IF('Adjustment Surface'!$C$11='Data Validation'!$E$3,-1,0)),INDEX('Rate &amp; Vol Update'!$B$6:$B$127,MATCH(CD29,'Rate &amp; Vol Update'!$B$6:$B$127,1)):INDEX('Rate &amp; Vol Update'!$B$6:$B$127,MATCH(CD29,'Rate &amp; Vol Update'!$B$6:$B$127,1)+1))/100)</f>
        <v>3.3568865638292748E-2</v>
      </c>
      <c r="CK29" s="16" cm="1">
        <f t="array" ref="CK29">IF(CC29="","",IF(CD29&lt;'Rate &amp; Vol Update'!$C$2,0.001%,(1/((INDEX('Rate &amp; Vol Update'!$E$6:$Z$6,1,MATCH(CI29,'Rate &amp; Vol Update'!$E$6:$Z$6,1)+1)-INDEX('Rate &amp; Vol Update'!$E$6:$Z$6,1,MATCH(CI29,'Rate &amp; Vol Update'!$E$6:$Z$6,1)))*(INDEX('Rate &amp; Vol Update'!$B$8:$B$127,MATCH(CD29,'Rate &amp; Vol Update'!$B$8:$B$127,1)+1)-INDEX('Rate &amp; Vol Update'!$B$8:$B$127,MATCH(CD29,'Rate &amp; Vol Update'!$B$8:$B$127,1))))*(INDEX('Rate &amp; Vol Update'!$E$8:$Z$127,MATCH(INDEX('Rate &amp; Vol Update'!$B$8:$B$127,MATCH(CD29,'Rate &amp; Vol Update'!$B$8:$B$127,1)),'Rate &amp; Vol Update'!$B$8:$B$127,0),MATCH(INDEX('Rate &amp; Vol Update'!$E$6:$Z$6,1,MATCH(CI29,'Rate &amp; Vol Update'!$E$6:$Z$6,1)),'Rate &amp; Vol Update'!$E$6:$Z$6,0))*(INDEX('Rate &amp; Vol Update'!$E$6:$Z$6,1,MATCH(CI29,'Rate &amp; Vol Update'!$E$6:$Z$6,1)+1)-CI29)*(INDEX('Rate &amp; Vol Update'!$B$8:$B$127,MATCH(CD29,'Rate &amp; Vol Update'!$B$8:$B$127,1)+1)-CD29)+INDEX('Rate &amp; Vol Update'!$E$8:$Z$127,MATCH(INDEX('Rate &amp; Vol Update'!$B$8:$B$127,MATCH(CD29,'Rate &amp; Vol Update'!$B$8:$B$127,1)),'Rate &amp; Vol Update'!$B$8:$B$127,0),MATCH(INDEX('Rate &amp; Vol Update'!$E$6:$Z$6,1,MATCH(CI29,'Rate &amp; Vol Update'!$E$6:$Z$6,1)+1),'Rate &amp; Vol Update'!$E$6:$Z$6,0))*(CI29-INDEX('Rate &amp; Vol Update'!$E$6:$Z$6,1,MATCH(CI29,'Rate &amp; Vol Update'!$E$6:$Z$6,1)))*(INDEX('Rate &amp; Vol Update'!$B$8:$B$127,MATCH(CD29,'Rate &amp; Vol Update'!$B$8:$B$127,1)+1)-CD29)+INDEX('Rate &amp; Vol Update'!$E$8:$Z$127,MATCH(INDEX('Rate &amp; Vol Update'!$B$8:$B$127,MATCH(CD29,'Rate &amp; Vol Update'!$B$8:$B$127,1)+1),'Rate &amp; Vol Update'!$B$8:$B$127,0),MATCH(INDEX('Rate &amp; Vol Update'!$E$6:$Z$6,1,MATCH(CI29,'Rate &amp; Vol Update'!$E$6:$Z$6,1)),'Rate &amp; Vol Update'!$E$6:$Z$6,0))*(INDEX('Rate &amp; Vol Update'!$E$6:$Z$6,1,MATCH(CI29,'Rate &amp; Vol Update'!$E$6:$Z$6,1)+1)-CI29)*(CD29-INDEX('Rate &amp; Vol Update'!$B$8:$B$127,MATCH(CD29,'Rate &amp; Vol Update'!$B$8:$B$127,1)))+INDEX('Rate &amp; Vol Update'!$E$8:$Z$127,MATCH(INDEX('Rate &amp; Vol Update'!$B$8:$B$127,MATCH(CD29,'Rate &amp; Vol Update'!$B$8:$B$127,1)+1),'Rate &amp; Vol Update'!$B$8:$B$127,0),MATCH(INDEX('Rate &amp; Vol Update'!$E$6:$Z$6,1,MATCH(CI29,'Rate &amp; Vol Update'!$E$6:$Z$6,1)+1),'Rate &amp; Vol Update'!$E$6:$Z$6,0))*(CI29-INDEX('Rate &amp; Vol Update'!$E$6:$Z$6,1,MATCH(CI29,'Rate &amp; Vol Update'!$E$6:$Z$6,1)))*(CD29-INDEX('Rate &amp; Vol Update'!$B$8:$B$127,MATCH(CD29,'Rate &amp; Vol Update'!$B$8:$B$127,1)))))*0.01%))</f>
        <v>1.1208775700083809E-2</v>
      </c>
      <c r="CL29" s="5">
        <f>IF(CC29="","",1/((1+CJ29)^((CE29-'Rate &amp; Vol Update'!$C$2)/360)))</f>
        <v>0.93010706379190022</v>
      </c>
      <c r="CN29" s="15">
        <f>IF(CC29="","",IF(CD29&lt;'Rate &amp; Vol Update'!$C$2,MAX(0,CJ29-CI29)*(CF29/360)*CH29,(((IF('Adjustment Surface'!$C$2='Data Validation'!$A$2,CJ29,IF('Adjustment Surface'!$C$2='Data Validation'!$A$3,CI29,"Unknown Option Type"))-IF('Adjustment Surface'!$C$2='Data Validation'!$A$2,CI29,IF('Adjustment Surface'!$C$2='Data Validation'!$A$3,CJ29,"Unknown Option Type")))*(NORMDIST((IF('Adjustment Surface'!$C$2='Data Validation'!$A$2,CJ29,IF('Adjustment Surface'!$C$2='Data Validation'!$A$3,CI29,"Unknown Option Type"))-IF('Adjustment Surface'!$C$2='Data Validation'!$A$2,CI29,IF('Adjustment Surface'!$C$2='Data Validation'!$A$3,CJ29,"Unknown Option Type")))/(CK29*SQRT(CG29)),0,1,TRUE)))+((CK29*SQRT(CG29))*(NORMDIST((IF('Adjustment Surface'!$C$2='Data Validation'!$A$2,CJ29,IF('Adjustment Surface'!$C$2='Data Validation'!$A$3,CI29,"Unknown Option Type"))-IF('Adjustment Surface'!$C$2='Data Validation'!$A$2,CI29,IF('Adjustment Surface'!$C$2='Data Validation'!$A$3,CJ29,"Unknown Option Type")))/(CK29*SQRT(CG29)),0,1,FALSE))))*CL29*(CF29/360)*CH29))</f>
        <v>787.74383652646816</v>
      </c>
      <c r="CO29" s="15">
        <f>IF(CC29="","",SUM(CN$4:CN29))</f>
        <v>4445.8137715851672</v>
      </c>
      <c r="CQ29" s="15">
        <f>IF(CC29="","",IF(CD29&lt;'Rate &amp; Vol Update'!$C$2,0,((((((IF('Adjustment Surface'!$C$2='Data Validation'!$A$2,CJ29,IF('Adjustment Surface'!$C$2='Data Validation'!$A$3,CI29,"Unknown Option Type"))-IF('Adjustment Surface'!$C$2='Data Validation'!$A$2,CI29,IF('Adjustment Surface'!$C$2='Data Validation'!$A$3,CJ29,"Unknown Option Type")))*(NORMDIST((IF('Adjustment Surface'!$C$2='Data Validation'!$A$2,CJ29,IF('Adjustment Surface'!$C$2='Data Validation'!$A$3,CI29,"Unknown Option Type"))-IF('Adjustment Surface'!$C$2='Data Validation'!$A$2,CI29,IF('Adjustment Surface'!$C$2='Data Validation'!$A$3,CJ29,"Unknown Option Type")))/((CK29+0.01%)*SQRT(CG29)),0,1,TRUE)))+(((CK29+0.01%)*SQRT(CG29))*(NORMDIST((IF('Adjustment Surface'!$C$2='Data Validation'!$A$2,CJ29,IF('Adjustment Surface'!$C$2='Data Validation'!$A$3,CI29,"Unknown Option Type"))-IF('Adjustment Surface'!$C$2='Data Validation'!$A$2,CI29,IF('Adjustment Surface'!$C$2='Data Validation'!$A$3,CJ29,"Unknown Option Type")))/((CK29+0.01%)*SQRT(CG29)),0,1,FALSE))))*CL29*(CF29/360))-(CN29/CH29))*CH29)*CL29))</f>
        <v>31.353142609291197</v>
      </c>
      <c r="CR29" s="15">
        <f>IF(CC29="","",SUM(CQ$4:CQ29))</f>
        <v>219.86866436548075</v>
      </c>
    </row>
    <row r="30" spans="7:96" x14ac:dyDescent="0.25">
      <c r="G30" s="28"/>
      <c r="I30" s="3">
        <v>27</v>
      </c>
      <c r="J30" s="4">
        <f>IF(K29='Adjustment Surface'!C$8,"",K29)</f>
        <v>46854</v>
      </c>
      <c r="K30" s="4">
        <f>IF(J30="","",IF(J30&lt;'Adjustment Surface'!C$7,EDATE(J$5,COUNT(J$5:J30)),IF(J30='Adjustment Surface'!C$7,'Adjustment Surface'!C$8,'Adjustment Surface'!C$7)))</f>
        <v>46884</v>
      </c>
      <c r="L30" s="3">
        <f t="shared" si="1"/>
        <v>30</v>
      </c>
      <c r="M30" s="5">
        <f>IF(I30="","",(K30-'Rate &amp; Vol Update'!$C$2)/360)</f>
        <v>2.2777777777777777</v>
      </c>
      <c r="N30" s="15">
        <f>IF(I30="","",IF('Adjustment Surface'!C$3='Data Validation'!$C$2,'Adjustment Surface'!C$4,IF(INDEX(Schedules!$E$3:$E$123,MATCH('Bachelier Model'!J30,Schedules!$B$3:$B$123,0))="",N29,INDEX(Schedules!$E$3:$E$123,MATCH('Bachelier Model'!J30,Schedules!$B$3:$B$123,0)))))</f>
        <v>25000000</v>
      </c>
      <c r="O30" s="16">
        <f>IF(I30="","",IF('Adjustment Surface'!C$9='Data Validation'!$D$2,'Adjustment Surface'!C$10,IF(INDEX(Schedules!$H$3:$H$123,MATCH('Bachelier Model'!J30,Schedules!$B$3:$B$123,0))="",O29,INDEX(Schedules!$H$3:$H$123,MATCH('Bachelier Model'!J30,Schedules!$B$3:$B$123,0)))))</f>
        <v>0.02</v>
      </c>
      <c r="P30" s="16" cm="1">
        <f t="array" ref="P30">IF(I30="","",FORECAST(J30,INDEX('Rate &amp; Vol Update'!$C$6:$C$127,MATCH(INDEX('Rate &amp; Vol Update'!$B$6:$B$127,MATCH(J30,'Rate &amp; Vol Update'!$B$6:$B$127,1)),'Rate &amp; Vol Update'!$B$6:$B$127,0)+IF('Adjustment Surface'!C$11='Data Validation'!$E$3,-1,0)):INDEX('Rate &amp; Vol Update'!$C$6:$C$127,MATCH(INDEX('Rate &amp; Vol Update'!$B$6:$B$127,MATCH(J30,'Rate &amp; Vol Update'!$B$6:$B$127,1)+1),'Rate &amp; Vol Update'!$B$6:$B$127,0)+IF('Adjustment Surface'!C$11='Data Validation'!$E$3,-1,0)),INDEX('Rate &amp; Vol Update'!$B$6:$B$127,MATCH(J30,'Rate &amp; Vol Update'!$B$6:$B$127,1)):INDEX('Rate &amp; Vol Update'!$B$6:$B$127,MATCH(J30,'Rate &amp; Vol Update'!$B$6:$B$127,1)+1))/100)</f>
        <v>3.3567302194227322E-2</v>
      </c>
      <c r="Q30" s="16" cm="1">
        <f t="array" ref="Q30">IF(I30="","",IF(J30&lt;'Rate &amp; Vol Update'!$C$2,0.001%,(1/((INDEX('Rate &amp; Vol Update'!$E$6:$Z$6,1,MATCH(O30,'Rate &amp; Vol Update'!$E$6:$Z$6,1)+1)-INDEX('Rate &amp; Vol Update'!$E$6:$Z$6,1,MATCH(O30,'Rate &amp; Vol Update'!$E$6:$Z$6,1)))*(INDEX('Rate &amp; Vol Update'!$B$8:$B$127,MATCH(J30,'Rate &amp; Vol Update'!$B$8:$B$127,1)+1)-INDEX('Rate &amp; Vol Update'!$B$8:$B$127,MATCH(J30,'Rate &amp; Vol Update'!$B$8:$B$127,1))))*(INDEX('Rate &amp; Vol Update'!$E$8:$Z$127,MATCH(INDEX('Rate &amp; Vol Update'!$B$8:$B$127,MATCH(J30,'Rate &amp; Vol Update'!$B$8:$B$127,1)),'Rate &amp; Vol Update'!$B$8:$B$127,0),MATCH(INDEX('Rate &amp; Vol Update'!$E$6:$Z$6,1,MATCH(O30,'Rate &amp; Vol Update'!$E$6:$Z$6,1)),'Rate &amp; Vol Update'!$E$6:$Z$6,0))*(INDEX('Rate &amp; Vol Update'!$E$6:$Z$6,1,MATCH(O30,'Rate &amp; Vol Update'!$E$6:$Z$6,1)+1)-O30)*(INDEX('Rate &amp; Vol Update'!$B$8:$B$127,MATCH(J30,'Rate &amp; Vol Update'!$B$8:$B$127,1)+1)-J30)+INDEX('Rate &amp; Vol Update'!$E$8:$Z$127,MATCH(INDEX('Rate &amp; Vol Update'!$B$8:$B$127,MATCH(J30,'Rate &amp; Vol Update'!$B$8:$B$127,1)),'Rate &amp; Vol Update'!$B$8:$B$127,0),MATCH(INDEX('Rate &amp; Vol Update'!$E$6:$Z$6,1,MATCH(O30,'Rate &amp; Vol Update'!$E$6:$Z$6,1)+1),'Rate &amp; Vol Update'!$E$6:$Z$6,0))*(O30-INDEX('Rate &amp; Vol Update'!$E$6:$Z$6,1,MATCH(O30,'Rate &amp; Vol Update'!$E$6:$Z$6,1)))*(INDEX('Rate &amp; Vol Update'!$B$8:$B$127,MATCH(J30,'Rate &amp; Vol Update'!$B$8:$B$127,1)+1)-J30)+INDEX('Rate &amp; Vol Update'!$E$8:$Z$127,MATCH(INDEX('Rate &amp; Vol Update'!$B$8:$B$127,MATCH(J30,'Rate &amp; Vol Update'!$B$8:$B$127,1)+1),'Rate &amp; Vol Update'!$B$8:$B$127,0),MATCH(INDEX('Rate &amp; Vol Update'!$E$6:$Z$6,1,MATCH(O30,'Rate &amp; Vol Update'!$E$6:$Z$6,1)),'Rate &amp; Vol Update'!$E$6:$Z$6,0))*(INDEX('Rate &amp; Vol Update'!$E$6:$Z$6,1,MATCH(O30,'Rate &amp; Vol Update'!$E$6:$Z$6,1)+1)-O30)*(J30-INDEX('Rate &amp; Vol Update'!$B$8:$B$127,MATCH(J30,'Rate &amp; Vol Update'!$B$8:$B$127,1)))+INDEX('Rate &amp; Vol Update'!$E$8:$Z$127,MATCH(INDEX('Rate &amp; Vol Update'!$B$8:$B$127,MATCH(J30,'Rate &amp; Vol Update'!$B$8:$B$127,1)+1),'Rate &amp; Vol Update'!$B$8:$B$127,0),MATCH(INDEX('Rate &amp; Vol Update'!$E$6:$Z$6,1,MATCH(O30,'Rate &amp; Vol Update'!$E$6:$Z$6,1)+1),'Rate &amp; Vol Update'!$E$6:$Z$6,0))*(O30-INDEX('Rate &amp; Vol Update'!$E$6:$Z$6,1,MATCH(O30,'Rate &amp; Vol Update'!$E$6:$Z$6,1)))*(J30-INDEX('Rate &amp; Vol Update'!$B$8:$B$127,MATCH(J30,'Rate &amp; Vol Update'!$B$8:$B$127,1)))))*0.01%))</f>
        <v>9.0766240791518536E-3</v>
      </c>
      <c r="R30" s="5">
        <f>IF(I30="","",1/((1+P30)^((K30-'Rate &amp; Vol Update'!$C$2)/360)))</f>
        <v>0.92755460845167959</v>
      </c>
      <c r="T30" s="15">
        <f>IF(I30="","",IF(J30&lt;'Rate &amp; Vol Update'!$C$2,MAX(0,P30-O30)*(L30/360)*N30,(((IF('Adjustment Surface'!C$2='Data Validation'!$A$2,P30,IF('Adjustment Surface'!C$2='Data Validation'!$A$3,O30,"Unknown Option Type"))-IF('Adjustment Surface'!C$2='Data Validation'!$A$2,O30,IF('Adjustment Surface'!C$2='Data Validation'!$A$3,P30,"Unknown Option Type")))*(NORMDIST((IF('Adjustment Surface'!C$2='Data Validation'!$A$2,P30,IF('Adjustment Surface'!C$2='Data Validation'!$A$3,O30,"Unknown Option Type"))-IF('Adjustment Surface'!C$2='Data Validation'!$A$2,O30,IF('Adjustment Surface'!C$2='Data Validation'!$A$3,P30,"Unknown Option Type")))/(Q30*SQRT(M30)),0,1,TRUE)))+((Q30*SQRT(M30))*(NORMDIST((IF('Adjustment Surface'!C$2='Data Validation'!$A$2,P30,IF('Adjustment Surface'!C$2='Data Validation'!$A$3,O30,"Unknown Option Type"))-IF('Adjustment Surface'!C$2='Data Validation'!$A$2,O30,IF('Adjustment Surface'!C$2='Data Validation'!$A$3,P30,"Unknown Option Type")))/(Q30*SQRT(M30)),0,1,FALSE))))*R30*(L30/360)*N30))</f>
        <v>28463.59950902811</v>
      </c>
      <c r="U30" s="15">
        <f>IF(I30="","",SUM(T$4:T30))</f>
        <v>752757.53712045017</v>
      </c>
      <c r="W30" s="15">
        <f>IF(I30="","",IF(J30&lt;'Rate &amp; Vol Update'!$C$2,0,((((((IF('Adjustment Surface'!C$2='Data Validation'!$A$2,P30,IF('Adjustment Surface'!C$2='Data Validation'!$A$3,O30,"Unknown Option Type"))-IF('Adjustment Surface'!C$2='Data Validation'!$A$2,O30,IF('Adjustment Surface'!C$2='Data Validation'!$A$3,P30,"Unknown Option Type")))*(NORMDIST((IF('Adjustment Surface'!C$2='Data Validation'!$A$2,P30,IF('Adjustment Surface'!C$2='Data Validation'!$A$3,O30,"Unknown Option Type"))-IF('Adjustment Surface'!C$2='Data Validation'!$A$2,O30,IF('Adjustment Surface'!C$2='Data Validation'!$A$3,P30,"Unknown Option Type")))/((Q30+0.01%)*SQRT(M30)),0,1,TRUE)))+(((Q30+0.01%)*SQRT(M30))*(NORMDIST((IF('Adjustment Surface'!C$2='Data Validation'!$A$2,P30,IF('Adjustment Surface'!C$2='Data Validation'!$A$3,O30,"Unknown Option Type"))-IF('Adjustment Surface'!C$2='Data Validation'!$A$2,O30,IF('Adjustment Surface'!C$2='Data Validation'!$A$3,P30,"Unknown Option Type")))/((Q30+0.01%)*SQRT(M30)),0,1,FALSE))))*R30*(L30/360))-(T30/N30))*N30)*R30))</f>
        <v>66.43942025669547</v>
      </c>
      <c r="X30" s="15">
        <f>IF(I30="","",SUM(W$4:W30))</f>
        <v>1026.0709113588903</v>
      </c>
      <c r="Y30" s="15"/>
      <c r="Z30" s="20"/>
      <c r="AA30" s="3">
        <v>27</v>
      </c>
      <c r="AB30" s="4">
        <f>IF(AC29=MAX('Adjustment Surface'!$C$14:$F$14),"",AC29)</f>
        <v>46854</v>
      </c>
      <c r="AC30" s="4">
        <f>IF(AB30="","",IF(AB30&lt;EDATE('Adjustment Surface'!$C$6,DATEDIF('Adjustment Surface'!$C$6,MAX('Adjustment Surface'!$C$14:$F$14),"M")),EDATE(AB$5,COUNT(AB$5:AB30)),IF(AB30=EDATE('Adjustment Surface'!$C$6,DATEDIF('Adjustment Surface'!$C$6,MAX('Adjustment Surface'!$C$14:$F$14),"M")),MAX('Adjustment Surface'!$C$14:$F$14),EDATE('Adjustment Surface'!$C$6,DATEDIF('Adjustment Surface'!$C$6,MAX('Adjustment Surface'!$C$14:$F$14),"M")))))</f>
        <v>46884</v>
      </c>
      <c r="AD30" s="3">
        <f t="shared" si="2"/>
        <v>30</v>
      </c>
      <c r="AE30" s="5">
        <f>IF(AA30="","",(AC30-'Rate &amp; Vol Update'!$C$2)/360)</f>
        <v>2.2777777777777777</v>
      </c>
      <c r="AF30" s="15">
        <f>IF(AA30="","",IF('Adjustment Surface'!$C$3='Data Validation'!$C$2,'Adjustment Surface'!$C$4,_xlfn.IFNA(IF(INDEX(Schedules!$E$3:$E$123,MATCH('Bachelier Model'!AB30,Schedules!$B$3:$B$123,0))="",AF29,INDEX(Schedules!$E$3:$E$123,MATCH('Bachelier Model'!AB30,Schedules!$B$3:$B$123,0))),AF29)))</f>
        <v>25000000</v>
      </c>
      <c r="AG30" s="16">
        <f>IF(AA30="","",'Adjustment Surface'!B$15)</f>
        <v>0.03</v>
      </c>
      <c r="AH30" s="16" cm="1">
        <f t="array" ref="AH30">IF(AA30="","",FORECAST(AB30,INDEX('Rate &amp; Vol Update'!$C$6:$C$127,MATCH(INDEX('Rate &amp; Vol Update'!$B$6:$B$127,MATCH(AB30,'Rate &amp; Vol Update'!$B$6:$B$127,1)),'Rate &amp; Vol Update'!$B$6:$B$127,0)+IF('Adjustment Surface'!$C$11='Data Validation'!$E$3,-1,0)):INDEX('Rate &amp; Vol Update'!$C$6:$C$127,MATCH(INDEX('Rate &amp; Vol Update'!$B$6:$B$127,MATCH(AB30,'Rate &amp; Vol Update'!$B$6:$B$127,1)+1),'Rate &amp; Vol Update'!$B$6:$B$127,0)+IF('Adjustment Surface'!$C$11='Data Validation'!$E$3,-1,0)),INDEX('Rate &amp; Vol Update'!$B$6:$B$127,MATCH(AB30,'Rate &amp; Vol Update'!$B$6:$B$127,1)):INDEX('Rate &amp; Vol Update'!$B$6:$B$127,MATCH(AB30,'Rate &amp; Vol Update'!$B$6:$B$127,1)+1))/100)</f>
        <v>3.3567302194227322E-2</v>
      </c>
      <c r="AI30" s="16" cm="1">
        <f t="array" ref="AI30">IF(AA30="","",IF(AB30&lt;'Rate &amp; Vol Update'!$C$2,0.001%,(1/((INDEX('Rate &amp; Vol Update'!$E$6:$Z$6,1,MATCH(AG30,'Rate &amp; Vol Update'!$E$6:$Z$6,1)+1)-INDEX('Rate &amp; Vol Update'!$E$6:$Z$6,1,MATCH(AG30,'Rate &amp; Vol Update'!$E$6:$Z$6,1)))*(INDEX('Rate &amp; Vol Update'!$B$8:$B$127,MATCH(AB30,'Rate &amp; Vol Update'!$B$8:$B$127,1)+1)-INDEX('Rate &amp; Vol Update'!$B$8:$B$127,MATCH(AB30,'Rate &amp; Vol Update'!$B$8:$B$127,1))))*(INDEX('Rate &amp; Vol Update'!$E$8:$Z$127,MATCH(INDEX('Rate &amp; Vol Update'!$B$8:$B$127,MATCH(AB30,'Rate &amp; Vol Update'!$B$8:$B$127,1)),'Rate &amp; Vol Update'!$B$8:$B$127,0),MATCH(INDEX('Rate &amp; Vol Update'!$E$6:$Z$6,1,MATCH(AG30,'Rate &amp; Vol Update'!$E$6:$Z$6,1)),'Rate &amp; Vol Update'!$E$6:$Z$6,0))*(INDEX('Rate &amp; Vol Update'!$E$6:$Z$6,1,MATCH(AG30,'Rate &amp; Vol Update'!$E$6:$Z$6,1)+1)-AG30)*(INDEX('Rate &amp; Vol Update'!$B$8:$B$127,MATCH(AB30,'Rate &amp; Vol Update'!$B$8:$B$127,1)+1)-AB30)+INDEX('Rate &amp; Vol Update'!$E$8:$Z$127,MATCH(INDEX('Rate &amp; Vol Update'!$B$8:$B$127,MATCH(AB30,'Rate &amp; Vol Update'!$B$8:$B$127,1)),'Rate &amp; Vol Update'!$B$8:$B$127,0),MATCH(INDEX('Rate &amp; Vol Update'!$E$6:$Z$6,1,MATCH(AG30,'Rate &amp; Vol Update'!$E$6:$Z$6,1)+1),'Rate &amp; Vol Update'!$E$6:$Z$6,0))*(AG30-INDEX('Rate &amp; Vol Update'!$E$6:$Z$6,1,MATCH(AG30,'Rate &amp; Vol Update'!$E$6:$Z$6,1)))*(INDEX('Rate &amp; Vol Update'!$B$8:$B$127,MATCH(AB30,'Rate &amp; Vol Update'!$B$8:$B$127,1)+1)-AB30)+INDEX('Rate &amp; Vol Update'!$E$8:$Z$127,MATCH(INDEX('Rate &amp; Vol Update'!$B$8:$B$127,MATCH(AB30,'Rate &amp; Vol Update'!$B$8:$B$127,1)+1),'Rate &amp; Vol Update'!$B$8:$B$127,0),MATCH(INDEX('Rate &amp; Vol Update'!$E$6:$Z$6,1,MATCH(AG30,'Rate &amp; Vol Update'!$E$6:$Z$6,1)),'Rate &amp; Vol Update'!$E$6:$Z$6,0))*(INDEX('Rate &amp; Vol Update'!$E$6:$Z$6,1,MATCH(AG30,'Rate &amp; Vol Update'!$E$6:$Z$6,1)+1)-AG30)*(AB30-INDEX('Rate &amp; Vol Update'!$B$8:$B$127,MATCH(AB30,'Rate &amp; Vol Update'!$B$8:$B$127,1)))+INDEX('Rate &amp; Vol Update'!$E$8:$Z$127,MATCH(INDEX('Rate &amp; Vol Update'!$B$8:$B$127,MATCH(AB30,'Rate &amp; Vol Update'!$B$8:$B$127,1)+1),'Rate &amp; Vol Update'!$B$8:$B$127,0),MATCH(INDEX('Rate &amp; Vol Update'!$E$6:$Z$6,1,MATCH(AG30,'Rate &amp; Vol Update'!$E$6:$Z$6,1)+1),'Rate &amp; Vol Update'!$E$6:$Z$6,0))*(AG30-INDEX('Rate &amp; Vol Update'!$E$6:$Z$6,1,MATCH(AG30,'Rate &amp; Vol Update'!$E$6:$Z$6,1)))*(AB30-INDEX('Rate &amp; Vol Update'!$B$8:$B$127,MATCH(AB30,'Rate &amp; Vol Update'!$B$8:$B$127,1)))))*0.01%))</f>
        <v>8.1650182074573703E-3</v>
      </c>
      <c r="AJ30" s="5">
        <f>IF(AA30="","",1/((1+AH30)^((AC30-'Rate &amp; Vol Update'!$C$2)/360)))</f>
        <v>0.92755460845167959</v>
      </c>
      <c r="AL30" s="15">
        <f>IF(AA30="","",IF(AB30&lt;'Rate &amp; Vol Update'!$C$2,MAX(0,AH30-AG30)*(AD30/360)*AF30,(((IF('Adjustment Surface'!$C$2='Data Validation'!$A$2,AH30,IF('Adjustment Surface'!$C$2='Data Validation'!$A$3,AG30,"Unknown Option Type"))-IF('Adjustment Surface'!$C$2='Data Validation'!$A$2,AG30,IF('Adjustment Surface'!$C$2='Data Validation'!$A$3,AH30,"Unknown Option Type")))*(NORMDIST((IF('Adjustment Surface'!$C$2='Data Validation'!$A$2,AH30,IF('Adjustment Surface'!$C$2='Data Validation'!$A$3,AG30,"Unknown Option Type"))-IF('Adjustment Surface'!$C$2='Data Validation'!$A$2,AG30,IF('Adjustment Surface'!$C$2='Data Validation'!$A$3,AH30,"Unknown Option Type")))/(AI30*SQRT(AE30)),0,1,TRUE)))+((AI30*SQRT(AE30))*(NORMDIST((IF('Adjustment Surface'!$C$2='Data Validation'!$A$2,AH30,IF('Adjustment Surface'!$C$2='Data Validation'!$A$3,AG30,"Unknown Option Type"))-IF('Adjustment Surface'!$C$2='Data Validation'!$A$2,AG30,IF('Adjustment Surface'!$C$2='Data Validation'!$A$3,AH30,"Unknown Option Type")))/(AI30*SQRT(AE30)),0,1,FALSE))))*AJ30*(AD30/360)*AF30))</f>
        <v>13341.983663090208</v>
      </c>
      <c r="AM30" s="15">
        <f>IF(AA30="","",SUM(AL$4:AL30))</f>
        <v>282486.67277970159</v>
      </c>
      <c r="AO30" s="15">
        <f>IF(AA30="","",IF(AB30&lt;'Rate &amp; Vol Update'!$C$2,0,((((((IF('Adjustment Surface'!$C$2='Data Validation'!$A$2,AH30,IF('Adjustment Surface'!$C$2='Data Validation'!$A$3,AG30,"Unknown Option Type"))-IF('Adjustment Surface'!$C$2='Data Validation'!$A$2,AG30,IF('Adjustment Surface'!$C$2='Data Validation'!$A$3,AH30,"Unknown Option Type")))*(NORMDIST((IF('Adjustment Surface'!$C$2='Data Validation'!$A$2,AH30,IF('Adjustment Surface'!$C$2='Data Validation'!$A$3,AG30,"Unknown Option Type"))-IF('Adjustment Surface'!$C$2='Data Validation'!$A$2,AG30,IF('Adjustment Surface'!$C$2='Data Validation'!$A$3,AH30,"Unknown Option Type")))/((AI30+0.01%)*SQRT(AE30)),0,1,TRUE)))+(((AI30+0.01%)*SQRT(AE30))*(NORMDIST((IF('Adjustment Surface'!$C$2='Data Validation'!$A$2,AH30,IF('Adjustment Surface'!$C$2='Data Validation'!$A$3,AG30,"Unknown Option Type"))-IF('Adjustment Surface'!$C$2='Data Validation'!$A$2,AG30,IF('Adjustment Surface'!$C$2='Data Validation'!$A$3,AH30,"Unknown Option Type")))/((AI30+0.01%)*SQRT(AE30)),0,1,FALSE))))*AJ30*(AD30/360))-(AL30/AF30))*AF30)*AJ30))</f>
        <v>103.54432665538319</v>
      </c>
      <c r="AP30" s="15">
        <f>IF(AA30="","",SUM(AO$4:AO30))</f>
        <v>1913.2728163254453</v>
      </c>
      <c r="AQ30" s="15"/>
      <c r="AR30" s="20"/>
      <c r="AS30" s="3">
        <v>27</v>
      </c>
      <c r="AT30" s="4">
        <f>IF(AU29=MAX('Adjustment Surface'!$C$14:$F$14),"",AU29)</f>
        <v>46854</v>
      </c>
      <c r="AU30" s="4">
        <f>IF(AT30="","",IF(AT30&lt;EDATE('Adjustment Surface'!$C$6,DATEDIF('Adjustment Surface'!$C$6,MAX('Adjustment Surface'!$C$14:$F$14),"M")),EDATE(AT$5,COUNT(AT$5:AT30)),IF(AT30=EDATE('Adjustment Surface'!$C$6,DATEDIF('Adjustment Surface'!$C$6,MAX('Adjustment Surface'!$C$14:$F$14),"M")),MAX('Adjustment Surface'!$C$14:$F$14),EDATE('Adjustment Surface'!$C$6,DATEDIF('Adjustment Surface'!$C$6,MAX('Adjustment Surface'!$C$14:$F$14),"M")))))</f>
        <v>46884</v>
      </c>
      <c r="AV30" s="3">
        <f t="shared" si="3"/>
        <v>30</v>
      </c>
      <c r="AW30" s="5">
        <f>IF(AS30="","",(AU30-'Rate &amp; Vol Update'!$C$2)/360)</f>
        <v>2.2777777777777777</v>
      </c>
      <c r="AX30" s="15">
        <f>IF(AS30="","",IF('Adjustment Surface'!$C$3='Data Validation'!$C$2,'Adjustment Surface'!$C$4,_xlfn.IFNA(IF(INDEX(Schedules!$E$3:$E$123,MATCH('Bachelier Model'!AT30,Schedules!$B$3:$B$123,0))="",AX29,INDEX(Schedules!$E$3:$E$123,MATCH('Bachelier Model'!AT30,Schedules!$B$3:$B$123,0))),AX29)))</f>
        <v>25000000</v>
      </c>
      <c r="AY30" s="16">
        <f>IF(AS30="","",'Adjustment Surface'!B$16)</f>
        <v>0.04</v>
      </c>
      <c r="AZ30" s="16" cm="1">
        <f t="array" ref="AZ30">IF(AS30="","",FORECAST(AT30,INDEX('Rate &amp; Vol Update'!$C$6:$C$127,MATCH(INDEX('Rate &amp; Vol Update'!$B$6:$B$127,MATCH(AT30,'Rate &amp; Vol Update'!$B$6:$B$127,1)),'Rate &amp; Vol Update'!$B$6:$B$127,0)+IF('Adjustment Surface'!$C$11='Data Validation'!$E$3,-1,0)):INDEX('Rate &amp; Vol Update'!$C$6:$C$127,MATCH(INDEX('Rate &amp; Vol Update'!$B$6:$B$127,MATCH(AT30,'Rate &amp; Vol Update'!$B$6:$B$127,1)+1),'Rate &amp; Vol Update'!$B$6:$B$127,0)+IF('Adjustment Surface'!$C$11='Data Validation'!$E$3,-1,0)),INDEX('Rate &amp; Vol Update'!$B$6:$B$127,MATCH(AT30,'Rate &amp; Vol Update'!$B$6:$B$127,1)):INDEX('Rate &amp; Vol Update'!$B$6:$B$127,MATCH(AT30,'Rate &amp; Vol Update'!$B$6:$B$127,1)+1))/100)</f>
        <v>3.3567302194227322E-2</v>
      </c>
      <c r="BA30" s="16" cm="1">
        <f t="array" ref="BA30">IF(AS30="","",IF(AT30&lt;'Rate &amp; Vol Update'!$C$2,0.001%,(1/((INDEX('Rate &amp; Vol Update'!$E$6:$Z$6,1,MATCH(AY30,'Rate &amp; Vol Update'!$E$6:$Z$6,1)+1)-INDEX('Rate &amp; Vol Update'!$E$6:$Z$6,1,MATCH(AY30,'Rate &amp; Vol Update'!$E$6:$Z$6,1)))*(INDEX('Rate &amp; Vol Update'!$B$8:$B$127,MATCH(AT30,'Rate &amp; Vol Update'!$B$8:$B$127,1)+1)-INDEX('Rate &amp; Vol Update'!$B$8:$B$127,MATCH(AT30,'Rate &amp; Vol Update'!$B$8:$B$127,1))))*(INDEX('Rate &amp; Vol Update'!$E$8:$Z$127,MATCH(INDEX('Rate &amp; Vol Update'!$B$8:$B$127,MATCH(AT30,'Rate &amp; Vol Update'!$B$8:$B$127,1)),'Rate &amp; Vol Update'!$B$8:$B$127,0),MATCH(INDEX('Rate &amp; Vol Update'!$E$6:$Z$6,1,MATCH(AY30,'Rate &amp; Vol Update'!$E$6:$Z$6,1)),'Rate &amp; Vol Update'!$E$6:$Z$6,0))*(INDEX('Rate &amp; Vol Update'!$E$6:$Z$6,1,MATCH(AY30,'Rate &amp; Vol Update'!$E$6:$Z$6,1)+1)-AY30)*(INDEX('Rate &amp; Vol Update'!$B$8:$B$127,MATCH(AT30,'Rate &amp; Vol Update'!$B$8:$B$127,1)+1)-AT30)+INDEX('Rate &amp; Vol Update'!$E$8:$Z$127,MATCH(INDEX('Rate &amp; Vol Update'!$B$8:$B$127,MATCH(AT30,'Rate &amp; Vol Update'!$B$8:$B$127,1)),'Rate &amp; Vol Update'!$B$8:$B$127,0),MATCH(INDEX('Rate &amp; Vol Update'!$E$6:$Z$6,1,MATCH(AY30,'Rate &amp; Vol Update'!$E$6:$Z$6,1)+1),'Rate &amp; Vol Update'!$E$6:$Z$6,0))*(AY30-INDEX('Rate &amp; Vol Update'!$E$6:$Z$6,1,MATCH(AY30,'Rate &amp; Vol Update'!$E$6:$Z$6,1)))*(INDEX('Rate &amp; Vol Update'!$B$8:$B$127,MATCH(AT30,'Rate &amp; Vol Update'!$B$8:$B$127,1)+1)-AT30)+INDEX('Rate &amp; Vol Update'!$E$8:$Z$127,MATCH(INDEX('Rate &amp; Vol Update'!$B$8:$B$127,MATCH(AT30,'Rate &amp; Vol Update'!$B$8:$B$127,1)+1),'Rate &amp; Vol Update'!$B$8:$B$127,0),MATCH(INDEX('Rate &amp; Vol Update'!$E$6:$Z$6,1,MATCH(AY30,'Rate &amp; Vol Update'!$E$6:$Z$6,1)),'Rate &amp; Vol Update'!$E$6:$Z$6,0))*(INDEX('Rate &amp; Vol Update'!$E$6:$Z$6,1,MATCH(AY30,'Rate &amp; Vol Update'!$E$6:$Z$6,1)+1)-AY30)*(AT30-INDEX('Rate &amp; Vol Update'!$B$8:$B$127,MATCH(AT30,'Rate &amp; Vol Update'!$B$8:$B$127,1)))+INDEX('Rate &amp; Vol Update'!$E$8:$Z$127,MATCH(INDEX('Rate &amp; Vol Update'!$B$8:$B$127,MATCH(AT30,'Rate &amp; Vol Update'!$B$8:$B$127,1)+1),'Rate &amp; Vol Update'!$B$8:$B$127,0),MATCH(INDEX('Rate &amp; Vol Update'!$E$6:$Z$6,1,MATCH(AY30,'Rate &amp; Vol Update'!$E$6:$Z$6,1)+1),'Rate &amp; Vol Update'!$E$6:$Z$6,0))*(AY30-INDEX('Rate &amp; Vol Update'!$E$6:$Z$6,1,MATCH(AY30,'Rate &amp; Vol Update'!$E$6:$Z$6,1)))*(AT30-INDEX('Rate &amp; Vol Update'!$B$8:$B$127,MATCH(AT30,'Rate &amp; Vol Update'!$B$8:$B$127,1)))))*0.01%))</f>
        <v>8.3197221830270725E-3</v>
      </c>
      <c r="BB30" s="5">
        <f>IF(AS30="","",1/((1+AZ30)^((AU30-'Rate &amp; Vol Update'!$C$2)/360)))</f>
        <v>0.92755460845167959</v>
      </c>
      <c r="BD30" s="15">
        <f>IF(AS30="","",IF(AT30&lt;'Rate &amp; Vol Update'!$C$2,MAX(0,AZ30-AY30)*(AV30/360)*AX30,(((IF('Adjustment Surface'!$C$2='Data Validation'!$A$2,AZ30,IF('Adjustment Surface'!$C$2='Data Validation'!$A$3,AY30,"Unknown Option Type"))-IF('Adjustment Surface'!$C$2='Data Validation'!$A$2,AY30,IF('Adjustment Surface'!$C$2='Data Validation'!$A$3,AZ30,"Unknown Option Type")))*(NORMDIST((IF('Adjustment Surface'!$C$2='Data Validation'!$A$2,AZ30,IF('Adjustment Surface'!$C$2='Data Validation'!$A$3,AY30,"Unknown Option Type"))-IF('Adjustment Surface'!$C$2='Data Validation'!$A$2,AY30,IF('Adjustment Surface'!$C$2='Data Validation'!$A$3,AZ30,"Unknown Option Type")))/(BA30*SQRT(AW30)),0,1,TRUE)))+((BA30*SQRT(AW30))*(NORMDIST((IF('Adjustment Surface'!$C$2='Data Validation'!$A$2,AZ30,IF('Adjustment Surface'!$C$2='Data Validation'!$A$3,AY30,"Unknown Option Type"))-IF('Adjustment Surface'!$C$2='Data Validation'!$A$2,AY30,IF('Adjustment Surface'!$C$2='Data Validation'!$A$3,AZ30,"Unknown Option Type")))/(BA30*SQRT(AW30)),0,1,FALSE))))*BB30*(AV30/360)*AX30))</f>
        <v>4707.8648111176608</v>
      </c>
      <c r="BE30" s="15">
        <f>IF(AS30="","",SUM(BD$4:BD30))</f>
        <v>44179.048833834313</v>
      </c>
      <c r="BG30" s="15">
        <f>IF(AS30="","",IF(AT30&lt;'Rate &amp; Vol Update'!$C$2,0,((((((IF('Adjustment Surface'!$C$2='Data Validation'!$A$2,AZ30,IF('Adjustment Surface'!$C$2='Data Validation'!$A$3,AY30,"Unknown Option Type"))-IF('Adjustment Surface'!$C$2='Data Validation'!$A$2,AY30,IF('Adjustment Surface'!$C$2='Data Validation'!$A$3,AZ30,"Unknown Option Type")))*(NORMDIST((IF('Adjustment Surface'!$C$2='Data Validation'!$A$2,AZ30,IF('Adjustment Surface'!$C$2='Data Validation'!$A$3,AY30,"Unknown Option Type"))-IF('Adjustment Surface'!$C$2='Data Validation'!$A$2,AY30,IF('Adjustment Surface'!$C$2='Data Validation'!$A$3,AZ30,"Unknown Option Type")))/((BA30+0.01%)*SQRT(AW30)),0,1,TRUE)))+(((BA30+0.01%)*SQRT(AW30))*(NORMDIST((IF('Adjustment Surface'!$C$2='Data Validation'!$A$2,AZ30,IF('Adjustment Surface'!$C$2='Data Validation'!$A$3,AY30,"Unknown Option Type"))-IF('Adjustment Surface'!$C$2='Data Validation'!$A$2,AY30,IF('Adjustment Surface'!$C$2='Data Validation'!$A$3,AZ30,"Unknown Option Type")))/((BA30+0.01%)*SQRT(AW30)),0,1,FALSE))))*BB30*(AV30/360))-(BD30/AX30))*AX30)*BB30))</f>
        <v>94.795743243749129</v>
      </c>
      <c r="BH30" s="15">
        <f>IF(AS30="","",SUM(BG$4:BG30))</f>
        <v>1371.2800826621963</v>
      </c>
      <c r="BI30" s="15"/>
      <c r="BJ30" s="20"/>
      <c r="BK30" s="3">
        <v>27</v>
      </c>
      <c r="BL30" s="4">
        <f>IF(BM29=MAX('Adjustment Surface'!$C$14:$F$14),"",BM29)</f>
        <v>46854</v>
      </c>
      <c r="BM30" s="4">
        <f>IF(BL30="","",IF(BL30&lt;EDATE('Adjustment Surface'!$C$6,DATEDIF('Adjustment Surface'!$C$6,MAX('Adjustment Surface'!$C$14:$F$14),"M")),EDATE(BL$5,COUNT(BL$5:BL30)),IF(BL30=EDATE('Adjustment Surface'!$C$6,DATEDIF('Adjustment Surface'!$C$6,MAX('Adjustment Surface'!$C$14:$F$14),"M")),MAX('Adjustment Surface'!$C$14:$F$14),EDATE('Adjustment Surface'!$C$6,DATEDIF('Adjustment Surface'!$C$6,MAX('Adjustment Surface'!$C$14:$F$14),"M")))))</f>
        <v>46884</v>
      </c>
      <c r="BN30" s="3">
        <f t="shared" si="4"/>
        <v>30</v>
      </c>
      <c r="BO30" s="5">
        <f>IF(BK30="","",(BM30-'Rate &amp; Vol Update'!$C$2)/360)</f>
        <v>2.2777777777777777</v>
      </c>
      <c r="BP30" s="15">
        <f>IF(BK30="","",IF('Adjustment Surface'!$C$3='Data Validation'!$C$2,'Adjustment Surface'!$C$4,_xlfn.IFNA(IF(INDEX(Schedules!$E$3:$E$123,MATCH('Bachelier Model'!BL30,Schedules!$B$3:$B$123,0))="",BP29,INDEX(Schedules!$E$3:$E$123,MATCH('Bachelier Model'!BL30,Schedules!$B$3:$B$123,0))),BP29)))</f>
        <v>25000000</v>
      </c>
      <c r="BQ30" s="16">
        <f>IF(BK30="","",'Adjustment Surface'!B$17)</f>
        <v>0.05</v>
      </c>
      <c r="BR30" s="16" cm="1">
        <f t="array" ref="BR30">IF(BK30="","",FORECAST(BL30,INDEX('Rate &amp; Vol Update'!$C$6:$C$127,MATCH(INDEX('Rate &amp; Vol Update'!$B$6:$B$127,MATCH(BL30,'Rate &amp; Vol Update'!$B$6:$B$127,1)),'Rate &amp; Vol Update'!$B$6:$B$127,0)+IF('Adjustment Surface'!$C$11='Data Validation'!$E$3,-1,0)):INDEX('Rate &amp; Vol Update'!$C$6:$C$127,MATCH(INDEX('Rate &amp; Vol Update'!$B$6:$B$127,MATCH(BL30,'Rate &amp; Vol Update'!$B$6:$B$127,1)+1),'Rate &amp; Vol Update'!$B$6:$B$127,0)+IF('Adjustment Surface'!$C$11='Data Validation'!$E$3,-1,0)),INDEX('Rate &amp; Vol Update'!$B$6:$B$127,MATCH(BL30,'Rate &amp; Vol Update'!$B$6:$B$127,1)):INDEX('Rate &amp; Vol Update'!$B$6:$B$127,MATCH(BL30,'Rate &amp; Vol Update'!$B$6:$B$127,1)+1))/100)</f>
        <v>3.3567302194227322E-2</v>
      </c>
      <c r="BS30" s="16" cm="1">
        <f t="array" ref="BS30">IF(BK30="","",IF(BL30&lt;'Rate &amp; Vol Update'!$C$2,0.001%,(1/((INDEX('Rate &amp; Vol Update'!$E$6:$Z$6,1,MATCH(BQ30,'Rate &amp; Vol Update'!$E$6:$Z$6,1)+1)-INDEX('Rate &amp; Vol Update'!$E$6:$Z$6,1,MATCH(BQ30,'Rate &amp; Vol Update'!$E$6:$Z$6,1)))*(INDEX('Rate &amp; Vol Update'!$B$8:$B$127,MATCH(BL30,'Rate &amp; Vol Update'!$B$8:$B$127,1)+1)-INDEX('Rate &amp; Vol Update'!$B$8:$B$127,MATCH(BL30,'Rate &amp; Vol Update'!$B$8:$B$127,1))))*(INDEX('Rate &amp; Vol Update'!$E$8:$Z$127,MATCH(INDEX('Rate &amp; Vol Update'!$B$8:$B$127,MATCH(BL30,'Rate &amp; Vol Update'!$B$8:$B$127,1)),'Rate &amp; Vol Update'!$B$8:$B$127,0),MATCH(INDEX('Rate &amp; Vol Update'!$E$6:$Z$6,1,MATCH(BQ30,'Rate &amp; Vol Update'!$E$6:$Z$6,1)),'Rate &amp; Vol Update'!$E$6:$Z$6,0))*(INDEX('Rate &amp; Vol Update'!$E$6:$Z$6,1,MATCH(BQ30,'Rate &amp; Vol Update'!$E$6:$Z$6,1)+1)-BQ30)*(INDEX('Rate &amp; Vol Update'!$B$8:$B$127,MATCH(BL30,'Rate &amp; Vol Update'!$B$8:$B$127,1)+1)-BL30)+INDEX('Rate &amp; Vol Update'!$E$8:$Z$127,MATCH(INDEX('Rate &amp; Vol Update'!$B$8:$B$127,MATCH(BL30,'Rate &amp; Vol Update'!$B$8:$B$127,1)),'Rate &amp; Vol Update'!$B$8:$B$127,0),MATCH(INDEX('Rate &amp; Vol Update'!$E$6:$Z$6,1,MATCH(BQ30,'Rate &amp; Vol Update'!$E$6:$Z$6,1)+1),'Rate &amp; Vol Update'!$E$6:$Z$6,0))*(BQ30-INDEX('Rate &amp; Vol Update'!$E$6:$Z$6,1,MATCH(BQ30,'Rate &amp; Vol Update'!$E$6:$Z$6,1)))*(INDEX('Rate &amp; Vol Update'!$B$8:$B$127,MATCH(BL30,'Rate &amp; Vol Update'!$B$8:$B$127,1)+1)-BL30)+INDEX('Rate &amp; Vol Update'!$E$8:$Z$127,MATCH(INDEX('Rate &amp; Vol Update'!$B$8:$B$127,MATCH(BL30,'Rate &amp; Vol Update'!$B$8:$B$127,1)+1),'Rate &amp; Vol Update'!$B$8:$B$127,0),MATCH(INDEX('Rate &amp; Vol Update'!$E$6:$Z$6,1,MATCH(BQ30,'Rate &amp; Vol Update'!$E$6:$Z$6,1)),'Rate &amp; Vol Update'!$E$6:$Z$6,0))*(INDEX('Rate &amp; Vol Update'!$E$6:$Z$6,1,MATCH(BQ30,'Rate &amp; Vol Update'!$E$6:$Z$6,1)+1)-BQ30)*(BL30-INDEX('Rate &amp; Vol Update'!$B$8:$B$127,MATCH(BL30,'Rate &amp; Vol Update'!$B$8:$B$127,1)))+INDEX('Rate &amp; Vol Update'!$E$8:$Z$127,MATCH(INDEX('Rate &amp; Vol Update'!$B$8:$B$127,MATCH(BL30,'Rate &amp; Vol Update'!$B$8:$B$127,1)+1),'Rate &amp; Vol Update'!$B$8:$B$127,0),MATCH(INDEX('Rate &amp; Vol Update'!$E$6:$Z$6,1,MATCH(BQ30,'Rate &amp; Vol Update'!$E$6:$Z$6,1)+1),'Rate &amp; Vol Update'!$E$6:$Z$6,0))*(BQ30-INDEX('Rate &amp; Vol Update'!$E$6:$Z$6,1,MATCH(BQ30,'Rate &amp; Vol Update'!$E$6:$Z$6,1)))*(BL30-INDEX('Rate &amp; Vol Update'!$B$8:$B$127,MATCH(BL30,'Rate &amp; Vol Update'!$B$8:$B$127,1)))))*0.01%))</f>
        <v>9.5645630822123601E-3</v>
      </c>
      <c r="BT30" s="5">
        <f>IF(BK30="","",1/((1+BR30)^((BM30-'Rate &amp; Vol Update'!$C$2)/360)))</f>
        <v>0.92755460845167959</v>
      </c>
      <c r="BV30" s="15">
        <f>IF(BK30="","",IF(BL30&lt;'Rate &amp; Vol Update'!$C$2,MAX(0,BR30-BQ30)*(BN30/360)*BP30,(((IF('Adjustment Surface'!$C$2='Data Validation'!$A$2,BR30,IF('Adjustment Surface'!$C$2='Data Validation'!$A$3,BQ30,"Unknown Option Type"))-IF('Adjustment Surface'!$C$2='Data Validation'!$A$2,BQ30,IF('Adjustment Surface'!$C$2='Data Validation'!$A$3,BR30,"Unknown Option Type")))*(NORMDIST((IF('Adjustment Surface'!$C$2='Data Validation'!$A$2,BR30,IF('Adjustment Surface'!$C$2='Data Validation'!$A$3,BQ30,"Unknown Option Type"))-IF('Adjustment Surface'!$C$2='Data Validation'!$A$2,BQ30,IF('Adjustment Surface'!$C$2='Data Validation'!$A$3,BR30,"Unknown Option Type")))/(BS30*SQRT(BO30)),0,1,TRUE)))+((BS30*SQRT(BO30))*(NORMDIST((IF('Adjustment Surface'!$C$2='Data Validation'!$A$2,BR30,IF('Adjustment Surface'!$C$2='Data Validation'!$A$3,BQ30,"Unknown Option Type"))-IF('Adjustment Surface'!$C$2='Data Validation'!$A$2,BQ30,IF('Adjustment Surface'!$C$2='Data Validation'!$A$3,BR30,"Unknown Option Type")))/(BS30*SQRT(BO30)),0,1,FALSE))))*BT30*(BN30/360)*BP30))</f>
        <v>1773.2714085883156</v>
      </c>
      <c r="BW30" s="15">
        <f>IF(BK30="","",SUM(BV$4:BV30))</f>
        <v>12282.570909662096</v>
      </c>
      <c r="BY30" s="15">
        <f>IF(BK30="","",IF(BL30&lt;'Rate &amp; Vol Update'!$C$2,0,((((((IF('Adjustment Surface'!$C$2='Data Validation'!$A$2,BR30,IF('Adjustment Surface'!$C$2='Data Validation'!$A$3,BQ30,"Unknown Option Type"))-IF('Adjustment Surface'!$C$2='Data Validation'!$A$2,BQ30,IF('Adjustment Surface'!$C$2='Data Validation'!$A$3,BR30,"Unknown Option Type")))*(NORMDIST((IF('Adjustment Surface'!$C$2='Data Validation'!$A$2,BR30,IF('Adjustment Surface'!$C$2='Data Validation'!$A$3,BQ30,"Unknown Option Type"))-IF('Adjustment Surface'!$C$2='Data Validation'!$A$2,BQ30,IF('Adjustment Surface'!$C$2='Data Validation'!$A$3,BR30,"Unknown Option Type")))/((BS30+0.01%)*SQRT(BO30)),0,1,TRUE)))+(((BS30+0.01%)*SQRT(BO30))*(NORMDIST((IF('Adjustment Surface'!$C$2='Data Validation'!$A$2,BR30,IF('Adjustment Surface'!$C$2='Data Validation'!$A$3,BQ30,"Unknown Option Type"))-IF('Adjustment Surface'!$C$2='Data Validation'!$A$2,BQ30,IF('Adjustment Surface'!$C$2='Data Validation'!$A$3,BR30,"Unknown Option Type")))/((BS30+0.01%)*SQRT(BO30)),0,1,FALSE))))*BT30*(BN30/360))-(BV30/BP30))*BP30)*BT30))</f>
        <v>56.834795784480917</v>
      </c>
      <c r="BZ30" s="15">
        <f>IF(BK30="","",SUM(BY$4:BY30))</f>
        <v>523.97530315732195</v>
      </c>
      <c r="CA30" s="15"/>
      <c r="CB30" s="20"/>
      <c r="CC30" s="3">
        <v>27</v>
      </c>
      <c r="CD30" s="4">
        <f>IF(CE29=MAX('Adjustment Surface'!$C$14:$F$14),"",CE29)</f>
        <v>46854</v>
      </c>
      <c r="CE30" s="4">
        <f>IF(CD30="","",IF(CD30&lt;EDATE('Adjustment Surface'!$C$6,DATEDIF('Adjustment Surface'!$C$6,MAX('Adjustment Surface'!$C$14:$F$14),"M")),EDATE(CD$5,COUNT(CD$5:CD30)),IF(CD30=EDATE('Adjustment Surface'!$C$6,DATEDIF('Adjustment Surface'!$C$6,MAX('Adjustment Surface'!$C$14:$F$14),"M")),MAX('Adjustment Surface'!$C$14:$F$14),EDATE('Adjustment Surface'!$C$6,DATEDIF('Adjustment Surface'!$C$6,MAX('Adjustment Surface'!$C$14:$F$14),"M")))))</f>
        <v>46884</v>
      </c>
      <c r="CF30" s="3">
        <f t="shared" si="5"/>
        <v>30</v>
      </c>
      <c r="CG30" s="5">
        <f>IF(CC30="","",(CE30-'Rate &amp; Vol Update'!$C$2)/360)</f>
        <v>2.2777777777777777</v>
      </c>
      <c r="CH30" s="15">
        <f>IF(CC30="","",IF('Adjustment Surface'!$C$3='Data Validation'!$C$2,'Adjustment Surface'!$C$4,_xlfn.IFNA(IF(INDEX(Schedules!$E$3:$E$123,MATCH('Bachelier Model'!CD30,Schedules!$B$3:$B$123,0))="",CH29,INDEX(Schedules!$E$3:$E$123,MATCH('Bachelier Model'!CD30,Schedules!$B$3:$B$123,0))),CH29)))</f>
        <v>25000000</v>
      </c>
      <c r="CI30" s="16">
        <f>IF(CC30="","",'Adjustment Surface'!B$18)</f>
        <v>0.06</v>
      </c>
      <c r="CJ30" s="16" cm="1">
        <f t="array" ref="CJ30">IF(CC30="","",FORECAST(CD30,INDEX('Rate &amp; Vol Update'!$C$6:$C$127,MATCH(INDEX('Rate &amp; Vol Update'!$B$6:$B$127,MATCH(CD30,'Rate &amp; Vol Update'!$B$6:$B$127,1)),'Rate &amp; Vol Update'!$B$6:$B$127,0)+IF('Adjustment Surface'!$C$11='Data Validation'!$E$3,-1,0)):INDEX('Rate &amp; Vol Update'!$C$6:$C$127,MATCH(INDEX('Rate &amp; Vol Update'!$B$6:$B$127,MATCH(CD30,'Rate &amp; Vol Update'!$B$6:$B$127,1)+1),'Rate &amp; Vol Update'!$B$6:$B$127,0)+IF('Adjustment Surface'!$C$11='Data Validation'!$E$3,-1,0)),INDEX('Rate &amp; Vol Update'!$B$6:$B$127,MATCH(CD30,'Rate &amp; Vol Update'!$B$6:$B$127,1)):INDEX('Rate &amp; Vol Update'!$B$6:$B$127,MATCH(CD30,'Rate &amp; Vol Update'!$B$6:$B$127,1)+1))/100)</f>
        <v>3.3567302194227322E-2</v>
      </c>
      <c r="CK30" s="16" cm="1">
        <f t="array" ref="CK30">IF(CC30="","",IF(CD30&lt;'Rate &amp; Vol Update'!$C$2,0.001%,(1/((INDEX('Rate &amp; Vol Update'!$E$6:$Z$6,1,MATCH(CI30,'Rate &amp; Vol Update'!$E$6:$Z$6,1)+1)-INDEX('Rate &amp; Vol Update'!$E$6:$Z$6,1,MATCH(CI30,'Rate &amp; Vol Update'!$E$6:$Z$6,1)))*(INDEX('Rate &amp; Vol Update'!$B$8:$B$127,MATCH(CD30,'Rate &amp; Vol Update'!$B$8:$B$127,1)+1)-INDEX('Rate &amp; Vol Update'!$B$8:$B$127,MATCH(CD30,'Rate &amp; Vol Update'!$B$8:$B$127,1))))*(INDEX('Rate &amp; Vol Update'!$E$8:$Z$127,MATCH(INDEX('Rate &amp; Vol Update'!$B$8:$B$127,MATCH(CD30,'Rate &amp; Vol Update'!$B$8:$B$127,1)),'Rate &amp; Vol Update'!$B$8:$B$127,0),MATCH(INDEX('Rate &amp; Vol Update'!$E$6:$Z$6,1,MATCH(CI30,'Rate &amp; Vol Update'!$E$6:$Z$6,1)),'Rate &amp; Vol Update'!$E$6:$Z$6,0))*(INDEX('Rate &amp; Vol Update'!$E$6:$Z$6,1,MATCH(CI30,'Rate &amp; Vol Update'!$E$6:$Z$6,1)+1)-CI30)*(INDEX('Rate &amp; Vol Update'!$B$8:$B$127,MATCH(CD30,'Rate &amp; Vol Update'!$B$8:$B$127,1)+1)-CD30)+INDEX('Rate &amp; Vol Update'!$E$8:$Z$127,MATCH(INDEX('Rate &amp; Vol Update'!$B$8:$B$127,MATCH(CD30,'Rate &amp; Vol Update'!$B$8:$B$127,1)),'Rate &amp; Vol Update'!$B$8:$B$127,0),MATCH(INDEX('Rate &amp; Vol Update'!$E$6:$Z$6,1,MATCH(CI30,'Rate &amp; Vol Update'!$E$6:$Z$6,1)+1),'Rate &amp; Vol Update'!$E$6:$Z$6,0))*(CI30-INDEX('Rate &amp; Vol Update'!$E$6:$Z$6,1,MATCH(CI30,'Rate &amp; Vol Update'!$E$6:$Z$6,1)))*(INDEX('Rate &amp; Vol Update'!$B$8:$B$127,MATCH(CD30,'Rate &amp; Vol Update'!$B$8:$B$127,1)+1)-CD30)+INDEX('Rate &amp; Vol Update'!$E$8:$Z$127,MATCH(INDEX('Rate &amp; Vol Update'!$B$8:$B$127,MATCH(CD30,'Rate &amp; Vol Update'!$B$8:$B$127,1)+1),'Rate &amp; Vol Update'!$B$8:$B$127,0),MATCH(INDEX('Rate &amp; Vol Update'!$E$6:$Z$6,1,MATCH(CI30,'Rate &amp; Vol Update'!$E$6:$Z$6,1)),'Rate &amp; Vol Update'!$E$6:$Z$6,0))*(INDEX('Rate &amp; Vol Update'!$E$6:$Z$6,1,MATCH(CI30,'Rate &amp; Vol Update'!$E$6:$Z$6,1)+1)-CI30)*(CD30-INDEX('Rate &amp; Vol Update'!$B$8:$B$127,MATCH(CD30,'Rate &amp; Vol Update'!$B$8:$B$127,1)))+INDEX('Rate &amp; Vol Update'!$E$8:$Z$127,MATCH(INDEX('Rate &amp; Vol Update'!$B$8:$B$127,MATCH(CD30,'Rate &amp; Vol Update'!$B$8:$B$127,1)+1),'Rate &amp; Vol Update'!$B$8:$B$127,0),MATCH(INDEX('Rate &amp; Vol Update'!$E$6:$Z$6,1,MATCH(CI30,'Rate &amp; Vol Update'!$E$6:$Z$6,1)+1),'Rate &amp; Vol Update'!$E$6:$Z$6,0))*(CI30-INDEX('Rate &amp; Vol Update'!$E$6:$Z$6,1,MATCH(CI30,'Rate &amp; Vol Update'!$E$6:$Z$6,1)))*(CD30-INDEX('Rate &amp; Vol Update'!$B$8:$B$127,MATCH(CD30,'Rate &amp; Vol Update'!$B$8:$B$127,1)))))*0.01%))</f>
        <v>1.1208472247312884E-2</v>
      </c>
      <c r="CL30" s="5">
        <f>IF(CC30="","",1/((1+CJ30)^((CE30-'Rate &amp; Vol Update'!$C$2)/360)))</f>
        <v>0.92755460845167959</v>
      </c>
      <c r="CN30" s="15">
        <f>IF(CC30="","",IF(CD30&lt;'Rate &amp; Vol Update'!$C$2,MAX(0,CJ30-CI30)*(CF30/360)*CH30,(((IF('Adjustment Surface'!$C$2='Data Validation'!$A$2,CJ30,IF('Adjustment Surface'!$C$2='Data Validation'!$A$3,CI30,"Unknown Option Type"))-IF('Adjustment Surface'!$C$2='Data Validation'!$A$2,CI30,IF('Adjustment Surface'!$C$2='Data Validation'!$A$3,CJ30,"Unknown Option Type")))*(NORMDIST((IF('Adjustment Surface'!$C$2='Data Validation'!$A$2,CJ30,IF('Adjustment Surface'!$C$2='Data Validation'!$A$3,CI30,"Unknown Option Type"))-IF('Adjustment Surface'!$C$2='Data Validation'!$A$2,CI30,IF('Adjustment Surface'!$C$2='Data Validation'!$A$3,CJ30,"Unknown Option Type")))/(CK30*SQRT(CG30)),0,1,TRUE)))+((CK30*SQRT(CG30))*(NORMDIST((IF('Adjustment Surface'!$C$2='Data Validation'!$A$2,CJ30,IF('Adjustment Surface'!$C$2='Data Validation'!$A$3,CI30,"Unknown Option Type"))-IF('Adjustment Surface'!$C$2='Data Validation'!$A$2,CI30,IF('Adjustment Surface'!$C$2='Data Validation'!$A$3,CJ30,"Unknown Option Type")))/(CK30*SQRT(CG30)),0,1,FALSE))))*CL30*(CF30/360)*CH30))</f>
        <v>829.39558373572038</v>
      </c>
      <c r="CO30" s="15">
        <f>IF(CC30="","",SUM(CN$4:CN30))</f>
        <v>5275.2093553208879</v>
      </c>
      <c r="CQ30" s="15">
        <f>IF(CC30="","",IF(CD30&lt;'Rate &amp; Vol Update'!$C$2,0,((((((IF('Adjustment Surface'!$C$2='Data Validation'!$A$2,CJ30,IF('Adjustment Surface'!$C$2='Data Validation'!$A$3,CI30,"Unknown Option Type"))-IF('Adjustment Surface'!$C$2='Data Validation'!$A$2,CI30,IF('Adjustment Surface'!$C$2='Data Validation'!$A$3,CJ30,"Unknown Option Type")))*(NORMDIST((IF('Adjustment Surface'!$C$2='Data Validation'!$A$2,CJ30,IF('Adjustment Surface'!$C$2='Data Validation'!$A$3,CI30,"Unknown Option Type"))-IF('Adjustment Surface'!$C$2='Data Validation'!$A$2,CI30,IF('Adjustment Surface'!$C$2='Data Validation'!$A$3,CJ30,"Unknown Option Type")))/((CK30+0.01%)*SQRT(CG30)),0,1,TRUE)))+(((CK30+0.01%)*SQRT(CG30))*(NORMDIST((IF('Adjustment Surface'!$C$2='Data Validation'!$A$2,CJ30,IF('Adjustment Surface'!$C$2='Data Validation'!$A$3,CI30,"Unknown Option Type"))-IF('Adjustment Surface'!$C$2='Data Validation'!$A$2,CI30,IF('Adjustment Surface'!$C$2='Data Validation'!$A$3,CJ30,"Unknown Option Type")))/((CK30+0.01%)*SQRT(CG30)),0,1,FALSE))))*CL30*(CF30/360))-(CN30/CH30))*CH30)*CL30))</f>
        <v>32.181654638269926</v>
      </c>
      <c r="CR30" s="15">
        <f>IF(CC30="","",SUM(CQ$4:CQ30))</f>
        <v>252.05031900375067</v>
      </c>
    </row>
    <row r="31" spans="7:96" x14ac:dyDescent="0.25">
      <c r="G31" s="28"/>
      <c r="I31" s="3">
        <v>28</v>
      </c>
      <c r="J31" s="4">
        <f>IF(K30='Adjustment Surface'!C$8,"",K30)</f>
        <v>46884</v>
      </c>
      <c r="K31" s="4">
        <f>IF(J31="","",IF(J31&lt;'Adjustment Surface'!C$7,EDATE(J$5,COUNT(J$5:J31)),IF(J31='Adjustment Surface'!C$7,'Adjustment Surface'!C$8,'Adjustment Surface'!C$7)))</f>
        <v>46915</v>
      </c>
      <c r="L31" s="3">
        <f t="shared" si="1"/>
        <v>31</v>
      </c>
      <c r="M31" s="5">
        <f>IF(I31="","",(K31-'Rate &amp; Vol Update'!$C$2)/360)</f>
        <v>2.3638888888888889</v>
      </c>
      <c r="N31" s="15">
        <f>IF(I31="","",IF('Adjustment Surface'!C$3='Data Validation'!$C$2,'Adjustment Surface'!C$4,IF(INDEX(Schedules!$E$3:$E$123,MATCH('Bachelier Model'!J31,Schedules!$B$3:$B$123,0))="",N30,INDEX(Schedules!$E$3:$E$123,MATCH('Bachelier Model'!J31,Schedules!$B$3:$B$123,0)))))</f>
        <v>25000000</v>
      </c>
      <c r="O31" s="16">
        <f>IF(I31="","",IF('Adjustment Surface'!C$9='Data Validation'!$D$2,'Adjustment Surface'!C$10,IF(INDEX(Schedules!$H$3:$H$123,MATCH('Bachelier Model'!J31,Schedules!$B$3:$B$123,0))="",O30,INDEX(Schedules!$H$3:$H$123,MATCH('Bachelier Model'!J31,Schedules!$B$3:$B$123,0)))))</f>
        <v>0.02</v>
      </c>
      <c r="P31" s="16" cm="1">
        <f t="array" ref="P31">IF(I31="","",FORECAST(J31,INDEX('Rate &amp; Vol Update'!$C$6:$C$127,MATCH(INDEX('Rate &amp; Vol Update'!$B$6:$B$127,MATCH(J31,'Rate &amp; Vol Update'!$B$6:$B$127,1)),'Rate &amp; Vol Update'!$B$6:$B$127,0)+IF('Adjustment Surface'!C$11='Data Validation'!$E$3,-1,0)):INDEX('Rate &amp; Vol Update'!$C$6:$C$127,MATCH(INDEX('Rate &amp; Vol Update'!$B$6:$B$127,MATCH(J31,'Rate &amp; Vol Update'!$B$6:$B$127,1)+1),'Rate &amp; Vol Update'!$B$6:$B$127,0)+IF('Adjustment Surface'!C$11='Data Validation'!$E$3,-1,0)),INDEX('Rate &amp; Vol Update'!$B$6:$B$127,MATCH(J31,'Rate &amp; Vol Update'!$B$6:$B$127,1)):INDEX('Rate &amp; Vol Update'!$B$6:$B$127,MATCH(J31,'Rate &amp; Vol Update'!$B$6:$B$127,1)+1))/100)</f>
        <v>3.3565738847226766E-2</v>
      </c>
      <c r="Q31" s="16" cm="1">
        <f t="array" ref="Q31">IF(I31="","",IF(J31&lt;'Rate &amp; Vol Update'!$C$2,0.001%,(1/((INDEX('Rate &amp; Vol Update'!$E$6:$Z$6,1,MATCH(O31,'Rate &amp; Vol Update'!$E$6:$Z$6,1)+1)-INDEX('Rate &amp; Vol Update'!$E$6:$Z$6,1,MATCH(O31,'Rate &amp; Vol Update'!$E$6:$Z$6,1)))*(INDEX('Rate &amp; Vol Update'!$B$8:$B$127,MATCH(J31,'Rate &amp; Vol Update'!$B$8:$B$127,1)+1)-INDEX('Rate &amp; Vol Update'!$B$8:$B$127,MATCH(J31,'Rate &amp; Vol Update'!$B$8:$B$127,1))))*(INDEX('Rate &amp; Vol Update'!$E$8:$Z$127,MATCH(INDEX('Rate &amp; Vol Update'!$B$8:$B$127,MATCH(J31,'Rate &amp; Vol Update'!$B$8:$B$127,1)),'Rate &amp; Vol Update'!$B$8:$B$127,0),MATCH(INDEX('Rate &amp; Vol Update'!$E$6:$Z$6,1,MATCH(O31,'Rate &amp; Vol Update'!$E$6:$Z$6,1)),'Rate &amp; Vol Update'!$E$6:$Z$6,0))*(INDEX('Rate &amp; Vol Update'!$E$6:$Z$6,1,MATCH(O31,'Rate &amp; Vol Update'!$E$6:$Z$6,1)+1)-O31)*(INDEX('Rate &amp; Vol Update'!$B$8:$B$127,MATCH(J31,'Rate &amp; Vol Update'!$B$8:$B$127,1)+1)-J31)+INDEX('Rate &amp; Vol Update'!$E$8:$Z$127,MATCH(INDEX('Rate &amp; Vol Update'!$B$8:$B$127,MATCH(J31,'Rate &amp; Vol Update'!$B$8:$B$127,1)),'Rate &amp; Vol Update'!$B$8:$B$127,0),MATCH(INDEX('Rate &amp; Vol Update'!$E$6:$Z$6,1,MATCH(O31,'Rate &amp; Vol Update'!$E$6:$Z$6,1)+1),'Rate &amp; Vol Update'!$E$6:$Z$6,0))*(O31-INDEX('Rate &amp; Vol Update'!$E$6:$Z$6,1,MATCH(O31,'Rate &amp; Vol Update'!$E$6:$Z$6,1)))*(INDEX('Rate &amp; Vol Update'!$B$8:$B$127,MATCH(J31,'Rate &amp; Vol Update'!$B$8:$B$127,1)+1)-J31)+INDEX('Rate &amp; Vol Update'!$E$8:$Z$127,MATCH(INDEX('Rate &amp; Vol Update'!$B$8:$B$127,MATCH(J31,'Rate &amp; Vol Update'!$B$8:$B$127,1)+1),'Rate &amp; Vol Update'!$B$8:$B$127,0),MATCH(INDEX('Rate &amp; Vol Update'!$E$6:$Z$6,1,MATCH(O31,'Rate &amp; Vol Update'!$E$6:$Z$6,1)),'Rate &amp; Vol Update'!$E$6:$Z$6,0))*(INDEX('Rate &amp; Vol Update'!$E$6:$Z$6,1,MATCH(O31,'Rate &amp; Vol Update'!$E$6:$Z$6,1)+1)-O31)*(J31-INDEX('Rate &amp; Vol Update'!$B$8:$B$127,MATCH(J31,'Rate &amp; Vol Update'!$B$8:$B$127,1)))+INDEX('Rate &amp; Vol Update'!$E$8:$Z$127,MATCH(INDEX('Rate &amp; Vol Update'!$B$8:$B$127,MATCH(J31,'Rate &amp; Vol Update'!$B$8:$B$127,1)+1),'Rate &amp; Vol Update'!$B$8:$B$127,0),MATCH(INDEX('Rate &amp; Vol Update'!$E$6:$Z$6,1,MATCH(O31,'Rate &amp; Vol Update'!$E$6:$Z$6,1)+1),'Rate &amp; Vol Update'!$E$6:$Z$6,0))*(O31-INDEX('Rate &amp; Vol Update'!$E$6:$Z$6,1,MATCH(O31,'Rate &amp; Vol Update'!$E$6:$Z$6,1)))*(J31-INDEX('Rate &amp; Vol Update'!$B$8:$B$127,MATCH(J31,'Rate &amp; Vol Update'!$B$8:$B$127,1)))))*0.01%))</f>
        <v>9.0762925789264308E-3</v>
      </c>
      <c r="R31" s="5">
        <f>IF(I31="","",1/((1+P31)^((K31-'Rate &amp; Vol Update'!$C$2)/360)))</f>
        <v>0.92492456429212877</v>
      </c>
      <c r="T31" s="15">
        <f>IF(I31="","",IF(J31&lt;'Rate &amp; Vol Update'!$C$2,MAX(0,P31-O31)*(L31/360)*N31,(((IF('Adjustment Surface'!C$2='Data Validation'!$A$2,P31,IF('Adjustment Surface'!C$2='Data Validation'!$A$3,O31,"Unknown Option Type"))-IF('Adjustment Surface'!C$2='Data Validation'!$A$2,O31,IF('Adjustment Surface'!C$2='Data Validation'!$A$3,P31,"Unknown Option Type")))*(NORMDIST((IF('Adjustment Surface'!C$2='Data Validation'!$A$2,P31,IF('Adjustment Surface'!C$2='Data Validation'!$A$3,O31,"Unknown Option Type"))-IF('Adjustment Surface'!C$2='Data Validation'!$A$2,O31,IF('Adjustment Surface'!C$2='Data Validation'!$A$3,P31,"Unknown Option Type")))/(Q31*SQRT(M31)),0,1,TRUE)))+((Q31*SQRT(M31))*(NORMDIST((IF('Adjustment Surface'!C$2='Data Validation'!$A$2,P31,IF('Adjustment Surface'!C$2='Data Validation'!$A$3,O31,"Unknown Option Type"))-IF('Adjustment Surface'!C$2='Data Validation'!$A$2,O31,IF('Adjustment Surface'!C$2='Data Validation'!$A$3,P31,"Unknown Option Type")))/(Q31*SQRT(M31)),0,1,FALSE))))*R31*(L31/360)*N31))</f>
        <v>29452.055950999405</v>
      </c>
      <c r="U31" s="15">
        <f>IF(I31="","",SUM(T$4:T31))</f>
        <v>782209.59307144955</v>
      </c>
      <c r="W31" s="15">
        <f>IF(I31="","",IF(J31&lt;'Rate &amp; Vol Update'!$C$2,0,((((((IF('Adjustment Surface'!C$2='Data Validation'!$A$2,P31,IF('Adjustment Surface'!C$2='Data Validation'!$A$3,O31,"Unknown Option Type"))-IF('Adjustment Surface'!C$2='Data Validation'!$A$2,O31,IF('Adjustment Surface'!C$2='Data Validation'!$A$3,P31,"Unknown Option Type")))*(NORMDIST((IF('Adjustment Surface'!C$2='Data Validation'!$A$2,P31,IF('Adjustment Surface'!C$2='Data Validation'!$A$3,O31,"Unknown Option Type"))-IF('Adjustment Surface'!C$2='Data Validation'!$A$2,O31,IF('Adjustment Surface'!C$2='Data Validation'!$A$3,P31,"Unknown Option Type")))/((Q31+0.01%)*SQRT(M31)),0,1,TRUE)))+(((Q31+0.01%)*SQRT(M31))*(NORMDIST((IF('Adjustment Surface'!C$2='Data Validation'!$A$2,P31,IF('Adjustment Surface'!C$2='Data Validation'!$A$3,O31,"Unknown Option Type"))-IF('Adjustment Surface'!C$2='Data Validation'!$A$2,O31,IF('Adjustment Surface'!C$2='Data Validation'!$A$3,P31,"Unknown Option Type")))/((Q31+0.01%)*SQRT(M31)),0,1,FALSE))))*R31*(L31/360))-(T31/N31))*N31)*R31))</f>
        <v>70.788751444530121</v>
      </c>
      <c r="X31" s="15">
        <f>IF(I31="","",SUM(W$4:W31))</f>
        <v>1096.8596628034204</v>
      </c>
      <c r="Y31" s="15"/>
      <c r="Z31" s="20"/>
      <c r="AA31" s="3">
        <v>28</v>
      </c>
      <c r="AB31" s="4">
        <f>IF(AC30=MAX('Adjustment Surface'!$C$14:$F$14),"",AC30)</f>
        <v>46884</v>
      </c>
      <c r="AC31" s="4">
        <f>IF(AB31="","",IF(AB31&lt;EDATE('Adjustment Surface'!$C$6,DATEDIF('Adjustment Surface'!$C$6,MAX('Adjustment Surface'!$C$14:$F$14),"M")),EDATE(AB$5,COUNT(AB$5:AB31)),IF(AB31=EDATE('Adjustment Surface'!$C$6,DATEDIF('Adjustment Surface'!$C$6,MAX('Adjustment Surface'!$C$14:$F$14),"M")),MAX('Adjustment Surface'!$C$14:$F$14),EDATE('Adjustment Surface'!$C$6,DATEDIF('Adjustment Surface'!$C$6,MAX('Adjustment Surface'!$C$14:$F$14),"M")))))</f>
        <v>46915</v>
      </c>
      <c r="AD31" s="3">
        <f t="shared" si="2"/>
        <v>31</v>
      </c>
      <c r="AE31" s="5">
        <f>IF(AA31="","",(AC31-'Rate &amp; Vol Update'!$C$2)/360)</f>
        <v>2.3638888888888889</v>
      </c>
      <c r="AF31" s="15">
        <f>IF(AA31="","",IF('Adjustment Surface'!$C$3='Data Validation'!$C$2,'Adjustment Surface'!$C$4,_xlfn.IFNA(IF(INDEX(Schedules!$E$3:$E$123,MATCH('Bachelier Model'!AB31,Schedules!$B$3:$B$123,0))="",AF30,INDEX(Schedules!$E$3:$E$123,MATCH('Bachelier Model'!AB31,Schedules!$B$3:$B$123,0))),AF30)))</f>
        <v>25000000</v>
      </c>
      <c r="AG31" s="16">
        <f>IF(AA31="","",'Adjustment Surface'!B$15)</f>
        <v>0.03</v>
      </c>
      <c r="AH31" s="16" cm="1">
        <f t="array" ref="AH31">IF(AA31="","",FORECAST(AB31,INDEX('Rate &amp; Vol Update'!$C$6:$C$127,MATCH(INDEX('Rate &amp; Vol Update'!$B$6:$B$127,MATCH(AB31,'Rate &amp; Vol Update'!$B$6:$B$127,1)),'Rate &amp; Vol Update'!$B$6:$B$127,0)+IF('Adjustment Surface'!$C$11='Data Validation'!$E$3,-1,0)):INDEX('Rate &amp; Vol Update'!$C$6:$C$127,MATCH(INDEX('Rate &amp; Vol Update'!$B$6:$B$127,MATCH(AB31,'Rate &amp; Vol Update'!$B$6:$B$127,1)+1),'Rate &amp; Vol Update'!$B$6:$B$127,0)+IF('Adjustment Surface'!$C$11='Data Validation'!$E$3,-1,0)),INDEX('Rate &amp; Vol Update'!$B$6:$B$127,MATCH(AB31,'Rate &amp; Vol Update'!$B$6:$B$127,1)):INDEX('Rate &amp; Vol Update'!$B$6:$B$127,MATCH(AB31,'Rate &amp; Vol Update'!$B$6:$B$127,1)+1))/100)</f>
        <v>3.3565738847226766E-2</v>
      </c>
      <c r="AI31" s="16" cm="1">
        <f t="array" ref="AI31">IF(AA31="","",IF(AB31&lt;'Rate &amp; Vol Update'!$C$2,0.001%,(1/((INDEX('Rate &amp; Vol Update'!$E$6:$Z$6,1,MATCH(AG31,'Rate &amp; Vol Update'!$E$6:$Z$6,1)+1)-INDEX('Rate &amp; Vol Update'!$E$6:$Z$6,1,MATCH(AG31,'Rate &amp; Vol Update'!$E$6:$Z$6,1)))*(INDEX('Rate &amp; Vol Update'!$B$8:$B$127,MATCH(AB31,'Rate &amp; Vol Update'!$B$8:$B$127,1)+1)-INDEX('Rate &amp; Vol Update'!$B$8:$B$127,MATCH(AB31,'Rate &amp; Vol Update'!$B$8:$B$127,1))))*(INDEX('Rate &amp; Vol Update'!$E$8:$Z$127,MATCH(INDEX('Rate &amp; Vol Update'!$B$8:$B$127,MATCH(AB31,'Rate &amp; Vol Update'!$B$8:$B$127,1)),'Rate &amp; Vol Update'!$B$8:$B$127,0),MATCH(INDEX('Rate &amp; Vol Update'!$E$6:$Z$6,1,MATCH(AG31,'Rate &amp; Vol Update'!$E$6:$Z$6,1)),'Rate &amp; Vol Update'!$E$6:$Z$6,0))*(INDEX('Rate &amp; Vol Update'!$E$6:$Z$6,1,MATCH(AG31,'Rate &amp; Vol Update'!$E$6:$Z$6,1)+1)-AG31)*(INDEX('Rate &amp; Vol Update'!$B$8:$B$127,MATCH(AB31,'Rate &amp; Vol Update'!$B$8:$B$127,1)+1)-AB31)+INDEX('Rate &amp; Vol Update'!$E$8:$Z$127,MATCH(INDEX('Rate &amp; Vol Update'!$B$8:$B$127,MATCH(AB31,'Rate &amp; Vol Update'!$B$8:$B$127,1)),'Rate &amp; Vol Update'!$B$8:$B$127,0),MATCH(INDEX('Rate &amp; Vol Update'!$E$6:$Z$6,1,MATCH(AG31,'Rate &amp; Vol Update'!$E$6:$Z$6,1)+1),'Rate &amp; Vol Update'!$E$6:$Z$6,0))*(AG31-INDEX('Rate &amp; Vol Update'!$E$6:$Z$6,1,MATCH(AG31,'Rate &amp; Vol Update'!$E$6:$Z$6,1)))*(INDEX('Rate &amp; Vol Update'!$B$8:$B$127,MATCH(AB31,'Rate &amp; Vol Update'!$B$8:$B$127,1)+1)-AB31)+INDEX('Rate &amp; Vol Update'!$E$8:$Z$127,MATCH(INDEX('Rate &amp; Vol Update'!$B$8:$B$127,MATCH(AB31,'Rate &amp; Vol Update'!$B$8:$B$127,1)+1),'Rate &amp; Vol Update'!$B$8:$B$127,0),MATCH(INDEX('Rate &amp; Vol Update'!$E$6:$Z$6,1,MATCH(AG31,'Rate &amp; Vol Update'!$E$6:$Z$6,1)),'Rate &amp; Vol Update'!$E$6:$Z$6,0))*(INDEX('Rate &amp; Vol Update'!$E$6:$Z$6,1,MATCH(AG31,'Rate &amp; Vol Update'!$E$6:$Z$6,1)+1)-AG31)*(AB31-INDEX('Rate &amp; Vol Update'!$B$8:$B$127,MATCH(AB31,'Rate &amp; Vol Update'!$B$8:$B$127,1)))+INDEX('Rate &amp; Vol Update'!$E$8:$Z$127,MATCH(INDEX('Rate &amp; Vol Update'!$B$8:$B$127,MATCH(AB31,'Rate &amp; Vol Update'!$B$8:$B$127,1)+1),'Rate &amp; Vol Update'!$B$8:$B$127,0),MATCH(INDEX('Rate &amp; Vol Update'!$E$6:$Z$6,1,MATCH(AG31,'Rate &amp; Vol Update'!$E$6:$Z$6,1)+1),'Rate &amp; Vol Update'!$E$6:$Z$6,0))*(AG31-INDEX('Rate &amp; Vol Update'!$E$6:$Z$6,1,MATCH(AG31,'Rate &amp; Vol Update'!$E$6:$Z$6,1)))*(AB31-INDEX('Rate &amp; Vol Update'!$B$8:$B$127,MATCH(AB31,'Rate &amp; Vol Update'!$B$8:$B$127,1)))))*0.01%))</f>
        <v>8.1648604124759695E-3</v>
      </c>
      <c r="AJ31" s="5">
        <f>IF(AA31="","",1/((1+AH31)^((AC31-'Rate &amp; Vol Update'!$C$2)/360)))</f>
        <v>0.92492456429212877</v>
      </c>
      <c r="AL31" s="15">
        <f>IF(AA31="","",IF(AB31&lt;'Rate &amp; Vol Update'!$C$2,MAX(0,AH31-AG31)*(AD31/360)*AF31,(((IF('Adjustment Surface'!$C$2='Data Validation'!$A$2,AH31,IF('Adjustment Surface'!$C$2='Data Validation'!$A$3,AG31,"Unknown Option Type"))-IF('Adjustment Surface'!$C$2='Data Validation'!$A$2,AG31,IF('Adjustment Surface'!$C$2='Data Validation'!$A$3,AH31,"Unknown Option Type")))*(NORMDIST((IF('Adjustment Surface'!$C$2='Data Validation'!$A$2,AH31,IF('Adjustment Surface'!$C$2='Data Validation'!$A$3,AG31,"Unknown Option Type"))-IF('Adjustment Surface'!$C$2='Data Validation'!$A$2,AG31,IF('Adjustment Surface'!$C$2='Data Validation'!$A$3,AH31,"Unknown Option Type")))/(AI31*SQRT(AE31)),0,1,TRUE)))+((AI31*SQRT(AE31))*(NORMDIST((IF('Adjustment Surface'!$C$2='Data Validation'!$A$2,AH31,IF('Adjustment Surface'!$C$2='Data Validation'!$A$3,AG31,"Unknown Option Type"))-IF('Adjustment Surface'!$C$2='Data Validation'!$A$2,AG31,IF('Adjustment Surface'!$C$2='Data Validation'!$A$3,AH31,"Unknown Option Type")))/(AI31*SQRT(AE31)),0,1,FALSE))))*AJ31*(AD31/360)*AF31))</f>
        <v>13921.463464925104</v>
      </c>
      <c r="AM31" s="15">
        <f>IF(AA31="","",SUM(AL$4:AL31))</f>
        <v>296408.13624462672</v>
      </c>
      <c r="AO31" s="15">
        <f>IF(AA31="","",IF(AB31&lt;'Rate &amp; Vol Update'!$C$2,0,((((((IF('Adjustment Surface'!$C$2='Data Validation'!$A$2,AH31,IF('Adjustment Surface'!$C$2='Data Validation'!$A$3,AG31,"Unknown Option Type"))-IF('Adjustment Surface'!$C$2='Data Validation'!$A$2,AG31,IF('Adjustment Surface'!$C$2='Data Validation'!$A$3,AH31,"Unknown Option Type")))*(NORMDIST((IF('Adjustment Surface'!$C$2='Data Validation'!$A$2,AH31,IF('Adjustment Surface'!$C$2='Data Validation'!$A$3,AG31,"Unknown Option Type"))-IF('Adjustment Surface'!$C$2='Data Validation'!$A$2,AG31,IF('Adjustment Surface'!$C$2='Data Validation'!$A$3,AH31,"Unknown Option Type")))/((AI31+0.01%)*SQRT(AE31)),0,1,TRUE)))+(((AI31+0.01%)*SQRT(AE31))*(NORMDIST((IF('Adjustment Surface'!$C$2='Data Validation'!$A$2,AH31,IF('Adjustment Surface'!$C$2='Data Validation'!$A$3,AG31,"Unknown Option Type"))-IF('Adjustment Surface'!$C$2='Data Validation'!$A$2,AG31,IF('Adjustment Surface'!$C$2='Data Validation'!$A$3,AH31,"Unknown Option Type")))/((AI31+0.01%)*SQRT(AE31)),0,1,FALSE))))*AJ31*(AD31/360))-(AL31/AF31))*AF31)*AJ31))</f>
        <v>108.54945191460875</v>
      </c>
      <c r="AP31" s="15">
        <f>IF(AA31="","",SUM(AO$4:AO31))</f>
        <v>2021.822268240054</v>
      </c>
      <c r="AQ31" s="15"/>
      <c r="AR31" s="20"/>
      <c r="AS31" s="3">
        <v>28</v>
      </c>
      <c r="AT31" s="4">
        <f>IF(AU30=MAX('Adjustment Surface'!$C$14:$F$14),"",AU30)</f>
        <v>46884</v>
      </c>
      <c r="AU31" s="4">
        <f>IF(AT31="","",IF(AT31&lt;EDATE('Adjustment Surface'!$C$6,DATEDIF('Adjustment Surface'!$C$6,MAX('Adjustment Surface'!$C$14:$F$14),"M")),EDATE(AT$5,COUNT(AT$5:AT31)),IF(AT31=EDATE('Adjustment Surface'!$C$6,DATEDIF('Adjustment Surface'!$C$6,MAX('Adjustment Surface'!$C$14:$F$14),"M")),MAX('Adjustment Surface'!$C$14:$F$14),EDATE('Adjustment Surface'!$C$6,DATEDIF('Adjustment Surface'!$C$6,MAX('Adjustment Surface'!$C$14:$F$14),"M")))))</f>
        <v>46915</v>
      </c>
      <c r="AV31" s="3">
        <f t="shared" si="3"/>
        <v>31</v>
      </c>
      <c r="AW31" s="5">
        <f>IF(AS31="","",(AU31-'Rate &amp; Vol Update'!$C$2)/360)</f>
        <v>2.3638888888888889</v>
      </c>
      <c r="AX31" s="15">
        <f>IF(AS31="","",IF('Adjustment Surface'!$C$3='Data Validation'!$C$2,'Adjustment Surface'!$C$4,_xlfn.IFNA(IF(INDEX(Schedules!$E$3:$E$123,MATCH('Bachelier Model'!AT31,Schedules!$B$3:$B$123,0))="",AX30,INDEX(Schedules!$E$3:$E$123,MATCH('Bachelier Model'!AT31,Schedules!$B$3:$B$123,0))),AX30)))</f>
        <v>25000000</v>
      </c>
      <c r="AY31" s="16">
        <f>IF(AS31="","",'Adjustment Surface'!B$16)</f>
        <v>0.04</v>
      </c>
      <c r="AZ31" s="16" cm="1">
        <f t="array" ref="AZ31">IF(AS31="","",FORECAST(AT31,INDEX('Rate &amp; Vol Update'!$C$6:$C$127,MATCH(INDEX('Rate &amp; Vol Update'!$B$6:$B$127,MATCH(AT31,'Rate &amp; Vol Update'!$B$6:$B$127,1)),'Rate &amp; Vol Update'!$B$6:$B$127,0)+IF('Adjustment Surface'!$C$11='Data Validation'!$E$3,-1,0)):INDEX('Rate &amp; Vol Update'!$C$6:$C$127,MATCH(INDEX('Rate &amp; Vol Update'!$B$6:$B$127,MATCH(AT31,'Rate &amp; Vol Update'!$B$6:$B$127,1)+1),'Rate &amp; Vol Update'!$B$6:$B$127,0)+IF('Adjustment Surface'!$C$11='Data Validation'!$E$3,-1,0)),INDEX('Rate &amp; Vol Update'!$B$6:$B$127,MATCH(AT31,'Rate &amp; Vol Update'!$B$6:$B$127,1)):INDEX('Rate &amp; Vol Update'!$B$6:$B$127,MATCH(AT31,'Rate &amp; Vol Update'!$B$6:$B$127,1)+1))/100)</f>
        <v>3.3565738847226766E-2</v>
      </c>
      <c r="BA31" s="16" cm="1">
        <f t="array" ref="BA31">IF(AS31="","",IF(AT31&lt;'Rate &amp; Vol Update'!$C$2,0.001%,(1/((INDEX('Rate &amp; Vol Update'!$E$6:$Z$6,1,MATCH(AY31,'Rate &amp; Vol Update'!$E$6:$Z$6,1)+1)-INDEX('Rate &amp; Vol Update'!$E$6:$Z$6,1,MATCH(AY31,'Rate &amp; Vol Update'!$E$6:$Z$6,1)))*(INDEX('Rate &amp; Vol Update'!$B$8:$B$127,MATCH(AT31,'Rate &amp; Vol Update'!$B$8:$B$127,1)+1)-INDEX('Rate &amp; Vol Update'!$B$8:$B$127,MATCH(AT31,'Rate &amp; Vol Update'!$B$8:$B$127,1))))*(INDEX('Rate &amp; Vol Update'!$E$8:$Z$127,MATCH(INDEX('Rate &amp; Vol Update'!$B$8:$B$127,MATCH(AT31,'Rate &amp; Vol Update'!$B$8:$B$127,1)),'Rate &amp; Vol Update'!$B$8:$B$127,0),MATCH(INDEX('Rate &amp; Vol Update'!$E$6:$Z$6,1,MATCH(AY31,'Rate &amp; Vol Update'!$E$6:$Z$6,1)),'Rate &amp; Vol Update'!$E$6:$Z$6,0))*(INDEX('Rate &amp; Vol Update'!$E$6:$Z$6,1,MATCH(AY31,'Rate &amp; Vol Update'!$E$6:$Z$6,1)+1)-AY31)*(INDEX('Rate &amp; Vol Update'!$B$8:$B$127,MATCH(AT31,'Rate &amp; Vol Update'!$B$8:$B$127,1)+1)-AT31)+INDEX('Rate &amp; Vol Update'!$E$8:$Z$127,MATCH(INDEX('Rate &amp; Vol Update'!$B$8:$B$127,MATCH(AT31,'Rate &amp; Vol Update'!$B$8:$B$127,1)),'Rate &amp; Vol Update'!$B$8:$B$127,0),MATCH(INDEX('Rate &amp; Vol Update'!$E$6:$Z$6,1,MATCH(AY31,'Rate &amp; Vol Update'!$E$6:$Z$6,1)+1),'Rate &amp; Vol Update'!$E$6:$Z$6,0))*(AY31-INDEX('Rate &amp; Vol Update'!$E$6:$Z$6,1,MATCH(AY31,'Rate &amp; Vol Update'!$E$6:$Z$6,1)))*(INDEX('Rate &amp; Vol Update'!$B$8:$B$127,MATCH(AT31,'Rate &amp; Vol Update'!$B$8:$B$127,1)+1)-AT31)+INDEX('Rate &amp; Vol Update'!$E$8:$Z$127,MATCH(INDEX('Rate &amp; Vol Update'!$B$8:$B$127,MATCH(AT31,'Rate &amp; Vol Update'!$B$8:$B$127,1)+1),'Rate &amp; Vol Update'!$B$8:$B$127,0),MATCH(INDEX('Rate &amp; Vol Update'!$E$6:$Z$6,1,MATCH(AY31,'Rate &amp; Vol Update'!$E$6:$Z$6,1)),'Rate &amp; Vol Update'!$E$6:$Z$6,0))*(INDEX('Rate &amp; Vol Update'!$E$6:$Z$6,1,MATCH(AY31,'Rate &amp; Vol Update'!$E$6:$Z$6,1)+1)-AY31)*(AT31-INDEX('Rate &amp; Vol Update'!$B$8:$B$127,MATCH(AT31,'Rate &amp; Vol Update'!$B$8:$B$127,1)))+INDEX('Rate &amp; Vol Update'!$E$8:$Z$127,MATCH(INDEX('Rate &amp; Vol Update'!$B$8:$B$127,MATCH(AT31,'Rate &amp; Vol Update'!$B$8:$B$127,1)+1),'Rate &amp; Vol Update'!$B$8:$B$127,0),MATCH(INDEX('Rate &amp; Vol Update'!$E$6:$Z$6,1,MATCH(AY31,'Rate &amp; Vol Update'!$E$6:$Z$6,1)+1),'Rate &amp; Vol Update'!$E$6:$Z$6,0))*(AY31-INDEX('Rate &amp; Vol Update'!$E$6:$Z$6,1,MATCH(AY31,'Rate &amp; Vol Update'!$E$6:$Z$6,1)))*(AT31-INDEX('Rate &amp; Vol Update'!$B$8:$B$127,MATCH(AT31,'Rate &amp; Vol Update'!$B$8:$B$127,1)))))*0.01%))</f>
        <v>8.3200410080300647E-3</v>
      </c>
      <c r="BB31" s="5">
        <f>IF(AS31="","",1/((1+AZ31)^((AU31-'Rate &amp; Vol Update'!$C$2)/360)))</f>
        <v>0.92492456429212877</v>
      </c>
      <c r="BD31" s="15">
        <f>IF(AS31="","",IF(AT31&lt;'Rate &amp; Vol Update'!$C$2,MAX(0,AZ31-AY31)*(AV31/360)*AX31,(((IF('Adjustment Surface'!$C$2='Data Validation'!$A$2,AZ31,IF('Adjustment Surface'!$C$2='Data Validation'!$A$3,AY31,"Unknown Option Type"))-IF('Adjustment Surface'!$C$2='Data Validation'!$A$2,AY31,IF('Adjustment Surface'!$C$2='Data Validation'!$A$3,AZ31,"Unknown Option Type")))*(NORMDIST((IF('Adjustment Surface'!$C$2='Data Validation'!$A$2,AZ31,IF('Adjustment Surface'!$C$2='Data Validation'!$A$3,AY31,"Unknown Option Type"))-IF('Adjustment Surface'!$C$2='Data Validation'!$A$2,AY31,IF('Adjustment Surface'!$C$2='Data Validation'!$A$3,AZ31,"Unknown Option Type")))/(BA31*SQRT(AW31)),0,1,TRUE)))+((BA31*SQRT(AW31))*(NORMDIST((IF('Adjustment Surface'!$C$2='Data Validation'!$A$2,AZ31,IF('Adjustment Surface'!$C$2='Data Validation'!$A$3,AY31,"Unknown Option Type"))-IF('Adjustment Surface'!$C$2='Data Validation'!$A$2,AY31,IF('Adjustment Surface'!$C$2='Data Validation'!$A$3,AZ31,"Unknown Option Type")))/(BA31*SQRT(AW31)),0,1,FALSE))))*BB31*(AV31/360)*AX31))</f>
        <v>5014.5982997023712</v>
      </c>
      <c r="BE31" s="15">
        <f>IF(AS31="","",SUM(BD$4:BD31))</f>
        <v>49193.64713353668</v>
      </c>
      <c r="BG31" s="15">
        <f>IF(AS31="","",IF(AT31&lt;'Rate &amp; Vol Update'!$C$2,0,((((((IF('Adjustment Surface'!$C$2='Data Validation'!$A$2,AZ31,IF('Adjustment Surface'!$C$2='Data Validation'!$A$3,AY31,"Unknown Option Type"))-IF('Adjustment Surface'!$C$2='Data Validation'!$A$2,AY31,IF('Adjustment Surface'!$C$2='Data Validation'!$A$3,AZ31,"Unknown Option Type")))*(NORMDIST((IF('Adjustment Surface'!$C$2='Data Validation'!$A$2,AZ31,IF('Adjustment Surface'!$C$2='Data Validation'!$A$3,AY31,"Unknown Option Type"))-IF('Adjustment Surface'!$C$2='Data Validation'!$A$2,AY31,IF('Adjustment Surface'!$C$2='Data Validation'!$A$3,AZ31,"Unknown Option Type")))/((BA31+0.01%)*SQRT(AW31)),0,1,TRUE)))+(((BA31+0.01%)*SQRT(AW31))*(NORMDIST((IF('Adjustment Surface'!$C$2='Data Validation'!$A$2,AZ31,IF('Adjustment Surface'!$C$2='Data Validation'!$A$3,AY31,"Unknown Option Type"))-IF('Adjustment Surface'!$C$2='Data Validation'!$A$2,AY31,IF('Adjustment Surface'!$C$2='Data Validation'!$A$3,AZ31,"Unknown Option Type")))/((BA31+0.01%)*SQRT(AW31)),0,1,FALSE))))*BB31*(AV31/360))-(BD31/AX31))*AX31)*BB31))</f>
        <v>99.689621575747182</v>
      </c>
      <c r="BH31" s="15">
        <f>IF(AS31="","",SUM(BG$4:BG31))</f>
        <v>1470.9697042379435</v>
      </c>
      <c r="BI31" s="15"/>
      <c r="BJ31" s="20"/>
      <c r="BK31" s="3">
        <v>28</v>
      </c>
      <c r="BL31" s="4">
        <f>IF(BM30=MAX('Adjustment Surface'!$C$14:$F$14),"",BM30)</f>
        <v>46884</v>
      </c>
      <c r="BM31" s="4">
        <f>IF(BL31="","",IF(BL31&lt;EDATE('Adjustment Surface'!$C$6,DATEDIF('Adjustment Surface'!$C$6,MAX('Adjustment Surface'!$C$14:$F$14),"M")),EDATE(BL$5,COUNT(BL$5:BL31)),IF(BL31=EDATE('Adjustment Surface'!$C$6,DATEDIF('Adjustment Surface'!$C$6,MAX('Adjustment Surface'!$C$14:$F$14),"M")),MAX('Adjustment Surface'!$C$14:$F$14),EDATE('Adjustment Surface'!$C$6,DATEDIF('Adjustment Surface'!$C$6,MAX('Adjustment Surface'!$C$14:$F$14),"M")))))</f>
        <v>46915</v>
      </c>
      <c r="BN31" s="3">
        <f t="shared" si="4"/>
        <v>31</v>
      </c>
      <c r="BO31" s="5">
        <f>IF(BK31="","",(BM31-'Rate &amp; Vol Update'!$C$2)/360)</f>
        <v>2.3638888888888889</v>
      </c>
      <c r="BP31" s="15">
        <f>IF(BK31="","",IF('Adjustment Surface'!$C$3='Data Validation'!$C$2,'Adjustment Surface'!$C$4,_xlfn.IFNA(IF(INDEX(Schedules!$E$3:$E$123,MATCH('Bachelier Model'!BL31,Schedules!$B$3:$B$123,0))="",BP30,INDEX(Schedules!$E$3:$E$123,MATCH('Bachelier Model'!BL31,Schedules!$B$3:$B$123,0))),BP30)))</f>
        <v>25000000</v>
      </c>
      <c r="BQ31" s="16">
        <f>IF(BK31="","",'Adjustment Surface'!B$17)</f>
        <v>0.05</v>
      </c>
      <c r="BR31" s="16" cm="1">
        <f t="array" ref="BR31">IF(BK31="","",FORECAST(BL31,INDEX('Rate &amp; Vol Update'!$C$6:$C$127,MATCH(INDEX('Rate &amp; Vol Update'!$B$6:$B$127,MATCH(BL31,'Rate &amp; Vol Update'!$B$6:$B$127,1)),'Rate &amp; Vol Update'!$B$6:$B$127,0)+IF('Adjustment Surface'!$C$11='Data Validation'!$E$3,-1,0)):INDEX('Rate &amp; Vol Update'!$C$6:$C$127,MATCH(INDEX('Rate &amp; Vol Update'!$B$6:$B$127,MATCH(BL31,'Rate &amp; Vol Update'!$B$6:$B$127,1)+1),'Rate &amp; Vol Update'!$B$6:$B$127,0)+IF('Adjustment Surface'!$C$11='Data Validation'!$E$3,-1,0)),INDEX('Rate &amp; Vol Update'!$B$6:$B$127,MATCH(BL31,'Rate &amp; Vol Update'!$B$6:$B$127,1)):INDEX('Rate &amp; Vol Update'!$B$6:$B$127,MATCH(BL31,'Rate &amp; Vol Update'!$B$6:$B$127,1)+1))/100)</f>
        <v>3.3565738847226766E-2</v>
      </c>
      <c r="BS31" s="16" cm="1">
        <f t="array" ref="BS31">IF(BK31="","",IF(BL31&lt;'Rate &amp; Vol Update'!$C$2,0.001%,(1/((INDEX('Rate &amp; Vol Update'!$E$6:$Z$6,1,MATCH(BQ31,'Rate &amp; Vol Update'!$E$6:$Z$6,1)+1)-INDEX('Rate &amp; Vol Update'!$E$6:$Z$6,1,MATCH(BQ31,'Rate &amp; Vol Update'!$E$6:$Z$6,1)))*(INDEX('Rate &amp; Vol Update'!$B$8:$B$127,MATCH(BL31,'Rate &amp; Vol Update'!$B$8:$B$127,1)+1)-INDEX('Rate &amp; Vol Update'!$B$8:$B$127,MATCH(BL31,'Rate &amp; Vol Update'!$B$8:$B$127,1))))*(INDEX('Rate &amp; Vol Update'!$E$8:$Z$127,MATCH(INDEX('Rate &amp; Vol Update'!$B$8:$B$127,MATCH(BL31,'Rate &amp; Vol Update'!$B$8:$B$127,1)),'Rate &amp; Vol Update'!$B$8:$B$127,0),MATCH(INDEX('Rate &amp; Vol Update'!$E$6:$Z$6,1,MATCH(BQ31,'Rate &amp; Vol Update'!$E$6:$Z$6,1)),'Rate &amp; Vol Update'!$E$6:$Z$6,0))*(INDEX('Rate &amp; Vol Update'!$E$6:$Z$6,1,MATCH(BQ31,'Rate &amp; Vol Update'!$E$6:$Z$6,1)+1)-BQ31)*(INDEX('Rate &amp; Vol Update'!$B$8:$B$127,MATCH(BL31,'Rate &amp; Vol Update'!$B$8:$B$127,1)+1)-BL31)+INDEX('Rate &amp; Vol Update'!$E$8:$Z$127,MATCH(INDEX('Rate &amp; Vol Update'!$B$8:$B$127,MATCH(BL31,'Rate &amp; Vol Update'!$B$8:$B$127,1)),'Rate &amp; Vol Update'!$B$8:$B$127,0),MATCH(INDEX('Rate &amp; Vol Update'!$E$6:$Z$6,1,MATCH(BQ31,'Rate &amp; Vol Update'!$E$6:$Z$6,1)+1),'Rate &amp; Vol Update'!$E$6:$Z$6,0))*(BQ31-INDEX('Rate &amp; Vol Update'!$E$6:$Z$6,1,MATCH(BQ31,'Rate &amp; Vol Update'!$E$6:$Z$6,1)))*(INDEX('Rate &amp; Vol Update'!$B$8:$B$127,MATCH(BL31,'Rate &amp; Vol Update'!$B$8:$B$127,1)+1)-BL31)+INDEX('Rate &amp; Vol Update'!$E$8:$Z$127,MATCH(INDEX('Rate &amp; Vol Update'!$B$8:$B$127,MATCH(BL31,'Rate &amp; Vol Update'!$B$8:$B$127,1)+1),'Rate &amp; Vol Update'!$B$8:$B$127,0),MATCH(INDEX('Rate &amp; Vol Update'!$E$6:$Z$6,1,MATCH(BQ31,'Rate &amp; Vol Update'!$E$6:$Z$6,1)),'Rate &amp; Vol Update'!$E$6:$Z$6,0))*(INDEX('Rate &amp; Vol Update'!$E$6:$Z$6,1,MATCH(BQ31,'Rate &amp; Vol Update'!$E$6:$Z$6,1)+1)-BQ31)*(BL31-INDEX('Rate &amp; Vol Update'!$B$8:$B$127,MATCH(BL31,'Rate &amp; Vol Update'!$B$8:$B$127,1)))+INDEX('Rate &amp; Vol Update'!$E$8:$Z$127,MATCH(INDEX('Rate &amp; Vol Update'!$B$8:$B$127,MATCH(BL31,'Rate &amp; Vol Update'!$B$8:$B$127,1)+1),'Rate &amp; Vol Update'!$B$8:$B$127,0),MATCH(INDEX('Rate &amp; Vol Update'!$E$6:$Z$6,1,MATCH(BQ31,'Rate &amp; Vol Update'!$E$6:$Z$6,1)+1),'Rate &amp; Vol Update'!$E$6:$Z$6,0))*(BQ31-INDEX('Rate &amp; Vol Update'!$E$6:$Z$6,1,MATCH(BQ31,'Rate &amp; Vol Update'!$E$6:$Z$6,1)))*(BL31-INDEX('Rate &amp; Vol Update'!$B$8:$B$127,MATCH(BL31,'Rate &amp; Vol Update'!$B$8:$B$127,1)))))*0.01%))</f>
        <v>9.5651913315852512E-3</v>
      </c>
      <c r="BT31" s="5">
        <f>IF(BK31="","",1/((1+BR31)^((BM31-'Rate &amp; Vol Update'!$C$2)/360)))</f>
        <v>0.92492456429212877</v>
      </c>
      <c r="BV31" s="15">
        <f>IF(BK31="","",IF(BL31&lt;'Rate &amp; Vol Update'!$C$2,MAX(0,BR31-BQ31)*(BN31/360)*BP31,(((IF('Adjustment Surface'!$C$2='Data Validation'!$A$2,BR31,IF('Adjustment Surface'!$C$2='Data Validation'!$A$3,BQ31,"Unknown Option Type"))-IF('Adjustment Surface'!$C$2='Data Validation'!$A$2,BQ31,IF('Adjustment Surface'!$C$2='Data Validation'!$A$3,BR31,"Unknown Option Type")))*(NORMDIST((IF('Adjustment Surface'!$C$2='Data Validation'!$A$2,BR31,IF('Adjustment Surface'!$C$2='Data Validation'!$A$3,BQ31,"Unknown Option Type"))-IF('Adjustment Surface'!$C$2='Data Validation'!$A$2,BQ31,IF('Adjustment Surface'!$C$2='Data Validation'!$A$3,BR31,"Unknown Option Type")))/(BS31*SQRT(BO31)),0,1,TRUE)))+((BS31*SQRT(BO31))*(NORMDIST((IF('Adjustment Surface'!$C$2='Data Validation'!$A$2,BR31,IF('Adjustment Surface'!$C$2='Data Validation'!$A$3,BQ31,"Unknown Option Type"))-IF('Adjustment Surface'!$C$2='Data Validation'!$A$2,BQ31,IF('Adjustment Surface'!$C$2='Data Validation'!$A$3,BR31,"Unknown Option Type")))/(BS31*SQRT(BO31)),0,1,FALSE))))*BT31*(BN31/360)*BP31))</f>
        <v>1940.8656005579335</v>
      </c>
      <c r="BW31" s="15">
        <f>IF(BK31="","",SUM(BV$4:BV31))</f>
        <v>14223.43651022003</v>
      </c>
      <c r="BY31" s="15">
        <f>IF(BK31="","",IF(BL31&lt;'Rate &amp; Vol Update'!$C$2,0,((((((IF('Adjustment Surface'!$C$2='Data Validation'!$A$2,BR31,IF('Adjustment Surface'!$C$2='Data Validation'!$A$3,BQ31,"Unknown Option Type"))-IF('Adjustment Surface'!$C$2='Data Validation'!$A$2,BQ31,IF('Adjustment Surface'!$C$2='Data Validation'!$A$3,BR31,"Unknown Option Type")))*(NORMDIST((IF('Adjustment Surface'!$C$2='Data Validation'!$A$2,BR31,IF('Adjustment Surface'!$C$2='Data Validation'!$A$3,BQ31,"Unknown Option Type"))-IF('Adjustment Surface'!$C$2='Data Validation'!$A$2,BQ31,IF('Adjustment Surface'!$C$2='Data Validation'!$A$3,BR31,"Unknown Option Type")))/((BS31+0.01%)*SQRT(BO31)),0,1,TRUE)))+(((BS31+0.01%)*SQRT(BO31))*(NORMDIST((IF('Adjustment Surface'!$C$2='Data Validation'!$A$2,BR31,IF('Adjustment Surface'!$C$2='Data Validation'!$A$3,BQ31,"Unknown Option Type"))-IF('Adjustment Surface'!$C$2='Data Validation'!$A$2,BQ31,IF('Adjustment Surface'!$C$2='Data Validation'!$A$3,BR31,"Unknown Option Type")))/((BS31+0.01%)*SQRT(BO31)),0,1,FALSE))))*BT31*(BN31/360))-(BV31/BP31))*BP31)*BT31))</f>
        <v>60.894052486820975</v>
      </c>
      <c r="BZ31" s="15">
        <f>IF(BK31="","",SUM(BY$4:BY31))</f>
        <v>584.86935564414296</v>
      </c>
      <c r="CA31" s="15"/>
      <c r="CB31" s="20"/>
      <c r="CC31" s="3">
        <v>28</v>
      </c>
      <c r="CD31" s="4">
        <f>IF(CE30=MAX('Adjustment Surface'!$C$14:$F$14),"",CE30)</f>
        <v>46884</v>
      </c>
      <c r="CE31" s="4">
        <f>IF(CD31="","",IF(CD31&lt;EDATE('Adjustment Surface'!$C$6,DATEDIF('Adjustment Surface'!$C$6,MAX('Adjustment Surface'!$C$14:$F$14),"M")),EDATE(CD$5,COUNT(CD$5:CD31)),IF(CD31=EDATE('Adjustment Surface'!$C$6,DATEDIF('Adjustment Surface'!$C$6,MAX('Adjustment Surface'!$C$14:$F$14),"M")),MAX('Adjustment Surface'!$C$14:$F$14),EDATE('Adjustment Surface'!$C$6,DATEDIF('Adjustment Surface'!$C$6,MAX('Adjustment Surface'!$C$14:$F$14),"M")))))</f>
        <v>46915</v>
      </c>
      <c r="CF31" s="3">
        <f t="shared" si="5"/>
        <v>31</v>
      </c>
      <c r="CG31" s="5">
        <f>IF(CC31="","",(CE31-'Rate &amp; Vol Update'!$C$2)/360)</f>
        <v>2.3638888888888889</v>
      </c>
      <c r="CH31" s="15">
        <f>IF(CC31="","",IF('Adjustment Surface'!$C$3='Data Validation'!$C$2,'Adjustment Surface'!$C$4,_xlfn.IFNA(IF(INDEX(Schedules!$E$3:$E$123,MATCH('Bachelier Model'!CD31,Schedules!$B$3:$B$123,0))="",CH30,INDEX(Schedules!$E$3:$E$123,MATCH('Bachelier Model'!CD31,Schedules!$B$3:$B$123,0))),CH30)))</f>
        <v>25000000</v>
      </c>
      <c r="CI31" s="16">
        <f>IF(CC31="","",'Adjustment Surface'!B$18)</f>
        <v>0.06</v>
      </c>
      <c r="CJ31" s="16" cm="1">
        <f t="array" ref="CJ31">IF(CC31="","",FORECAST(CD31,INDEX('Rate &amp; Vol Update'!$C$6:$C$127,MATCH(INDEX('Rate &amp; Vol Update'!$B$6:$B$127,MATCH(CD31,'Rate &amp; Vol Update'!$B$6:$B$127,1)),'Rate &amp; Vol Update'!$B$6:$B$127,0)+IF('Adjustment Surface'!$C$11='Data Validation'!$E$3,-1,0)):INDEX('Rate &amp; Vol Update'!$C$6:$C$127,MATCH(INDEX('Rate &amp; Vol Update'!$B$6:$B$127,MATCH(CD31,'Rate &amp; Vol Update'!$B$6:$B$127,1)+1),'Rate &amp; Vol Update'!$B$6:$B$127,0)+IF('Adjustment Surface'!$C$11='Data Validation'!$E$3,-1,0)),INDEX('Rate &amp; Vol Update'!$B$6:$B$127,MATCH(CD31,'Rate &amp; Vol Update'!$B$6:$B$127,1)):INDEX('Rate &amp; Vol Update'!$B$6:$B$127,MATCH(CD31,'Rate &amp; Vol Update'!$B$6:$B$127,1)+1))/100)</f>
        <v>3.3565738847226766E-2</v>
      </c>
      <c r="CK31" s="16" cm="1">
        <f t="array" ref="CK31">IF(CC31="","",IF(CD31&lt;'Rate &amp; Vol Update'!$C$2,0.001%,(1/((INDEX('Rate &amp; Vol Update'!$E$6:$Z$6,1,MATCH(CI31,'Rate &amp; Vol Update'!$E$6:$Z$6,1)+1)-INDEX('Rate &amp; Vol Update'!$E$6:$Z$6,1,MATCH(CI31,'Rate &amp; Vol Update'!$E$6:$Z$6,1)))*(INDEX('Rate &amp; Vol Update'!$B$8:$B$127,MATCH(CD31,'Rate &amp; Vol Update'!$B$8:$B$127,1)+1)-INDEX('Rate &amp; Vol Update'!$B$8:$B$127,MATCH(CD31,'Rate &amp; Vol Update'!$B$8:$B$127,1))))*(INDEX('Rate &amp; Vol Update'!$E$8:$Z$127,MATCH(INDEX('Rate &amp; Vol Update'!$B$8:$B$127,MATCH(CD31,'Rate &amp; Vol Update'!$B$8:$B$127,1)),'Rate &amp; Vol Update'!$B$8:$B$127,0),MATCH(INDEX('Rate &amp; Vol Update'!$E$6:$Z$6,1,MATCH(CI31,'Rate &amp; Vol Update'!$E$6:$Z$6,1)),'Rate &amp; Vol Update'!$E$6:$Z$6,0))*(INDEX('Rate &amp; Vol Update'!$E$6:$Z$6,1,MATCH(CI31,'Rate &amp; Vol Update'!$E$6:$Z$6,1)+1)-CI31)*(INDEX('Rate &amp; Vol Update'!$B$8:$B$127,MATCH(CD31,'Rate &amp; Vol Update'!$B$8:$B$127,1)+1)-CD31)+INDEX('Rate &amp; Vol Update'!$E$8:$Z$127,MATCH(INDEX('Rate &amp; Vol Update'!$B$8:$B$127,MATCH(CD31,'Rate &amp; Vol Update'!$B$8:$B$127,1)),'Rate &amp; Vol Update'!$B$8:$B$127,0),MATCH(INDEX('Rate &amp; Vol Update'!$E$6:$Z$6,1,MATCH(CI31,'Rate &amp; Vol Update'!$E$6:$Z$6,1)+1),'Rate &amp; Vol Update'!$E$6:$Z$6,0))*(CI31-INDEX('Rate &amp; Vol Update'!$E$6:$Z$6,1,MATCH(CI31,'Rate &amp; Vol Update'!$E$6:$Z$6,1)))*(INDEX('Rate &amp; Vol Update'!$B$8:$B$127,MATCH(CD31,'Rate &amp; Vol Update'!$B$8:$B$127,1)+1)-CD31)+INDEX('Rate &amp; Vol Update'!$E$8:$Z$127,MATCH(INDEX('Rate &amp; Vol Update'!$B$8:$B$127,MATCH(CD31,'Rate &amp; Vol Update'!$B$8:$B$127,1)+1),'Rate &amp; Vol Update'!$B$8:$B$127,0),MATCH(INDEX('Rate &amp; Vol Update'!$E$6:$Z$6,1,MATCH(CI31,'Rate &amp; Vol Update'!$E$6:$Z$6,1)),'Rate &amp; Vol Update'!$E$6:$Z$6,0))*(INDEX('Rate &amp; Vol Update'!$E$6:$Z$6,1,MATCH(CI31,'Rate &amp; Vol Update'!$E$6:$Z$6,1)+1)-CI31)*(CD31-INDEX('Rate &amp; Vol Update'!$B$8:$B$127,MATCH(CD31,'Rate &amp; Vol Update'!$B$8:$B$127,1)))+INDEX('Rate &amp; Vol Update'!$E$8:$Z$127,MATCH(INDEX('Rate &amp; Vol Update'!$B$8:$B$127,MATCH(CD31,'Rate &amp; Vol Update'!$B$8:$B$127,1)+1),'Rate &amp; Vol Update'!$B$8:$B$127,0),MATCH(INDEX('Rate &amp; Vol Update'!$E$6:$Z$6,1,MATCH(CI31,'Rate &amp; Vol Update'!$E$6:$Z$6,1)+1),'Rate &amp; Vol Update'!$E$6:$Z$6,0))*(CI31-INDEX('Rate &amp; Vol Update'!$E$6:$Z$6,1,MATCH(CI31,'Rate &amp; Vol Update'!$E$6:$Z$6,1)))*(CD31-INDEX('Rate &amp; Vol Update'!$B$8:$B$127,MATCH(CD31,'Rate &amp; Vol Update'!$B$8:$B$127,1)))))*0.01%))</f>
        <v>1.1209236211084002E-2</v>
      </c>
      <c r="CL31" s="5">
        <f>IF(CC31="","",1/((1+CJ31)^((CE31-'Rate &amp; Vol Update'!$C$2)/360)))</f>
        <v>0.92492456429212877</v>
      </c>
      <c r="CN31" s="15">
        <f>IF(CC31="","",IF(CD31&lt;'Rate &amp; Vol Update'!$C$2,MAX(0,CJ31-CI31)*(CF31/360)*CH31,(((IF('Adjustment Surface'!$C$2='Data Validation'!$A$2,CJ31,IF('Adjustment Surface'!$C$2='Data Validation'!$A$3,CI31,"Unknown Option Type"))-IF('Adjustment Surface'!$C$2='Data Validation'!$A$2,CI31,IF('Adjustment Surface'!$C$2='Data Validation'!$A$3,CJ31,"Unknown Option Type")))*(NORMDIST((IF('Adjustment Surface'!$C$2='Data Validation'!$A$2,CJ31,IF('Adjustment Surface'!$C$2='Data Validation'!$A$3,CI31,"Unknown Option Type"))-IF('Adjustment Surface'!$C$2='Data Validation'!$A$2,CI31,IF('Adjustment Surface'!$C$2='Data Validation'!$A$3,CJ31,"Unknown Option Type")))/(CK31*SQRT(CG31)),0,1,TRUE)))+((CK31*SQRT(CG31))*(NORMDIST((IF('Adjustment Surface'!$C$2='Data Validation'!$A$2,CJ31,IF('Adjustment Surface'!$C$2='Data Validation'!$A$3,CI31,"Unknown Option Type"))-IF('Adjustment Surface'!$C$2='Data Validation'!$A$2,CI31,IF('Adjustment Surface'!$C$2='Data Validation'!$A$3,CJ31,"Unknown Option Type")))/(CK31*SQRT(CG31)),0,1,FALSE))))*CL31*(CF31/360)*CH31))</f>
        <v>930.62893649415457</v>
      </c>
      <c r="CO31" s="15">
        <f>IF(CC31="","",SUM(CN$4:CN31))</f>
        <v>6205.8382918150428</v>
      </c>
      <c r="CQ31" s="15">
        <f>IF(CC31="","",IF(CD31&lt;'Rate &amp; Vol Update'!$C$2,0,((((((IF('Adjustment Surface'!$C$2='Data Validation'!$A$2,CJ31,IF('Adjustment Surface'!$C$2='Data Validation'!$A$3,CI31,"Unknown Option Type"))-IF('Adjustment Surface'!$C$2='Data Validation'!$A$2,CI31,IF('Adjustment Surface'!$C$2='Data Validation'!$A$3,CJ31,"Unknown Option Type")))*(NORMDIST((IF('Adjustment Surface'!$C$2='Data Validation'!$A$2,CJ31,IF('Adjustment Surface'!$C$2='Data Validation'!$A$3,CI31,"Unknown Option Type"))-IF('Adjustment Surface'!$C$2='Data Validation'!$A$2,CI31,IF('Adjustment Surface'!$C$2='Data Validation'!$A$3,CJ31,"Unknown Option Type")))/((CK31+0.01%)*SQRT(CG31)),0,1,TRUE)))+(((CK31+0.01%)*SQRT(CG31))*(NORMDIST((IF('Adjustment Surface'!$C$2='Data Validation'!$A$2,CJ31,IF('Adjustment Surface'!$C$2='Data Validation'!$A$3,CI31,"Unknown Option Type"))-IF('Adjustment Surface'!$C$2='Data Validation'!$A$2,CI31,IF('Adjustment Surface'!$C$2='Data Validation'!$A$3,CJ31,"Unknown Option Type")))/((CK31+0.01%)*SQRT(CG31)),0,1,FALSE))))*CL31*(CF31/360))-(CN31/CH31))*CH31)*CL31))</f>
        <v>35.203953548983804</v>
      </c>
      <c r="CR31" s="15">
        <f>IF(CC31="","",SUM(CQ$4:CQ31))</f>
        <v>287.25427255273451</v>
      </c>
    </row>
    <row r="32" spans="7:96" x14ac:dyDescent="0.25">
      <c r="G32" s="28"/>
      <c r="I32" s="3">
        <v>29</v>
      </c>
      <c r="J32" s="4">
        <f>IF(K31='Adjustment Surface'!C$8,"",K31)</f>
        <v>46915</v>
      </c>
      <c r="K32" s="4">
        <f>IF(J32="","",IF(J32&lt;'Adjustment Surface'!C$7,EDATE(J$5,COUNT(J$5:J32)),IF(J32='Adjustment Surface'!C$7,'Adjustment Surface'!C$8,'Adjustment Surface'!C$7)))</f>
        <v>46945</v>
      </c>
      <c r="L32" s="3">
        <f t="shared" si="1"/>
        <v>30</v>
      </c>
      <c r="M32" s="5">
        <f>IF(I32="","",(K32-'Rate &amp; Vol Update'!$C$2)/360)</f>
        <v>2.4472222222222224</v>
      </c>
      <c r="N32" s="15">
        <f>IF(I32="","",IF('Adjustment Surface'!C$3='Data Validation'!$C$2,'Adjustment Surface'!C$4,IF(INDEX(Schedules!$E$3:$E$123,MATCH('Bachelier Model'!J32,Schedules!$B$3:$B$123,0))="",N31,INDEX(Schedules!$E$3:$E$123,MATCH('Bachelier Model'!J32,Schedules!$B$3:$B$123,0)))))</f>
        <v>25000000</v>
      </c>
      <c r="O32" s="16">
        <f>IF(I32="","",IF('Adjustment Surface'!C$9='Data Validation'!$D$2,'Adjustment Surface'!C$10,IF(INDEX(Schedules!$H$3:$H$123,MATCH('Bachelier Model'!J32,Schedules!$B$3:$B$123,0))="",O31,INDEX(Schedules!$H$3:$H$123,MATCH('Bachelier Model'!J32,Schedules!$B$3:$B$123,0)))))</f>
        <v>0.02</v>
      </c>
      <c r="P32" s="16" cm="1">
        <f t="array" ref="P32">IF(I32="","",FORECAST(J32,INDEX('Rate &amp; Vol Update'!$C$6:$C$127,MATCH(INDEX('Rate &amp; Vol Update'!$B$6:$B$127,MATCH(J32,'Rate &amp; Vol Update'!$B$6:$B$127,1)),'Rate &amp; Vol Update'!$B$6:$B$127,0)+IF('Adjustment Surface'!C$11='Data Validation'!$E$3,-1,0)):INDEX('Rate &amp; Vol Update'!$C$6:$C$127,MATCH(INDEX('Rate &amp; Vol Update'!$B$6:$B$127,MATCH(J32,'Rate &amp; Vol Update'!$B$6:$B$127,1)+1),'Rate &amp; Vol Update'!$B$6:$B$127,0)+IF('Adjustment Surface'!C$11='Data Validation'!$E$3,-1,0)),INDEX('Rate &amp; Vol Update'!$B$6:$B$127,MATCH(J32,'Rate &amp; Vol Update'!$B$6:$B$127,1)):INDEX('Rate &amp; Vol Update'!$B$6:$B$127,MATCH(J32,'Rate &amp; Vol Update'!$B$6:$B$127,1)+1))/100)</f>
        <v>3.3564175597285306E-2</v>
      </c>
      <c r="Q32" s="16" cm="1">
        <f t="array" ref="Q32">IF(I32="","",IF(J32&lt;'Rate &amp; Vol Update'!$C$2,0.001%,(1/((INDEX('Rate &amp; Vol Update'!$E$6:$Z$6,1,MATCH(O32,'Rate &amp; Vol Update'!$E$6:$Z$6,1)+1)-INDEX('Rate &amp; Vol Update'!$E$6:$Z$6,1,MATCH(O32,'Rate &amp; Vol Update'!$E$6:$Z$6,1)))*(INDEX('Rate &amp; Vol Update'!$B$8:$B$127,MATCH(J32,'Rate &amp; Vol Update'!$B$8:$B$127,1)+1)-INDEX('Rate &amp; Vol Update'!$B$8:$B$127,MATCH(J32,'Rate &amp; Vol Update'!$B$8:$B$127,1))))*(INDEX('Rate &amp; Vol Update'!$E$8:$Z$127,MATCH(INDEX('Rate &amp; Vol Update'!$B$8:$B$127,MATCH(J32,'Rate &amp; Vol Update'!$B$8:$B$127,1)),'Rate &amp; Vol Update'!$B$8:$B$127,0),MATCH(INDEX('Rate &amp; Vol Update'!$E$6:$Z$6,1,MATCH(O32,'Rate &amp; Vol Update'!$E$6:$Z$6,1)),'Rate &amp; Vol Update'!$E$6:$Z$6,0))*(INDEX('Rate &amp; Vol Update'!$E$6:$Z$6,1,MATCH(O32,'Rate &amp; Vol Update'!$E$6:$Z$6,1)+1)-O32)*(INDEX('Rate &amp; Vol Update'!$B$8:$B$127,MATCH(J32,'Rate &amp; Vol Update'!$B$8:$B$127,1)+1)-J32)+INDEX('Rate &amp; Vol Update'!$E$8:$Z$127,MATCH(INDEX('Rate &amp; Vol Update'!$B$8:$B$127,MATCH(J32,'Rate &amp; Vol Update'!$B$8:$B$127,1)),'Rate &amp; Vol Update'!$B$8:$B$127,0),MATCH(INDEX('Rate &amp; Vol Update'!$E$6:$Z$6,1,MATCH(O32,'Rate &amp; Vol Update'!$E$6:$Z$6,1)+1),'Rate &amp; Vol Update'!$E$6:$Z$6,0))*(O32-INDEX('Rate &amp; Vol Update'!$E$6:$Z$6,1,MATCH(O32,'Rate &amp; Vol Update'!$E$6:$Z$6,1)))*(INDEX('Rate &amp; Vol Update'!$B$8:$B$127,MATCH(J32,'Rate &amp; Vol Update'!$B$8:$B$127,1)+1)-J32)+INDEX('Rate &amp; Vol Update'!$E$8:$Z$127,MATCH(INDEX('Rate &amp; Vol Update'!$B$8:$B$127,MATCH(J32,'Rate &amp; Vol Update'!$B$8:$B$127,1)+1),'Rate &amp; Vol Update'!$B$8:$B$127,0),MATCH(INDEX('Rate &amp; Vol Update'!$E$6:$Z$6,1,MATCH(O32,'Rate &amp; Vol Update'!$E$6:$Z$6,1)),'Rate &amp; Vol Update'!$E$6:$Z$6,0))*(INDEX('Rate &amp; Vol Update'!$E$6:$Z$6,1,MATCH(O32,'Rate &amp; Vol Update'!$E$6:$Z$6,1)+1)-O32)*(J32-INDEX('Rate &amp; Vol Update'!$B$8:$B$127,MATCH(J32,'Rate &amp; Vol Update'!$B$8:$B$127,1)))+INDEX('Rate &amp; Vol Update'!$E$8:$Z$127,MATCH(INDEX('Rate &amp; Vol Update'!$B$8:$B$127,MATCH(J32,'Rate &amp; Vol Update'!$B$8:$B$127,1)+1),'Rate &amp; Vol Update'!$B$8:$B$127,0),MATCH(INDEX('Rate &amp; Vol Update'!$E$6:$Z$6,1,MATCH(O32,'Rate &amp; Vol Update'!$E$6:$Z$6,1)+1),'Rate &amp; Vol Update'!$E$6:$Z$6,0))*(O32-INDEX('Rate &amp; Vol Update'!$E$6:$Z$6,1,MATCH(O32,'Rate &amp; Vol Update'!$E$6:$Z$6,1)))*(J32-INDEX('Rate &amp; Vol Update'!$B$8:$B$127,MATCH(J32,'Rate &amp; Vol Update'!$B$8:$B$127,1)))))*0.01%))</f>
        <v>9.0766940208534489E-3</v>
      </c>
      <c r="R32" s="5">
        <f>IF(I32="","",1/((1+P32)^((K32-'Rate &amp; Vol Update'!$C$2)/360)))</f>
        <v>0.92238679961935988</v>
      </c>
      <c r="T32" s="15">
        <f>IF(I32="","",IF(J32&lt;'Rate &amp; Vol Update'!$C$2,MAX(0,P32-O32)*(L32/360)*N32,(((IF('Adjustment Surface'!C$2='Data Validation'!$A$2,P32,IF('Adjustment Surface'!C$2='Data Validation'!$A$3,O32,"Unknown Option Type"))-IF('Adjustment Surface'!C$2='Data Validation'!$A$2,O32,IF('Adjustment Surface'!C$2='Data Validation'!$A$3,P32,"Unknown Option Type")))*(NORMDIST((IF('Adjustment Surface'!C$2='Data Validation'!$A$2,P32,IF('Adjustment Surface'!C$2='Data Validation'!$A$3,O32,"Unknown Option Type"))-IF('Adjustment Surface'!C$2='Data Validation'!$A$2,O32,IF('Adjustment Surface'!C$2='Data Validation'!$A$3,P32,"Unknown Option Type")))/(Q32*SQRT(M32)),0,1,TRUE)))+((Q32*SQRT(M32))*(NORMDIST((IF('Adjustment Surface'!C$2='Data Validation'!$A$2,P32,IF('Adjustment Surface'!C$2='Data Validation'!$A$3,O32,"Unknown Option Type"))-IF('Adjustment Surface'!C$2='Data Validation'!$A$2,O32,IF('Adjustment Surface'!C$2='Data Validation'!$A$3,P32,"Unknown Option Type")))/(Q32*SQRT(M32)),0,1,FALSE))))*R32*(L32/360)*N32))</f>
        <v>28539.089732720262</v>
      </c>
      <c r="U32" s="15">
        <f>IF(I32="","",SUM(T$4:T32))</f>
        <v>810748.68280416983</v>
      </c>
      <c r="W32" s="15">
        <f>IF(I32="","",IF(J32&lt;'Rate &amp; Vol Update'!$C$2,0,((((((IF('Adjustment Surface'!C$2='Data Validation'!$A$2,P32,IF('Adjustment Surface'!C$2='Data Validation'!$A$3,O32,"Unknown Option Type"))-IF('Adjustment Surface'!C$2='Data Validation'!$A$2,O32,IF('Adjustment Surface'!C$2='Data Validation'!$A$3,P32,"Unknown Option Type")))*(NORMDIST((IF('Adjustment Surface'!C$2='Data Validation'!$A$2,P32,IF('Adjustment Surface'!C$2='Data Validation'!$A$3,O32,"Unknown Option Type"))-IF('Adjustment Surface'!C$2='Data Validation'!$A$2,O32,IF('Adjustment Surface'!C$2='Data Validation'!$A$3,P32,"Unknown Option Type")))/((Q32+0.01%)*SQRT(M32)),0,1,TRUE)))+(((Q32+0.01%)*SQRT(M32))*(NORMDIST((IF('Adjustment Surface'!C$2='Data Validation'!$A$2,P32,IF('Adjustment Surface'!C$2='Data Validation'!$A$3,O32,"Unknown Option Type"))-IF('Adjustment Surface'!C$2='Data Validation'!$A$2,O32,IF('Adjustment Surface'!C$2='Data Validation'!$A$3,P32,"Unknown Option Type")))/((Q32+0.01%)*SQRT(M32)),0,1,FALSE))))*R32*(L32/360))-(T32/N32))*N32)*R32))</f>
        <v>70.442457699943787</v>
      </c>
      <c r="X32" s="15">
        <f>IF(I32="","",SUM(W$4:W32))</f>
        <v>1167.3021205033642</v>
      </c>
      <c r="Y32" s="15"/>
      <c r="Z32" s="20"/>
      <c r="AA32" s="3">
        <v>29</v>
      </c>
      <c r="AB32" s="4">
        <f>IF(AC31=MAX('Adjustment Surface'!$C$14:$F$14),"",AC31)</f>
        <v>46915</v>
      </c>
      <c r="AC32" s="4">
        <f>IF(AB32="","",IF(AB32&lt;EDATE('Adjustment Surface'!$C$6,DATEDIF('Adjustment Surface'!$C$6,MAX('Adjustment Surface'!$C$14:$F$14),"M")),EDATE(AB$5,COUNT(AB$5:AB32)),IF(AB32=EDATE('Adjustment Surface'!$C$6,DATEDIF('Adjustment Surface'!$C$6,MAX('Adjustment Surface'!$C$14:$F$14),"M")),MAX('Adjustment Surface'!$C$14:$F$14),EDATE('Adjustment Surface'!$C$6,DATEDIF('Adjustment Surface'!$C$6,MAX('Adjustment Surface'!$C$14:$F$14),"M")))))</f>
        <v>46945</v>
      </c>
      <c r="AD32" s="3">
        <f t="shared" si="2"/>
        <v>30</v>
      </c>
      <c r="AE32" s="5">
        <f>IF(AA32="","",(AC32-'Rate &amp; Vol Update'!$C$2)/360)</f>
        <v>2.4472222222222224</v>
      </c>
      <c r="AF32" s="15">
        <f>IF(AA32="","",IF('Adjustment Surface'!$C$3='Data Validation'!$C$2,'Adjustment Surface'!$C$4,_xlfn.IFNA(IF(INDEX(Schedules!$E$3:$E$123,MATCH('Bachelier Model'!AB32,Schedules!$B$3:$B$123,0))="",AF31,INDEX(Schedules!$E$3:$E$123,MATCH('Bachelier Model'!AB32,Schedules!$B$3:$B$123,0))),AF31)))</f>
        <v>25000000</v>
      </c>
      <c r="AG32" s="16">
        <f>IF(AA32="","",'Adjustment Surface'!B$15)</f>
        <v>0.03</v>
      </c>
      <c r="AH32" s="16" cm="1">
        <f t="array" ref="AH32">IF(AA32="","",FORECAST(AB32,INDEX('Rate &amp; Vol Update'!$C$6:$C$127,MATCH(INDEX('Rate &amp; Vol Update'!$B$6:$B$127,MATCH(AB32,'Rate &amp; Vol Update'!$B$6:$B$127,1)),'Rate &amp; Vol Update'!$B$6:$B$127,0)+IF('Adjustment Surface'!$C$11='Data Validation'!$E$3,-1,0)):INDEX('Rate &amp; Vol Update'!$C$6:$C$127,MATCH(INDEX('Rate &amp; Vol Update'!$B$6:$B$127,MATCH(AB32,'Rate &amp; Vol Update'!$B$6:$B$127,1)+1),'Rate &amp; Vol Update'!$B$6:$B$127,0)+IF('Adjustment Surface'!$C$11='Data Validation'!$E$3,-1,0)),INDEX('Rate &amp; Vol Update'!$B$6:$B$127,MATCH(AB32,'Rate &amp; Vol Update'!$B$6:$B$127,1)):INDEX('Rate &amp; Vol Update'!$B$6:$B$127,MATCH(AB32,'Rate &amp; Vol Update'!$B$6:$B$127,1)+1))/100)</f>
        <v>3.3564175597285306E-2</v>
      </c>
      <c r="AI32" s="16" cm="1">
        <f t="array" ref="AI32">IF(AA32="","",IF(AB32&lt;'Rate &amp; Vol Update'!$C$2,0.001%,(1/((INDEX('Rate &amp; Vol Update'!$E$6:$Z$6,1,MATCH(AG32,'Rate &amp; Vol Update'!$E$6:$Z$6,1)+1)-INDEX('Rate &amp; Vol Update'!$E$6:$Z$6,1,MATCH(AG32,'Rate &amp; Vol Update'!$E$6:$Z$6,1)))*(INDEX('Rate &amp; Vol Update'!$B$8:$B$127,MATCH(AB32,'Rate &amp; Vol Update'!$B$8:$B$127,1)+1)-INDEX('Rate &amp; Vol Update'!$B$8:$B$127,MATCH(AB32,'Rate &amp; Vol Update'!$B$8:$B$127,1))))*(INDEX('Rate &amp; Vol Update'!$E$8:$Z$127,MATCH(INDEX('Rate &amp; Vol Update'!$B$8:$B$127,MATCH(AB32,'Rate &amp; Vol Update'!$B$8:$B$127,1)),'Rate &amp; Vol Update'!$B$8:$B$127,0),MATCH(INDEX('Rate &amp; Vol Update'!$E$6:$Z$6,1,MATCH(AG32,'Rate &amp; Vol Update'!$E$6:$Z$6,1)),'Rate &amp; Vol Update'!$E$6:$Z$6,0))*(INDEX('Rate &amp; Vol Update'!$E$6:$Z$6,1,MATCH(AG32,'Rate &amp; Vol Update'!$E$6:$Z$6,1)+1)-AG32)*(INDEX('Rate &amp; Vol Update'!$B$8:$B$127,MATCH(AB32,'Rate &amp; Vol Update'!$B$8:$B$127,1)+1)-AB32)+INDEX('Rate &amp; Vol Update'!$E$8:$Z$127,MATCH(INDEX('Rate &amp; Vol Update'!$B$8:$B$127,MATCH(AB32,'Rate &amp; Vol Update'!$B$8:$B$127,1)),'Rate &amp; Vol Update'!$B$8:$B$127,0),MATCH(INDEX('Rate &amp; Vol Update'!$E$6:$Z$6,1,MATCH(AG32,'Rate &amp; Vol Update'!$E$6:$Z$6,1)+1),'Rate &amp; Vol Update'!$E$6:$Z$6,0))*(AG32-INDEX('Rate &amp; Vol Update'!$E$6:$Z$6,1,MATCH(AG32,'Rate &amp; Vol Update'!$E$6:$Z$6,1)))*(INDEX('Rate &amp; Vol Update'!$B$8:$B$127,MATCH(AB32,'Rate &amp; Vol Update'!$B$8:$B$127,1)+1)-AB32)+INDEX('Rate &amp; Vol Update'!$E$8:$Z$127,MATCH(INDEX('Rate &amp; Vol Update'!$B$8:$B$127,MATCH(AB32,'Rate &amp; Vol Update'!$B$8:$B$127,1)+1),'Rate &amp; Vol Update'!$B$8:$B$127,0),MATCH(INDEX('Rate &amp; Vol Update'!$E$6:$Z$6,1,MATCH(AG32,'Rate &amp; Vol Update'!$E$6:$Z$6,1)),'Rate &amp; Vol Update'!$E$6:$Z$6,0))*(INDEX('Rate &amp; Vol Update'!$E$6:$Z$6,1,MATCH(AG32,'Rate &amp; Vol Update'!$E$6:$Z$6,1)+1)-AG32)*(AB32-INDEX('Rate &amp; Vol Update'!$B$8:$B$127,MATCH(AB32,'Rate &amp; Vol Update'!$B$8:$B$127,1)))+INDEX('Rate &amp; Vol Update'!$E$8:$Z$127,MATCH(INDEX('Rate &amp; Vol Update'!$B$8:$B$127,MATCH(AB32,'Rate &amp; Vol Update'!$B$8:$B$127,1)+1),'Rate &amp; Vol Update'!$B$8:$B$127,0),MATCH(INDEX('Rate &amp; Vol Update'!$E$6:$Z$6,1,MATCH(AG32,'Rate &amp; Vol Update'!$E$6:$Z$6,1)+1),'Rate &amp; Vol Update'!$E$6:$Z$6,0))*(AG32-INDEX('Rate &amp; Vol Update'!$E$6:$Z$6,1,MATCH(AG32,'Rate &amp; Vol Update'!$E$6:$Z$6,1)))*(AB32-INDEX('Rate &amp; Vol Update'!$B$8:$B$127,MATCH(AB32,'Rate &amp; Vol Update'!$B$8:$B$127,1)))))*0.01%))</f>
        <v>8.1650207120675701E-3</v>
      </c>
      <c r="AJ32" s="5">
        <f>IF(AA32="","",1/((1+AH32)^((AC32-'Rate &amp; Vol Update'!$C$2)/360)))</f>
        <v>0.92238679961935988</v>
      </c>
      <c r="AL32" s="15">
        <f>IF(AA32="","",IF(AB32&lt;'Rate &amp; Vol Update'!$C$2,MAX(0,AH32-AG32)*(AD32/360)*AF32,(((IF('Adjustment Surface'!$C$2='Data Validation'!$A$2,AH32,IF('Adjustment Surface'!$C$2='Data Validation'!$A$3,AG32,"Unknown Option Type"))-IF('Adjustment Surface'!$C$2='Data Validation'!$A$2,AG32,IF('Adjustment Surface'!$C$2='Data Validation'!$A$3,AH32,"Unknown Option Type")))*(NORMDIST((IF('Adjustment Surface'!$C$2='Data Validation'!$A$2,AH32,IF('Adjustment Surface'!$C$2='Data Validation'!$A$3,AG32,"Unknown Option Type"))-IF('Adjustment Surface'!$C$2='Data Validation'!$A$2,AG32,IF('Adjustment Surface'!$C$2='Data Validation'!$A$3,AH32,"Unknown Option Type")))/(AI32*SQRT(AE32)),0,1,TRUE)))+((AI32*SQRT(AE32))*(NORMDIST((IF('Adjustment Surface'!$C$2='Data Validation'!$A$2,AH32,IF('Adjustment Surface'!$C$2='Data Validation'!$A$3,AG32,"Unknown Option Type"))-IF('Adjustment Surface'!$C$2='Data Validation'!$A$2,AG32,IF('Adjustment Surface'!$C$2='Data Validation'!$A$3,AH32,"Unknown Option Type")))/(AI32*SQRT(AE32)),0,1,FALSE))))*AJ32*(AD32/360)*AF32))</f>
        <v>13595.397036893703</v>
      </c>
      <c r="AM32" s="15">
        <f>IF(AA32="","",SUM(AL$4:AL32))</f>
        <v>310003.53328152042</v>
      </c>
      <c r="AO32" s="15">
        <f>IF(AA32="","",IF(AB32&lt;'Rate &amp; Vol Update'!$C$2,0,((((((IF('Adjustment Surface'!$C$2='Data Validation'!$A$2,AH32,IF('Adjustment Surface'!$C$2='Data Validation'!$A$3,AG32,"Unknown Option Type"))-IF('Adjustment Surface'!$C$2='Data Validation'!$A$2,AG32,IF('Adjustment Surface'!$C$2='Data Validation'!$A$3,AH32,"Unknown Option Type")))*(NORMDIST((IF('Adjustment Surface'!$C$2='Data Validation'!$A$2,AH32,IF('Adjustment Surface'!$C$2='Data Validation'!$A$3,AG32,"Unknown Option Type"))-IF('Adjustment Surface'!$C$2='Data Validation'!$A$2,AG32,IF('Adjustment Surface'!$C$2='Data Validation'!$A$3,AH32,"Unknown Option Type")))/((AI32+0.01%)*SQRT(AE32)),0,1,TRUE)))+(((AI32+0.01%)*SQRT(AE32))*(NORMDIST((IF('Adjustment Surface'!$C$2='Data Validation'!$A$2,AH32,IF('Adjustment Surface'!$C$2='Data Validation'!$A$3,AG32,"Unknown Option Type"))-IF('Adjustment Surface'!$C$2='Data Validation'!$A$2,AG32,IF('Adjustment Surface'!$C$2='Data Validation'!$A$3,AH32,"Unknown Option Type")))/((AI32+0.01%)*SQRT(AE32)),0,1,FALSE))))*AJ32*(AD32/360))-(AL32/AF32))*AF32)*AJ32))</f>
        <v>106.44581133461584</v>
      </c>
      <c r="AP32" s="15">
        <f>IF(AA32="","",SUM(AO$4:AO32))</f>
        <v>2128.2680795746696</v>
      </c>
      <c r="AQ32" s="15"/>
      <c r="AR32" s="20"/>
      <c r="AS32" s="3">
        <v>29</v>
      </c>
      <c r="AT32" s="4">
        <f>IF(AU31=MAX('Adjustment Surface'!$C$14:$F$14),"",AU31)</f>
        <v>46915</v>
      </c>
      <c r="AU32" s="4">
        <f>IF(AT32="","",IF(AT32&lt;EDATE('Adjustment Surface'!$C$6,DATEDIF('Adjustment Surface'!$C$6,MAX('Adjustment Surface'!$C$14:$F$14),"M")),EDATE(AT$5,COUNT(AT$5:AT32)),IF(AT32=EDATE('Adjustment Surface'!$C$6,DATEDIF('Adjustment Surface'!$C$6,MAX('Adjustment Surface'!$C$14:$F$14),"M")),MAX('Adjustment Surface'!$C$14:$F$14),EDATE('Adjustment Surface'!$C$6,DATEDIF('Adjustment Surface'!$C$6,MAX('Adjustment Surface'!$C$14:$F$14),"M")))))</f>
        <v>46945</v>
      </c>
      <c r="AV32" s="3">
        <f t="shared" si="3"/>
        <v>30</v>
      </c>
      <c r="AW32" s="5">
        <f>IF(AS32="","",(AU32-'Rate &amp; Vol Update'!$C$2)/360)</f>
        <v>2.4472222222222224</v>
      </c>
      <c r="AX32" s="15">
        <f>IF(AS32="","",IF('Adjustment Surface'!$C$3='Data Validation'!$C$2,'Adjustment Surface'!$C$4,_xlfn.IFNA(IF(INDEX(Schedules!$E$3:$E$123,MATCH('Bachelier Model'!AT32,Schedules!$B$3:$B$123,0))="",AX31,INDEX(Schedules!$E$3:$E$123,MATCH('Bachelier Model'!AT32,Schedules!$B$3:$B$123,0))),AX31)))</f>
        <v>25000000</v>
      </c>
      <c r="AY32" s="16">
        <f>IF(AS32="","",'Adjustment Surface'!B$16)</f>
        <v>0.04</v>
      </c>
      <c r="AZ32" s="16" cm="1">
        <f t="array" ref="AZ32">IF(AS32="","",FORECAST(AT32,INDEX('Rate &amp; Vol Update'!$C$6:$C$127,MATCH(INDEX('Rate &amp; Vol Update'!$B$6:$B$127,MATCH(AT32,'Rate &amp; Vol Update'!$B$6:$B$127,1)),'Rate &amp; Vol Update'!$B$6:$B$127,0)+IF('Adjustment Surface'!$C$11='Data Validation'!$E$3,-1,0)):INDEX('Rate &amp; Vol Update'!$C$6:$C$127,MATCH(INDEX('Rate &amp; Vol Update'!$B$6:$B$127,MATCH(AT32,'Rate &amp; Vol Update'!$B$6:$B$127,1)+1),'Rate &amp; Vol Update'!$B$6:$B$127,0)+IF('Adjustment Surface'!$C$11='Data Validation'!$E$3,-1,0)),INDEX('Rate &amp; Vol Update'!$B$6:$B$127,MATCH(AT32,'Rate &amp; Vol Update'!$B$6:$B$127,1)):INDEX('Rate &amp; Vol Update'!$B$6:$B$127,MATCH(AT32,'Rate &amp; Vol Update'!$B$6:$B$127,1)+1))/100)</f>
        <v>3.3564175597285306E-2</v>
      </c>
      <c r="BA32" s="16" cm="1">
        <f t="array" ref="BA32">IF(AS32="","",IF(AT32&lt;'Rate &amp; Vol Update'!$C$2,0.001%,(1/((INDEX('Rate &amp; Vol Update'!$E$6:$Z$6,1,MATCH(AY32,'Rate &amp; Vol Update'!$E$6:$Z$6,1)+1)-INDEX('Rate &amp; Vol Update'!$E$6:$Z$6,1,MATCH(AY32,'Rate &amp; Vol Update'!$E$6:$Z$6,1)))*(INDEX('Rate &amp; Vol Update'!$B$8:$B$127,MATCH(AT32,'Rate &amp; Vol Update'!$B$8:$B$127,1)+1)-INDEX('Rate &amp; Vol Update'!$B$8:$B$127,MATCH(AT32,'Rate &amp; Vol Update'!$B$8:$B$127,1))))*(INDEX('Rate &amp; Vol Update'!$E$8:$Z$127,MATCH(INDEX('Rate &amp; Vol Update'!$B$8:$B$127,MATCH(AT32,'Rate &amp; Vol Update'!$B$8:$B$127,1)),'Rate &amp; Vol Update'!$B$8:$B$127,0),MATCH(INDEX('Rate &amp; Vol Update'!$E$6:$Z$6,1,MATCH(AY32,'Rate &amp; Vol Update'!$E$6:$Z$6,1)),'Rate &amp; Vol Update'!$E$6:$Z$6,0))*(INDEX('Rate &amp; Vol Update'!$E$6:$Z$6,1,MATCH(AY32,'Rate &amp; Vol Update'!$E$6:$Z$6,1)+1)-AY32)*(INDEX('Rate &amp; Vol Update'!$B$8:$B$127,MATCH(AT32,'Rate &amp; Vol Update'!$B$8:$B$127,1)+1)-AT32)+INDEX('Rate &amp; Vol Update'!$E$8:$Z$127,MATCH(INDEX('Rate &amp; Vol Update'!$B$8:$B$127,MATCH(AT32,'Rate &amp; Vol Update'!$B$8:$B$127,1)),'Rate &amp; Vol Update'!$B$8:$B$127,0),MATCH(INDEX('Rate &amp; Vol Update'!$E$6:$Z$6,1,MATCH(AY32,'Rate &amp; Vol Update'!$E$6:$Z$6,1)+1),'Rate &amp; Vol Update'!$E$6:$Z$6,0))*(AY32-INDEX('Rate &amp; Vol Update'!$E$6:$Z$6,1,MATCH(AY32,'Rate &amp; Vol Update'!$E$6:$Z$6,1)))*(INDEX('Rate &amp; Vol Update'!$B$8:$B$127,MATCH(AT32,'Rate &amp; Vol Update'!$B$8:$B$127,1)+1)-AT32)+INDEX('Rate &amp; Vol Update'!$E$8:$Z$127,MATCH(INDEX('Rate &amp; Vol Update'!$B$8:$B$127,MATCH(AT32,'Rate &amp; Vol Update'!$B$8:$B$127,1)+1),'Rate &amp; Vol Update'!$B$8:$B$127,0),MATCH(INDEX('Rate &amp; Vol Update'!$E$6:$Z$6,1,MATCH(AY32,'Rate &amp; Vol Update'!$E$6:$Z$6,1)),'Rate &amp; Vol Update'!$E$6:$Z$6,0))*(INDEX('Rate &amp; Vol Update'!$E$6:$Z$6,1,MATCH(AY32,'Rate &amp; Vol Update'!$E$6:$Z$6,1)+1)-AY32)*(AT32-INDEX('Rate &amp; Vol Update'!$B$8:$B$127,MATCH(AT32,'Rate &amp; Vol Update'!$B$8:$B$127,1)))+INDEX('Rate &amp; Vol Update'!$E$8:$Z$127,MATCH(INDEX('Rate &amp; Vol Update'!$B$8:$B$127,MATCH(AT32,'Rate &amp; Vol Update'!$B$8:$B$127,1)+1),'Rate &amp; Vol Update'!$B$8:$B$127,0),MATCH(INDEX('Rate &amp; Vol Update'!$E$6:$Z$6,1,MATCH(AY32,'Rate &amp; Vol Update'!$E$6:$Z$6,1)+1),'Rate &amp; Vol Update'!$E$6:$Z$6,0))*(AY32-INDEX('Rate &amp; Vol Update'!$E$6:$Z$6,1,MATCH(AY32,'Rate &amp; Vol Update'!$E$6:$Z$6,1)))*(AT32-INDEX('Rate &amp; Vol Update'!$B$8:$B$127,MATCH(AT32,'Rate &amp; Vol Update'!$B$8:$B$127,1)))))*0.01%))</f>
        <v>8.3198498731940421E-3</v>
      </c>
      <c r="BB32" s="5">
        <f>IF(AS32="","",1/((1+AZ32)^((AU32-'Rate &amp; Vol Update'!$C$2)/360)))</f>
        <v>0.92238679961935988</v>
      </c>
      <c r="BD32" s="15">
        <f>IF(AS32="","",IF(AT32&lt;'Rate &amp; Vol Update'!$C$2,MAX(0,AZ32-AY32)*(AV32/360)*AX32,(((IF('Adjustment Surface'!$C$2='Data Validation'!$A$2,AZ32,IF('Adjustment Surface'!$C$2='Data Validation'!$A$3,AY32,"Unknown Option Type"))-IF('Adjustment Surface'!$C$2='Data Validation'!$A$2,AY32,IF('Adjustment Surface'!$C$2='Data Validation'!$A$3,AZ32,"Unknown Option Type")))*(NORMDIST((IF('Adjustment Surface'!$C$2='Data Validation'!$A$2,AZ32,IF('Adjustment Surface'!$C$2='Data Validation'!$A$3,AY32,"Unknown Option Type"))-IF('Adjustment Surface'!$C$2='Data Validation'!$A$2,AY32,IF('Adjustment Surface'!$C$2='Data Validation'!$A$3,AZ32,"Unknown Option Type")))/(BA32*SQRT(AW32)),0,1,TRUE)))+((BA32*SQRT(AW32))*(NORMDIST((IF('Adjustment Surface'!$C$2='Data Validation'!$A$2,AZ32,IF('Adjustment Surface'!$C$2='Data Validation'!$A$3,AY32,"Unknown Option Type"))-IF('Adjustment Surface'!$C$2='Data Validation'!$A$2,AY32,IF('Adjustment Surface'!$C$2='Data Validation'!$A$3,AZ32,"Unknown Option Type")))/(BA32*SQRT(AW32)),0,1,FALSE))))*BB32*(AV32/360)*AX32))</f>
        <v>4989.7113819802498</v>
      </c>
      <c r="BE32" s="15">
        <f>IF(AS32="","",SUM(BD$4:BD32))</f>
        <v>54183.358515516928</v>
      </c>
      <c r="BG32" s="15">
        <f>IF(AS32="","",IF(AT32&lt;'Rate &amp; Vol Update'!$C$2,0,((((((IF('Adjustment Surface'!$C$2='Data Validation'!$A$2,AZ32,IF('Adjustment Surface'!$C$2='Data Validation'!$A$3,AY32,"Unknown Option Type"))-IF('Adjustment Surface'!$C$2='Data Validation'!$A$2,AY32,IF('Adjustment Surface'!$C$2='Data Validation'!$A$3,AZ32,"Unknown Option Type")))*(NORMDIST((IF('Adjustment Surface'!$C$2='Data Validation'!$A$2,AZ32,IF('Adjustment Surface'!$C$2='Data Validation'!$A$3,AY32,"Unknown Option Type"))-IF('Adjustment Surface'!$C$2='Data Validation'!$A$2,AY32,IF('Adjustment Surface'!$C$2='Data Validation'!$A$3,AZ32,"Unknown Option Type")))/((BA32+0.01%)*SQRT(AW32)),0,1,TRUE)))+(((BA32+0.01%)*SQRT(AW32))*(NORMDIST((IF('Adjustment Surface'!$C$2='Data Validation'!$A$2,AZ32,IF('Adjustment Surface'!$C$2='Data Validation'!$A$3,AY32,"Unknown Option Type"))-IF('Adjustment Surface'!$C$2='Data Validation'!$A$2,AY32,IF('Adjustment Surface'!$C$2='Data Validation'!$A$3,AZ32,"Unknown Option Type")))/((BA32+0.01%)*SQRT(AW32)),0,1,FALSE))))*BB32*(AV32/360))-(BD32/AX32))*AX32)*BB32))</f>
        <v>98.031775767394905</v>
      </c>
      <c r="BH32" s="15">
        <f>IF(AS32="","",SUM(BG$4:BG32))</f>
        <v>1569.0014800053384</v>
      </c>
      <c r="BI32" s="15"/>
      <c r="BJ32" s="20"/>
      <c r="BK32" s="3">
        <v>29</v>
      </c>
      <c r="BL32" s="4">
        <f>IF(BM31=MAX('Adjustment Surface'!$C$14:$F$14),"",BM31)</f>
        <v>46915</v>
      </c>
      <c r="BM32" s="4">
        <f>IF(BL32="","",IF(BL32&lt;EDATE('Adjustment Surface'!$C$6,DATEDIF('Adjustment Surface'!$C$6,MAX('Adjustment Surface'!$C$14:$F$14),"M")),EDATE(BL$5,COUNT(BL$5:BL32)),IF(BL32=EDATE('Adjustment Surface'!$C$6,DATEDIF('Adjustment Surface'!$C$6,MAX('Adjustment Surface'!$C$14:$F$14),"M")),MAX('Adjustment Surface'!$C$14:$F$14),EDATE('Adjustment Surface'!$C$6,DATEDIF('Adjustment Surface'!$C$6,MAX('Adjustment Surface'!$C$14:$F$14),"M")))))</f>
        <v>46945</v>
      </c>
      <c r="BN32" s="3">
        <f t="shared" si="4"/>
        <v>30</v>
      </c>
      <c r="BO32" s="5">
        <f>IF(BK32="","",(BM32-'Rate &amp; Vol Update'!$C$2)/360)</f>
        <v>2.4472222222222224</v>
      </c>
      <c r="BP32" s="15">
        <f>IF(BK32="","",IF('Adjustment Surface'!$C$3='Data Validation'!$C$2,'Adjustment Surface'!$C$4,_xlfn.IFNA(IF(INDEX(Schedules!$E$3:$E$123,MATCH('Bachelier Model'!BL32,Schedules!$B$3:$B$123,0))="",BP31,INDEX(Schedules!$E$3:$E$123,MATCH('Bachelier Model'!BL32,Schedules!$B$3:$B$123,0))),BP31)))</f>
        <v>25000000</v>
      </c>
      <c r="BQ32" s="16">
        <f>IF(BK32="","",'Adjustment Surface'!B$17)</f>
        <v>0.05</v>
      </c>
      <c r="BR32" s="16" cm="1">
        <f t="array" ref="BR32">IF(BK32="","",FORECAST(BL32,INDEX('Rate &amp; Vol Update'!$C$6:$C$127,MATCH(INDEX('Rate &amp; Vol Update'!$B$6:$B$127,MATCH(BL32,'Rate &amp; Vol Update'!$B$6:$B$127,1)),'Rate &amp; Vol Update'!$B$6:$B$127,0)+IF('Adjustment Surface'!$C$11='Data Validation'!$E$3,-1,0)):INDEX('Rate &amp; Vol Update'!$C$6:$C$127,MATCH(INDEX('Rate &amp; Vol Update'!$B$6:$B$127,MATCH(BL32,'Rate &amp; Vol Update'!$B$6:$B$127,1)+1),'Rate &amp; Vol Update'!$B$6:$B$127,0)+IF('Adjustment Surface'!$C$11='Data Validation'!$E$3,-1,0)),INDEX('Rate &amp; Vol Update'!$B$6:$B$127,MATCH(BL32,'Rate &amp; Vol Update'!$B$6:$B$127,1)):INDEX('Rate &amp; Vol Update'!$B$6:$B$127,MATCH(BL32,'Rate &amp; Vol Update'!$B$6:$B$127,1)+1))/100)</f>
        <v>3.3564175597285306E-2</v>
      </c>
      <c r="BS32" s="16" cm="1">
        <f t="array" ref="BS32">IF(BK32="","",IF(BL32&lt;'Rate &amp; Vol Update'!$C$2,0.001%,(1/((INDEX('Rate &amp; Vol Update'!$E$6:$Z$6,1,MATCH(BQ32,'Rate &amp; Vol Update'!$E$6:$Z$6,1)+1)-INDEX('Rate &amp; Vol Update'!$E$6:$Z$6,1,MATCH(BQ32,'Rate &amp; Vol Update'!$E$6:$Z$6,1)))*(INDEX('Rate &amp; Vol Update'!$B$8:$B$127,MATCH(BL32,'Rate &amp; Vol Update'!$B$8:$B$127,1)+1)-INDEX('Rate &amp; Vol Update'!$B$8:$B$127,MATCH(BL32,'Rate &amp; Vol Update'!$B$8:$B$127,1))))*(INDEX('Rate &amp; Vol Update'!$E$8:$Z$127,MATCH(INDEX('Rate &amp; Vol Update'!$B$8:$B$127,MATCH(BL32,'Rate &amp; Vol Update'!$B$8:$B$127,1)),'Rate &amp; Vol Update'!$B$8:$B$127,0),MATCH(INDEX('Rate &amp; Vol Update'!$E$6:$Z$6,1,MATCH(BQ32,'Rate &amp; Vol Update'!$E$6:$Z$6,1)),'Rate &amp; Vol Update'!$E$6:$Z$6,0))*(INDEX('Rate &amp; Vol Update'!$E$6:$Z$6,1,MATCH(BQ32,'Rate &amp; Vol Update'!$E$6:$Z$6,1)+1)-BQ32)*(INDEX('Rate &amp; Vol Update'!$B$8:$B$127,MATCH(BL32,'Rate &amp; Vol Update'!$B$8:$B$127,1)+1)-BL32)+INDEX('Rate &amp; Vol Update'!$E$8:$Z$127,MATCH(INDEX('Rate &amp; Vol Update'!$B$8:$B$127,MATCH(BL32,'Rate &amp; Vol Update'!$B$8:$B$127,1)),'Rate &amp; Vol Update'!$B$8:$B$127,0),MATCH(INDEX('Rate &amp; Vol Update'!$E$6:$Z$6,1,MATCH(BQ32,'Rate &amp; Vol Update'!$E$6:$Z$6,1)+1),'Rate &amp; Vol Update'!$E$6:$Z$6,0))*(BQ32-INDEX('Rate &amp; Vol Update'!$E$6:$Z$6,1,MATCH(BQ32,'Rate &amp; Vol Update'!$E$6:$Z$6,1)))*(INDEX('Rate &amp; Vol Update'!$B$8:$B$127,MATCH(BL32,'Rate &amp; Vol Update'!$B$8:$B$127,1)+1)-BL32)+INDEX('Rate &amp; Vol Update'!$E$8:$Z$127,MATCH(INDEX('Rate &amp; Vol Update'!$B$8:$B$127,MATCH(BL32,'Rate &amp; Vol Update'!$B$8:$B$127,1)+1),'Rate &amp; Vol Update'!$B$8:$B$127,0),MATCH(INDEX('Rate &amp; Vol Update'!$E$6:$Z$6,1,MATCH(BQ32,'Rate &amp; Vol Update'!$E$6:$Z$6,1)),'Rate &amp; Vol Update'!$E$6:$Z$6,0))*(INDEX('Rate &amp; Vol Update'!$E$6:$Z$6,1,MATCH(BQ32,'Rate &amp; Vol Update'!$E$6:$Z$6,1)+1)-BQ32)*(BL32-INDEX('Rate &amp; Vol Update'!$B$8:$B$127,MATCH(BL32,'Rate &amp; Vol Update'!$B$8:$B$127,1)))+INDEX('Rate &amp; Vol Update'!$E$8:$Z$127,MATCH(INDEX('Rate &amp; Vol Update'!$B$8:$B$127,MATCH(BL32,'Rate &amp; Vol Update'!$B$8:$B$127,1)+1),'Rate &amp; Vol Update'!$B$8:$B$127,0),MATCH(INDEX('Rate &amp; Vol Update'!$E$6:$Z$6,1,MATCH(BQ32,'Rate &amp; Vol Update'!$E$6:$Z$6,1)+1),'Rate &amp; Vol Update'!$E$6:$Z$6,0))*(BQ32-INDEX('Rate &amp; Vol Update'!$E$6:$Z$6,1,MATCH(BQ32,'Rate &amp; Vol Update'!$E$6:$Z$6,1)))*(BL32-INDEX('Rate &amp; Vol Update'!$B$8:$B$127,MATCH(BL32,'Rate &amp; Vol Update'!$B$8:$B$127,1)))))*0.01%))</f>
        <v>9.5648725375979109E-3</v>
      </c>
      <c r="BT32" s="5">
        <f>IF(BK32="","",1/((1+BR32)^((BM32-'Rate &amp; Vol Update'!$C$2)/360)))</f>
        <v>0.92238679961935988</v>
      </c>
      <c r="BV32" s="15">
        <f>IF(BK32="","",IF(BL32&lt;'Rate &amp; Vol Update'!$C$2,MAX(0,BR32-BQ32)*(BN32/360)*BP32,(((IF('Adjustment Surface'!$C$2='Data Validation'!$A$2,BR32,IF('Adjustment Surface'!$C$2='Data Validation'!$A$3,BQ32,"Unknown Option Type"))-IF('Adjustment Surface'!$C$2='Data Validation'!$A$2,BQ32,IF('Adjustment Surface'!$C$2='Data Validation'!$A$3,BR32,"Unknown Option Type")))*(NORMDIST((IF('Adjustment Surface'!$C$2='Data Validation'!$A$2,BR32,IF('Adjustment Surface'!$C$2='Data Validation'!$A$3,BQ32,"Unknown Option Type"))-IF('Adjustment Surface'!$C$2='Data Validation'!$A$2,BQ32,IF('Adjustment Surface'!$C$2='Data Validation'!$A$3,BR32,"Unknown Option Type")))/(BS32*SQRT(BO32)),0,1,TRUE)))+((BS32*SQRT(BO32))*(NORMDIST((IF('Adjustment Surface'!$C$2='Data Validation'!$A$2,BR32,IF('Adjustment Surface'!$C$2='Data Validation'!$A$3,BQ32,"Unknown Option Type"))-IF('Adjustment Surface'!$C$2='Data Validation'!$A$2,BQ32,IF('Adjustment Surface'!$C$2='Data Validation'!$A$3,BR32,"Unknown Option Type")))/(BS32*SQRT(BO32)),0,1,FALSE))))*BT32*(BN32/360)*BP32))</f>
        <v>1979.1377673952816</v>
      </c>
      <c r="BW32" s="15">
        <f>IF(BK32="","",SUM(BV$4:BV32))</f>
        <v>16202.574277615311</v>
      </c>
      <c r="BY32" s="15">
        <f>IF(BK32="","",IF(BL32&lt;'Rate &amp; Vol Update'!$C$2,0,((((((IF('Adjustment Surface'!$C$2='Data Validation'!$A$2,BR32,IF('Adjustment Surface'!$C$2='Data Validation'!$A$3,BQ32,"Unknown Option Type"))-IF('Adjustment Surface'!$C$2='Data Validation'!$A$2,BQ32,IF('Adjustment Surface'!$C$2='Data Validation'!$A$3,BR32,"Unknown Option Type")))*(NORMDIST((IF('Adjustment Surface'!$C$2='Data Validation'!$A$2,BR32,IF('Adjustment Surface'!$C$2='Data Validation'!$A$3,BQ32,"Unknown Option Type"))-IF('Adjustment Surface'!$C$2='Data Validation'!$A$2,BQ32,IF('Adjustment Surface'!$C$2='Data Validation'!$A$3,BR32,"Unknown Option Type")))/((BS32+0.01%)*SQRT(BO32)),0,1,TRUE)))+(((BS32+0.01%)*SQRT(BO32))*(NORMDIST((IF('Adjustment Surface'!$C$2='Data Validation'!$A$2,BR32,IF('Adjustment Surface'!$C$2='Data Validation'!$A$3,BQ32,"Unknown Option Type"))-IF('Adjustment Surface'!$C$2='Data Validation'!$A$2,BQ32,IF('Adjustment Surface'!$C$2='Data Validation'!$A$3,BR32,"Unknown Option Type")))/((BS32+0.01%)*SQRT(BO32)),0,1,FALSE))))*BT32*(BN32/360))-(BV32/BP32))*BP32)*BT32))</f>
        <v>60.889555692935318</v>
      </c>
      <c r="BZ32" s="15">
        <f>IF(BK32="","",SUM(BY$4:BY32))</f>
        <v>645.7589113370783</v>
      </c>
      <c r="CA32" s="15"/>
      <c r="CB32" s="20"/>
      <c r="CC32" s="3">
        <v>29</v>
      </c>
      <c r="CD32" s="4">
        <f>IF(CE31=MAX('Adjustment Surface'!$C$14:$F$14),"",CE31)</f>
        <v>46915</v>
      </c>
      <c r="CE32" s="4">
        <f>IF(CD32="","",IF(CD32&lt;EDATE('Adjustment Surface'!$C$6,DATEDIF('Adjustment Surface'!$C$6,MAX('Adjustment Surface'!$C$14:$F$14),"M")),EDATE(CD$5,COUNT(CD$5:CD32)),IF(CD32=EDATE('Adjustment Surface'!$C$6,DATEDIF('Adjustment Surface'!$C$6,MAX('Adjustment Surface'!$C$14:$F$14),"M")),MAX('Adjustment Surface'!$C$14:$F$14),EDATE('Adjustment Surface'!$C$6,DATEDIF('Adjustment Surface'!$C$6,MAX('Adjustment Surface'!$C$14:$F$14),"M")))))</f>
        <v>46945</v>
      </c>
      <c r="CF32" s="3">
        <f t="shared" si="5"/>
        <v>30</v>
      </c>
      <c r="CG32" s="5">
        <f>IF(CC32="","",(CE32-'Rate &amp; Vol Update'!$C$2)/360)</f>
        <v>2.4472222222222224</v>
      </c>
      <c r="CH32" s="15">
        <f>IF(CC32="","",IF('Adjustment Surface'!$C$3='Data Validation'!$C$2,'Adjustment Surface'!$C$4,_xlfn.IFNA(IF(INDEX(Schedules!$E$3:$E$123,MATCH('Bachelier Model'!CD32,Schedules!$B$3:$B$123,0))="",CH31,INDEX(Schedules!$E$3:$E$123,MATCH('Bachelier Model'!CD32,Schedules!$B$3:$B$123,0))),CH31)))</f>
        <v>25000000</v>
      </c>
      <c r="CI32" s="16">
        <f>IF(CC32="","",'Adjustment Surface'!B$18)</f>
        <v>0.06</v>
      </c>
      <c r="CJ32" s="16" cm="1">
        <f t="array" ref="CJ32">IF(CC32="","",FORECAST(CD32,INDEX('Rate &amp; Vol Update'!$C$6:$C$127,MATCH(INDEX('Rate &amp; Vol Update'!$B$6:$B$127,MATCH(CD32,'Rate &amp; Vol Update'!$B$6:$B$127,1)),'Rate &amp; Vol Update'!$B$6:$B$127,0)+IF('Adjustment Surface'!$C$11='Data Validation'!$E$3,-1,0)):INDEX('Rate &amp; Vol Update'!$C$6:$C$127,MATCH(INDEX('Rate &amp; Vol Update'!$B$6:$B$127,MATCH(CD32,'Rate &amp; Vol Update'!$B$6:$B$127,1)+1),'Rate &amp; Vol Update'!$B$6:$B$127,0)+IF('Adjustment Surface'!$C$11='Data Validation'!$E$3,-1,0)),INDEX('Rate &amp; Vol Update'!$B$6:$B$127,MATCH(CD32,'Rate &amp; Vol Update'!$B$6:$B$127,1)):INDEX('Rate &amp; Vol Update'!$B$6:$B$127,MATCH(CD32,'Rate &amp; Vol Update'!$B$6:$B$127,1)+1))/100)</f>
        <v>3.3564175597285306E-2</v>
      </c>
      <c r="CK32" s="16" cm="1">
        <f t="array" ref="CK32">IF(CC32="","",IF(CD32&lt;'Rate &amp; Vol Update'!$C$2,0.001%,(1/((INDEX('Rate &amp; Vol Update'!$E$6:$Z$6,1,MATCH(CI32,'Rate &amp; Vol Update'!$E$6:$Z$6,1)+1)-INDEX('Rate &amp; Vol Update'!$E$6:$Z$6,1,MATCH(CI32,'Rate &amp; Vol Update'!$E$6:$Z$6,1)))*(INDEX('Rate &amp; Vol Update'!$B$8:$B$127,MATCH(CD32,'Rate &amp; Vol Update'!$B$8:$B$127,1)+1)-INDEX('Rate &amp; Vol Update'!$B$8:$B$127,MATCH(CD32,'Rate &amp; Vol Update'!$B$8:$B$127,1))))*(INDEX('Rate &amp; Vol Update'!$E$8:$Z$127,MATCH(INDEX('Rate &amp; Vol Update'!$B$8:$B$127,MATCH(CD32,'Rate &amp; Vol Update'!$B$8:$B$127,1)),'Rate &amp; Vol Update'!$B$8:$B$127,0),MATCH(INDEX('Rate &amp; Vol Update'!$E$6:$Z$6,1,MATCH(CI32,'Rate &amp; Vol Update'!$E$6:$Z$6,1)),'Rate &amp; Vol Update'!$E$6:$Z$6,0))*(INDEX('Rate &amp; Vol Update'!$E$6:$Z$6,1,MATCH(CI32,'Rate &amp; Vol Update'!$E$6:$Z$6,1)+1)-CI32)*(INDEX('Rate &amp; Vol Update'!$B$8:$B$127,MATCH(CD32,'Rate &amp; Vol Update'!$B$8:$B$127,1)+1)-CD32)+INDEX('Rate &amp; Vol Update'!$E$8:$Z$127,MATCH(INDEX('Rate &amp; Vol Update'!$B$8:$B$127,MATCH(CD32,'Rate &amp; Vol Update'!$B$8:$B$127,1)),'Rate &amp; Vol Update'!$B$8:$B$127,0),MATCH(INDEX('Rate &amp; Vol Update'!$E$6:$Z$6,1,MATCH(CI32,'Rate &amp; Vol Update'!$E$6:$Z$6,1)+1),'Rate &amp; Vol Update'!$E$6:$Z$6,0))*(CI32-INDEX('Rate &amp; Vol Update'!$E$6:$Z$6,1,MATCH(CI32,'Rate &amp; Vol Update'!$E$6:$Z$6,1)))*(INDEX('Rate &amp; Vol Update'!$B$8:$B$127,MATCH(CD32,'Rate &amp; Vol Update'!$B$8:$B$127,1)+1)-CD32)+INDEX('Rate &amp; Vol Update'!$E$8:$Z$127,MATCH(INDEX('Rate &amp; Vol Update'!$B$8:$B$127,MATCH(CD32,'Rate &amp; Vol Update'!$B$8:$B$127,1)+1),'Rate &amp; Vol Update'!$B$8:$B$127,0),MATCH(INDEX('Rate &amp; Vol Update'!$E$6:$Z$6,1,MATCH(CI32,'Rate &amp; Vol Update'!$E$6:$Z$6,1)),'Rate &amp; Vol Update'!$E$6:$Z$6,0))*(INDEX('Rate &amp; Vol Update'!$E$6:$Z$6,1,MATCH(CI32,'Rate &amp; Vol Update'!$E$6:$Z$6,1)+1)-CI32)*(CD32-INDEX('Rate &amp; Vol Update'!$B$8:$B$127,MATCH(CD32,'Rate &amp; Vol Update'!$B$8:$B$127,1)))+INDEX('Rate &amp; Vol Update'!$E$8:$Z$127,MATCH(INDEX('Rate &amp; Vol Update'!$B$8:$B$127,MATCH(CD32,'Rate &amp; Vol Update'!$B$8:$B$127,1)+1),'Rate &amp; Vol Update'!$B$8:$B$127,0),MATCH(INDEX('Rate &amp; Vol Update'!$E$6:$Z$6,1,MATCH(CI32,'Rate &amp; Vol Update'!$E$6:$Z$6,1)+1),'Rate &amp; Vol Update'!$E$6:$Z$6,0))*(CI32-INDEX('Rate &amp; Vol Update'!$E$6:$Z$6,1,MATCH(CI32,'Rate &amp; Vol Update'!$E$6:$Z$6,1)))*(CD32-INDEX('Rate &amp; Vol Update'!$B$8:$B$127,MATCH(CD32,'Rate &amp; Vol Update'!$B$8:$B$127,1)))))*0.01%))</f>
        <v>1.1208944591981941E-2</v>
      </c>
      <c r="CL32" s="5">
        <f>IF(CC32="","",1/((1+CJ32)^((CE32-'Rate &amp; Vol Update'!$C$2)/360)))</f>
        <v>0.92238679961935988</v>
      </c>
      <c r="CN32" s="15">
        <f>IF(CC32="","",IF(CD32&lt;'Rate &amp; Vol Update'!$C$2,MAX(0,CJ32-CI32)*(CF32/360)*CH32,(((IF('Adjustment Surface'!$C$2='Data Validation'!$A$2,CJ32,IF('Adjustment Surface'!$C$2='Data Validation'!$A$3,CI32,"Unknown Option Type"))-IF('Adjustment Surface'!$C$2='Data Validation'!$A$2,CI32,IF('Adjustment Surface'!$C$2='Data Validation'!$A$3,CJ32,"Unknown Option Type")))*(NORMDIST((IF('Adjustment Surface'!$C$2='Data Validation'!$A$2,CJ32,IF('Adjustment Surface'!$C$2='Data Validation'!$A$3,CI32,"Unknown Option Type"))-IF('Adjustment Surface'!$C$2='Data Validation'!$A$2,CI32,IF('Adjustment Surface'!$C$2='Data Validation'!$A$3,CJ32,"Unknown Option Type")))/(CK32*SQRT(CG32)),0,1,TRUE)))+((CK32*SQRT(CG32))*(NORMDIST((IF('Adjustment Surface'!$C$2='Data Validation'!$A$2,CJ32,IF('Adjustment Surface'!$C$2='Data Validation'!$A$3,CI32,"Unknown Option Type"))-IF('Adjustment Surface'!$C$2='Data Validation'!$A$2,CI32,IF('Adjustment Surface'!$C$2='Data Validation'!$A$3,CJ32,"Unknown Option Type")))/(CK32*SQRT(CG32)),0,1,FALSE))))*CL32*(CF32/360)*CH32))</f>
        <v>970.4864616129463</v>
      </c>
      <c r="CO32" s="15">
        <f>IF(CC32="","",SUM(CN$4:CN32))</f>
        <v>7176.324753427989</v>
      </c>
      <c r="CQ32" s="15">
        <f>IF(CC32="","",IF(CD32&lt;'Rate &amp; Vol Update'!$C$2,0,((((((IF('Adjustment Surface'!$C$2='Data Validation'!$A$2,CJ32,IF('Adjustment Surface'!$C$2='Data Validation'!$A$3,CI32,"Unknown Option Type"))-IF('Adjustment Surface'!$C$2='Data Validation'!$A$2,CI32,IF('Adjustment Surface'!$C$2='Data Validation'!$A$3,CJ32,"Unknown Option Type")))*(NORMDIST((IF('Adjustment Surface'!$C$2='Data Validation'!$A$2,CJ32,IF('Adjustment Surface'!$C$2='Data Validation'!$A$3,CI32,"Unknown Option Type"))-IF('Adjustment Surface'!$C$2='Data Validation'!$A$2,CI32,IF('Adjustment Surface'!$C$2='Data Validation'!$A$3,CJ32,"Unknown Option Type")))/((CK32+0.01%)*SQRT(CG32)),0,1,TRUE)))+(((CK32+0.01%)*SQRT(CG32))*(NORMDIST((IF('Adjustment Surface'!$C$2='Data Validation'!$A$2,CJ32,IF('Adjustment Surface'!$C$2='Data Validation'!$A$3,CI32,"Unknown Option Type"))-IF('Adjustment Surface'!$C$2='Data Validation'!$A$2,CI32,IF('Adjustment Surface'!$C$2='Data Validation'!$A$3,CJ32,"Unknown Option Type")))/((CK32+0.01%)*SQRT(CG32)),0,1,FALSE))))*CL32*(CF32/360))-(CN32/CH32))*CH32)*CL32))</f>
        <v>35.86298169334173</v>
      </c>
      <c r="CR32" s="15">
        <f>IF(CC32="","",SUM(CQ$4:CQ32))</f>
        <v>323.11725424607624</v>
      </c>
    </row>
    <row r="33" spans="7:96" x14ac:dyDescent="0.25">
      <c r="G33" s="28"/>
      <c r="I33" s="3">
        <v>30</v>
      </c>
      <c r="J33" s="4">
        <f>IF(K32='Adjustment Surface'!C$8,"",K32)</f>
        <v>46945</v>
      </c>
      <c r="K33" s="4">
        <f>IF(J33="","",IF(J33&lt;'Adjustment Surface'!C$7,EDATE(J$5,COUNT(J$5:J33)),IF(J33='Adjustment Surface'!C$7,'Adjustment Surface'!C$8,'Adjustment Surface'!C$7)))</f>
        <v>46976</v>
      </c>
      <c r="L33" s="3">
        <f t="shared" si="1"/>
        <v>31</v>
      </c>
      <c r="M33" s="5">
        <f>IF(I33="","",(K33-'Rate &amp; Vol Update'!$C$2)/360)</f>
        <v>2.5333333333333332</v>
      </c>
      <c r="N33" s="15">
        <f>IF(I33="","",IF('Adjustment Surface'!C$3='Data Validation'!$C$2,'Adjustment Surface'!C$4,IF(INDEX(Schedules!$E$3:$E$123,MATCH('Bachelier Model'!J33,Schedules!$B$3:$B$123,0))="",N32,INDEX(Schedules!$E$3:$E$123,MATCH('Bachelier Model'!J33,Schedules!$B$3:$B$123,0)))))</f>
        <v>25000000</v>
      </c>
      <c r="O33" s="16">
        <f>IF(I33="","",IF('Adjustment Surface'!C$9='Data Validation'!$D$2,'Adjustment Surface'!C$10,IF(INDEX(Schedules!$H$3:$H$123,MATCH('Bachelier Model'!J33,Schedules!$B$3:$B$123,0))="",O32,INDEX(Schedules!$H$3:$H$123,MATCH('Bachelier Model'!J33,Schedules!$B$3:$B$123,0)))))</f>
        <v>0.02</v>
      </c>
      <c r="P33" s="16" cm="1">
        <f t="array" ref="P33">IF(I33="","",FORECAST(J33,INDEX('Rate &amp; Vol Update'!$C$6:$C$127,MATCH(INDEX('Rate &amp; Vol Update'!$B$6:$B$127,MATCH(J33,'Rate &amp; Vol Update'!$B$6:$B$127,1)),'Rate &amp; Vol Update'!$B$6:$B$127,0)+IF('Adjustment Surface'!C$11='Data Validation'!$E$3,-1,0)):INDEX('Rate &amp; Vol Update'!$C$6:$C$127,MATCH(INDEX('Rate &amp; Vol Update'!$B$6:$B$127,MATCH(J33,'Rate &amp; Vol Update'!$B$6:$B$127,1)+1),'Rate &amp; Vol Update'!$B$6:$B$127,0)+IF('Adjustment Surface'!C$11='Data Validation'!$E$3,-1,0)),INDEX('Rate &amp; Vol Update'!$B$6:$B$127,MATCH(J33,'Rate &amp; Vol Update'!$B$6:$B$127,1)):INDEX('Rate &amp; Vol Update'!$B$6:$B$127,MATCH(J33,'Rate &amp; Vol Update'!$B$6:$B$127,1)+1))/100)</f>
        <v>3.3567302194227322E-2</v>
      </c>
      <c r="Q33" s="16" cm="1">
        <f t="array" ref="Q33">IF(I33="","",IF(J33&lt;'Rate &amp; Vol Update'!$C$2,0.001%,(1/((INDEX('Rate &amp; Vol Update'!$E$6:$Z$6,1,MATCH(O33,'Rate &amp; Vol Update'!$E$6:$Z$6,1)+1)-INDEX('Rate &amp; Vol Update'!$E$6:$Z$6,1,MATCH(O33,'Rate &amp; Vol Update'!$E$6:$Z$6,1)))*(INDEX('Rate &amp; Vol Update'!$B$8:$B$127,MATCH(J33,'Rate &amp; Vol Update'!$B$8:$B$127,1)+1)-INDEX('Rate &amp; Vol Update'!$B$8:$B$127,MATCH(J33,'Rate &amp; Vol Update'!$B$8:$B$127,1))))*(INDEX('Rate &amp; Vol Update'!$E$8:$Z$127,MATCH(INDEX('Rate &amp; Vol Update'!$B$8:$B$127,MATCH(J33,'Rate &amp; Vol Update'!$B$8:$B$127,1)),'Rate &amp; Vol Update'!$B$8:$B$127,0),MATCH(INDEX('Rate &amp; Vol Update'!$E$6:$Z$6,1,MATCH(O33,'Rate &amp; Vol Update'!$E$6:$Z$6,1)),'Rate &amp; Vol Update'!$E$6:$Z$6,0))*(INDEX('Rate &amp; Vol Update'!$E$6:$Z$6,1,MATCH(O33,'Rate &amp; Vol Update'!$E$6:$Z$6,1)+1)-O33)*(INDEX('Rate &amp; Vol Update'!$B$8:$B$127,MATCH(J33,'Rate &amp; Vol Update'!$B$8:$B$127,1)+1)-J33)+INDEX('Rate &amp; Vol Update'!$E$8:$Z$127,MATCH(INDEX('Rate &amp; Vol Update'!$B$8:$B$127,MATCH(J33,'Rate &amp; Vol Update'!$B$8:$B$127,1)),'Rate &amp; Vol Update'!$B$8:$B$127,0),MATCH(INDEX('Rate &amp; Vol Update'!$E$6:$Z$6,1,MATCH(O33,'Rate &amp; Vol Update'!$E$6:$Z$6,1)+1),'Rate &amp; Vol Update'!$E$6:$Z$6,0))*(O33-INDEX('Rate &amp; Vol Update'!$E$6:$Z$6,1,MATCH(O33,'Rate &amp; Vol Update'!$E$6:$Z$6,1)))*(INDEX('Rate &amp; Vol Update'!$B$8:$B$127,MATCH(J33,'Rate &amp; Vol Update'!$B$8:$B$127,1)+1)-J33)+INDEX('Rate &amp; Vol Update'!$E$8:$Z$127,MATCH(INDEX('Rate &amp; Vol Update'!$B$8:$B$127,MATCH(J33,'Rate &amp; Vol Update'!$B$8:$B$127,1)+1),'Rate &amp; Vol Update'!$B$8:$B$127,0),MATCH(INDEX('Rate &amp; Vol Update'!$E$6:$Z$6,1,MATCH(O33,'Rate &amp; Vol Update'!$E$6:$Z$6,1)),'Rate &amp; Vol Update'!$E$6:$Z$6,0))*(INDEX('Rate &amp; Vol Update'!$E$6:$Z$6,1,MATCH(O33,'Rate &amp; Vol Update'!$E$6:$Z$6,1)+1)-O33)*(J33-INDEX('Rate &amp; Vol Update'!$B$8:$B$127,MATCH(J33,'Rate &amp; Vol Update'!$B$8:$B$127,1)))+INDEX('Rate &amp; Vol Update'!$E$8:$Z$127,MATCH(INDEX('Rate &amp; Vol Update'!$B$8:$B$127,MATCH(J33,'Rate &amp; Vol Update'!$B$8:$B$127,1)+1),'Rate &amp; Vol Update'!$B$8:$B$127,0),MATCH(INDEX('Rate &amp; Vol Update'!$E$6:$Z$6,1,MATCH(O33,'Rate &amp; Vol Update'!$E$6:$Z$6,1)+1),'Rate &amp; Vol Update'!$E$6:$Z$6,0))*(O33-INDEX('Rate &amp; Vol Update'!$E$6:$Z$6,1,MATCH(O33,'Rate &amp; Vol Update'!$E$6:$Z$6,1)))*(J33-INDEX('Rate &amp; Vol Update'!$B$8:$B$127,MATCH(J33,'Rate &amp; Vol Update'!$B$8:$B$127,1)))))*0.01%))</f>
        <v>9.0772788172393086E-3</v>
      </c>
      <c r="R33" s="5">
        <f>IF(I33="","",1/((1+P33)^((K33-'Rate &amp; Vol Update'!$C$2)/360)))</f>
        <v>0.91976131087485347</v>
      </c>
      <c r="T33" s="15">
        <f>IF(I33="","",IF(J33&lt;'Rate &amp; Vol Update'!$C$2,MAX(0,P33-O33)*(L33/360)*N33,(((IF('Adjustment Surface'!C$2='Data Validation'!$A$2,P33,IF('Adjustment Surface'!C$2='Data Validation'!$A$3,O33,"Unknown Option Type"))-IF('Adjustment Surface'!C$2='Data Validation'!$A$2,O33,IF('Adjustment Surface'!C$2='Data Validation'!$A$3,P33,"Unknown Option Type")))*(NORMDIST((IF('Adjustment Surface'!C$2='Data Validation'!$A$2,P33,IF('Adjustment Surface'!C$2='Data Validation'!$A$3,O33,"Unknown Option Type"))-IF('Adjustment Surface'!C$2='Data Validation'!$A$2,O33,IF('Adjustment Surface'!C$2='Data Validation'!$A$3,P33,"Unknown Option Type")))/(Q33*SQRT(M33)),0,1,TRUE)))+((Q33*SQRT(M33))*(NORMDIST((IF('Adjustment Surface'!C$2='Data Validation'!$A$2,P33,IF('Adjustment Surface'!C$2='Data Validation'!$A$3,O33,"Unknown Option Type"))-IF('Adjustment Surface'!C$2='Data Validation'!$A$2,O33,IF('Adjustment Surface'!C$2='Data Validation'!$A$3,P33,"Unknown Option Type")))/(Q33*SQRT(M33)),0,1,FALSE))))*R33*(L33/360)*N33))</f>
        <v>29536.971406631517</v>
      </c>
      <c r="U33" s="15">
        <f>IF(I33="","",SUM(T$4:T33))</f>
        <v>840285.65421080135</v>
      </c>
      <c r="W33" s="15">
        <f>IF(I33="","",IF(J33&lt;'Rate &amp; Vol Update'!$C$2,0,((((((IF('Adjustment Surface'!C$2='Data Validation'!$A$2,P33,IF('Adjustment Surface'!C$2='Data Validation'!$A$3,O33,"Unknown Option Type"))-IF('Adjustment Surface'!C$2='Data Validation'!$A$2,O33,IF('Adjustment Surface'!C$2='Data Validation'!$A$3,P33,"Unknown Option Type")))*(NORMDIST((IF('Adjustment Surface'!C$2='Data Validation'!$A$2,P33,IF('Adjustment Surface'!C$2='Data Validation'!$A$3,O33,"Unknown Option Type"))-IF('Adjustment Surface'!C$2='Data Validation'!$A$2,O33,IF('Adjustment Surface'!C$2='Data Validation'!$A$3,P33,"Unknown Option Type")))/((Q33+0.01%)*SQRT(M33)),0,1,TRUE)))+(((Q33+0.01%)*SQRT(M33))*(NORMDIST((IF('Adjustment Surface'!C$2='Data Validation'!$A$2,P33,IF('Adjustment Surface'!C$2='Data Validation'!$A$3,O33,"Unknown Option Type"))-IF('Adjustment Surface'!C$2='Data Validation'!$A$2,O33,IF('Adjustment Surface'!C$2='Data Validation'!$A$3,P33,"Unknown Option Type")))/((Q33+0.01%)*SQRT(M33)),0,1,FALSE))))*R33*(L33/360))-(T33/N33))*N33)*R33))</f>
        <v>74.766598997449194</v>
      </c>
      <c r="X33" s="15">
        <f>IF(I33="","",SUM(W$4:W33))</f>
        <v>1242.0687195008134</v>
      </c>
      <c r="Y33" s="15"/>
      <c r="Z33" s="20"/>
      <c r="AA33" s="3">
        <v>30</v>
      </c>
      <c r="AB33" s="4">
        <f>IF(AC32=MAX('Adjustment Surface'!$C$14:$F$14),"",AC32)</f>
        <v>46945</v>
      </c>
      <c r="AC33" s="4">
        <f>IF(AB33="","",IF(AB33&lt;EDATE('Adjustment Surface'!$C$6,DATEDIF('Adjustment Surface'!$C$6,MAX('Adjustment Surface'!$C$14:$F$14),"M")),EDATE(AB$5,COUNT(AB$5:AB33)),IF(AB33=EDATE('Adjustment Surface'!$C$6,DATEDIF('Adjustment Surface'!$C$6,MAX('Adjustment Surface'!$C$14:$F$14),"M")),MAX('Adjustment Surface'!$C$14:$F$14),EDATE('Adjustment Surface'!$C$6,DATEDIF('Adjustment Surface'!$C$6,MAX('Adjustment Surface'!$C$14:$F$14),"M")))))</f>
        <v>46976</v>
      </c>
      <c r="AD33" s="3">
        <f t="shared" si="2"/>
        <v>31</v>
      </c>
      <c r="AE33" s="5">
        <f>IF(AA33="","",(AC33-'Rate &amp; Vol Update'!$C$2)/360)</f>
        <v>2.5333333333333332</v>
      </c>
      <c r="AF33" s="15">
        <f>IF(AA33="","",IF('Adjustment Surface'!$C$3='Data Validation'!$C$2,'Adjustment Surface'!$C$4,_xlfn.IFNA(IF(INDEX(Schedules!$E$3:$E$123,MATCH('Bachelier Model'!AB33,Schedules!$B$3:$B$123,0))="",AF32,INDEX(Schedules!$E$3:$E$123,MATCH('Bachelier Model'!AB33,Schedules!$B$3:$B$123,0))),AF32)))</f>
        <v>25000000</v>
      </c>
      <c r="AG33" s="16">
        <f>IF(AA33="","",'Adjustment Surface'!B$15)</f>
        <v>0.03</v>
      </c>
      <c r="AH33" s="16" cm="1">
        <f t="array" ref="AH33">IF(AA33="","",FORECAST(AB33,INDEX('Rate &amp; Vol Update'!$C$6:$C$127,MATCH(INDEX('Rate &amp; Vol Update'!$B$6:$B$127,MATCH(AB33,'Rate &amp; Vol Update'!$B$6:$B$127,1)),'Rate &amp; Vol Update'!$B$6:$B$127,0)+IF('Adjustment Surface'!$C$11='Data Validation'!$E$3,-1,0)):INDEX('Rate &amp; Vol Update'!$C$6:$C$127,MATCH(INDEX('Rate &amp; Vol Update'!$B$6:$B$127,MATCH(AB33,'Rate &amp; Vol Update'!$B$6:$B$127,1)+1),'Rate &amp; Vol Update'!$B$6:$B$127,0)+IF('Adjustment Surface'!$C$11='Data Validation'!$E$3,-1,0)),INDEX('Rate &amp; Vol Update'!$B$6:$B$127,MATCH(AB33,'Rate &amp; Vol Update'!$B$6:$B$127,1)):INDEX('Rate &amp; Vol Update'!$B$6:$B$127,MATCH(AB33,'Rate &amp; Vol Update'!$B$6:$B$127,1)+1))/100)</f>
        <v>3.3567302194227322E-2</v>
      </c>
      <c r="AI33" s="16" cm="1">
        <f t="array" ref="AI33">IF(AA33="","",IF(AB33&lt;'Rate &amp; Vol Update'!$C$2,0.001%,(1/((INDEX('Rate &amp; Vol Update'!$E$6:$Z$6,1,MATCH(AG33,'Rate &amp; Vol Update'!$E$6:$Z$6,1)+1)-INDEX('Rate &amp; Vol Update'!$E$6:$Z$6,1,MATCH(AG33,'Rate &amp; Vol Update'!$E$6:$Z$6,1)))*(INDEX('Rate &amp; Vol Update'!$B$8:$B$127,MATCH(AB33,'Rate &amp; Vol Update'!$B$8:$B$127,1)+1)-INDEX('Rate &amp; Vol Update'!$B$8:$B$127,MATCH(AB33,'Rate &amp; Vol Update'!$B$8:$B$127,1))))*(INDEX('Rate &amp; Vol Update'!$E$8:$Z$127,MATCH(INDEX('Rate &amp; Vol Update'!$B$8:$B$127,MATCH(AB33,'Rate &amp; Vol Update'!$B$8:$B$127,1)),'Rate &amp; Vol Update'!$B$8:$B$127,0),MATCH(INDEX('Rate &amp; Vol Update'!$E$6:$Z$6,1,MATCH(AG33,'Rate &amp; Vol Update'!$E$6:$Z$6,1)),'Rate &amp; Vol Update'!$E$6:$Z$6,0))*(INDEX('Rate &amp; Vol Update'!$E$6:$Z$6,1,MATCH(AG33,'Rate &amp; Vol Update'!$E$6:$Z$6,1)+1)-AG33)*(INDEX('Rate &amp; Vol Update'!$B$8:$B$127,MATCH(AB33,'Rate &amp; Vol Update'!$B$8:$B$127,1)+1)-AB33)+INDEX('Rate &amp; Vol Update'!$E$8:$Z$127,MATCH(INDEX('Rate &amp; Vol Update'!$B$8:$B$127,MATCH(AB33,'Rate &amp; Vol Update'!$B$8:$B$127,1)),'Rate &amp; Vol Update'!$B$8:$B$127,0),MATCH(INDEX('Rate &amp; Vol Update'!$E$6:$Z$6,1,MATCH(AG33,'Rate &amp; Vol Update'!$E$6:$Z$6,1)+1),'Rate &amp; Vol Update'!$E$6:$Z$6,0))*(AG33-INDEX('Rate &amp; Vol Update'!$E$6:$Z$6,1,MATCH(AG33,'Rate &amp; Vol Update'!$E$6:$Z$6,1)))*(INDEX('Rate &amp; Vol Update'!$B$8:$B$127,MATCH(AB33,'Rate &amp; Vol Update'!$B$8:$B$127,1)+1)-AB33)+INDEX('Rate &amp; Vol Update'!$E$8:$Z$127,MATCH(INDEX('Rate &amp; Vol Update'!$B$8:$B$127,MATCH(AB33,'Rate &amp; Vol Update'!$B$8:$B$127,1)+1),'Rate &amp; Vol Update'!$B$8:$B$127,0),MATCH(INDEX('Rate &amp; Vol Update'!$E$6:$Z$6,1,MATCH(AG33,'Rate &amp; Vol Update'!$E$6:$Z$6,1)),'Rate &amp; Vol Update'!$E$6:$Z$6,0))*(INDEX('Rate &amp; Vol Update'!$E$6:$Z$6,1,MATCH(AG33,'Rate &amp; Vol Update'!$E$6:$Z$6,1)+1)-AG33)*(AB33-INDEX('Rate &amp; Vol Update'!$B$8:$B$127,MATCH(AB33,'Rate &amp; Vol Update'!$B$8:$B$127,1)))+INDEX('Rate &amp; Vol Update'!$E$8:$Z$127,MATCH(INDEX('Rate &amp; Vol Update'!$B$8:$B$127,MATCH(AB33,'Rate &amp; Vol Update'!$B$8:$B$127,1)+1),'Rate &amp; Vol Update'!$B$8:$B$127,0),MATCH(INDEX('Rate &amp; Vol Update'!$E$6:$Z$6,1,MATCH(AG33,'Rate &amp; Vol Update'!$E$6:$Z$6,1)+1),'Rate &amp; Vol Update'!$E$6:$Z$6,0))*(AG33-INDEX('Rate &amp; Vol Update'!$E$6:$Z$6,1,MATCH(AG33,'Rate &amp; Vol Update'!$E$6:$Z$6,1)))*(AB33-INDEX('Rate &amp; Vol Update'!$B$8:$B$127,MATCH(AB33,'Rate &amp; Vol Update'!$B$8:$B$127,1)))))*0.01%))</f>
        <v>8.1652623239466173E-3</v>
      </c>
      <c r="AJ33" s="5">
        <f>IF(AA33="","",1/((1+AH33)^((AC33-'Rate &amp; Vol Update'!$C$2)/360)))</f>
        <v>0.91976131087485347</v>
      </c>
      <c r="AL33" s="15">
        <f>IF(AA33="","",IF(AB33&lt;'Rate &amp; Vol Update'!$C$2,MAX(0,AH33-AG33)*(AD33/360)*AF33,(((IF('Adjustment Surface'!$C$2='Data Validation'!$A$2,AH33,IF('Adjustment Surface'!$C$2='Data Validation'!$A$3,AG33,"Unknown Option Type"))-IF('Adjustment Surface'!$C$2='Data Validation'!$A$2,AG33,IF('Adjustment Surface'!$C$2='Data Validation'!$A$3,AH33,"Unknown Option Type")))*(NORMDIST((IF('Adjustment Surface'!$C$2='Data Validation'!$A$2,AH33,IF('Adjustment Surface'!$C$2='Data Validation'!$A$3,AG33,"Unknown Option Type"))-IF('Adjustment Surface'!$C$2='Data Validation'!$A$2,AG33,IF('Adjustment Surface'!$C$2='Data Validation'!$A$3,AH33,"Unknown Option Type")))/(AI33*SQRT(AE33)),0,1,TRUE)))+((AI33*SQRT(AE33))*(NORMDIST((IF('Adjustment Surface'!$C$2='Data Validation'!$A$2,AH33,IF('Adjustment Surface'!$C$2='Data Validation'!$A$3,AG33,"Unknown Option Type"))-IF('Adjustment Surface'!$C$2='Data Validation'!$A$2,AG33,IF('Adjustment Surface'!$C$2='Data Validation'!$A$3,AH33,"Unknown Option Type")))/(AI33*SQRT(AE33)),0,1,FALSE))))*AJ33*(AD33/360)*AF33))</f>
        <v>14182.019614146242</v>
      </c>
      <c r="AM33" s="15">
        <f>IF(AA33="","",SUM(AL$4:AL33))</f>
        <v>324185.55289566668</v>
      </c>
      <c r="AO33" s="15">
        <f>IF(AA33="","",IF(AB33&lt;'Rate &amp; Vol Update'!$C$2,0,((((((IF('Adjustment Surface'!$C$2='Data Validation'!$A$2,AH33,IF('Adjustment Surface'!$C$2='Data Validation'!$A$3,AG33,"Unknown Option Type"))-IF('Adjustment Surface'!$C$2='Data Validation'!$A$2,AG33,IF('Adjustment Surface'!$C$2='Data Validation'!$A$3,AH33,"Unknown Option Type")))*(NORMDIST((IF('Adjustment Surface'!$C$2='Data Validation'!$A$2,AH33,IF('Adjustment Surface'!$C$2='Data Validation'!$A$3,AG33,"Unknown Option Type"))-IF('Adjustment Surface'!$C$2='Data Validation'!$A$2,AG33,IF('Adjustment Surface'!$C$2='Data Validation'!$A$3,AH33,"Unknown Option Type")))/((AI33+0.01%)*SQRT(AE33)),0,1,TRUE)))+(((AI33+0.01%)*SQRT(AE33))*(NORMDIST((IF('Adjustment Surface'!$C$2='Data Validation'!$A$2,AH33,IF('Adjustment Surface'!$C$2='Data Validation'!$A$3,AG33,"Unknown Option Type"))-IF('Adjustment Surface'!$C$2='Data Validation'!$A$2,AG33,IF('Adjustment Surface'!$C$2='Data Validation'!$A$3,AH33,"Unknown Option Type")))/((AI33+0.01%)*SQRT(AE33)),0,1,FALSE))))*AJ33*(AD33/360))-(AL33/AF33))*AF33)*AJ33))</f>
        <v>111.4148257749212</v>
      </c>
      <c r="AP33" s="15">
        <f>IF(AA33="","",SUM(AO$4:AO33))</f>
        <v>2239.6829053495908</v>
      </c>
      <c r="AQ33" s="15"/>
      <c r="AR33" s="20"/>
      <c r="AS33" s="3">
        <v>30</v>
      </c>
      <c r="AT33" s="4">
        <f>IF(AU32=MAX('Adjustment Surface'!$C$14:$F$14),"",AU32)</f>
        <v>46945</v>
      </c>
      <c r="AU33" s="4">
        <f>IF(AT33="","",IF(AT33&lt;EDATE('Adjustment Surface'!$C$6,DATEDIF('Adjustment Surface'!$C$6,MAX('Adjustment Surface'!$C$14:$F$14),"M")),EDATE(AT$5,COUNT(AT$5:AT33)),IF(AT33=EDATE('Adjustment Surface'!$C$6,DATEDIF('Adjustment Surface'!$C$6,MAX('Adjustment Surface'!$C$14:$F$14),"M")),MAX('Adjustment Surface'!$C$14:$F$14),EDATE('Adjustment Surface'!$C$6,DATEDIF('Adjustment Surface'!$C$6,MAX('Adjustment Surface'!$C$14:$F$14),"M")))))</f>
        <v>46976</v>
      </c>
      <c r="AV33" s="3">
        <f t="shared" si="3"/>
        <v>31</v>
      </c>
      <c r="AW33" s="5">
        <f>IF(AS33="","",(AU33-'Rate &amp; Vol Update'!$C$2)/360)</f>
        <v>2.5333333333333332</v>
      </c>
      <c r="AX33" s="15">
        <f>IF(AS33="","",IF('Adjustment Surface'!$C$3='Data Validation'!$C$2,'Adjustment Surface'!$C$4,_xlfn.IFNA(IF(INDEX(Schedules!$E$3:$E$123,MATCH('Bachelier Model'!AT33,Schedules!$B$3:$B$123,0))="",AX32,INDEX(Schedules!$E$3:$E$123,MATCH('Bachelier Model'!AT33,Schedules!$B$3:$B$123,0))),AX32)))</f>
        <v>25000000</v>
      </c>
      <c r="AY33" s="16">
        <f>IF(AS33="","",'Adjustment Surface'!B$16)</f>
        <v>0.04</v>
      </c>
      <c r="AZ33" s="16" cm="1">
        <f t="array" ref="AZ33">IF(AS33="","",FORECAST(AT33,INDEX('Rate &amp; Vol Update'!$C$6:$C$127,MATCH(INDEX('Rate &amp; Vol Update'!$B$6:$B$127,MATCH(AT33,'Rate &amp; Vol Update'!$B$6:$B$127,1)),'Rate &amp; Vol Update'!$B$6:$B$127,0)+IF('Adjustment Surface'!$C$11='Data Validation'!$E$3,-1,0)):INDEX('Rate &amp; Vol Update'!$C$6:$C$127,MATCH(INDEX('Rate &amp; Vol Update'!$B$6:$B$127,MATCH(AT33,'Rate &amp; Vol Update'!$B$6:$B$127,1)+1),'Rate &amp; Vol Update'!$B$6:$B$127,0)+IF('Adjustment Surface'!$C$11='Data Validation'!$E$3,-1,0)),INDEX('Rate &amp; Vol Update'!$B$6:$B$127,MATCH(AT33,'Rate &amp; Vol Update'!$B$6:$B$127,1)):INDEX('Rate &amp; Vol Update'!$B$6:$B$127,MATCH(AT33,'Rate &amp; Vol Update'!$B$6:$B$127,1)+1))/100)</f>
        <v>3.3567302194227322E-2</v>
      </c>
      <c r="BA33" s="16" cm="1">
        <f t="array" ref="BA33">IF(AS33="","",IF(AT33&lt;'Rate &amp; Vol Update'!$C$2,0.001%,(1/((INDEX('Rate &amp; Vol Update'!$E$6:$Z$6,1,MATCH(AY33,'Rate &amp; Vol Update'!$E$6:$Z$6,1)+1)-INDEX('Rate &amp; Vol Update'!$E$6:$Z$6,1,MATCH(AY33,'Rate &amp; Vol Update'!$E$6:$Z$6,1)))*(INDEX('Rate &amp; Vol Update'!$B$8:$B$127,MATCH(AT33,'Rate &amp; Vol Update'!$B$8:$B$127,1)+1)-INDEX('Rate &amp; Vol Update'!$B$8:$B$127,MATCH(AT33,'Rate &amp; Vol Update'!$B$8:$B$127,1))))*(INDEX('Rate &amp; Vol Update'!$E$8:$Z$127,MATCH(INDEX('Rate &amp; Vol Update'!$B$8:$B$127,MATCH(AT33,'Rate &amp; Vol Update'!$B$8:$B$127,1)),'Rate &amp; Vol Update'!$B$8:$B$127,0),MATCH(INDEX('Rate &amp; Vol Update'!$E$6:$Z$6,1,MATCH(AY33,'Rate &amp; Vol Update'!$E$6:$Z$6,1)),'Rate &amp; Vol Update'!$E$6:$Z$6,0))*(INDEX('Rate &amp; Vol Update'!$E$6:$Z$6,1,MATCH(AY33,'Rate &amp; Vol Update'!$E$6:$Z$6,1)+1)-AY33)*(INDEX('Rate &amp; Vol Update'!$B$8:$B$127,MATCH(AT33,'Rate &amp; Vol Update'!$B$8:$B$127,1)+1)-AT33)+INDEX('Rate &amp; Vol Update'!$E$8:$Z$127,MATCH(INDEX('Rate &amp; Vol Update'!$B$8:$B$127,MATCH(AT33,'Rate &amp; Vol Update'!$B$8:$B$127,1)),'Rate &amp; Vol Update'!$B$8:$B$127,0),MATCH(INDEX('Rate &amp; Vol Update'!$E$6:$Z$6,1,MATCH(AY33,'Rate &amp; Vol Update'!$E$6:$Z$6,1)+1),'Rate &amp; Vol Update'!$E$6:$Z$6,0))*(AY33-INDEX('Rate &amp; Vol Update'!$E$6:$Z$6,1,MATCH(AY33,'Rate &amp; Vol Update'!$E$6:$Z$6,1)))*(INDEX('Rate &amp; Vol Update'!$B$8:$B$127,MATCH(AT33,'Rate &amp; Vol Update'!$B$8:$B$127,1)+1)-AT33)+INDEX('Rate &amp; Vol Update'!$E$8:$Z$127,MATCH(INDEX('Rate &amp; Vol Update'!$B$8:$B$127,MATCH(AT33,'Rate &amp; Vol Update'!$B$8:$B$127,1)+1),'Rate &amp; Vol Update'!$B$8:$B$127,0),MATCH(INDEX('Rate &amp; Vol Update'!$E$6:$Z$6,1,MATCH(AY33,'Rate &amp; Vol Update'!$E$6:$Z$6,1)),'Rate &amp; Vol Update'!$E$6:$Z$6,0))*(INDEX('Rate &amp; Vol Update'!$E$6:$Z$6,1,MATCH(AY33,'Rate &amp; Vol Update'!$E$6:$Z$6,1)+1)-AY33)*(AT33-INDEX('Rate &amp; Vol Update'!$B$8:$B$127,MATCH(AT33,'Rate &amp; Vol Update'!$B$8:$B$127,1)))+INDEX('Rate &amp; Vol Update'!$E$8:$Z$127,MATCH(INDEX('Rate &amp; Vol Update'!$B$8:$B$127,MATCH(AT33,'Rate &amp; Vol Update'!$B$8:$B$127,1)+1),'Rate &amp; Vol Update'!$B$8:$B$127,0),MATCH(INDEX('Rate &amp; Vol Update'!$E$6:$Z$6,1,MATCH(AY33,'Rate &amp; Vol Update'!$E$6:$Z$6,1)+1),'Rate &amp; Vol Update'!$E$6:$Z$6,0))*(AY33-INDEX('Rate &amp; Vol Update'!$E$6:$Z$6,1,MATCH(AY33,'Rate &amp; Vol Update'!$E$6:$Z$6,1)))*(AT33-INDEX('Rate &amp; Vol Update'!$B$8:$B$127,MATCH(AT33,'Rate &amp; Vol Update'!$B$8:$B$127,1)))))*0.01%))</f>
        <v>8.3195213507053258E-3</v>
      </c>
      <c r="BB33" s="5">
        <f>IF(AS33="","",1/((1+AZ33)^((AU33-'Rate &amp; Vol Update'!$C$2)/360)))</f>
        <v>0.91976131087485347</v>
      </c>
      <c r="BD33" s="15">
        <f>IF(AS33="","",IF(AT33&lt;'Rate &amp; Vol Update'!$C$2,MAX(0,AZ33-AY33)*(AV33/360)*AX33,(((IF('Adjustment Surface'!$C$2='Data Validation'!$A$2,AZ33,IF('Adjustment Surface'!$C$2='Data Validation'!$A$3,AY33,"Unknown Option Type"))-IF('Adjustment Surface'!$C$2='Data Validation'!$A$2,AY33,IF('Adjustment Surface'!$C$2='Data Validation'!$A$3,AZ33,"Unknown Option Type")))*(NORMDIST((IF('Adjustment Surface'!$C$2='Data Validation'!$A$2,AZ33,IF('Adjustment Surface'!$C$2='Data Validation'!$A$3,AY33,"Unknown Option Type"))-IF('Adjustment Surface'!$C$2='Data Validation'!$A$2,AY33,IF('Adjustment Surface'!$C$2='Data Validation'!$A$3,AZ33,"Unknown Option Type")))/(BA33*SQRT(AW33)),0,1,TRUE)))+((BA33*SQRT(AW33))*(NORMDIST((IF('Adjustment Surface'!$C$2='Data Validation'!$A$2,AZ33,IF('Adjustment Surface'!$C$2='Data Validation'!$A$3,AY33,"Unknown Option Type"))-IF('Adjustment Surface'!$C$2='Data Validation'!$A$2,AY33,IF('Adjustment Surface'!$C$2='Data Validation'!$A$3,AZ33,"Unknown Option Type")))/(BA33*SQRT(AW33)),0,1,FALSE))))*BB33*(AV33/360)*AX33))</f>
        <v>5301.9471647947294</v>
      </c>
      <c r="BE33" s="15">
        <f>IF(AS33="","",SUM(BD$4:BD33))</f>
        <v>59485.305680311656</v>
      </c>
      <c r="BG33" s="15">
        <f>IF(AS33="","",IF(AT33&lt;'Rate &amp; Vol Update'!$C$2,0,((((((IF('Adjustment Surface'!$C$2='Data Validation'!$A$2,AZ33,IF('Adjustment Surface'!$C$2='Data Validation'!$A$3,AY33,"Unknown Option Type"))-IF('Adjustment Surface'!$C$2='Data Validation'!$A$2,AY33,IF('Adjustment Surface'!$C$2='Data Validation'!$A$3,AZ33,"Unknown Option Type")))*(NORMDIST((IF('Adjustment Surface'!$C$2='Data Validation'!$A$2,AZ33,IF('Adjustment Surface'!$C$2='Data Validation'!$A$3,AY33,"Unknown Option Type"))-IF('Adjustment Surface'!$C$2='Data Validation'!$A$2,AY33,IF('Adjustment Surface'!$C$2='Data Validation'!$A$3,AZ33,"Unknown Option Type")))/((BA33+0.01%)*SQRT(AW33)),0,1,TRUE)))+(((BA33+0.01%)*SQRT(AW33))*(NORMDIST((IF('Adjustment Surface'!$C$2='Data Validation'!$A$2,AZ33,IF('Adjustment Surface'!$C$2='Data Validation'!$A$3,AY33,"Unknown Option Type"))-IF('Adjustment Surface'!$C$2='Data Validation'!$A$2,AY33,IF('Adjustment Surface'!$C$2='Data Validation'!$A$3,AZ33,"Unknown Option Type")))/((BA33+0.01%)*SQRT(AW33)),0,1,FALSE))))*BB33*(AV33/360))-(BD33/AX33))*AX33)*BB33))</f>
        <v>102.91282146470282</v>
      </c>
      <c r="BH33" s="15">
        <f>IF(AS33="","",SUM(BG$4:BG33))</f>
        <v>1671.9143014700412</v>
      </c>
      <c r="BI33" s="15"/>
      <c r="BJ33" s="20"/>
      <c r="BK33" s="3">
        <v>30</v>
      </c>
      <c r="BL33" s="4">
        <f>IF(BM32=MAX('Adjustment Surface'!$C$14:$F$14),"",BM32)</f>
        <v>46945</v>
      </c>
      <c r="BM33" s="4">
        <f>IF(BL33="","",IF(BL33&lt;EDATE('Adjustment Surface'!$C$6,DATEDIF('Adjustment Surface'!$C$6,MAX('Adjustment Surface'!$C$14:$F$14),"M")),EDATE(BL$5,COUNT(BL$5:BL33)),IF(BL33=EDATE('Adjustment Surface'!$C$6,DATEDIF('Adjustment Surface'!$C$6,MAX('Adjustment Surface'!$C$14:$F$14),"M")),MAX('Adjustment Surface'!$C$14:$F$14),EDATE('Adjustment Surface'!$C$6,DATEDIF('Adjustment Surface'!$C$6,MAX('Adjustment Surface'!$C$14:$F$14),"M")))))</f>
        <v>46976</v>
      </c>
      <c r="BN33" s="3">
        <f t="shared" si="4"/>
        <v>31</v>
      </c>
      <c r="BO33" s="5">
        <f>IF(BK33="","",(BM33-'Rate &amp; Vol Update'!$C$2)/360)</f>
        <v>2.5333333333333332</v>
      </c>
      <c r="BP33" s="15">
        <f>IF(BK33="","",IF('Adjustment Surface'!$C$3='Data Validation'!$C$2,'Adjustment Surface'!$C$4,_xlfn.IFNA(IF(INDEX(Schedules!$E$3:$E$123,MATCH('Bachelier Model'!BL33,Schedules!$B$3:$B$123,0))="",BP32,INDEX(Schedules!$E$3:$E$123,MATCH('Bachelier Model'!BL33,Schedules!$B$3:$B$123,0))),BP32)))</f>
        <v>25000000</v>
      </c>
      <c r="BQ33" s="16">
        <f>IF(BK33="","",'Adjustment Surface'!B$17)</f>
        <v>0.05</v>
      </c>
      <c r="BR33" s="16" cm="1">
        <f t="array" ref="BR33">IF(BK33="","",FORECAST(BL33,INDEX('Rate &amp; Vol Update'!$C$6:$C$127,MATCH(INDEX('Rate &amp; Vol Update'!$B$6:$B$127,MATCH(BL33,'Rate &amp; Vol Update'!$B$6:$B$127,1)),'Rate &amp; Vol Update'!$B$6:$B$127,0)+IF('Adjustment Surface'!$C$11='Data Validation'!$E$3,-1,0)):INDEX('Rate &amp; Vol Update'!$C$6:$C$127,MATCH(INDEX('Rate &amp; Vol Update'!$B$6:$B$127,MATCH(BL33,'Rate &amp; Vol Update'!$B$6:$B$127,1)+1),'Rate &amp; Vol Update'!$B$6:$B$127,0)+IF('Adjustment Surface'!$C$11='Data Validation'!$E$3,-1,0)),INDEX('Rate &amp; Vol Update'!$B$6:$B$127,MATCH(BL33,'Rate &amp; Vol Update'!$B$6:$B$127,1)):INDEX('Rate &amp; Vol Update'!$B$6:$B$127,MATCH(BL33,'Rate &amp; Vol Update'!$B$6:$B$127,1)+1))/100)</f>
        <v>3.3567302194227322E-2</v>
      </c>
      <c r="BS33" s="16" cm="1">
        <f t="array" ref="BS33">IF(BK33="","",IF(BL33&lt;'Rate &amp; Vol Update'!$C$2,0.001%,(1/((INDEX('Rate &amp; Vol Update'!$E$6:$Z$6,1,MATCH(BQ33,'Rate &amp; Vol Update'!$E$6:$Z$6,1)+1)-INDEX('Rate &amp; Vol Update'!$E$6:$Z$6,1,MATCH(BQ33,'Rate &amp; Vol Update'!$E$6:$Z$6,1)))*(INDEX('Rate &amp; Vol Update'!$B$8:$B$127,MATCH(BL33,'Rate &amp; Vol Update'!$B$8:$B$127,1)+1)-INDEX('Rate &amp; Vol Update'!$B$8:$B$127,MATCH(BL33,'Rate &amp; Vol Update'!$B$8:$B$127,1))))*(INDEX('Rate &amp; Vol Update'!$E$8:$Z$127,MATCH(INDEX('Rate &amp; Vol Update'!$B$8:$B$127,MATCH(BL33,'Rate &amp; Vol Update'!$B$8:$B$127,1)),'Rate &amp; Vol Update'!$B$8:$B$127,0),MATCH(INDEX('Rate &amp; Vol Update'!$E$6:$Z$6,1,MATCH(BQ33,'Rate &amp; Vol Update'!$E$6:$Z$6,1)),'Rate &amp; Vol Update'!$E$6:$Z$6,0))*(INDEX('Rate &amp; Vol Update'!$E$6:$Z$6,1,MATCH(BQ33,'Rate &amp; Vol Update'!$E$6:$Z$6,1)+1)-BQ33)*(INDEX('Rate &amp; Vol Update'!$B$8:$B$127,MATCH(BL33,'Rate &amp; Vol Update'!$B$8:$B$127,1)+1)-BL33)+INDEX('Rate &amp; Vol Update'!$E$8:$Z$127,MATCH(INDEX('Rate &amp; Vol Update'!$B$8:$B$127,MATCH(BL33,'Rate &amp; Vol Update'!$B$8:$B$127,1)),'Rate &amp; Vol Update'!$B$8:$B$127,0),MATCH(INDEX('Rate &amp; Vol Update'!$E$6:$Z$6,1,MATCH(BQ33,'Rate &amp; Vol Update'!$E$6:$Z$6,1)+1),'Rate &amp; Vol Update'!$E$6:$Z$6,0))*(BQ33-INDEX('Rate &amp; Vol Update'!$E$6:$Z$6,1,MATCH(BQ33,'Rate &amp; Vol Update'!$E$6:$Z$6,1)))*(INDEX('Rate &amp; Vol Update'!$B$8:$B$127,MATCH(BL33,'Rate &amp; Vol Update'!$B$8:$B$127,1)+1)-BL33)+INDEX('Rate &amp; Vol Update'!$E$8:$Z$127,MATCH(INDEX('Rate &amp; Vol Update'!$B$8:$B$127,MATCH(BL33,'Rate &amp; Vol Update'!$B$8:$B$127,1)+1),'Rate &amp; Vol Update'!$B$8:$B$127,0),MATCH(INDEX('Rate &amp; Vol Update'!$E$6:$Z$6,1,MATCH(BQ33,'Rate &amp; Vol Update'!$E$6:$Z$6,1)),'Rate &amp; Vol Update'!$E$6:$Z$6,0))*(INDEX('Rate &amp; Vol Update'!$E$6:$Z$6,1,MATCH(BQ33,'Rate &amp; Vol Update'!$E$6:$Z$6,1)+1)-BQ33)*(BL33-INDEX('Rate &amp; Vol Update'!$B$8:$B$127,MATCH(BL33,'Rate &amp; Vol Update'!$B$8:$B$127,1)))+INDEX('Rate &amp; Vol Update'!$E$8:$Z$127,MATCH(INDEX('Rate &amp; Vol Update'!$B$8:$B$127,MATCH(BL33,'Rate &amp; Vol Update'!$B$8:$B$127,1)+1),'Rate &amp; Vol Update'!$B$8:$B$127,0),MATCH(INDEX('Rate &amp; Vol Update'!$E$6:$Z$6,1,MATCH(BQ33,'Rate &amp; Vol Update'!$E$6:$Z$6,1)+1),'Rate &amp; Vol Update'!$E$6:$Z$6,0))*(BQ33-INDEX('Rate &amp; Vol Update'!$E$6:$Z$6,1,MATCH(BQ33,'Rate &amp; Vol Update'!$E$6:$Z$6,1)))*(BL33-INDEX('Rate &amp; Vol Update'!$B$8:$B$127,MATCH(BL33,'Rate &amp; Vol Update'!$B$8:$B$127,1)))))*0.01%))</f>
        <v>9.5642942861108807E-3</v>
      </c>
      <c r="BT33" s="5">
        <f>IF(BK33="","",1/((1+BR33)^((BM33-'Rate &amp; Vol Update'!$C$2)/360)))</f>
        <v>0.91976131087485347</v>
      </c>
      <c r="BV33" s="15">
        <f>IF(BK33="","",IF(BL33&lt;'Rate &amp; Vol Update'!$C$2,MAX(0,BR33-BQ33)*(BN33/360)*BP33,(((IF('Adjustment Surface'!$C$2='Data Validation'!$A$2,BR33,IF('Adjustment Surface'!$C$2='Data Validation'!$A$3,BQ33,"Unknown Option Type"))-IF('Adjustment Surface'!$C$2='Data Validation'!$A$2,BQ33,IF('Adjustment Surface'!$C$2='Data Validation'!$A$3,BR33,"Unknown Option Type")))*(NORMDIST((IF('Adjustment Surface'!$C$2='Data Validation'!$A$2,BR33,IF('Adjustment Surface'!$C$2='Data Validation'!$A$3,BQ33,"Unknown Option Type"))-IF('Adjustment Surface'!$C$2='Data Validation'!$A$2,BQ33,IF('Adjustment Surface'!$C$2='Data Validation'!$A$3,BR33,"Unknown Option Type")))/(BS33*SQRT(BO33)),0,1,TRUE)))+((BS33*SQRT(BO33))*(NORMDIST((IF('Adjustment Surface'!$C$2='Data Validation'!$A$2,BR33,IF('Adjustment Surface'!$C$2='Data Validation'!$A$3,BQ33,"Unknown Option Type"))-IF('Adjustment Surface'!$C$2='Data Validation'!$A$2,BQ33,IF('Adjustment Surface'!$C$2='Data Validation'!$A$3,BR33,"Unknown Option Type")))/(BS33*SQRT(BO33)),0,1,FALSE))))*BT33*(BN33/360)*BP33))</f>
        <v>2153.691045524849</v>
      </c>
      <c r="BW33" s="15">
        <f>IF(BK33="","",SUM(BV$4:BV33))</f>
        <v>18356.26532314016</v>
      </c>
      <c r="BY33" s="15">
        <f>IF(BK33="","",IF(BL33&lt;'Rate &amp; Vol Update'!$C$2,0,((((((IF('Adjustment Surface'!$C$2='Data Validation'!$A$2,BR33,IF('Adjustment Surface'!$C$2='Data Validation'!$A$3,BQ33,"Unknown Option Type"))-IF('Adjustment Surface'!$C$2='Data Validation'!$A$2,BQ33,IF('Adjustment Surface'!$C$2='Data Validation'!$A$3,BR33,"Unknown Option Type")))*(NORMDIST((IF('Adjustment Surface'!$C$2='Data Validation'!$A$2,BR33,IF('Adjustment Surface'!$C$2='Data Validation'!$A$3,BQ33,"Unknown Option Type"))-IF('Adjustment Surface'!$C$2='Data Validation'!$A$2,BQ33,IF('Adjustment Surface'!$C$2='Data Validation'!$A$3,BR33,"Unknown Option Type")))/((BS33+0.01%)*SQRT(BO33)),0,1,TRUE)))+(((BS33+0.01%)*SQRT(BO33))*(NORMDIST((IF('Adjustment Surface'!$C$2='Data Validation'!$A$2,BR33,IF('Adjustment Surface'!$C$2='Data Validation'!$A$3,BQ33,"Unknown Option Type"))-IF('Adjustment Surface'!$C$2='Data Validation'!$A$2,BQ33,IF('Adjustment Surface'!$C$2='Data Validation'!$A$3,BR33,"Unknown Option Type")))/((BS33+0.01%)*SQRT(BO33)),0,1,FALSE))))*BT33*(BN33/360))-(BV33/BP33))*BP33)*BT33))</f>
        <v>64.967394283449309</v>
      </c>
      <c r="BZ33" s="15">
        <f>IF(BK33="","",SUM(BY$4:BY33))</f>
        <v>710.72630562052757</v>
      </c>
      <c r="CA33" s="15"/>
      <c r="CB33" s="20"/>
      <c r="CC33" s="3">
        <v>30</v>
      </c>
      <c r="CD33" s="4">
        <f>IF(CE32=MAX('Adjustment Surface'!$C$14:$F$14),"",CE32)</f>
        <v>46945</v>
      </c>
      <c r="CE33" s="4">
        <f>IF(CD33="","",IF(CD33&lt;EDATE('Adjustment Surface'!$C$6,DATEDIF('Adjustment Surface'!$C$6,MAX('Adjustment Surface'!$C$14:$F$14),"M")),EDATE(CD$5,COUNT(CD$5:CD33)),IF(CD33=EDATE('Adjustment Surface'!$C$6,DATEDIF('Adjustment Surface'!$C$6,MAX('Adjustment Surface'!$C$14:$F$14),"M")),MAX('Adjustment Surface'!$C$14:$F$14),EDATE('Adjustment Surface'!$C$6,DATEDIF('Adjustment Surface'!$C$6,MAX('Adjustment Surface'!$C$14:$F$14),"M")))))</f>
        <v>46976</v>
      </c>
      <c r="CF33" s="3">
        <f t="shared" si="5"/>
        <v>31</v>
      </c>
      <c r="CG33" s="5">
        <f>IF(CC33="","",(CE33-'Rate &amp; Vol Update'!$C$2)/360)</f>
        <v>2.5333333333333332</v>
      </c>
      <c r="CH33" s="15">
        <f>IF(CC33="","",IF('Adjustment Surface'!$C$3='Data Validation'!$C$2,'Adjustment Surface'!$C$4,_xlfn.IFNA(IF(INDEX(Schedules!$E$3:$E$123,MATCH('Bachelier Model'!CD33,Schedules!$B$3:$B$123,0))="",CH32,INDEX(Schedules!$E$3:$E$123,MATCH('Bachelier Model'!CD33,Schedules!$B$3:$B$123,0))),CH32)))</f>
        <v>25000000</v>
      </c>
      <c r="CI33" s="16">
        <f>IF(CC33="","",'Adjustment Surface'!B$18)</f>
        <v>0.06</v>
      </c>
      <c r="CJ33" s="16" cm="1">
        <f t="array" ref="CJ33">IF(CC33="","",FORECAST(CD33,INDEX('Rate &amp; Vol Update'!$C$6:$C$127,MATCH(INDEX('Rate &amp; Vol Update'!$B$6:$B$127,MATCH(CD33,'Rate &amp; Vol Update'!$B$6:$B$127,1)),'Rate &amp; Vol Update'!$B$6:$B$127,0)+IF('Adjustment Surface'!$C$11='Data Validation'!$E$3,-1,0)):INDEX('Rate &amp; Vol Update'!$C$6:$C$127,MATCH(INDEX('Rate &amp; Vol Update'!$B$6:$B$127,MATCH(CD33,'Rate &amp; Vol Update'!$B$6:$B$127,1)+1),'Rate &amp; Vol Update'!$B$6:$B$127,0)+IF('Adjustment Surface'!$C$11='Data Validation'!$E$3,-1,0)),INDEX('Rate &amp; Vol Update'!$B$6:$B$127,MATCH(CD33,'Rate &amp; Vol Update'!$B$6:$B$127,1)):INDEX('Rate &amp; Vol Update'!$B$6:$B$127,MATCH(CD33,'Rate &amp; Vol Update'!$B$6:$B$127,1)+1))/100)</f>
        <v>3.3567302194227322E-2</v>
      </c>
      <c r="CK33" s="16" cm="1">
        <f t="array" ref="CK33">IF(CC33="","",IF(CD33&lt;'Rate &amp; Vol Update'!$C$2,0.001%,(1/((INDEX('Rate &amp; Vol Update'!$E$6:$Z$6,1,MATCH(CI33,'Rate &amp; Vol Update'!$E$6:$Z$6,1)+1)-INDEX('Rate &amp; Vol Update'!$E$6:$Z$6,1,MATCH(CI33,'Rate &amp; Vol Update'!$E$6:$Z$6,1)))*(INDEX('Rate &amp; Vol Update'!$B$8:$B$127,MATCH(CD33,'Rate &amp; Vol Update'!$B$8:$B$127,1)+1)-INDEX('Rate &amp; Vol Update'!$B$8:$B$127,MATCH(CD33,'Rate &amp; Vol Update'!$B$8:$B$127,1))))*(INDEX('Rate &amp; Vol Update'!$E$8:$Z$127,MATCH(INDEX('Rate &amp; Vol Update'!$B$8:$B$127,MATCH(CD33,'Rate &amp; Vol Update'!$B$8:$B$127,1)),'Rate &amp; Vol Update'!$B$8:$B$127,0),MATCH(INDEX('Rate &amp; Vol Update'!$E$6:$Z$6,1,MATCH(CI33,'Rate &amp; Vol Update'!$E$6:$Z$6,1)),'Rate &amp; Vol Update'!$E$6:$Z$6,0))*(INDEX('Rate &amp; Vol Update'!$E$6:$Z$6,1,MATCH(CI33,'Rate &amp; Vol Update'!$E$6:$Z$6,1)+1)-CI33)*(INDEX('Rate &amp; Vol Update'!$B$8:$B$127,MATCH(CD33,'Rate &amp; Vol Update'!$B$8:$B$127,1)+1)-CD33)+INDEX('Rate &amp; Vol Update'!$E$8:$Z$127,MATCH(INDEX('Rate &amp; Vol Update'!$B$8:$B$127,MATCH(CD33,'Rate &amp; Vol Update'!$B$8:$B$127,1)),'Rate &amp; Vol Update'!$B$8:$B$127,0),MATCH(INDEX('Rate &amp; Vol Update'!$E$6:$Z$6,1,MATCH(CI33,'Rate &amp; Vol Update'!$E$6:$Z$6,1)+1),'Rate &amp; Vol Update'!$E$6:$Z$6,0))*(CI33-INDEX('Rate &amp; Vol Update'!$E$6:$Z$6,1,MATCH(CI33,'Rate &amp; Vol Update'!$E$6:$Z$6,1)))*(INDEX('Rate &amp; Vol Update'!$B$8:$B$127,MATCH(CD33,'Rate &amp; Vol Update'!$B$8:$B$127,1)+1)-CD33)+INDEX('Rate &amp; Vol Update'!$E$8:$Z$127,MATCH(INDEX('Rate &amp; Vol Update'!$B$8:$B$127,MATCH(CD33,'Rate &amp; Vol Update'!$B$8:$B$127,1)+1),'Rate &amp; Vol Update'!$B$8:$B$127,0),MATCH(INDEX('Rate &amp; Vol Update'!$E$6:$Z$6,1,MATCH(CI33,'Rate &amp; Vol Update'!$E$6:$Z$6,1)),'Rate &amp; Vol Update'!$E$6:$Z$6,0))*(INDEX('Rate &amp; Vol Update'!$E$6:$Z$6,1,MATCH(CI33,'Rate &amp; Vol Update'!$E$6:$Z$6,1)+1)-CI33)*(CD33-INDEX('Rate &amp; Vol Update'!$B$8:$B$127,MATCH(CD33,'Rate &amp; Vol Update'!$B$8:$B$127,1)))+INDEX('Rate &amp; Vol Update'!$E$8:$Z$127,MATCH(INDEX('Rate &amp; Vol Update'!$B$8:$B$127,MATCH(CD33,'Rate &amp; Vol Update'!$B$8:$B$127,1)+1),'Rate &amp; Vol Update'!$B$8:$B$127,0),MATCH(INDEX('Rate &amp; Vol Update'!$E$6:$Z$6,1,MATCH(CI33,'Rate &amp; Vol Update'!$E$6:$Z$6,1)+1),'Rate &amp; Vol Update'!$E$6:$Z$6,0))*(CI33-INDEX('Rate &amp; Vol Update'!$E$6:$Z$6,1,MATCH(CI33,'Rate &amp; Vol Update'!$E$6:$Z$6,1)))*(CD33-INDEX('Rate &amp; Vol Update'!$B$8:$B$127,MATCH(CD33,'Rate &amp; Vol Update'!$B$8:$B$127,1)))))*0.01%))</f>
        <v>1.1208356525618645E-2</v>
      </c>
      <c r="CL33" s="5">
        <f>IF(CC33="","",1/((1+CJ33)^((CE33-'Rate &amp; Vol Update'!$C$2)/360)))</f>
        <v>0.91976131087485347</v>
      </c>
      <c r="CN33" s="15">
        <f>IF(CC33="","",IF(CD33&lt;'Rate &amp; Vol Update'!$C$2,MAX(0,CJ33-CI33)*(CF33/360)*CH33,(((IF('Adjustment Surface'!$C$2='Data Validation'!$A$2,CJ33,IF('Adjustment Surface'!$C$2='Data Validation'!$A$3,CI33,"Unknown Option Type"))-IF('Adjustment Surface'!$C$2='Data Validation'!$A$2,CI33,IF('Adjustment Surface'!$C$2='Data Validation'!$A$3,CJ33,"Unknown Option Type")))*(NORMDIST((IF('Adjustment Surface'!$C$2='Data Validation'!$A$2,CJ33,IF('Adjustment Surface'!$C$2='Data Validation'!$A$3,CI33,"Unknown Option Type"))-IF('Adjustment Surface'!$C$2='Data Validation'!$A$2,CI33,IF('Adjustment Surface'!$C$2='Data Validation'!$A$3,CJ33,"Unknown Option Type")))/(CK33*SQRT(CG33)),0,1,TRUE)))+((CK33*SQRT(CG33))*(NORMDIST((IF('Adjustment Surface'!$C$2='Data Validation'!$A$2,CJ33,IF('Adjustment Surface'!$C$2='Data Validation'!$A$3,CI33,"Unknown Option Type"))-IF('Adjustment Surface'!$C$2='Data Validation'!$A$2,CI33,IF('Adjustment Surface'!$C$2='Data Validation'!$A$3,CJ33,"Unknown Option Type")))/(CK33*SQRT(CG33)),0,1,FALSE))))*CL33*(CF33/360)*CH33))</f>
        <v>1079.2314694047188</v>
      </c>
      <c r="CO33" s="15">
        <f>IF(CC33="","",SUM(CN$4:CN33))</f>
        <v>8255.5562228327071</v>
      </c>
      <c r="CQ33" s="15">
        <f>IF(CC33="","",IF(CD33&lt;'Rate &amp; Vol Update'!$C$2,0,((((((IF('Adjustment Surface'!$C$2='Data Validation'!$A$2,CJ33,IF('Adjustment Surface'!$C$2='Data Validation'!$A$3,CI33,"Unknown Option Type"))-IF('Adjustment Surface'!$C$2='Data Validation'!$A$2,CI33,IF('Adjustment Surface'!$C$2='Data Validation'!$A$3,CJ33,"Unknown Option Type")))*(NORMDIST((IF('Adjustment Surface'!$C$2='Data Validation'!$A$2,CJ33,IF('Adjustment Surface'!$C$2='Data Validation'!$A$3,CI33,"Unknown Option Type"))-IF('Adjustment Surface'!$C$2='Data Validation'!$A$2,CI33,IF('Adjustment Surface'!$C$2='Data Validation'!$A$3,CJ33,"Unknown Option Type")))/((CK33+0.01%)*SQRT(CG33)),0,1,TRUE)))+(((CK33+0.01%)*SQRT(CG33))*(NORMDIST((IF('Adjustment Surface'!$C$2='Data Validation'!$A$2,CJ33,IF('Adjustment Surface'!$C$2='Data Validation'!$A$3,CI33,"Unknown Option Type"))-IF('Adjustment Surface'!$C$2='Data Validation'!$A$2,CI33,IF('Adjustment Surface'!$C$2='Data Validation'!$A$3,CJ33,"Unknown Option Type")))/((CK33+0.01%)*SQRT(CG33)),0,1,FALSE))))*CL33*(CF33/360))-(CN33/CH33))*CH33)*CL33))</f>
        <v>38.959251255230242</v>
      </c>
      <c r="CR33" s="15">
        <f>IF(CC33="","",SUM(CQ$4:CQ33))</f>
        <v>362.07650550130649</v>
      </c>
    </row>
    <row r="34" spans="7:96" x14ac:dyDescent="0.25">
      <c r="G34" s="28"/>
      <c r="I34" s="3">
        <v>31</v>
      </c>
      <c r="J34" s="4">
        <f>IF(K33='Adjustment Surface'!C$8,"",K33)</f>
        <v>46976</v>
      </c>
      <c r="K34" s="4">
        <f>IF(J34="","",IF(J34&lt;'Adjustment Surface'!C$7,EDATE(J$5,COUNT(J$5:J34)),IF(J34='Adjustment Surface'!C$7,'Adjustment Surface'!C$8,'Adjustment Surface'!C$7)))</f>
        <v>47007</v>
      </c>
      <c r="L34" s="3">
        <f t="shared" si="1"/>
        <v>31</v>
      </c>
      <c r="M34" s="5">
        <f>IF(I34="","",(K34-'Rate &amp; Vol Update'!$C$2)/360)</f>
        <v>2.6194444444444445</v>
      </c>
      <c r="N34" s="15">
        <f>IF(I34="","",IF('Adjustment Surface'!C$3='Data Validation'!$C$2,'Adjustment Surface'!C$4,IF(INDEX(Schedules!$E$3:$E$123,MATCH('Bachelier Model'!J34,Schedules!$B$3:$B$123,0))="",N33,INDEX(Schedules!$E$3:$E$123,MATCH('Bachelier Model'!J34,Schedules!$B$3:$B$123,0)))))</f>
        <v>25000000</v>
      </c>
      <c r="O34" s="16">
        <f>IF(I34="","",IF('Adjustment Surface'!C$9='Data Validation'!$D$2,'Adjustment Surface'!C$10,IF(INDEX(Schedules!$H$3:$H$123,MATCH('Bachelier Model'!J34,Schedules!$B$3:$B$123,0))="",O33,INDEX(Schedules!$H$3:$H$123,MATCH('Bachelier Model'!J34,Schedules!$B$3:$B$123,0)))))</f>
        <v>0.02</v>
      </c>
      <c r="P34" s="16" cm="1">
        <f t="array" ref="P34">IF(I34="","",FORECAST(J34,INDEX('Rate &amp; Vol Update'!$C$6:$C$127,MATCH(INDEX('Rate &amp; Vol Update'!$B$6:$B$127,MATCH(J34,'Rate &amp; Vol Update'!$B$6:$B$127,1)),'Rate &amp; Vol Update'!$B$6:$B$127,0)+IF('Adjustment Surface'!C$11='Data Validation'!$E$3,-1,0)):INDEX('Rate &amp; Vol Update'!$C$6:$C$127,MATCH(INDEX('Rate &amp; Vol Update'!$B$6:$B$127,MATCH(J34,'Rate &amp; Vol Update'!$B$6:$B$127,1)+1),'Rate &amp; Vol Update'!$B$6:$B$127,0)+IF('Adjustment Surface'!C$11='Data Validation'!$E$3,-1,0)),INDEX('Rate &amp; Vol Update'!$B$6:$B$127,MATCH(J34,'Rate &amp; Vol Update'!$B$6:$B$127,1)):INDEX('Rate &amp; Vol Update'!$B$6:$B$127,MATCH(J34,'Rate &amp; Vol Update'!$B$6:$B$127,1)+1))/100)</f>
        <v>3.3565738847226759E-2</v>
      </c>
      <c r="Q34" s="16" cm="1">
        <f t="array" ref="Q34">IF(I34="","",IF(J34&lt;'Rate &amp; Vol Update'!$C$2,0.001%,(1/((INDEX('Rate &amp; Vol Update'!$E$6:$Z$6,1,MATCH(O34,'Rate &amp; Vol Update'!$E$6:$Z$6,1)+1)-INDEX('Rate &amp; Vol Update'!$E$6:$Z$6,1,MATCH(O34,'Rate &amp; Vol Update'!$E$6:$Z$6,1)))*(INDEX('Rate &amp; Vol Update'!$B$8:$B$127,MATCH(J34,'Rate &amp; Vol Update'!$B$8:$B$127,1)+1)-INDEX('Rate &amp; Vol Update'!$B$8:$B$127,MATCH(J34,'Rate &amp; Vol Update'!$B$8:$B$127,1))))*(INDEX('Rate &amp; Vol Update'!$E$8:$Z$127,MATCH(INDEX('Rate &amp; Vol Update'!$B$8:$B$127,MATCH(J34,'Rate &amp; Vol Update'!$B$8:$B$127,1)),'Rate &amp; Vol Update'!$B$8:$B$127,0),MATCH(INDEX('Rate &amp; Vol Update'!$E$6:$Z$6,1,MATCH(O34,'Rate &amp; Vol Update'!$E$6:$Z$6,1)),'Rate &amp; Vol Update'!$E$6:$Z$6,0))*(INDEX('Rate &amp; Vol Update'!$E$6:$Z$6,1,MATCH(O34,'Rate &amp; Vol Update'!$E$6:$Z$6,1)+1)-O34)*(INDEX('Rate &amp; Vol Update'!$B$8:$B$127,MATCH(J34,'Rate &amp; Vol Update'!$B$8:$B$127,1)+1)-J34)+INDEX('Rate &amp; Vol Update'!$E$8:$Z$127,MATCH(INDEX('Rate &amp; Vol Update'!$B$8:$B$127,MATCH(J34,'Rate &amp; Vol Update'!$B$8:$B$127,1)),'Rate &amp; Vol Update'!$B$8:$B$127,0),MATCH(INDEX('Rate &amp; Vol Update'!$E$6:$Z$6,1,MATCH(O34,'Rate &amp; Vol Update'!$E$6:$Z$6,1)+1),'Rate &amp; Vol Update'!$E$6:$Z$6,0))*(O34-INDEX('Rate &amp; Vol Update'!$E$6:$Z$6,1,MATCH(O34,'Rate &amp; Vol Update'!$E$6:$Z$6,1)))*(INDEX('Rate &amp; Vol Update'!$B$8:$B$127,MATCH(J34,'Rate &amp; Vol Update'!$B$8:$B$127,1)+1)-J34)+INDEX('Rate &amp; Vol Update'!$E$8:$Z$127,MATCH(INDEX('Rate &amp; Vol Update'!$B$8:$B$127,MATCH(J34,'Rate &amp; Vol Update'!$B$8:$B$127,1)+1),'Rate &amp; Vol Update'!$B$8:$B$127,0),MATCH(INDEX('Rate &amp; Vol Update'!$E$6:$Z$6,1,MATCH(O34,'Rate &amp; Vol Update'!$E$6:$Z$6,1)),'Rate &amp; Vol Update'!$E$6:$Z$6,0))*(INDEX('Rate &amp; Vol Update'!$E$6:$Z$6,1,MATCH(O34,'Rate &amp; Vol Update'!$E$6:$Z$6,1)+1)-O34)*(J34-INDEX('Rate &amp; Vol Update'!$B$8:$B$127,MATCH(J34,'Rate &amp; Vol Update'!$B$8:$B$127,1)))+INDEX('Rate &amp; Vol Update'!$E$8:$Z$127,MATCH(INDEX('Rate &amp; Vol Update'!$B$8:$B$127,MATCH(J34,'Rate &amp; Vol Update'!$B$8:$B$127,1)+1),'Rate &amp; Vol Update'!$B$8:$B$127,0),MATCH(INDEX('Rate &amp; Vol Update'!$E$6:$Z$6,1,MATCH(O34,'Rate &amp; Vol Update'!$E$6:$Z$6,1)+1),'Rate &amp; Vol Update'!$E$6:$Z$6,0))*(O34-INDEX('Rate &amp; Vol Update'!$E$6:$Z$6,1,MATCH(O34,'Rate &amp; Vol Update'!$E$6:$Z$6,1)))*(J34-INDEX('Rate &amp; Vol Update'!$B$8:$B$127,MATCH(J34,'Rate &amp; Vol Update'!$B$8:$B$127,1)))))*0.01%))</f>
        <v>9.0771246895999351E-3</v>
      </c>
      <c r="R34" s="5">
        <f>IF(I34="","",1/((1+P34)^((K34-'Rate &amp; Vol Update'!$C$2)/360)))</f>
        <v>0.91715371882320007</v>
      </c>
      <c r="T34" s="15">
        <f>IF(I34="","",IF(J34&lt;'Rate &amp; Vol Update'!$C$2,MAX(0,P34-O34)*(L34/360)*N34,(((IF('Adjustment Surface'!C$2='Data Validation'!$A$2,P34,IF('Adjustment Surface'!C$2='Data Validation'!$A$3,O34,"Unknown Option Type"))-IF('Adjustment Surface'!C$2='Data Validation'!$A$2,O34,IF('Adjustment Surface'!C$2='Data Validation'!$A$3,P34,"Unknown Option Type")))*(NORMDIST((IF('Adjustment Surface'!C$2='Data Validation'!$A$2,P34,IF('Adjustment Surface'!C$2='Data Validation'!$A$3,O34,"Unknown Option Type"))-IF('Adjustment Surface'!C$2='Data Validation'!$A$2,O34,IF('Adjustment Surface'!C$2='Data Validation'!$A$3,P34,"Unknown Option Type")))/(Q34*SQRT(M34)),0,1,TRUE)))+((Q34*SQRT(M34))*(NORMDIST((IF('Adjustment Surface'!C$2='Data Validation'!$A$2,P34,IF('Adjustment Surface'!C$2='Data Validation'!$A$3,O34,"Unknown Option Type"))-IF('Adjustment Surface'!C$2='Data Validation'!$A$2,O34,IF('Adjustment Surface'!C$2='Data Validation'!$A$3,P34,"Unknown Option Type")))/(Q34*SQRT(M34)),0,1,FALSE))))*R34*(L34/360)*N34))</f>
        <v>29574.884831389725</v>
      </c>
      <c r="U34" s="15">
        <f>IF(I34="","",SUM(T$4:T34))</f>
        <v>869860.53904219111</v>
      </c>
      <c r="W34" s="15">
        <f>IF(I34="","",IF(J34&lt;'Rate &amp; Vol Update'!$C$2,0,((((((IF('Adjustment Surface'!C$2='Data Validation'!$A$2,P34,IF('Adjustment Surface'!C$2='Data Validation'!$A$3,O34,"Unknown Option Type"))-IF('Adjustment Surface'!C$2='Data Validation'!$A$2,O34,IF('Adjustment Surface'!C$2='Data Validation'!$A$3,P34,"Unknown Option Type")))*(NORMDIST((IF('Adjustment Surface'!C$2='Data Validation'!$A$2,P34,IF('Adjustment Surface'!C$2='Data Validation'!$A$3,O34,"Unknown Option Type"))-IF('Adjustment Surface'!C$2='Data Validation'!$A$2,O34,IF('Adjustment Surface'!C$2='Data Validation'!$A$3,P34,"Unknown Option Type")))/((Q34+0.01%)*SQRT(M34)),0,1,TRUE)))+(((Q34+0.01%)*SQRT(M34))*(NORMDIST((IF('Adjustment Surface'!C$2='Data Validation'!$A$2,P34,IF('Adjustment Surface'!C$2='Data Validation'!$A$3,O34,"Unknown Option Type"))-IF('Adjustment Surface'!C$2='Data Validation'!$A$2,O34,IF('Adjustment Surface'!C$2='Data Validation'!$A$3,P34,"Unknown Option Type")))/((Q34+0.01%)*SQRT(M34)),0,1,FALSE))))*R34*(L34/360))-(T34/N34))*N34)*R34))</f>
        <v>76.694152060555851</v>
      </c>
      <c r="X34" s="15">
        <f>IF(I34="","",SUM(W$4:W34))</f>
        <v>1318.7628715613691</v>
      </c>
      <c r="Y34" s="15"/>
      <c r="Z34" s="20"/>
      <c r="AA34" s="3">
        <v>31</v>
      </c>
      <c r="AB34" s="4">
        <f>IF(AC33=MAX('Adjustment Surface'!$C$14:$F$14),"",AC33)</f>
        <v>46976</v>
      </c>
      <c r="AC34" s="4">
        <f>IF(AB34="","",IF(AB34&lt;EDATE('Adjustment Surface'!$C$6,DATEDIF('Adjustment Surface'!$C$6,MAX('Adjustment Surface'!$C$14:$F$14),"M")),EDATE(AB$5,COUNT(AB$5:AB34)),IF(AB34=EDATE('Adjustment Surface'!$C$6,DATEDIF('Adjustment Surface'!$C$6,MAX('Adjustment Surface'!$C$14:$F$14),"M")),MAX('Adjustment Surface'!$C$14:$F$14),EDATE('Adjustment Surface'!$C$6,DATEDIF('Adjustment Surface'!$C$6,MAX('Adjustment Surface'!$C$14:$F$14),"M")))))</f>
        <v>47007</v>
      </c>
      <c r="AD34" s="3">
        <f t="shared" si="2"/>
        <v>31</v>
      </c>
      <c r="AE34" s="5">
        <f>IF(AA34="","",(AC34-'Rate &amp; Vol Update'!$C$2)/360)</f>
        <v>2.6194444444444445</v>
      </c>
      <c r="AF34" s="15">
        <f>IF(AA34="","",IF('Adjustment Surface'!$C$3='Data Validation'!$C$2,'Adjustment Surface'!$C$4,_xlfn.IFNA(IF(INDEX(Schedules!$E$3:$E$123,MATCH('Bachelier Model'!AB34,Schedules!$B$3:$B$123,0))="",AF33,INDEX(Schedules!$E$3:$E$123,MATCH('Bachelier Model'!AB34,Schedules!$B$3:$B$123,0))),AF33)))</f>
        <v>25000000</v>
      </c>
      <c r="AG34" s="16">
        <f>IF(AA34="","",'Adjustment Surface'!B$15)</f>
        <v>0.03</v>
      </c>
      <c r="AH34" s="16" cm="1">
        <f t="array" ref="AH34">IF(AA34="","",FORECAST(AB34,INDEX('Rate &amp; Vol Update'!$C$6:$C$127,MATCH(INDEX('Rate &amp; Vol Update'!$B$6:$B$127,MATCH(AB34,'Rate &amp; Vol Update'!$B$6:$B$127,1)),'Rate &amp; Vol Update'!$B$6:$B$127,0)+IF('Adjustment Surface'!$C$11='Data Validation'!$E$3,-1,0)):INDEX('Rate &amp; Vol Update'!$C$6:$C$127,MATCH(INDEX('Rate &amp; Vol Update'!$B$6:$B$127,MATCH(AB34,'Rate &amp; Vol Update'!$B$6:$B$127,1)+1),'Rate &amp; Vol Update'!$B$6:$B$127,0)+IF('Adjustment Surface'!$C$11='Data Validation'!$E$3,-1,0)),INDEX('Rate &amp; Vol Update'!$B$6:$B$127,MATCH(AB34,'Rate &amp; Vol Update'!$B$6:$B$127,1)):INDEX('Rate &amp; Vol Update'!$B$6:$B$127,MATCH(AB34,'Rate &amp; Vol Update'!$B$6:$B$127,1)+1))/100)</f>
        <v>3.3565738847226759E-2</v>
      </c>
      <c r="AI34" s="16" cm="1">
        <f t="array" ref="AI34">IF(AA34="","",IF(AB34&lt;'Rate &amp; Vol Update'!$C$2,0.001%,(1/((INDEX('Rate &amp; Vol Update'!$E$6:$Z$6,1,MATCH(AG34,'Rate &amp; Vol Update'!$E$6:$Z$6,1)+1)-INDEX('Rate &amp; Vol Update'!$E$6:$Z$6,1,MATCH(AG34,'Rate &amp; Vol Update'!$E$6:$Z$6,1)))*(INDEX('Rate &amp; Vol Update'!$B$8:$B$127,MATCH(AB34,'Rate &amp; Vol Update'!$B$8:$B$127,1)+1)-INDEX('Rate &amp; Vol Update'!$B$8:$B$127,MATCH(AB34,'Rate &amp; Vol Update'!$B$8:$B$127,1))))*(INDEX('Rate &amp; Vol Update'!$E$8:$Z$127,MATCH(INDEX('Rate &amp; Vol Update'!$B$8:$B$127,MATCH(AB34,'Rate &amp; Vol Update'!$B$8:$B$127,1)),'Rate &amp; Vol Update'!$B$8:$B$127,0),MATCH(INDEX('Rate &amp; Vol Update'!$E$6:$Z$6,1,MATCH(AG34,'Rate &amp; Vol Update'!$E$6:$Z$6,1)),'Rate &amp; Vol Update'!$E$6:$Z$6,0))*(INDEX('Rate &amp; Vol Update'!$E$6:$Z$6,1,MATCH(AG34,'Rate &amp; Vol Update'!$E$6:$Z$6,1)+1)-AG34)*(INDEX('Rate &amp; Vol Update'!$B$8:$B$127,MATCH(AB34,'Rate &amp; Vol Update'!$B$8:$B$127,1)+1)-AB34)+INDEX('Rate &amp; Vol Update'!$E$8:$Z$127,MATCH(INDEX('Rate &amp; Vol Update'!$B$8:$B$127,MATCH(AB34,'Rate &amp; Vol Update'!$B$8:$B$127,1)),'Rate &amp; Vol Update'!$B$8:$B$127,0),MATCH(INDEX('Rate &amp; Vol Update'!$E$6:$Z$6,1,MATCH(AG34,'Rate &amp; Vol Update'!$E$6:$Z$6,1)+1),'Rate &amp; Vol Update'!$E$6:$Z$6,0))*(AG34-INDEX('Rate &amp; Vol Update'!$E$6:$Z$6,1,MATCH(AG34,'Rate &amp; Vol Update'!$E$6:$Z$6,1)))*(INDEX('Rate &amp; Vol Update'!$B$8:$B$127,MATCH(AB34,'Rate &amp; Vol Update'!$B$8:$B$127,1)+1)-AB34)+INDEX('Rate &amp; Vol Update'!$E$8:$Z$127,MATCH(INDEX('Rate &amp; Vol Update'!$B$8:$B$127,MATCH(AB34,'Rate &amp; Vol Update'!$B$8:$B$127,1)+1),'Rate &amp; Vol Update'!$B$8:$B$127,0),MATCH(INDEX('Rate &amp; Vol Update'!$E$6:$Z$6,1,MATCH(AG34,'Rate &amp; Vol Update'!$E$6:$Z$6,1)),'Rate &amp; Vol Update'!$E$6:$Z$6,0))*(INDEX('Rate &amp; Vol Update'!$E$6:$Z$6,1,MATCH(AG34,'Rate &amp; Vol Update'!$E$6:$Z$6,1)+1)-AG34)*(AB34-INDEX('Rate &amp; Vol Update'!$B$8:$B$127,MATCH(AB34,'Rate &amp; Vol Update'!$B$8:$B$127,1)))+INDEX('Rate &amp; Vol Update'!$E$8:$Z$127,MATCH(INDEX('Rate &amp; Vol Update'!$B$8:$B$127,MATCH(AB34,'Rate &amp; Vol Update'!$B$8:$B$127,1)+1),'Rate &amp; Vol Update'!$B$8:$B$127,0),MATCH(INDEX('Rate &amp; Vol Update'!$E$6:$Z$6,1,MATCH(AG34,'Rate &amp; Vol Update'!$E$6:$Z$6,1)+1),'Rate &amp; Vol Update'!$E$6:$Z$6,0))*(AG34-INDEX('Rate &amp; Vol Update'!$E$6:$Z$6,1,MATCH(AG34,'Rate &amp; Vol Update'!$E$6:$Z$6,1)))*(AB34-INDEX('Rate &amp; Vol Update'!$B$8:$B$127,MATCH(AB34,'Rate &amp; Vol Update'!$B$8:$B$127,1)))))*0.01%))</f>
        <v>8.1651811293182251E-3</v>
      </c>
      <c r="AJ34" s="5">
        <f>IF(AA34="","",1/((1+AH34)^((AC34-'Rate &amp; Vol Update'!$C$2)/360)))</f>
        <v>0.91715371882320007</v>
      </c>
      <c r="AL34" s="15">
        <f>IF(AA34="","",IF(AB34&lt;'Rate &amp; Vol Update'!$C$2,MAX(0,AH34-AG34)*(AD34/360)*AF34,(((IF('Adjustment Surface'!$C$2='Data Validation'!$A$2,AH34,IF('Adjustment Surface'!$C$2='Data Validation'!$A$3,AG34,"Unknown Option Type"))-IF('Adjustment Surface'!$C$2='Data Validation'!$A$2,AG34,IF('Adjustment Surface'!$C$2='Data Validation'!$A$3,AH34,"Unknown Option Type")))*(NORMDIST((IF('Adjustment Surface'!$C$2='Data Validation'!$A$2,AH34,IF('Adjustment Surface'!$C$2='Data Validation'!$A$3,AG34,"Unknown Option Type"))-IF('Adjustment Surface'!$C$2='Data Validation'!$A$2,AG34,IF('Adjustment Surface'!$C$2='Data Validation'!$A$3,AH34,"Unknown Option Type")))/(AI34*SQRT(AE34)),0,1,TRUE)))+((AI34*SQRT(AE34))*(NORMDIST((IF('Adjustment Surface'!$C$2='Data Validation'!$A$2,AH34,IF('Adjustment Surface'!$C$2='Data Validation'!$A$3,AG34,"Unknown Option Type"))-IF('Adjustment Surface'!$C$2='Data Validation'!$A$2,AG34,IF('Adjustment Surface'!$C$2='Data Validation'!$A$3,AH34,"Unknown Option Type")))/(AI34*SQRT(AE34)),0,1,FALSE))))*AJ34*(AD34/360)*AF34))</f>
        <v>14306.094478636132</v>
      </c>
      <c r="AM34" s="15">
        <f>IF(AA34="","",SUM(AL$4:AL34))</f>
        <v>338491.64737430279</v>
      </c>
      <c r="AO34" s="15">
        <f>IF(AA34="","",IF(AB34&lt;'Rate &amp; Vol Update'!$C$2,0,((((((IF('Adjustment Surface'!$C$2='Data Validation'!$A$2,AH34,IF('Adjustment Surface'!$C$2='Data Validation'!$A$3,AG34,"Unknown Option Type"))-IF('Adjustment Surface'!$C$2='Data Validation'!$A$2,AG34,IF('Adjustment Surface'!$C$2='Data Validation'!$A$3,AH34,"Unknown Option Type")))*(NORMDIST((IF('Adjustment Surface'!$C$2='Data Validation'!$A$2,AH34,IF('Adjustment Surface'!$C$2='Data Validation'!$A$3,AG34,"Unknown Option Type"))-IF('Adjustment Surface'!$C$2='Data Validation'!$A$2,AG34,IF('Adjustment Surface'!$C$2='Data Validation'!$A$3,AH34,"Unknown Option Type")))/((AI34+0.01%)*SQRT(AE34)),0,1,TRUE)))+(((AI34+0.01%)*SQRT(AE34))*(NORMDIST((IF('Adjustment Surface'!$C$2='Data Validation'!$A$2,AH34,IF('Adjustment Surface'!$C$2='Data Validation'!$A$3,AG34,"Unknown Option Type"))-IF('Adjustment Surface'!$C$2='Data Validation'!$A$2,AG34,IF('Adjustment Surface'!$C$2='Data Validation'!$A$3,AH34,"Unknown Option Type")))/((AI34+0.01%)*SQRT(AE34)),0,1,FALSE))))*AJ34*(AD34/360))-(AL34/AF34))*AF34)*AJ34))</f>
        <v>112.79247320908951</v>
      </c>
      <c r="AP34" s="15">
        <f>IF(AA34="","",SUM(AO$4:AO34))</f>
        <v>2352.4753785586804</v>
      </c>
      <c r="AQ34" s="15"/>
      <c r="AR34" s="20"/>
      <c r="AS34" s="3">
        <v>31</v>
      </c>
      <c r="AT34" s="4">
        <f>IF(AU33=MAX('Adjustment Surface'!$C$14:$F$14),"",AU33)</f>
        <v>46976</v>
      </c>
      <c r="AU34" s="4">
        <f>IF(AT34="","",IF(AT34&lt;EDATE('Adjustment Surface'!$C$6,DATEDIF('Adjustment Surface'!$C$6,MAX('Adjustment Surface'!$C$14:$F$14),"M")),EDATE(AT$5,COUNT(AT$5:AT34)),IF(AT34=EDATE('Adjustment Surface'!$C$6,DATEDIF('Adjustment Surface'!$C$6,MAX('Adjustment Surface'!$C$14:$F$14),"M")),MAX('Adjustment Surface'!$C$14:$F$14),EDATE('Adjustment Surface'!$C$6,DATEDIF('Adjustment Surface'!$C$6,MAX('Adjustment Surface'!$C$14:$F$14),"M")))))</f>
        <v>47007</v>
      </c>
      <c r="AV34" s="3">
        <f t="shared" si="3"/>
        <v>31</v>
      </c>
      <c r="AW34" s="5">
        <f>IF(AS34="","",(AU34-'Rate &amp; Vol Update'!$C$2)/360)</f>
        <v>2.6194444444444445</v>
      </c>
      <c r="AX34" s="15">
        <f>IF(AS34="","",IF('Adjustment Surface'!$C$3='Data Validation'!$C$2,'Adjustment Surface'!$C$4,_xlfn.IFNA(IF(INDEX(Schedules!$E$3:$E$123,MATCH('Bachelier Model'!AT34,Schedules!$B$3:$B$123,0))="",AX33,INDEX(Schedules!$E$3:$E$123,MATCH('Bachelier Model'!AT34,Schedules!$B$3:$B$123,0))),AX33)))</f>
        <v>25000000</v>
      </c>
      <c r="AY34" s="16">
        <f>IF(AS34="","",'Adjustment Surface'!B$16)</f>
        <v>0.04</v>
      </c>
      <c r="AZ34" s="16" cm="1">
        <f t="array" ref="AZ34">IF(AS34="","",FORECAST(AT34,INDEX('Rate &amp; Vol Update'!$C$6:$C$127,MATCH(INDEX('Rate &amp; Vol Update'!$B$6:$B$127,MATCH(AT34,'Rate &amp; Vol Update'!$B$6:$B$127,1)),'Rate &amp; Vol Update'!$B$6:$B$127,0)+IF('Adjustment Surface'!$C$11='Data Validation'!$E$3,-1,0)):INDEX('Rate &amp; Vol Update'!$C$6:$C$127,MATCH(INDEX('Rate &amp; Vol Update'!$B$6:$B$127,MATCH(AT34,'Rate &amp; Vol Update'!$B$6:$B$127,1)+1),'Rate &amp; Vol Update'!$B$6:$B$127,0)+IF('Adjustment Surface'!$C$11='Data Validation'!$E$3,-1,0)),INDEX('Rate &amp; Vol Update'!$B$6:$B$127,MATCH(AT34,'Rate &amp; Vol Update'!$B$6:$B$127,1)):INDEX('Rate &amp; Vol Update'!$B$6:$B$127,MATCH(AT34,'Rate &amp; Vol Update'!$B$6:$B$127,1)+1))/100)</f>
        <v>3.3565738847226759E-2</v>
      </c>
      <c r="BA34" s="16" cm="1">
        <f t="array" ref="BA34">IF(AS34="","",IF(AT34&lt;'Rate &amp; Vol Update'!$C$2,0.001%,(1/((INDEX('Rate &amp; Vol Update'!$E$6:$Z$6,1,MATCH(AY34,'Rate &amp; Vol Update'!$E$6:$Z$6,1)+1)-INDEX('Rate &amp; Vol Update'!$E$6:$Z$6,1,MATCH(AY34,'Rate &amp; Vol Update'!$E$6:$Z$6,1)))*(INDEX('Rate &amp; Vol Update'!$B$8:$B$127,MATCH(AT34,'Rate &amp; Vol Update'!$B$8:$B$127,1)+1)-INDEX('Rate &amp; Vol Update'!$B$8:$B$127,MATCH(AT34,'Rate &amp; Vol Update'!$B$8:$B$127,1))))*(INDEX('Rate &amp; Vol Update'!$E$8:$Z$127,MATCH(INDEX('Rate &amp; Vol Update'!$B$8:$B$127,MATCH(AT34,'Rate &amp; Vol Update'!$B$8:$B$127,1)),'Rate &amp; Vol Update'!$B$8:$B$127,0),MATCH(INDEX('Rate &amp; Vol Update'!$E$6:$Z$6,1,MATCH(AY34,'Rate &amp; Vol Update'!$E$6:$Z$6,1)),'Rate &amp; Vol Update'!$E$6:$Z$6,0))*(INDEX('Rate &amp; Vol Update'!$E$6:$Z$6,1,MATCH(AY34,'Rate &amp; Vol Update'!$E$6:$Z$6,1)+1)-AY34)*(INDEX('Rate &amp; Vol Update'!$B$8:$B$127,MATCH(AT34,'Rate &amp; Vol Update'!$B$8:$B$127,1)+1)-AT34)+INDEX('Rate &amp; Vol Update'!$E$8:$Z$127,MATCH(INDEX('Rate &amp; Vol Update'!$B$8:$B$127,MATCH(AT34,'Rate &amp; Vol Update'!$B$8:$B$127,1)),'Rate &amp; Vol Update'!$B$8:$B$127,0),MATCH(INDEX('Rate &amp; Vol Update'!$E$6:$Z$6,1,MATCH(AY34,'Rate &amp; Vol Update'!$E$6:$Z$6,1)+1),'Rate &amp; Vol Update'!$E$6:$Z$6,0))*(AY34-INDEX('Rate &amp; Vol Update'!$E$6:$Z$6,1,MATCH(AY34,'Rate &amp; Vol Update'!$E$6:$Z$6,1)))*(INDEX('Rate &amp; Vol Update'!$B$8:$B$127,MATCH(AT34,'Rate &amp; Vol Update'!$B$8:$B$127,1)+1)-AT34)+INDEX('Rate &amp; Vol Update'!$E$8:$Z$127,MATCH(INDEX('Rate &amp; Vol Update'!$B$8:$B$127,MATCH(AT34,'Rate &amp; Vol Update'!$B$8:$B$127,1)+1),'Rate &amp; Vol Update'!$B$8:$B$127,0),MATCH(INDEX('Rate &amp; Vol Update'!$E$6:$Z$6,1,MATCH(AY34,'Rate &amp; Vol Update'!$E$6:$Z$6,1)),'Rate &amp; Vol Update'!$E$6:$Z$6,0))*(INDEX('Rate &amp; Vol Update'!$E$6:$Z$6,1,MATCH(AY34,'Rate &amp; Vol Update'!$E$6:$Z$6,1)+1)-AY34)*(AT34-INDEX('Rate &amp; Vol Update'!$B$8:$B$127,MATCH(AT34,'Rate &amp; Vol Update'!$B$8:$B$127,1)))+INDEX('Rate &amp; Vol Update'!$E$8:$Z$127,MATCH(INDEX('Rate &amp; Vol Update'!$B$8:$B$127,MATCH(AT34,'Rate &amp; Vol Update'!$B$8:$B$127,1)+1),'Rate &amp; Vol Update'!$B$8:$B$127,0),MATCH(INDEX('Rate &amp; Vol Update'!$E$6:$Z$6,1,MATCH(AY34,'Rate &amp; Vol Update'!$E$6:$Z$6,1)+1),'Rate &amp; Vol Update'!$E$6:$Z$6,0))*(AY34-INDEX('Rate &amp; Vol Update'!$E$6:$Z$6,1,MATCH(AY34,'Rate &amp; Vol Update'!$E$6:$Z$6,1)))*(AT34-INDEX('Rate &amp; Vol Update'!$B$8:$B$127,MATCH(AT34,'Rate &amp; Vol Update'!$B$8:$B$127,1)))))*0.01%))</f>
        <v>8.3197180914549654E-3</v>
      </c>
      <c r="BB34" s="5">
        <f>IF(AS34="","",1/((1+AZ34)^((AU34-'Rate &amp; Vol Update'!$C$2)/360)))</f>
        <v>0.91715371882320007</v>
      </c>
      <c r="BD34" s="15">
        <f>IF(AS34="","",IF(AT34&lt;'Rate &amp; Vol Update'!$C$2,MAX(0,AZ34-AY34)*(AV34/360)*AX34,(((IF('Adjustment Surface'!$C$2='Data Validation'!$A$2,AZ34,IF('Adjustment Surface'!$C$2='Data Validation'!$A$3,AY34,"Unknown Option Type"))-IF('Adjustment Surface'!$C$2='Data Validation'!$A$2,AY34,IF('Adjustment Surface'!$C$2='Data Validation'!$A$3,AZ34,"Unknown Option Type")))*(NORMDIST((IF('Adjustment Surface'!$C$2='Data Validation'!$A$2,AZ34,IF('Adjustment Surface'!$C$2='Data Validation'!$A$3,AY34,"Unknown Option Type"))-IF('Adjustment Surface'!$C$2='Data Validation'!$A$2,AY34,IF('Adjustment Surface'!$C$2='Data Validation'!$A$3,AZ34,"Unknown Option Type")))/(BA34*SQRT(AW34)),0,1,TRUE)))+((BA34*SQRT(AW34))*(NORMDIST((IF('Adjustment Surface'!$C$2='Data Validation'!$A$2,AZ34,IF('Adjustment Surface'!$C$2='Data Validation'!$A$3,AY34,"Unknown Option Type"))-IF('Adjustment Surface'!$C$2='Data Validation'!$A$2,AY34,IF('Adjustment Surface'!$C$2='Data Validation'!$A$3,AZ34,"Unknown Option Type")))/(BA34*SQRT(AW34)),0,1,FALSE))))*BB34*(AV34/360)*AX34))</f>
        <v>5442.6912181844646</v>
      </c>
      <c r="BE34" s="15">
        <f>IF(AS34="","",SUM(BD$4:BD34))</f>
        <v>64927.996898496123</v>
      </c>
      <c r="BG34" s="15">
        <f>IF(AS34="","",IF(AT34&lt;'Rate &amp; Vol Update'!$C$2,0,((((((IF('Adjustment Surface'!$C$2='Data Validation'!$A$2,AZ34,IF('Adjustment Surface'!$C$2='Data Validation'!$A$3,AY34,"Unknown Option Type"))-IF('Adjustment Surface'!$C$2='Data Validation'!$A$2,AY34,IF('Adjustment Surface'!$C$2='Data Validation'!$A$3,AZ34,"Unknown Option Type")))*(NORMDIST((IF('Adjustment Surface'!$C$2='Data Validation'!$A$2,AZ34,IF('Adjustment Surface'!$C$2='Data Validation'!$A$3,AY34,"Unknown Option Type"))-IF('Adjustment Surface'!$C$2='Data Validation'!$A$2,AY34,IF('Adjustment Surface'!$C$2='Data Validation'!$A$3,AZ34,"Unknown Option Type")))/((BA34+0.01%)*SQRT(AW34)),0,1,TRUE)))+(((BA34+0.01%)*SQRT(AW34))*(NORMDIST((IF('Adjustment Surface'!$C$2='Data Validation'!$A$2,AZ34,IF('Adjustment Surface'!$C$2='Data Validation'!$A$3,AY34,"Unknown Option Type"))-IF('Adjustment Surface'!$C$2='Data Validation'!$A$2,AY34,IF('Adjustment Surface'!$C$2='Data Validation'!$A$3,AZ34,"Unknown Option Type")))/((BA34+0.01%)*SQRT(AW34)),0,1,FALSE))))*BB34*(AV34/360))-(BD34/AX34))*AX34)*BB34))</f>
        <v>104.44917130631751</v>
      </c>
      <c r="BH34" s="15">
        <f>IF(AS34="","",SUM(BG$4:BG34))</f>
        <v>1776.3634727763588</v>
      </c>
      <c r="BI34" s="15"/>
      <c r="BJ34" s="20"/>
      <c r="BK34" s="3">
        <v>31</v>
      </c>
      <c r="BL34" s="4">
        <f>IF(BM33=MAX('Adjustment Surface'!$C$14:$F$14),"",BM33)</f>
        <v>46976</v>
      </c>
      <c r="BM34" s="4">
        <f>IF(BL34="","",IF(BL34&lt;EDATE('Adjustment Surface'!$C$6,DATEDIF('Adjustment Surface'!$C$6,MAX('Adjustment Surface'!$C$14:$F$14),"M")),EDATE(BL$5,COUNT(BL$5:BL34)),IF(BL34=EDATE('Adjustment Surface'!$C$6,DATEDIF('Adjustment Surface'!$C$6,MAX('Adjustment Surface'!$C$14:$F$14),"M")),MAX('Adjustment Surface'!$C$14:$F$14),EDATE('Adjustment Surface'!$C$6,DATEDIF('Adjustment Surface'!$C$6,MAX('Adjustment Surface'!$C$14:$F$14),"M")))))</f>
        <v>47007</v>
      </c>
      <c r="BN34" s="3">
        <f t="shared" si="4"/>
        <v>31</v>
      </c>
      <c r="BO34" s="5">
        <f>IF(BK34="","",(BM34-'Rate &amp; Vol Update'!$C$2)/360)</f>
        <v>2.6194444444444445</v>
      </c>
      <c r="BP34" s="15">
        <f>IF(BK34="","",IF('Adjustment Surface'!$C$3='Data Validation'!$C$2,'Adjustment Surface'!$C$4,_xlfn.IFNA(IF(INDEX(Schedules!$E$3:$E$123,MATCH('Bachelier Model'!BL34,Schedules!$B$3:$B$123,0))="",BP33,INDEX(Schedules!$E$3:$E$123,MATCH('Bachelier Model'!BL34,Schedules!$B$3:$B$123,0))),BP33)))</f>
        <v>25000000</v>
      </c>
      <c r="BQ34" s="16">
        <f>IF(BK34="","",'Adjustment Surface'!B$17)</f>
        <v>0.05</v>
      </c>
      <c r="BR34" s="16" cm="1">
        <f t="array" ref="BR34">IF(BK34="","",FORECAST(BL34,INDEX('Rate &amp; Vol Update'!$C$6:$C$127,MATCH(INDEX('Rate &amp; Vol Update'!$B$6:$B$127,MATCH(BL34,'Rate &amp; Vol Update'!$B$6:$B$127,1)),'Rate &amp; Vol Update'!$B$6:$B$127,0)+IF('Adjustment Surface'!$C$11='Data Validation'!$E$3,-1,0)):INDEX('Rate &amp; Vol Update'!$C$6:$C$127,MATCH(INDEX('Rate &amp; Vol Update'!$B$6:$B$127,MATCH(BL34,'Rate &amp; Vol Update'!$B$6:$B$127,1)+1),'Rate &amp; Vol Update'!$B$6:$B$127,0)+IF('Adjustment Surface'!$C$11='Data Validation'!$E$3,-1,0)),INDEX('Rate &amp; Vol Update'!$B$6:$B$127,MATCH(BL34,'Rate &amp; Vol Update'!$B$6:$B$127,1)):INDEX('Rate &amp; Vol Update'!$B$6:$B$127,MATCH(BL34,'Rate &amp; Vol Update'!$B$6:$B$127,1)+1))/100)</f>
        <v>3.3565738847226759E-2</v>
      </c>
      <c r="BS34" s="16" cm="1">
        <f t="array" ref="BS34">IF(BK34="","",IF(BL34&lt;'Rate &amp; Vol Update'!$C$2,0.001%,(1/((INDEX('Rate &amp; Vol Update'!$E$6:$Z$6,1,MATCH(BQ34,'Rate &amp; Vol Update'!$E$6:$Z$6,1)+1)-INDEX('Rate &amp; Vol Update'!$E$6:$Z$6,1,MATCH(BQ34,'Rate &amp; Vol Update'!$E$6:$Z$6,1)))*(INDEX('Rate &amp; Vol Update'!$B$8:$B$127,MATCH(BL34,'Rate &amp; Vol Update'!$B$8:$B$127,1)+1)-INDEX('Rate &amp; Vol Update'!$B$8:$B$127,MATCH(BL34,'Rate &amp; Vol Update'!$B$8:$B$127,1))))*(INDEX('Rate &amp; Vol Update'!$E$8:$Z$127,MATCH(INDEX('Rate &amp; Vol Update'!$B$8:$B$127,MATCH(BL34,'Rate &amp; Vol Update'!$B$8:$B$127,1)),'Rate &amp; Vol Update'!$B$8:$B$127,0),MATCH(INDEX('Rate &amp; Vol Update'!$E$6:$Z$6,1,MATCH(BQ34,'Rate &amp; Vol Update'!$E$6:$Z$6,1)),'Rate &amp; Vol Update'!$E$6:$Z$6,0))*(INDEX('Rate &amp; Vol Update'!$E$6:$Z$6,1,MATCH(BQ34,'Rate &amp; Vol Update'!$E$6:$Z$6,1)+1)-BQ34)*(INDEX('Rate &amp; Vol Update'!$B$8:$B$127,MATCH(BL34,'Rate &amp; Vol Update'!$B$8:$B$127,1)+1)-BL34)+INDEX('Rate &amp; Vol Update'!$E$8:$Z$127,MATCH(INDEX('Rate &amp; Vol Update'!$B$8:$B$127,MATCH(BL34,'Rate &amp; Vol Update'!$B$8:$B$127,1)),'Rate &amp; Vol Update'!$B$8:$B$127,0),MATCH(INDEX('Rate &amp; Vol Update'!$E$6:$Z$6,1,MATCH(BQ34,'Rate &amp; Vol Update'!$E$6:$Z$6,1)+1),'Rate &amp; Vol Update'!$E$6:$Z$6,0))*(BQ34-INDEX('Rate &amp; Vol Update'!$E$6:$Z$6,1,MATCH(BQ34,'Rate &amp; Vol Update'!$E$6:$Z$6,1)))*(INDEX('Rate &amp; Vol Update'!$B$8:$B$127,MATCH(BL34,'Rate &amp; Vol Update'!$B$8:$B$127,1)+1)-BL34)+INDEX('Rate &amp; Vol Update'!$E$8:$Z$127,MATCH(INDEX('Rate &amp; Vol Update'!$B$8:$B$127,MATCH(BL34,'Rate &amp; Vol Update'!$B$8:$B$127,1)+1),'Rate &amp; Vol Update'!$B$8:$B$127,0),MATCH(INDEX('Rate &amp; Vol Update'!$E$6:$Z$6,1,MATCH(BQ34,'Rate &amp; Vol Update'!$E$6:$Z$6,1)),'Rate &amp; Vol Update'!$E$6:$Z$6,0))*(INDEX('Rate &amp; Vol Update'!$E$6:$Z$6,1,MATCH(BQ34,'Rate &amp; Vol Update'!$E$6:$Z$6,1)+1)-BQ34)*(BL34-INDEX('Rate &amp; Vol Update'!$B$8:$B$127,MATCH(BL34,'Rate &amp; Vol Update'!$B$8:$B$127,1)))+INDEX('Rate &amp; Vol Update'!$E$8:$Z$127,MATCH(INDEX('Rate &amp; Vol Update'!$B$8:$B$127,MATCH(BL34,'Rate &amp; Vol Update'!$B$8:$B$127,1)+1),'Rate &amp; Vol Update'!$B$8:$B$127,0),MATCH(INDEX('Rate &amp; Vol Update'!$E$6:$Z$6,1,MATCH(BQ34,'Rate &amp; Vol Update'!$E$6:$Z$6,1)+1),'Rate &amp; Vol Update'!$E$6:$Z$6,0))*(BQ34-INDEX('Rate &amp; Vol Update'!$E$6:$Z$6,1,MATCH(BQ34,'Rate &amp; Vol Update'!$E$6:$Z$6,1)))*(BL34-INDEX('Rate &amp; Vol Update'!$B$8:$B$127,MATCH(BL34,'Rate &amp; Vol Update'!$B$8:$B$127,1)))))*0.01%))</f>
        <v>9.5646966005295733E-3</v>
      </c>
      <c r="BT34" s="5">
        <f>IF(BK34="","",1/((1+BR34)^((BM34-'Rate &amp; Vol Update'!$C$2)/360)))</f>
        <v>0.91715371882320007</v>
      </c>
      <c r="BV34" s="15">
        <f>IF(BK34="","",IF(BL34&lt;'Rate &amp; Vol Update'!$C$2,MAX(0,BR34-BQ34)*(BN34/360)*BP34,(((IF('Adjustment Surface'!$C$2='Data Validation'!$A$2,BR34,IF('Adjustment Surface'!$C$2='Data Validation'!$A$3,BQ34,"Unknown Option Type"))-IF('Adjustment Surface'!$C$2='Data Validation'!$A$2,BQ34,IF('Adjustment Surface'!$C$2='Data Validation'!$A$3,BR34,"Unknown Option Type")))*(NORMDIST((IF('Adjustment Surface'!$C$2='Data Validation'!$A$2,BR34,IF('Adjustment Surface'!$C$2='Data Validation'!$A$3,BQ34,"Unknown Option Type"))-IF('Adjustment Surface'!$C$2='Data Validation'!$A$2,BQ34,IF('Adjustment Surface'!$C$2='Data Validation'!$A$3,BR34,"Unknown Option Type")))/(BS34*SQRT(BO34)),0,1,TRUE)))+((BS34*SQRT(BO34))*(NORMDIST((IF('Adjustment Surface'!$C$2='Data Validation'!$A$2,BR34,IF('Adjustment Surface'!$C$2='Data Validation'!$A$3,BQ34,"Unknown Option Type"))-IF('Adjustment Surface'!$C$2='Data Validation'!$A$2,BQ34,IF('Adjustment Surface'!$C$2='Data Validation'!$A$3,BR34,"Unknown Option Type")))/(BS34*SQRT(BO34)),0,1,FALSE))))*BT34*(BN34/360)*BP34))</f>
        <v>2261.3814642594102</v>
      </c>
      <c r="BW34" s="15">
        <f>IF(BK34="","",SUM(BV$4:BV34))</f>
        <v>20617.646787399572</v>
      </c>
      <c r="BY34" s="15">
        <f>IF(BK34="","",IF(BL34&lt;'Rate &amp; Vol Update'!$C$2,0,((((((IF('Adjustment Surface'!$C$2='Data Validation'!$A$2,BR34,IF('Adjustment Surface'!$C$2='Data Validation'!$A$3,BQ34,"Unknown Option Type"))-IF('Adjustment Surface'!$C$2='Data Validation'!$A$2,BQ34,IF('Adjustment Surface'!$C$2='Data Validation'!$A$3,BR34,"Unknown Option Type")))*(NORMDIST((IF('Adjustment Surface'!$C$2='Data Validation'!$A$2,BR34,IF('Adjustment Surface'!$C$2='Data Validation'!$A$3,BQ34,"Unknown Option Type"))-IF('Adjustment Surface'!$C$2='Data Validation'!$A$2,BQ34,IF('Adjustment Surface'!$C$2='Data Validation'!$A$3,BR34,"Unknown Option Type")))/((BS34+0.01%)*SQRT(BO34)),0,1,TRUE)))+(((BS34+0.01%)*SQRT(BO34))*(NORMDIST((IF('Adjustment Surface'!$C$2='Data Validation'!$A$2,BR34,IF('Adjustment Surface'!$C$2='Data Validation'!$A$3,BQ34,"Unknown Option Type"))-IF('Adjustment Surface'!$C$2='Data Validation'!$A$2,BQ34,IF('Adjustment Surface'!$C$2='Data Validation'!$A$3,BR34,"Unknown Option Type")))/((BS34+0.01%)*SQRT(BO34)),0,1,FALSE))))*BT34*(BN34/360))-(BV34/BP34))*BP34)*BT34))</f>
        <v>66.941264026598148</v>
      </c>
      <c r="BZ34" s="15">
        <f>IF(BK34="","",SUM(BY$4:BY34))</f>
        <v>777.66756964712567</v>
      </c>
      <c r="CA34" s="15"/>
      <c r="CB34" s="20"/>
      <c r="CC34" s="3">
        <v>31</v>
      </c>
      <c r="CD34" s="4">
        <f>IF(CE33=MAX('Adjustment Surface'!$C$14:$F$14),"",CE33)</f>
        <v>46976</v>
      </c>
      <c r="CE34" s="4">
        <f>IF(CD34="","",IF(CD34&lt;EDATE('Adjustment Surface'!$C$6,DATEDIF('Adjustment Surface'!$C$6,MAX('Adjustment Surface'!$C$14:$F$14),"M")),EDATE(CD$5,COUNT(CD$5:CD34)),IF(CD34=EDATE('Adjustment Surface'!$C$6,DATEDIF('Adjustment Surface'!$C$6,MAX('Adjustment Surface'!$C$14:$F$14),"M")),MAX('Adjustment Surface'!$C$14:$F$14),EDATE('Adjustment Surface'!$C$6,DATEDIF('Adjustment Surface'!$C$6,MAX('Adjustment Surface'!$C$14:$F$14),"M")))))</f>
        <v>47007</v>
      </c>
      <c r="CF34" s="3">
        <f t="shared" si="5"/>
        <v>31</v>
      </c>
      <c r="CG34" s="5">
        <f>IF(CC34="","",(CE34-'Rate &amp; Vol Update'!$C$2)/360)</f>
        <v>2.6194444444444445</v>
      </c>
      <c r="CH34" s="15">
        <f>IF(CC34="","",IF('Adjustment Surface'!$C$3='Data Validation'!$C$2,'Adjustment Surface'!$C$4,_xlfn.IFNA(IF(INDEX(Schedules!$E$3:$E$123,MATCH('Bachelier Model'!CD34,Schedules!$B$3:$B$123,0))="",CH33,INDEX(Schedules!$E$3:$E$123,MATCH('Bachelier Model'!CD34,Schedules!$B$3:$B$123,0))),CH33)))</f>
        <v>25000000</v>
      </c>
      <c r="CI34" s="16">
        <f>IF(CC34="","",'Adjustment Surface'!B$18)</f>
        <v>0.06</v>
      </c>
      <c r="CJ34" s="16" cm="1">
        <f t="array" ref="CJ34">IF(CC34="","",FORECAST(CD34,INDEX('Rate &amp; Vol Update'!$C$6:$C$127,MATCH(INDEX('Rate &amp; Vol Update'!$B$6:$B$127,MATCH(CD34,'Rate &amp; Vol Update'!$B$6:$B$127,1)),'Rate &amp; Vol Update'!$B$6:$B$127,0)+IF('Adjustment Surface'!$C$11='Data Validation'!$E$3,-1,0)):INDEX('Rate &amp; Vol Update'!$C$6:$C$127,MATCH(INDEX('Rate &amp; Vol Update'!$B$6:$B$127,MATCH(CD34,'Rate &amp; Vol Update'!$B$6:$B$127,1)+1),'Rate &amp; Vol Update'!$B$6:$B$127,0)+IF('Adjustment Surface'!$C$11='Data Validation'!$E$3,-1,0)),INDEX('Rate &amp; Vol Update'!$B$6:$B$127,MATCH(CD34,'Rate &amp; Vol Update'!$B$6:$B$127,1)):INDEX('Rate &amp; Vol Update'!$B$6:$B$127,MATCH(CD34,'Rate &amp; Vol Update'!$B$6:$B$127,1)+1))/100)</f>
        <v>3.3565738847226759E-2</v>
      </c>
      <c r="CK34" s="16" cm="1">
        <f t="array" ref="CK34">IF(CC34="","",IF(CD34&lt;'Rate &amp; Vol Update'!$C$2,0.001%,(1/((INDEX('Rate &amp; Vol Update'!$E$6:$Z$6,1,MATCH(CI34,'Rate &amp; Vol Update'!$E$6:$Z$6,1)+1)-INDEX('Rate &amp; Vol Update'!$E$6:$Z$6,1,MATCH(CI34,'Rate &amp; Vol Update'!$E$6:$Z$6,1)))*(INDEX('Rate &amp; Vol Update'!$B$8:$B$127,MATCH(CD34,'Rate &amp; Vol Update'!$B$8:$B$127,1)+1)-INDEX('Rate &amp; Vol Update'!$B$8:$B$127,MATCH(CD34,'Rate &amp; Vol Update'!$B$8:$B$127,1))))*(INDEX('Rate &amp; Vol Update'!$E$8:$Z$127,MATCH(INDEX('Rate &amp; Vol Update'!$B$8:$B$127,MATCH(CD34,'Rate &amp; Vol Update'!$B$8:$B$127,1)),'Rate &amp; Vol Update'!$B$8:$B$127,0),MATCH(INDEX('Rate &amp; Vol Update'!$E$6:$Z$6,1,MATCH(CI34,'Rate &amp; Vol Update'!$E$6:$Z$6,1)),'Rate &amp; Vol Update'!$E$6:$Z$6,0))*(INDEX('Rate &amp; Vol Update'!$E$6:$Z$6,1,MATCH(CI34,'Rate &amp; Vol Update'!$E$6:$Z$6,1)+1)-CI34)*(INDEX('Rate &amp; Vol Update'!$B$8:$B$127,MATCH(CD34,'Rate &amp; Vol Update'!$B$8:$B$127,1)+1)-CD34)+INDEX('Rate &amp; Vol Update'!$E$8:$Z$127,MATCH(INDEX('Rate &amp; Vol Update'!$B$8:$B$127,MATCH(CD34,'Rate &amp; Vol Update'!$B$8:$B$127,1)),'Rate &amp; Vol Update'!$B$8:$B$127,0),MATCH(INDEX('Rate &amp; Vol Update'!$E$6:$Z$6,1,MATCH(CI34,'Rate &amp; Vol Update'!$E$6:$Z$6,1)+1),'Rate &amp; Vol Update'!$E$6:$Z$6,0))*(CI34-INDEX('Rate &amp; Vol Update'!$E$6:$Z$6,1,MATCH(CI34,'Rate &amp; Vol Update'!$E$6:$Z$6,1)))*(INDEX('Rate &amp; Vol Update'!$B$8:$B$127,MATCH(CD34,'Rate &amp; Vol Update'!$B$8:$B$127,1)+1)-CD34)+INDEX('Rate &amp; Vol Update'!$E$8:$Z$127,MATCH(INDEX('Rate &amp; Vol Update'!$B$8:$B$127,MATCH(CD34,'Rate &amp; Vol Update'!$B$8:$B$127,1)+1),'Rate &amp; Vol Update'!$B$8:$B$127,0),MATCH(INDEX('Rate &amp; Vol Update'!$E$6:$Z$6,1,MATCH(CI34,'Rate &amp; Vol Update'!$E$6:$Z$6,1)),'Rate &amp; Vol Update'!$E$6:$Z$6,0))*(INDEX('Rate &amp; Vol Update'!$E$6:$Z$6,1,MATCH(CI34,'Rate &amp; Vol Update'!$E$6:$Z$6,1)+1)-CI34)*(CD34-INDEX('Rate &amp; Vol Update'!$B$8:$B$127,MATCH(CD34,'Rate &amp; Vol Update'!$B$8:$B$127,1)))+INDEX('Rate &amp; Vol Update'!$E$8:$Z$127,MATCH(INDEX('Rate &amp; Vol Update'!$B$8:$B$127,MATCH(CD34,'Rate &amp; Vol Update'!$B$8:$B$127,1)+1),'Rate &amp; Vol Update'!$B$8:$B$127,0),MATCH(INDEX('Rate &amp; Vol Update'!$E$6:$Z$6,1,MATCH(CI34,'Rate &amp; Vol Update'!$E$6:$Z$6,1)+1),'Rate &amp; Vol Update'!$E$6:$Z$6,0))*(CI34-INDEX('Rate &amp; Vol Update'!$E$6:$Z$6,1,MATCH(CI34,'Rate &amp; Vol Update'!$E$6:$Z$6,1)))*(CD34-INDEX('Rate &amp; Vol Update'!$B$8:$B$127,MATCH(CD34,'Rate &amp; Vol Update'!$B$8:$B$127,1)))))*0.01%))</f>
        <v>1.1208869755071391E-2</v>
      </c>
      <c r="CL34" s="5">
        <f>IF(CC34="","",1/((1+CJ34)^((CE34-'Rate &amp; Vol Update'!$C$2)/360)))</f>
        <v>0.91715371882320007</v>
      </c>
      <c r="CN34" s="15">
        <f>IF(CC34="","",IF(CD34&lt;'Rate &amp; Vol Update'!$C$2,MAX(0,CJ34-CI34)*(CF34/360)*CH34,(((IF('Adjustment Surface'!$C$2='Data Validation'!$A$2,CJ34,IF('Adjustment Surface'!$C$2='Data Validation'!$A$3,CI34,"Unknown Option Type"))-IF('Adjustment Surface'!$C$2='Data Validation'!$A$2,CI34,IF('Adjustment Surface'!$C$2='Data Validation'!$A$3,CJ34,"Unknown Option Type")))*(NORMDIST((IF('Adjustment Surface'!$C$2='Data Validation'!$A$2,CJ34,IF('Adjustment Surface'!$C$2='Data Validation'!$A$3,CI34,"Unknown Option Type"))-IF('Adjustment Surface'!$C$2='Data Validation'!$A$2,CI34,IF('Adjustment Surface'!$C$2='Data Validation'!$A$3,CJ34,"Unknown Option Type")))/(CK34*SQRT(CG34)),0,1,TRUE)))+((CK34*SQRT(CG34))*(NORMDIST((IF('Adjustment Surface'!$C$2='Data Validation'!$A$2,CJ34,IF('Adjustment Surface'!$C$2='Data Validation'!$A$3,CI34,"Unknown Option Type"))-IF('Adjustment Surface'!$C$2='Data Validation'!$A$2,CI34,IF('Adjustment Surface'!$C$2='Data Validation'!$A$3,CJ34,"Unknown Option Type")))/(CK34*SQRT(CG34)),0,1,FALSE))))*CL34*(CF34/360)*CH34))</f>
        <v>1156.6451525746634</v>
      </c>
      <c r="CO34" s="15">
        <f>IF(CC34="","",SUM(CN$4:CN34))</f>
        <v>9412.2013754073705</v>
      </c>
      <c r="CQ34" s="15">
        <f>IF(CC34="","",IF(CD34&lt;'Rate &amp; Vol Update'!$C$2,0,((((((IF('Adjustment Surface'!$C$2='Data Validation'!$A$2,CJ34,IF('Adjustment Surface'!$C$2='Data Validation'!$A$3,CI34,"Unknown Option Type"))-IF('Adjustment Surface'!$C$2='Data Validation'!$A$2,CI34,IF('Adjustment Surface'!$C$2='Data Validation'!$A$3,CJ34,"Unknown Option Type")))*(NORMDIST((IF('Adjustment Surface'!$C$2='Data Validation'!$A$2,CJ34,IF('Adjustment Surface'!$C$2='Data Validation'!$A$3,CI34,"Unknown Option Type"))-IF('Adjustment Surface'!$C$2='Data Validation'!$A$2,CI34,IF('Adjustment Surface'!$C$2='Data Validation'!$A$3,CJ34,"Unknown Option Type")))/((CK34+0.01%)*SQRT(CG34)),0,1,TRUE)))+(((CK34+0.01%)*SQRT(CG34))*(NORMDIST((IF('Adjustment Surface'!$C$2='Data Validation'!$A$2,CJ34,IF('Adjustment Surface'!$C$2='Data Validation'!$A$3,CI34,"Unknown Option Type"))-IF('Adjustment Surface'!$C$2='Data Validation'!$A$2,CI34,IF('Adjustment Surface'!$C$2='Data Validation'!$A$3,CJ34,"Unknown Option Type")))/((CK34+0.01%)*SQRT(CG34)),0,1,FALSE))))*CL34*(CF34/360))-(CN34/CH34))*CH34)*CL34))</f>
        <v>40.824711571116673</v>
      </c>
      <c r="CR34" s="15">
        <f>IF(CC34="","",SUM(CQ$4:CQ34))</f>
        <v>402.90121707242315</v>
      </c>
    </row>
    <row r="35" spans="7:96" x14ac:dyDescent="0.25">
      <c r="G35" s="28"/>
      <c r="I35" s="3">
        <v>32</v>
      </c>
      <c r="J35" s="4">
        <f>IF(K34='Adjustment Surface'!C$8,"",K34)</f>
        <v>47007</v>
      </c>
      <c r="K35" s="4">
        <f>IF(J35="","",IF(J35&lt;'Adjustment Surface'!C$7,EDATE(J$5,COUNT(J$5:J35)),IF(J35='Adjustment Surface'!C$7,'Adjustment Surface'!C$8,'Adjustment Surface'!C$7)))</f>
        <v>47037</v>
      </c>
      <c r="L35" s="3">
        <f t="shared" si="1"/>
        <v>30</v>
      </c>
      <c r="M35" s="5">
        <f>IF(I35="","",(K35-'Rate &amp; Vol Update'!$C$2)/360)</f>
        <v>2.7027777777777779</v>
      </c>
      <c r="N35" s="15">
        <f>IF(I35="","",IF('Adjustment Surface'!C$3='Data Validation'!$C$2,'Adjustment Surface'!C$4,IF(INDEX(Schedules!$E$3:$E$123,MATCH('Bachelier Model'!J35,Schedules!$B$3:$B$123,0))="",N34,INDEX(Schedules!$E$3:$E$123,MATCH('Bachelier Model'!J35,Schedules!$B$3:$B$123,0)))))</f>
        <v>25000000</v>
      </c>
      <c r="O35" s="16">
        <f>IF(I35="","",IF('Adjustment Surface'!C$9='Data Validation'!$D$2,'Adjustment Surface'!C$10,IF(INDEX(Schedules!$H$3:$H$123,MATCH('Bachelier Model'!J35,Schedules!$B$3:$B$123,0))="",O34,INDEX(Schedules!$H$3:$H$123,MATCH('Bachelier Model'!J35,Schedules!$B$3:$B$123,0)))))</f>
        <v>0.02</v>
      </c>
      <c r="P35" s="16" cm="1">
        <f t="array" ref="P35">IF(I35="","",FORECAST(J35,INDEX('Rate &amp; Vol Update'!$C$6:$C$127,MATCH(INDEX('Rate &amp; Vol Update'!$B$6:$B$127,MATCH(J35,'Rate &amp; Vol Update'!$B$6:$B$127,1)),'Rate &amp; Vol Update'!$B$6:$B$127,0)+IF('Adjustment Surface'!C$11='Data Validation'!$E$3,-1,0)):INDEX('Rate &amp; Vol Update'!$C$6:$C$127,MATCH(INDEX('Rate &amp; Vol Update'!$B$6:$B$127,MATCH(J35,'Rate &amp; Vol Update'!$B$6:$B$127,1)+1),'Rate &amp; Vol Update'!$B$6:$B$127,0)+IF('Adjustment Surface'!C$11='Data Validation'!$E$3,-1,0)),INDEX('Rate &amp; Vol Update'!$B$6:$B$127,MATCH(J35,'Rate &amp; Vol Update'!$B$6:$B$127,1)):INDEX('Rate &amp; Vol Update'!$B$6:$B$127,MATCH(J35,'Rate &amp; Vol Update'!$B$6:$B$127,1)+1))/100)</f>
        <v>3.3564175597287978E-2</v>
      </c>
      <c r="Q35" s="16" cm="1">
        <f t="array" ref="Q35">IF(I35="","",IF(J35&lt;'Rate &amp; Vol Update'!$C$2,0.001%,(1/((INDEX('Rate &amp; Vol Update'!$E$6:$Z$6,1,MATCH(O35,'Rate &amp; Vol Update'!$E$6:$Z$6,1)+1)-INDEX('Rate &amp; Vol Update'!$E$6:$Z$6,1,MATCH(O35,'Rate &amp; Vol Update'!$E$6:$Z$6,1)))*(INDEX('Rate &amp; Vol Update'!$B$8:$B$127,MATCH(J35,'Rate &amp; Vol Update'!$B$8:$B$127,1)+1)-INDEX('Rate &amp; Vol Update'!$B$8:$B$127,MATCH(J35,'Rate &amp; Vol Update'!$B$8:$B$127,1))))*(INDEX('Rate &amp; Vol Update'!$E$8:$Z$127,MATCH(INDEX('Rate &amp; Vol Update'!$B$8:$B$127,MATCH(J35,'Rate &amp; Vol Update'!$B$8:$B$127,1)),'Rate &amp; Vol Update'!$B$8:$B$127,0),MATCH(INDEX('Rate &amp; Vol Update'!$E$6:$Z$6,1,MATCH(O35,'Rate &amp; Vol Update'!$E$6:$Z$6,1)),'Rate &amp; Vol Update'!$E$6:$Z$6,0))*(INDEX('Rate &amp; Vol Update'!$E$6:$Z$6,1,MATCH(O35,'Rate &amp; Vol Update'!$E$6:$Z$6,1)+1)-O35)*(INDEX('Rate &amp; Vol Update'!$B$8:$B$127,MATCH(J35,'Rate &amp; Vol Update'!$B$8:$B$127,1)+1)-J35)+INDEX('Rate &amp; Vol Update'!$E$8:$Z$127,MATCH(INDEX('Rate &amp; Vol Update'!$B$8:$B$127,MATCH(J35,'Rate &amp; Vol Update'!$B$8:$B$127,1)),'Rate &amp; Vol Update'!$B$8:$B$127,0),MATCH(INDEX('Rate &amp; Vol Update'!$E$6:$Z$6,1,MATCH(O35,'Rate &amp; Vol Update'!$E$6:$Z$6,1)+1),'Rate &amp; Vol Update'!$E$6:$Z$6,0))*(O35-INDEX('Rate &amp; Vol Update'!$E$6:$Z$6,1,MATCH(O35,'Rate &amp; Vol Update'!$E$6:$Z$6,1)))*(INDEX('Rate &amp; Vol Update'!$B$8:$B$127,MATCH(J35,'Rate &amp; Vol Update'!$B$8:$B$127,1)+1)-J35)+INDEX('Rate &amp; Vol Update'!$E$8:$Z$127,MATCH(INDEX('Rate &amp; Vol Update'!$B$8:$B$127,MATCH(J35,'Rate &amp; Vol Update'!$B$8:$B$127,1)+1),'Rate &amp; Vol Update'!$B$8:$B$127,0),MATCH(INDEX('Rate &amp; Vol Update'!$E$6:$Z$6,1,MATCH(O35,'Rate &amp; Vol Update'!$E$6:$Z$6,1)),'Rate &amp; Vol Update'!$E$6:$Z$6,0))*(INDEX('Rate &amp; Vol Update'!$E$6:$Z$6,1,MATCH(O35,'Rate &amp; Vol Update'!$E$6:$Z$6,1)+1)-O35)*(J35-INDEX('Rate &amp; Vol Update'!$B$8:$B$127,MATCH(J35,'Rate &amp; Vol Update'!$B$8:$B$127,1)))+INDEX('Rate &amp; Vol Update'!$E$8:$Z$127,MATCH(INDEX('Rate &amp; Vol Update'!$B$8:$B$127,MATCH(J35,'Rate &amp; Vol Update'!$B$8:$B$127,1)+1),'Rate &amp; Vol Update'!$B$8:$B$127,0),MATCH(INDEX('Rate &amp; Vol Update'!$E$6:$Z$6,1,MATCH(O35,'Rate &amp; Vol Update'!$E$6:$Z$6,1)+1),'Rate &amp; Vol Update'!$E$6:$Z$6,0))*(O35-INDEX('Rate &amp; Vol Update'!$E$6:$Z$6,1,MATCH(O35,'Rate &amp; Vol Update'!$E$6:$Z$6,1)))*(J35-INDEX('Rate &amp; Vol Update'!$B$8:$B$127,MATCH(J35,'Rate &amp; Vol Update'!$B$8:$B$127,1)))))*0.01%))</f>
        <v>9.0772656564520743E-3</v>
      </c>
      <c r="R35" s="5">
        <f>IF(I35="","",1/((1+P35)^((K35-'Rate &amp; Vol Update'!$C$2)/360)))</f>
        <v>0.91463762896096512</v>
      </c>
      <c r="T35" s="15">
        <f>IF(I35="","",IF(J35&lt;'Rate &amp; Vol Update'!$C$2,MAX(0,P35-O35)*(L35/360)*N35,(((IF('Adjustment Surface'!C$2='Data Validation'!$A$2,P35,IF('Adjustment Surface'!C$2='Data Validation'!$A$3,O35,"Unknown Option Type"))-IF('Adjustment Surface'!C$2='Data Validation'!$A$2,O35,IF('Adjustment Surface'!C$2='Data Validation'!$A$3,P35,"Unknown Option Type")))*(NORMDIST((IF('Adjustment Surface'!C$2='Data Validation'!$A$2,P35,IF('Adjustment Surface'!C$2='Data Validation'!$A$3,O35,"Unknown Option Type"))-IF('Adjustment Surface'!C$2='Data Validation'!$A$2,O35,IF('Adjustment Surface'!C$2='Data Validation'!$A$3,P35,"Unknown Option Type")))/(Q35*SQRT(M35)),0,1,TRUE)))+((Q35*SQRT(M35))*(NORMDIST((IF('Adjustment Surface'!C$2='Data Validation'!$A$2,P35,IF('Adjustment Surface'!C$2='Data Validation'!$A$3,O35,"Unknown Option Type"))-IF('Adjustment Surface'!C$2='Data Validation'!$A$2,O35,IF('Adjustment Surface'!C$2='Data Validation'!$A$3,P35,"Unknown Option Type")))/(Q35*SQRT(M35)),0,1,FALSE))))*R35*(L35/360)*N35))</f>
        <v>28655.858537049167</v>
      </c>
      <c r="U35" s="15">
        <f>IF(I35="","",SUM(T$4:T35))</f>
        <v>898516.39757924026</v>
      </c>
      <c r="W35" s="15">
        <f>IF(I35="","",IF(J35&lt;'Rate &amp; Vol Update'!$C$2,0,((((((IF('Adjustment Surface'!C$2='Data Validation'!$A$2,P35,IF('Adjustment Surface'!C$2='Data Validation'!$A$3,O35,"Unknown Option Type"))-IF('Adjustment Surface'!C$2='Data Validation'!$A$2,O35,IF('Adjustment Surface'!C$2='Data Validation'!$A$3,P35,"Unknown Option Type")))*(NORMDIST((IF('Adjustment Surface'!C$2='Data Validation'!$A$2,P35,IF('Adjustment Surface'!C$2='Data Validation'!$A$3,O35,"Unknown Option Type"))-IF('Adjustment Surface'!C$2='Data Validation'!$A$2,O35,IF('Adjustment Surface'!C$2='Data Validation'!$A$3,P35,"Unknown Option Type")))/((Q35+0.01%)*SQRT(M35)),0,1,TRUE)))+(((Q35+0.01%)*SQRT(M35))*(NORMDIST((IF('Adjustment Surface'!C$2='Data Validation'!$A$2,P35,IF('Adjustment Surface'!C$2='Data Validation'!$A$3,O35,"Unknown Option Type"))-IF('Adjustment Surface'!C$2='Data Validation'!$A$2,O35,IF('Adjustment Surface'!C$2='Data Validation'!$A$3,P35,"Unknown Option Type")))/((Q35+0.01%)*SQRT(M35)),0,1,FALSE))))*R35*(L35/360))-(T35/N35))*N35)*R35))</f>
        <v>75.967725304017875</v>
      </c>
      <c r="X35" s="15">
        <f>IF(I35="","",SUM(W$4:W35))</f>
        <v>1394.730596865387</v>
      </c>
      <c r="Y35" s="15"/>
      <c r="Z35" s="20"/>
      <c r="AA35" s="3">
        <v>32</v>
      </c>
      <c r="AB35" s="4">
        <f>IF(AC34=MAX('Adjustment Surface'!$C$14:$F$14),"",AC34)</f>
        <v>47007</v>
      </c>
      <c r="AC35" s="4">
        <f>IF(AB35="","",IF(AB35&lt;EDATE('Adjustment Surface'!$C$6,DATEDIF('Adjustment Surface'!$C$6,MAX('Adjustment Surface'!$C$14:$F$14),"M")),EDATE(AB$5,COUNT(AB$5:AB35)),IF(AB35=EDATE('Adjustment Surface'!$C$6,DATEDIF('Adjustment Surface'!$C$6,MAX('Adjustment Surface'!$C$14:$F$14),"M")),MAX('Adjustment Surface'!$C$14:$F$14),EDATE('Adjustment Surface'!$C$6,DATEDIF('Adjustment Surface'!$C$6,MAX('Adjustment Surface'!$C$14:$F$14),"M")))))</f>
        <v>47037</v>
      </c>
      <c r="AD35" s="3">
        <f t="shared" si="2"/>
        <v>30</v>
      </c>
      <c r="AE35" s="5">
        <f>IF(AA35="","",(AC35-'Rate &amp; Vol Update'!$C$2)/360)</f>
        <v>2.7027777777777779</v>
      </c>
      <c r="AF35" s="15">
        <f>IF(AA35="","",IF('Adjustment Surface'!$C$3='Data Validation'!$C$2,'Adjustment Surface'!$C$4,_xlfn.IFNA(IF(INDEX(Schedules!$E$3:$E$123,MATCH('Bachelier Model'!AB35,Schedules!$B$3:$B$123,0))="",AF34,INDEX(Schedules!$E$3:$E$123,MATCH('Bachelier Model'!AB35,Schedules!$B$3:$B$123,0))),AF34)))</f>
        <v>25000000</v>
      </c>
      <c r="AG35" s="16">
        <f>IF(AA35="","",'Adjustment Surface'!B$15)</f>
        <v>0.03</v>
      </c>
      <c r="AH35" s="16" cm="1">
        <f t="array" ref="AH35">IF(AA35="","",FORECAST(AB35,INDEX('Rate &amp; Vol Update'!$C$6:$C$127,MATCH(INDEX('Rate &amp; Vol Update'!$B$6:$B$127,MATCH(AB35,'Rate &amp; Vol Update'!$B$6:$B$127,1)),'Rate &amp; Vol Update'!$B$6:$B$127,0)+IF('Adjustment Surface'!$C$11='Data Validation'!$E$3,-1,0)):INDEX('Rate &amp; Vol Update'!$C$6:$C$127,MATCH(INDEX('Rate &amp; Vol Update'!$B$6:$B$127,MATCH(AB35,'Rate &amp; Vol Update'!$B$6:$B$127,1)+1),'Rate &amp; Vol Update'!$B$6:$B$127,0)+IF('Adjustment Surface'!$C$11='Data Validation'!$E$3,-1,0)),INDEX('Rate &amp; Vol Update'!$B$6:$B$127,MATCH(AB35,'Rate &amp; Vol Update'!$B$6:$B$127,1)):INDEX('Rate &amp; Vol Update'!$B$6:$B$127,MATCH(AB35,'Rate &amp; Vol Update'!$B$6:$B$127,1)+1))/100)</f>
        <v>3.3564175597287978E-2</v>
      </c>
      <c r="AI35" s="16" cm="1">
        <f t="array" ref="AI35">IF(AA35="","",IF(AB35&lt;'Rate &amp; Vol Update'!$C$2,0.001%,(1/((INDEX('Rate &amp; Vol Update'!$E$6:$Z$6,1,MATCH(AG35,'Rate &amp; Vol Update'!$E$6:$Z$6,1)+1)-INDEX('Rate &amp; Vol Update'!$E$6:$Z$6,1,MATCH(AG35,'Rate &amp; Vol Update'!$E$6:$Z$6,1)))*(INDEX('Rate &amp; Vol Update'!$B$8:$B$127,MATCH(AB35,'Rate &amp; Vol Update'!$B$8:$B$127,1)+1)-INDEX('Rate &amp; Vol Update'!$B$8:$B$127,MATCH(AB35,'Rate &amp; Vol Update'!$B$8:$B$127,1))))*(INDEX('Rate &amp; Vol Update'!$E$8:$Z$127,MATCH(INDEX('Rate &amp; Vol Update'!$B$8:$B$127,MATCH(AB35,'Rate &amp; Vol Update'!$B$8:$B$127,1)),'Rate &amp; Vol Update'!$B$8:$B$127,0),MATCH(INDEX('Rate &amp; Vol Update'!$E$6:$Z$6,1,MATCH(AG35,'Rate &amp; Vol Update'!$E$6:$Z$6,1)),'Rate &amp; Vol Update'!$E$6:$Z$6,0))*(INDEX('Rate &amp; Vol Update'!$E$6:$Z$6,1,MATCH(AG35,'Rate &amp; Vol Update'!$E$6:$Z$6,1)+1)-AG35)*(INDEX('Rate &amp; Vol Update'!$B$8:$B$127,MATCH(AB35,'Rate &amp; Vol Update'!$B$8:$B$127,1)+1)-AB35)+INDEX('Rate &amp; Vol Update'!$E$8:$Z$127,MATCH(INDEX('Rate &amp; Vol Update'!$B$8:$B$127,MATCH(AB35,'Rate &amp; Vol Update'!$B$8:$B$127,1)),'Rate &amp; Vol Update'!$B$8:$B$127,0),MATCH(INDEX('Rate &amp; Vol Update'!$E$6:$Z$6,1,MATCH(AG35,'Rate &amp; Vol Update'!$E$6:$Z$6,1)+1),'Rate &amp; Vol Update'!$E$6:$Z$6,0))*(AG35-INDEX('Rate &amp; Vol Update'!$E$6:$Z$6,1,MATCH(AG35,'Rate &amp; Vol Update'!$E$6:$Z$6,1)))*(INDEX('Rate &amp; Vol Update'!$B$8:$B$127,MATCH(AB35,'Rate &amp; Vol Update'!$B$8:$B$127,1)+1)-AB35)+INDEX('Rate &amp; Vol Update'!$E$8:$Z$127,MATCH(INDEX('Rate &amp; Vol Update'!$B$8:$B$127,MATCH(AB35,'Rate &amp; Vol Update'!$B$8:$B$127,1)+1),'Rate &amp; Vol Update'!$B$8:$B$127,0),MATCH(INDEX('Rate &amp; Vol Update'!$E$6:$Z$6,1,MATCH(AG35,'Rate &amp; Vol Update'!$E$6:$Z$6,1)),'Rate &amp; Vol Update'!$E$6:$Z$6,0))*(INDEX('Rate &amp; Vol Update'!$E$6:$Z$6,1,MATCH(AG35,'Rate &amp; Vol Update'!$E$6:$Z$6,1)+1)-AG35)*(AB35-INDEX('Rate &amp; Vol Update'!$B$8:$B$127,MATCH(AB35,'Rate &amp; Vol Update'!$B$8:$B$127,1)))+INDEX('Rate &amp; Vol Update'!$E$8:$Z$127,MATCH(INDEX('Rate &amp; Vol Update'!$B$8:$B$127,MATCH(AB35,'Rate &amp; Vol Update'!$B$8:$B$127,1)+1),'Rate &amp; Vol Update'!$B$8:$B$127,0),MATCH(INDEX('Rate &amp; Vol Update'!$E$6:$Z$6,1,MATCH(AG35,'Rate &amp; Vol Update'!$E$6:$Z$6,1)+1),'Rate &amp; Vol Update'!$E$6:$Z$6,0))*(AG35-INDEX('Rate &amp; Vol Update'!$E$6:$Z$6,1,MATCH(AG35,'Rate &amp; Vol Update'!$E$6:$Z$6,1)))*(AB35-INDEX('Rate &amp; Vol Update'!$B$8:$B$127,MATCH(AB35,'Rate &amp; Vol Update'!$B$8:$B$127,1)))))*0.01%))</f>
        <v>8.1652284681152324E-3</v>
      </c>
      <c r="AJ35" s="5">
        <f>IF(AA35="","",1/((1+AH35)^((AC35-'Rate &amp; Vol Update'!$C$2)/360)))</f>
        <v>0.91463762896096512</v>
      </c>
      <c r="AL35" s="15">
        <f>IF(AA35="","",IF(AB35&lt;'Rate &amp; Vol Update'!$C$2,MAX(0,AH35-AG35)*(AD35/360)*AF35,(((IF('Adjustment Surface'!$C$2='Data Validation'!$A$2,AH35,IF('Adjustment Surface'!$C$2='Data Validation'!$A$3,AG35,"Unknown Option Type"))-IF('Adjustment Surface'!$C$2='Data Validation'!$A$2,AG35,IF('Adjustment Surface'!$C$2='Data Validation'!$A$3,AH35,"Unknown Option Type")))*(NORMDIST((IF('Adjustment Surface'!$C$2='Data Validation'!$A$2,AH35,IF('Adjustment Surface'!$C$2='Data Validation'!$A$3,AG35,"Unknown Option Type"))-IF('Adjustment Surface'!$C$2='Data Validation'!$A$2,AG35,IF('Adjustment Surface'!$C$2='Data Validation'!$A$3,AH35,"Unknown Option Type")))/(AI35*SQRT(AE35)),0,1,TRUE)))+((AI35*SQRT(AE35))*(NORMDIST((IF('Adjustment Surface'!$C$2='Data Validation'!$A$2,AH35,IF('Adjustment Surface'!$C$2='Data Validation'!$A$3,AG35,"Unknown Option Type"))-IF('Adjustment Surface'!$C$2='Data Validation'!$A$2,AG35,IF('Adjustment Surface'!$C$2='Data Validation'!$A$3,AH35,"Unknown Option Type")))/(AI35*SQRT(AE35)),0,1,FALSE))))*AJ35*(AD35/360)*AF35))</f>
        <v>13957.847011653983</v>
      </c>
      <c r="AM35" s="15">
        <f>IF(AA35="","",SUM(AL$4:AL35))</f>
        <v>352449.49438595679</v>
      </c>
      <c r="AO35" s="15">
        <f>IF(AA35="","",IF(AB35&lt;'Rate &amp; Vol Update'!$C$2,0,((((((IF('Adjustment Surface'!$C$2='Data Validation'!$A$2,AH35,IF('Adjustment Surface'!$C$2='Data Validation'!$A$3,AG35,"Unknown Option Type"))-IF('Adjustment Surface'!$C$2='Data Validation'!$A$2,AG35,IF('Adjustment Surface'!$C$2='Data Validation'!$A$3,AH35,"Unknown Option Type")))*(NORMDIST((IF('Adjustment Surface'!$C$2='Data Validation'!$A$2,AH35,IF('Adjustment Surface'!$C$2='Data Validation'!$A$3,AG35,"Unknown Option Type"))-IF('Adjustment Surface'!$C$2='Data Validation'!$A$2,AG35,IF('Adjustment Surface'!$C$2='Data Validation'!$A$3,AH35,"Unknown Option Type")))/((AI35+0.01%)*SQRT(AE35)),0,1,TRUE)))+(((AI35+0.01%)*SQRT(AE35))*(NORMDIST((IF('Adjustment Surface'!$C$2='Data Validation'!$A$2,AH35,IF('Adjustment Surface'!$C$2='Data Validation'!$A$3,AG35,"Unknown Option Type"))-IF('Adjustment Surface'!$C$2='Data Validation'!$A$2,AG35,IF('Adjustment Surface'!$C$2='Data Validation'!$A$3,AH35,"Unknown Option Type")))/((AI35+0.01%)*SQRT(AE35)),0,1,FALSE))))*AJ35*(AD35/360))-(AL35/AF35))*AF35)*AJ35))</f>
        <v>110.39492417435203</v>
      </c>
      <c r="AP35" s="15">
        <f>IF(AA35="","",SUM(AO$4:AO35))</f>
        <v>2462.8703027330325</v>
      </c>
      <c r="AQ35" s="15"/>
      <c r="AR35" s="20"/>
      <c r="AS35" s="3">
        <v>32</v>
      </c>
      <c r="AT35" s="4">
        <f>IF(AU34=MAX('Adjustment Surface'!$C$14:$F$14),"",AU34)</f>
        <v>47007</v>
      </c>
      <c r="AU35" s="4">
        <f>IF(AT35="","",IF(AT35&lt;EDATE('Adjustment Surface'!$C$6,DATEDIF('Adjustment Surface'!$C$6,MAX('Adjustment Surface'!$C$14:$F$14),"M")),EDATE(AT$5,COUNT(AT$5:AT35)),IF(AT35=EDATE('Adjustment Surface'!$C$6,DATEDIF('Adjustment Surface'!$C$6,MAX('Adjustment Surface'!$C$14:$F$14),"M")),MAX('Adjustment Surface'!$C$14:$F$14),EDATE('Adjustment Surface'!$C$6,DATEDIF('Adjustment Surface'!$C$6,MAX('Adjustment Surface'!$C$14:$F$14),"M")))))</f>
        <v>47037</v>
      </c>
      <c r="AV35" s="3">
        <f t="shared" si="3"/>
        <v>30</v>
      </c>
      <c r="AW35" s="5">
        <f>IF(AS35="","",(AU35-'Rate &amp; Vol Update'!$C$2)/360)</f>
        <v>2.7027777777777779</v>
      </c>
      <c r="AX35" s="15">
        <f>IF(AS35="","",IF('Adjustment Surface'!$C$3='Data Validation'!$C$2,'Adjustment Surface'!$C$4,_xlfn.IFNA(IF(INDEX(Schedules!$E$3:$E$123,MATCH('Bachelier Model'!AT35,Schedules!$B$3:$B$123,0))="",AX34,INDEX(Schedules!$E$3:$E$123,MATCH('Bachelier Model'!AT35,Schedules!$B$3:$B$123,0))),AX34)))</f>
        <v>25000000</v>
      </c>
      <c r="AY35" s="16">
        <f>IF(AS35="","",'Adjustment Surface'!B$16)</f>
        <v>0.04</v>
      </c>
      <c r="AZ35" s="16" cm="1">
        <f t="array" ref="AZ35">IF(AS35="","",FORECAST(AT35,INDEX('Rate &amp; Vol Update'!$C$6:$C$127,MATCH(INDEX('Rate &amp; Vol Update'!$B$6:$B$127,MATCH(AT35,'Rate &amp; Vol Update'!$B$6:$B$127,1)),'Rate &amp; Vol Update'!$B$6:$B$127,0)+IF('Adjustment Surface'!$C$11='Data Validation'!$E$3,-1,0)):INDEX('Rate &amp; Vol Update'!$C$6:$C$127,MATCH(INDEX('Rate &amp; Vol Update'!$B$6:$B$127,MATCH(AT35,'Rate &amp; Vol Update'!$B$6:$B$127,1)+1),'Rate &amp; Vol Update'!$B$6:$B$127,0)+IF('Adjustment Surface'!$C$11='Data Validation'!$E$3,-1,0)),INDEX('Rate &amp; Vol Update'!$B$6:$B$127,MATCH(AT35,'Rate &amp; Vol Update'!$B$6:$B$127,1)):INDEX('Rate &amp; Vol Update'!$B$6:$B$127,MATCH(AT35,'Rate &amp; Vol Update'!$B$6:$B$127,1)+1))/100)</f>
        <v>3.3564175597287978E-2</v>
      </c>
      <c r="BA35" s="16" cm="1">
        <f t="array" ref="BA35">IF(AS35="","",IF(AT35&lt;'Rate &amp; Vol Update'!$C$2,0.001%,(1/((INDEX('Rate &amp; Vol Update'!$E$6:$Z$6,1,MATCH(AY35,'Rate &amp; Vol Update'!$E$6:$Z$6,1)+1)-INDEX('Rate &amp; Vol Update'!$E$6:$Z$6,1,MATCH(AY35,'Rate &amp; Vol Update'!$E$6:$Z$6,1)))*(INDEX('Rate &amp; Vol Update'!$B$8:$B$127,MATCH(AT35,'Rate &amp; Vol Update'!$B$8:$B$127,1)+1)-INDEX('Rate &amp; Vol Update'!$B$8:$B$127,MATCH(AT35,'Rate &amp; Vol Update'!$B$8:$B$127,1))))*(INDEX('Rate &amp; Vol Update'!$E$8:$Z$127,MATCH(INDEX('Rate &amp; Vol Update'!$B$8:$B$127,MATCH(AT35,'Rate &amp; Vol Update'!$B$8:$B$127,1)),'Rate &amp; Vol Update'!$B$8:$B$127,0),MATCH(INDEX('Rate &amp; Vol Update'!$E$6:$Z$6,1,MATCH(AY35,'Rate &amp; Vol Update'!$E$6:$Z$6,1)),'Rate &amp; Vol Update'!$E$6:$Z$6,0))*(INDEX('Rate &amp; Vol Update'!$E$6:$Z$6,1,MATCH(AY35,'Rate &amp; Vol Update'!$E$6:$Z$6,1)+1)-AY35)*(INDEX('Rate &amp; Vol Update'!$B$8:$B$127,MATCH(AT35,'Rate &amp; Vol Update'!$B$8:$B$127,1)+1)-AT35)+INDEX('Rate &amp; Vol Update'!$E$8:$Z$127,MATCH(INDEX('Rate &amp; Vol Update'!$B$8:$B$127,MATCH(AT35,'Rate &amp; Vol Update'!$B$8:$B$127,1)),'Rate &amp; Vol Update'!$B$8:$B$127,0),MATCH(INDEX('Rate &amp; Vol Update'!$E$6:$Z$6,1,MATCH(AY35,'Rate &amp; Vol Update'!$E$6:$Z$6,1)+1),'Rate &amp; Vol Update'!$E$6:$Z$6,0))*(AY35-INDEX('Rate &amp; Vol Update'!$E$6:$Z$6,1,MATCH(AY35,'Rate &amp; Vol Update'!$E$6:$Z$6,1)))*(INDEX('Rate &amp; Vol Update'!$B$8:$B$127,MATCH(AT35,'Rate &amp; Vol Update'!$B$8:$B$127,1)+1)-AT35)+INDEX('Rate &amp; Vol Update'!$E$8:$Z$127,MATCH(INDEX('Rate &amp; Vol Update'!$B$8:$B$127,MATCH(AT35,'Rate &amp; Vol Update'!$B$8:$B$127,1)+1),'Rate &amp; Vol Update'!$B$8:$B$127,0),MATCH(INDEX('Rate &amp; Vol Update'!$E$6:$Z$6,1,MATCH(AY35,'Rate &amp; Vol Update'!$E$6:$Z$6,1)),'Rate &amp; Vol Update'!$E$6:$Z$6,0))*(INDEX('Rate &amp; Vol Update'!$E$6:$Z$6,1,MATCH(AY35,'Rate &amp; Vol Update'!$E$6:$Z$6,1)+1)-AY35)*(AT35-INDEX('Rate &amp; Vol Update'!$B$8:$B$127,MATCH(AT35,'Rate &amp; Vol Update'!$B$8:$B$127,1)))+INDEX('Rate &amp; Vol Update'!$E$8:$Z$127,MATCH(INDEX('Rate &amp; Vol Update'!$B$8:$B$127,MATCH(AT35,'Rate &amp; Vol Update'!$B$8:$B$127,1)+1),'Rate &amp; Vol Update'!$B$8:$B$127,0),MATCH(INDEX('Rate &amp; Vol Update'!$E$6:$Z$6,1,MATCH(AY35,'Rate &amp; Vol Update'!$E$6:$Z$6,1)+1),'Rate &amp; Vol Update'!$E$6:$Z$6,0))*(AY35-INDEX('Rate &amp; Vol Update'!$E$6:$Z$6,1,MATCH(AY35,'Rate &amp; Vol Update'!$E$6:$Z$6,1)))*(AT35-INDEX('Rate &amp; Vol Update'!$B$8:$B$127,MATCH(AT35,'Rate &amp; Vol Update'!$B$8:$B$127,1)))))*0.01%))</f>
        <v>8.3197073680663144E-3</v>
      </c>
      <c r="BB35" s="5">
        <f>IF(AS35="","",1/((1+AZ35)^((AU35-'Rate &amp; Vol Update'!$C$2)/360)))</f>
        <v>0.91463762896096512</v>
      </c>
      <c r="BD35" s="15">
        <f>IF(AS35="","",IF(AT35&lt;'Rate &amp; Vol Update'!$C$2,MAX(0,AZ35-AY35)*(AV35/360)*AX35,(((IF('Adjustment Surface'!$C$2='Data Validation'!$A$2,AZ35,IF('Adjustment Surface'!$C$2='Data Validation'!$A$3,AY35,"Unknown Option Type"))-IF('Adjustment Surface'!$C$2='Data Validation'!$A$2,AY35,IF('Adjustment Surface'!$C$2='Data Validation'!$A$3,AZ35,"Unknown Option Type")))*(NORMDIST((IF('Adjustment Surface'!$C$2='Data Validation'!$A$2,AZ35,IF('Adjustment Surface'!$C$2='Data Validation'!$A$3,AY35,"Unknown Option Type"))-IF('Adjustment Surface'!$C$2='Data Validation'!$A$2,AY35,IF('Adjustment Surface'!$C$2='Data Validation'!$A$3,AZ35,"Unknown Option Type")))/(BA35*SQRT(AW35)),0,1,TRUE)))+((BA35*SQRT(AW35))*(NORMDIST((IF('Adjustment Surface'!$C$2='Data Validation'!$A$2,AZ35,IF('Adjustment Surface'!$C$2='Data Validation'!$A$3,AY35,"Unknown Option Type"))-IF('Adjustment Surface'!$C$2='Data Validation'!$A$2,AY35,IF('Adjustment Surface'!$C$2='Data Validation'!$A$3,AZ35,"Unknown Option Type")))/(BA35*SQRT(AW35)),0,1,FALSE))))*BB35*(AV35/360)*AX35))</f>
        <v>5396.081482547409</v>
      </c>
      <c r="BE35" s="15">
        <f>IF(AS35="","",SUM(BD$4:BD35))</f>
        <v>70324.078381043539</v>
      </c>
      <c r="BG35" s="15">
        <f>IF(AS35="","",IF(AT35&lt;'Rate &amp; Vol Update'!$C$2,0,((((((IF('Adjustment Surface'!$C$2='Data Validation'!$A$2,AZ35,IF('Adjustment Surface'!$C$2='Data Validation'!$A$3,AY35,"Unknown Option Type"))-IF('Adjustment Surface'!$C$2='Data Validation'!$A$2,AY35,IF('Adjustment Surface'!$C$2='Data Validation'!$A$3,AZ35,"Unknown Option Type")))*(NORMDIST((IF('Adjustment Surface'!$C$2='Data Validation'!$A$2,AZ35,IF('Adjustment Surface'!$C$2='Data Validation'!$A$3,AY35,"Unknown Option Type"))-IF('Adjustment Surface'!$C$2='Data Validation'!$A$2,AY35,IF('Adjustment Surface'!$C$2='Data Validation'!$A$3,AZ35,"Unknown Option Type")))/((BA35+0.01%)*SQRT(AW35)),0,1,TRUE)))+(((BA35+0.01%)*SQRT(AW35))*(NORMDIST((IF('Adjustment Surface'!$C$2='Data Validation'!$A$2,AZ35,IF('Adjustment Surface'!$C$2='Data Validation'!$A$3,AY35,"Unknown Option Type"))-IF('Adjustment Surface'!$C$2='Data Validation'!$A$2,AY35,IF('Adjustment Surface'!$C$2='Data Validation'!$A$3,AZ35,"Unknown Option Type")))/((BA35+0.01%)*SQRT(AW35)),0,1,FALSE))))*BB35*(AV35/360))-(BD35/AX35))*AX35)*BB35))</f>
        <v>102.46283748000329</v>
      </c>
      <c r="BH35" s="15">
        <f>IF(AS35="","",SUM(BG$4:BG35))</f>
        <v>1878.8263102563621</v>
      </c>
      <c r="BI35" s="15"/>
      <c r="BJ35" s="20"/>
      <c r="BK35" s="3">
        <v>32</v>
      </c>
      <c r="BL35" s="4">
        <f>IF(BM34=MAX('Adjustment Surface'!$C$14:$F$14),"",BM34)</f>
        <v>47007</v>
      </c>
      <c r="BM35" s="4">
        <f>IF(BL35="","",IF(BL35&lt;EDATE('Adjustment Surface'!$C$6,DATEDIF('Adjustment Surface'!$C$6,MAX('Adjustment Surface'!$C$14:$F$14),"M")),EDATE(BL$5,COUNT(BL$5:BL35)),IF(BL35=EDATE('Adjustment Surface'!$C$6,DATEDIF('Adjustment Surface'!$C$6,MAX('Adjustment Surface'!$C$14:$F$14),"M")),MAX('Adjustment Surface'!$C$14:$F$14),EDATE('Adjustment Surface'!$C$6,DATEDIF('Adjustment Surface'!$C$6,MAX('Adjustment Surface'!$C$14:$F$14),"M")))))</f>
        <v>47037</v>
      </c>
      <c r="BN35" s="3">
        <f t="shared" si="4"/>
        <v>30</v>
      </c>
      <c r="BO35" s="5">
        <f>IF(BK35="","",(BM35-'Rate &amp; Vol Update'!$C$2)/360)</f>
        <v>2.7027777777777779</v>
      </c>
      <c r="BP35" s="15">
        <f>IF(BK35="","",IF('Adjustment Surface'!$C$3='Data Validation'!$C$2,'Adjustment Surface'!$C$4,_xlfn.IFNA(IF(INDEX(Schedules!$E$3:$E$123,MATCH('Bachelier Model'!BL35,Schedules!$B$3:$B$123,0))="",BP34,INDEX(Schedules!$E$3:$E$123,MATCH('Bachelier Model'!BL35,Schedules!$B$3:$B$123,0))),BP34)))</f>
        <v>25000000</v>
      </c>
      <c r="BQ35" s="16">
        <f>IF(BK35="","",'Adjustment Surface'!B$17)</f>
        <v>0.05</v>
      </c>
      <c r="BR35" s="16" cm="1">
        <f t="array" ref="BR35">IF(BK35="","",FORECAST(BL35,INDEX('Rate &amp; Vol Update'!$C$6:$C$127,MATCH(INDEX('Rate &amp; Vol Update'!$B$6:$B$127,MATCH(BL35,'Rate &amp; Vol Update'!$B$6:$B$127,1)),'Rate &amp; Vol Update'!$B$6:$B$127,0)+IF('Adjustment Surface'!$C$11='Data Validation'!$E$3,-1,0)):INDEX('Rate &amp; Vol Update'!$C$6:$C$127,MATCH(INDEX('Rate &amp; Vol Update'!$B$6:$B$127,MATCH(BL35,'Rate &amp; Vol Update'!$B$6:$B$127,1)+1),'Rate &amp; Vol Update'!$B$6:$B$127,0)+IF('Adjustment Surface'!$C$11='Data Validation'!$E$3,-1,0)),INDEX('Rate &amp; Vol Update'!$B$6:$B$127,MATCH(BL35,'Rate &amp; Vol Update'!$B$6:$B$127,1)):INDEX('Rate &amp; Vol Update'!$B$6:$B$127,MATCH(BL35,'Rate &amp; Vol Update'!$B$6:$B$127,1)+1))/100)</f>
        <v>3.3564175597287978E-2</v>
      </c>
      <c r="BS35" s="16" cm="1">
        <f t="array" ref="BS35">IF(BK35="","",IF(BL35&lt;'Rate &amp; Vol Update'!$C$2,0.001%,(1/((INDEX('Rate &amp; Vol Update'!$E$6:$Z$6,1,MATCH(BQ35,'Rate &amp; Vol Update'!$E$6:$Z$6,1)+1)-INDEX('Rate &amp; Vol Update'!$E$6:$Z$6,1,MATCH(BQ35,'Rate &amp; Vol Update'!$E$6:$Z$6,1)))*(INDEX('Rate &amp; Vol Update'!$B$8:$B$127,MATCH(BL35,'Rate &amp; Vol Update'!$B$8:$B$127,1)+1)-INDEX('Rate &amp; Vol Update'!$B$8:$B$127,MATCH(BL35,'Rate &amp; Vol Update'!$B$8:$B$127,1))))*(INDEX('Rate &amp; Vol Update'!$E$8:$Z$127,MATCH(INDEX('Rate &amp; Vol Update'!$B$8:$B$127,MATCH(BL35,'Rate &amp; Vol Update'!$B$8:$B$127,1)),'Rate &amp; Vol Update'!$B$8:$B$127,0),MATCH(INDEX('Rate &amp; Vol Update'!$E$6:$Z$6,1,MATCH(BQ35,'Rate &amp; Vol Update'!$E$6:$Z$6,1)),'Rate &amp; Vol Update'!$E$6:$Z$6,0))*(INDEX('Rate &amp; Vol Update'!$E$6:$Z$6,1,MATCH(BQ35,'Rate &amp; Vol Update'!$E$6:$Z$6,1)+1)-BQ35)*(INDEX('Rate &amp; Vol Update'!$B$8:$B$127,MATCH(BL35,'Rate &amp; Vol Update'!$B$8:$B$127,1)+1)-BL35)+INDEX('Rate &amp; Vol Update'!$E$8:$Z$127,MATCH(INDEX('Rate &amp; Vol Update'!$B$8:$B$127,MATCH(BL35,'Rate &amp; Vol Update'!$B$8:$B$127,1)),'Rate &amp; Vol Update'!$B$8:$B$127,0),MATCH(INDEX('Rate &amp; Vol Update'!$E$6:$Z$6,1,MATCH(BQ35,'Rate &amp; Vol Update'!$E$6:$Z$6,1)+1),'Rate &amp; Vol Update'!$E$6:$Z$6,0))*(BQ35-INDEX('Rate &amp; Vol Update'!$E$6:$Z$6,1,MATCH(BQ35,'Rate &amp; Vol Update'!$E$6:$Z$6,1)))*(INDEX('Rate &amp; Vol Update'!$B$8:$B$127,MATCH(BL35,'Rate &amp; Vol Update'!$B$8:$B$127,1)+1)-BL35)+INDEX('Rate &amp; Vol Update'!$E$8:$Z$127,MATCH(INDEX('Rate &amp; Vol Update'!$B$8:$B$127,MATCH(BL35,'Rate &amp; Vol Update'!$B$8:$B$127,1)+1),'Rate &amp; Vol Update'!$B$8:$B$127,0),MATCH(INDEX('Rate &amp; Vol Update'!$E$6:$Z$6,1,MATCH(BQ35,'Rate &amp; Vol Update'!$E$6:$Z$6,1)),'Rate &amp; Vol Update'!$E$6:$Z$6,0))*(INDEX('Rate &amp; Vol Update'!$E$6:$Z$6,1,MATCH(BQ35,'Rate &amp; Vol Update'!$E$6:$Z$6,1)+1)-BQ35)*(BL35-INDEX('Rate &amp; Vol Update'!$B$8:$B$127,MATCH(BL35,'Rate &amp; Vol Update'!$B$8:$B$127,1)))+INDEX('Rate &amp; Vol Update'!$E$8:$Z$127,MATCH(INDEX('Rate &amp; Vol Update'!$B$8:$B$127,MATCH(BL35,'Rate &amp; Vol Update'!$B$8:$B$127,1)+1),'Rate &amp; Vol Update'!$B$8:$B$127,0),MATCH(INDEX('Rate &amp; Vol Update'!$E$6:$Z$6,1,MATCH(BQ35,'Rate &amp; Vol Update'!$E$6:$Z$6,1)+1),'Rate &amp; Vol Update'!$E$6:$Z$6,0))*(BQ35-INDEX('Rate &amp; Vol Update'!$E$6:$Z$6,1,MATCH(BQ35,'Rate &amp; Vol Update'!$E$6:$Z$6,1)))*(BL35-INDEX('Rate &amp; Vol Update'!$B$8:$B$127,MATCH(BL35,'Rate &amp; Vol Update'!$B$8:$B$127,1)))))*0.01%))</f>
        <v>9.5647124822635203E-3</v>
      </c>
      <c r="BT35" s="5">
        <f>IF(BK35="","",1/((1+BR35)^((BM35-'Rate &amp; Vol Update'!$C$2)/360)))</f>
        <v>0.91463762896096512</v>
      </c>
      <c r="BV35" s="15">
        <f>IF(BK35="","",IF(BL35&lt;'Rate &amp; Vol Update'!$C$2,MAX(0,BR35-BQ35)*(BN35/360)*BP35,(((IF('Adjustment Surface'!$C$2='Data Validation'!$A$2,BR35,IF('Adjustment Surface'!$C$2='Data Validation'!$A$3,BQ35,"Unknown Option Type"))-IF('Adjustment Surface'!$C$2='Data Validation'!$A$2,BQ35,IF('Adjustment Surface'!$C$2='Data Validation'!$A$3,BR35,"Unknown Option Type")))*(NORMDIST((IF('Adjustment Surface'!$C$2='Data Validation'!$A$2,BR35,IF('Adjustment Surface'!$C$2='Data Validation'!$A$3,BQ35,"Unknown Option Type"))-IF('Adjustment Surface'!$C$2='Data Validation'!$A$2,BQ35,IF('Adjustment Surface'!$C$2='Data Validation'!$A$3,BR35,"Unknown Option Type")))/(BS35*SQRT(BO35)),0,1,TRUE)))+((BS35*SQRT(BO35))*(NORMDIST((IF('Adjustment Surface'!$C$2='Data Validation'!$A$2,BR35,IF('Adjustment Surface'!$C$2='Data Validation'!$A$3,BQ35,"Unknown Option Type"))-IF('Adjustment Surface'!$C$2='Data Validation'!$A$2,BQ35,IF('Adjustment Surface'!$C$2='Data Validation'!$A$3,BR35,"Unknown Option Type")))/(BS35*SQRT(BO35)),0,1,FALSE))))*BT35*(BN35/360)*BP35))</f>
        <v>2288.6428223966936</v>
      </c>
      <c r="BW35" s="15">
        <f>IF(BK35="","",SUM(BV$4:BV35))</f>
        <v>22906.289609796266</v>
      </c>
      <c r="BY35" s="15">
        <f>IF(BK35="","",IF(BL35&lt;'Rate &amp; Vol Update'!$C$2,0,((((((IF('Adjustment Surface'!$C$2='Data Validation'!$A$2,BR35,IF('Adjustment Surface'!$C$2='Data Validation'!$A$3,BQ35,"Unknown Option Type"))-IF('Adjustment Surface'!$C$2='Data Validation'!$A$2,BQ35,IF('Adjustment Surface'!$C$2='Data Validation'!$A$3,BR35,"Unknown Option Type")))*(NORMDIST((IF('Adjustment Surface'!$C$2='Data Validation'!$A$2,BR35,IF('Adjustment Surface'!$C$2='Data Validation'!$A$3,BQ35,"Unknown Option Type"))-IF('Adjustment Surface'!$C$2='Data Validation'!$A$2,BQ35,IF('Adjustment Surface'!$C$2='Data Validation'!$A$3,BR35,"Unknown Option Type")))/((BS35+0.01%)*SQRT(BO35)),0,1,TRUE)))+(((BS35+0.01%)*SQRT(BO35))*(NORMDIST((IF('Adjustment Surface'!$C$2='Data Validation'!$A$2,BR35,IF('Adjustment Surface'!$C$2='Data Validation'!$A$3,BQ35,"Unknown Option Type"))-IF('Adjustment Surface'!$C$2='Data Validation'!$A$2,BQ35,IF('Adjustment Surface'!$C$2='Data Validation'!$A$3,BR35,"Unknown Option Type")))/((BS35+0.01%)*SQRT(BO35)),0,1,FALSE))))*BT35*(BN35/360))-(BV35/BP35))*BP35)*BT35))</f>
        <v>66.572016191940037</v>
      </c>
      <c r="BZ35" s="15">
        <f>IF(BK35="","",SUM(BY$4:BY35))</f>
        <v>844.23958583906574</v>
      </c>
      <c r="CA35" s="15"/>
      <c r="CB35" s="20"/>
      <c r="CC35" s="3">
        <v>32</v>
      </c>
      <c r="CD35" s="4">
        <f>IF(CE34=MAX('Adjustment Surface'!$C$14:$F$14),"",CE34)</f>
        <v>47007</v>
      </c>
      <c r="CE35" s="4">
        <f>IF(CD35="","",IF(CD35&lt;EDATE('Adjustment Surface'!$C$6,DATEDIF('Adjustment Surface'!$C$6,MAX('Adjustment Surface'!$C$14:$F$14),"M")),EDATE(CD$5,COUNT(CD$5:CD35)),IF(CD35=EDATE('Adjustment Surface'!$C$6,DATEDIF('Adjustment Surface'!$C$6,MAX('Adjustment Surface'!$C$14:$F$14),"M")),MAX('Adjustment Surface'!$C$14:$F$14),EDATE('Adjustment Surface'!$C$6,DATEDIF('Adjustment Surface'!$C$6,MAX('Adjustment Surface'!$C$14:$F$14),"M")))))</f>
        <v>47037</v>
      </c>
      <c r="CF35" s="3">
        <f t="shared" si="5"/>
        <v>30</v>
      </c>
      <c r="CG35" s="5">
        <f>IF(CC35="","",(CE35-'Rate &amp; Vol Update'!$C$2)/360)</f>
        <v>2.7027777777777779</v>
      </c>
      <c r="CH35" s="15">
        <f>IF(CC35="","",IF('Adjustment Surface'!$C$3='Data Validation'!$C$2,'Adjustment Surface'!$C$4,_xlfn.IFNA(IF(INDEX(Schedules!$E$3:$E$123,MATCH('Bachelier Model'!CD35,Schedules!$B$3:$B$123,0))="",CH34,INDEX(Schedules!$E$3:$E$123,MATCH('Bachelier Model'!CD35,Schedules!$B$3:$B$123,0))),CH34)))</f>
        <v>25000000</v>
      </c>
      <c r="CI35" s="16">
        <f>IF(CC35="","",'Adjustment Surface'!B$18)</f>
        <v>0.06</v>
      </c>
      <c r="CJ35" s="16" cm="1">
        <f t="array" ref="CJ35">IF(CC35="","",FORECAST(CD35,INDEX('Rate &amp; Vol Update'!$C$6:$C$127,MATCH(INDEX('Rate &amp; Vol Update'!$B$6:$B$127,MATCH(CD35,'Rate &amp; Vol Update'!$B$6:$B$127,1)),'Rate &amp; Vol Update'!$B$6:$B$127,0)+IF('Adjustment Surface'!$C$11='Data Validation'!$E$3,-1,0)):INDEX('Rate &amp; Vol Update'!$C$6:$C$127,MATCH(INDEX('Rate &amp; Vol Update'!$B$6:$B$127,MATCH(CD35,'Rate &amp; Vol Update'!$B$6:$B$127,1)+1),'Rate &amp; Vol Update'!$B$6:$B$127,0)+IF('Adjustment Surface'!$C$11='Data Validation'!$E$3,-1,0)),INDEX('Rate &amp; Vol Update'!$B$6:$B$127,MATCH(CD35,'Rate &amp; Vol Update'!$B$6:$B$127,1)):INDEX('Rate &amp; Vol Update'!$B$6:$B$127,MATCH(CD35,'Rate &amp; Vol Update'!$B$6:$B$127,1)+1))/100)</f>
        <v>3.3564175597287978E-2</v>
      </c>
      <c r="CK35" s="16" cm="1">
        <f t="array" ref="CK35">IF(CC35="","",IF(CD35&lt;'Rate &amp; Vol Update'!$C$2,0.001%,(1/((INDEX('Rate &amp; Vol Update'!$E$6:$Z$6,1,MATCH(CI35,'Rate &amp; Vol Update'!$E$6:$Z$6,1)+1)-INDEX('Rate &amp; Vol Update'!$E$6:$Z$6,1,MATCH(CI35,'Rate &amp; Vol Update'!$E$6:$Z$6,1)))*(INDEX('Rate &amp; Vol Update'!$B$8:$B$127,MATCH(CD35,'Rate &amp; Vol Update'!$B$8:$B$127,1)+1)-INDEX('Rate &amp; Vol Update'!$B$8:$B$127,MATCH(CD35,'Rate &amp; Vol Update'!$B$8:$B$127,1))))*(INDEX('Rate &amp; Vol Update'!$E$8:$Z$127,MATCH(INDEX('Rate &amp; Vol Update'!$B$8:$B$127,MATCH(CD35,'Rate &amp; Vol Update'!$B$8:$B$127,1)),'Rate &amp; Vol Update'!$B$8:$B$127,0),MATCH(INDEX('Rate &amp; Vol Update'!$E$6:$Z$6,1,MATCH(CI35,'Rate &amp; Vol Update'!$E$6:$Z$6,1)),'Rate &amp; Vol Update'!$E$6:$Z$6,0))*(INDEX('Rate &amp; Vol Update'!$E$6:$Z$6,1,MATCH(CI35,'Rate &amp; Vol Update'!$E$6:$Z$6,1)+1)-CI35)*(INDEX('Rate &amp; Vol Update'!$B$8:$B$127,MATCH(CD35,'Rate &amp; Vol Update'!$B$8:$B$127,1)+1)-CD35)+INDEX('Rate &amp; Vol Update'!$E$8:$Z$127,MATCH(INDEX('Rate &amp; Vol Update'!$B$8:$B$127,MATCH(CD35,'Rate &amp; Vol Update'!$B$8:$B$127,1)),'Rate &amp; Vol Update'!$B$8:$B$127,0),MATCH(INDEX('Rate &amp; Vol Update'!$E$6:$Z$6,1,MATCH(CI35,'Rate &amp; Vol Update'!$E$6:$Z$6,1)+1),'Rate &amp; Vol Update'!$E$6:$Z$6,0))*(CI35-INDEX('Rate &amp; Vol Update'!$E$6:$Z$6,1,MATCH(CI35,'Rate &amp; Vol Update'!$E$6:$Z$6,1)))*(INDEX('Rate &amp; Vol Update'!$B$8:$B$127,MATCH(CD35,'Rate &amp; Vol Update'!$B$8:$B$127,1)+1)-CD35)+INDEX('Rate &amp; Vol Update'!$E$8:$Z$127,MATCH(INDEX('Rate &amp; Vol Update'!$B$8:$B$127,MATCH(CD35,'Rate &amp; Vol Update'!$B$8:$B$127,1)+1),'Rate &amp; Vol Update'!$B$8:$B$127,0),MATCH(INDEX('Rate &amp; Vol Update'!$E$6:$Z$6,1,MATCH(CI35,'Rate &amp; Vol Update'!$E$6:$Z$6,1)),'Rate &amp; Vol Update'!$E$6:$Z$6,0))*(INDEX('Rate &amp; Vol Update'!$E$6:$Z$6,1,MATCH(CI35,'Rate &amp; Vol Update'!$E$6:$Z$6,1)+1)-CI35)*(CD35-INDEX('Rate &amp; Vol Update'!$B$8:$B$127,MATCH(CD35,'Rate &amp; Vol Update'!$B$8:$B$127,1)))+INDEX('Rate &amp; Vol Update'!$E$8:$Z$127,MATCH(INDEX('Rate &amp; Vol Update'!$B$8:$B$127,MATCH(CD35,'Rate &amp; Vol Update'!$B$8:$B$127,1)+1),'Rate &amp; Vol Update'!$B$8:$B$127,0),MATCH(INDEX('Rate &amp; Vol Update'!$E$6:$Z$6,1,MATCH(CI35,'Rate &amp; Vol Update'!$E$6:$Z$6,1)+1),'Rate &amp; Vol Update'!$E$6:$Z$6,0))*(CI35-INDEX('Rate &amp; Vol Update'!$E$6:$Z$6,1,MATCH(CI35,'Rate &amp; Vol Update'!$E$6:$Z$6,1)))*(CD35-INDEX('Rate &amp; Vol Update'!$B$8:$B$127,MATCH(CD35,'Rate &amp; Vol Update'!$B$8:$B$127,1)))))*0.01%))</f>
        <v>1.1208950576075231E-2</v>
      </c>
      <c r="CL35" s="5">
        <f>IF(CC35="","",1/((1+CJ35)^((CE35-'Rate &amp; Vol Update'!$C$2)/360)))</f>
        <v>0.91463762896096512</v>
      </c>
      <c r="CN35" s="15">
        <f>IF(CC35="","",IF(CD35&lt;'Rate &amp; Vol Update'!$C$2,MAX(0,CJ35-CI35)*(CF35/360)*CH35,(((IF('Adjustment Surface'!$C$2='Data Validation'!$A$2,CJ35,IF('Adjustment Surface'!$C$2='Data Validation'!$A$3,CI35,"Unknown Option Type"))-IF('Adjustment Surface'!$C$2='Data Validation'!$A$2,CI35,IF('Adjustment Surface'!$C$2='Data Validation'!$A$3,CJ35,"Unknown Option Type")))*(NORMDIST((IF('Adjustment Surface'!$C$2='Data Validation'!$A$2,CJ35,IF('Adjustment Surface'!$C$2='Data Validation'!$A$3,CI35,"Unknown Option Type"))-IF('Adjustment Surface'!$C$2='Data Validation'!$A$2,CI35,IF('Adjustment Surface'!$C$2='Data Validation'!$A$3,CJ35,"Unknown Option Type")))/(CK35*SQRT(CG35)),0,1,TRUE)))+((CK35*SQRT(CG35))*(NORMDIST((IF('Adjustment Surface'!$C$2='Data Validation'!$A$2,CJ35,IF('Adjustment Surface'!$C$2='Data Validation'!$A$3,CI35,"Unknown Option Type"))-IF('Adjustment Surface'!$C$2='Data Validation'!$A$2,CI35,IF('Adjustment Surface'!$C$2='Data Validation'!$A$3,CJ35,"Unknown Option Type")))/(CK35*SQRT(CG35)),0,1,FALSE))))*CL35*(CF35/360)*CH35))</f>
        <v>1192.6114458438105</v>
      </c>
      <c r="CO35" s="15">
        <f>IF(CC35="","",SUM(CN$4:CN35))</f>
        <v>10604.81282125118</v>
      </c>
      <c r="CQ35" s="15">
        <f>IF(CC35="","",IF(CD35&lt;'Rate &amp; Vol Update'!$C$2,0,((((((IF('Adjustment Surface'!$C$2='Data Validation'!$A$2,CJ35,IF('Adjustment Surface'!$C$2='Data Validation'!$A$3,CI35,"Unknown Option Type"))-IF('Adjustment Surface'!$C$2='Data Validation'!$A$2,CI35,IF('Adjustment Surface'!$C$2='Data Validation'!$A$3,CJ35,"Unknown Option Type")))*(NORMDIST((IF('Adjustment Surface'!$C$2='Data Validation'!$A$2,CJ35,IF('Adjustment Surface'!$C$2='Data Validation'!$A$3,CI35,"Unknown Option Type"))-IF('Adjustment Surface'!$C$2='Data Validation'!$A$2,CI35,IF('Adjustment Surface'!$C$2='Data Validation'!$A$3,CJ35,"Unknown Option Type")))/((CK35+0.01%)*SQRT(CG35)),0,1,TRUE)))+(((CK35+0.01%)*SQRT(CG35))*(NORMDIST((IF('Adjustment Surface'!$C$2='Data Validation'!$A$2,CJ35,IF('Adjustment Surface'!$C$2='Data Validation'!$A$3,CI35,"Unknown Option Type"))-IF('Adjustment Surface'!$C$2='Data Validation'!$A$2,CI35,IF('Adjustment Surface'!$C$2='Data Validation'!$A$3,CJ35,"Unknown Option Type")))/((CK35+0.01%)*SQRT(CG35)),0,1,FALSE))))*CL35*(CF35/360))-(CN35/CH35))*CH35)*CL35))</f>
        <v>41.223094010019061</v>
      </c>
      <c r="CR35" s="15">
        <f>IF(CC35="","",SUM(CQ$4:CQ35))</f>
        <v>444.1243110824422</v>
      </c>
    </row>
    <row r="36" spans="7:96" x14ac:dyDescent="0.25">
      <c r="G36" s="28"/>
      <c r="I36" s="3">
        <v>33</v>
      </c>
      <c r="J36" s="4">
        <f>IF(K35='Adjustment Surface'!C$8,"",K35)</f>
        <v>47037</v>
      </c>
      <c r="K36" s="4">
        <f>IF(J36="","",IF(J36&lt;'Adjustment Surface'!C$7,EDATE(J$5,COUNT(J$5:J36)),IF(J36='Adjustment Surface'!C$7,'Adjustment Surface'!C$8,'Adjustment Surface'!C$7)))</f>
        <v>47068</v>
      </c>
      <c r="L36" s="3">
        <f t="shared" si="1"/>
        <v>31</v>
      </c>
      <c r="M36" s="5">
        <f>IF(I36="","",(K36-'Rate &amp; Vol Update'!$C$2)/360)</f>
        <v>2.7888888888888888</v>
      </c>
      <c r="N36" s="15">
        <f>IF(I36="","",IF('Adjustment Surface'!C$3='Data Validation'!$C$2,'Adjustment Surface'!C$4,IF(INDEX(Schedules!$E$3:$E$123,MATCH('Bachelier Model'!J36,Schedules!$B$3:$B$123,0))="",N35,INDEX(Schedules!$E$3:$E$123,MATCH('Bachelier Model'!J36,Schedules!$B$3:$B$123,0)))))</f>
        <v>25000000</v>
      </c>
      <c r="O36" s="16">
        <f>IF(I36="","",IF('Adjustment Surface'!C$9='Data Validation'!$D$2,'Adjustment Surface'!C$10,IF(INDEX(Schedules!$H$3:$H$123,MATCH('Bachelier Model'!J36,Schedules!$B$3:$B$123,0))="",O35,INDEX(Schedules!$H$3:$H$123,MATCH('Bachelier Model'!J36,Schedules!$B$3:$B$123,0)))))</f>
        <v>0.02</v>
      </c>
      <c r="P36" s="16" cm="1">
        <f t="array" ref="P36">IF(I36="","",FORECAST(J36,INDEX('Rate &amp; Vol Update'!$C$6:$C$127,MATCH(INDEX('Rate &amp; Vol Update'!$B$6:$B$127,MATCH(J36,'Rate &amp; Vol Update'!$B$6:$B$127,1)),'Rate &amp; Vol Update'!$B$6:$B$127,0)+IF('Adjustment Surface'!C$11='Data Validation'!$E$3,-1,0)):INDEX('Rate &amp; Vol Update'!$C$6:$C$127,MATCH(INDEX('Rate &amp; Vol Update'!$B$6:$B$127,MATCH(J36,'Rate &amp; Vol Update'!$B$6:$B$127,1)+1),'Rate &amp; Vol Update'!$B$6:$B$127,0)+IF('Adjustment Surface'!C$11='Data Validation'!$E$3,-1,0)),INDEX('Rate &amp; Vol Update'!$B$6:$B$127,MATCH(J36,'Rate &amp; Vol Update'!$B$6:$B$127,1)):INDEX('Rate &amp; Vol Update'!$B$6:$B$127,MATCH(J36,'Rate &amp; Vol Update'!$B$6:$B$127,1)+1))/100)</f>
        <v>3.3565738847226766E-2</v>
      </c>
      <c r="Q36" s="16" cm="1">
        <f t="array" ref="Q36">IF(I36="","",IF(J36&lt;'Rate &amp; Vol Update'!$C$2,0.001%,(1/((INDEX('Rate &amp; Vol Update'!$E$6:$Z$6,1,MATCH(O36,'Rate &amp; Vol Update'!$E$6:$Z$6,1)+1)-INDEX('Rate &amp; Vol Update'!$E$6:$Z$6,1,MATCH(O36,'Rate &amp; Vol Update'!$E$6:$Z$6,1)))*(INDEX('Rate &amp; Vol Update'!$B$8:$B$127,MATCH(J36,'Rate &amp; Vol Update'!$B$8:$B$127,1)+1)-INDEX('Rate &amp; Vol Update'!$B$8:$B$127,MATCH(J36,'Rate &amp; Vol Update'!$B$8:$B$127,1))))*(INDEX('Rate &amp; Vol Update'!$E$8:$Z$127,MATCH(INDEX('Rate &amp; Vol Update'!$B$8:$B$127,MATCH(J36,'Rate &amp; Vol Update'!$B$8:$B$127,1)),'Rate &amp; Vol Update'!$B$8:$B$127,0),MATCH(INDEX('Rate &amp; Vol Update'!$E$6:$Z$6,1,MATCH(O36,'Rate &amp; Vol Update'!$E$6:$Z$6,1)),'Rate &amp; Vol Update'!$E$6:$Z$6,0))*(INDEX('Rate &amp; Vol Update'!$E$6:$Z$6,1,MATCH(O36,'Rate &amp; Vol Update'!$E$6:$Z$6,1)+1)-O36)*(INDEX('Rate &amp; Vol Update'!$B$8:$B$127,MATCH(J36,'Rate &amp; Vol Update'!$B$8:$B$127,1)+1)-J36)+INDEX('Rate &amp; Vol Update'!$E$8:$Z$127,MATCH(INDEX('Rate &amp; Vol Update'!$B$8:$B$127,MATCH(J36,'Rate &amp; Vol Update'!$B$8:$B$127,1)),'Rate &amp; Vol Update'!$B$8:$B$127,0),MATCH(INDEX('Rate &amp; Vol Update'!$E$6:$Z$6,1,MATCH(O36,'Rate &amp; Vol Update'!$E$6:$Z$6,1)+1),'Rate &amp; Vol Update'!$E$6:$Z$6,0))*(O36-INDEX('Rate &amp; Vol Update'!$E$6:$Z$6,1,MATCH(O36,'Rate &amp; Vol Update'!$E$6:$Z$6,1)))*(INDEX('Rate &amp; Vol Update'!$B$8:$B$127,MATCH(J36,'Rate &amp; Vol Update'!$B$8:$B$127,1)+1)-J36)+INDEX('Rate &amp; Vol Update'!$E$8:$Z$127,MATCH(INDEX('Rate &amp; Vol Update'!$B$8:$B$127,MATCH(J36,'Rate &amp; Vol Update'!$B$8:$B$127,1)+1),'Rate &amp; Vol Update'!$B$8:$B$127,0),MATCH(INDEX('Rate &amp; Vol Update'!$E$6:$Z$6,1,MATCH(O36,'Rate &amp; Vol Update'!$E$6:$Z$6,1)),'Rate &amp; Vol Update'!$E$6:$Z$6,0))*(INDEX('Rate &amp; Vol Update'!$E$6:$Z$6,1,MATCH(O36,'Rate &amp; Vol Update'!$E$6:$Z$6,1)+1)-O36)*(J36-INDEX('Rate &amp; Vol Update'!$B$8:$B$127,MATCH(J36,'Rate &amp; Vol Update'!$B$8:$B$127,1)))+INDEX('Rate &amp; Vol Update'!$E$8:$Z$127,MATCH(INDEX('Rate &amp; Vol Update'!$B$8:$B$127,MATCH(J36,'Rate &amp; Vol Update'!$B$8:$B$127,1)+1),'Rate &amp; Vol Update'!$B$8:$B$127,0),MATCH(INDEX('Rate &amp; Vol Update'!$E$6:$Z$6,1,MATCH(O36,'Rate &amp; Vol Update'!$E$6:$Z$6,1)+1),'Rate &amp; Vol Update'!$E$6:$Z$6,0))*(O36-INDEX('Rate &amp; Vol Update'!$E$6:$Z$6,1,MATCH(O36,'Rate &amp; Vol Update'!$E$6:$Z$6,1)))*(J36-INDEX('Rate &amp; Vol Update'!$B$8:$B$127,MATCH(J36,'Rate &amp; Vol Update'!$B$8:$B$127,1)))))*0.01%))</f>
        <v>9.077606102997092E-3</v>
      </c>
      <c r="R36" s="5">
        <f>IF(I36="","",1/((1+P36)^((K36-'Rate &amp; Vol Update'!$C$2)/360)))</f>
        <v>0.91203733978158119</v>
      </c>
      <c r="T36" s="15">
        <f>IF(I36="","",IF(J36&lt;'Rate &amp; Vol Update'!$C$2,MAX(0,P36-O36)*(L36/360)*N36,(((IF('Adjustment Surface'!C$2='Data Validation'!$A$2,P36,IF('Adjustment Surface'!C$2='Data Validation'!$A$3,O36,"Unknown Option Type"))-IF('Adjustment Surface'!C$2='Data Validation'!$A$2,O36,IF('Adjustment Surface'!C$2='Data Validation'!$A$3,P36,"Unknown Option Type")))*(NORMDIST((IF('Adjustment Surface'!C$2='Data Validation'!$A$2,P36,IF('Adjustment Surface'!C$2='Data Validation'!$A$3,O36,"Unknown Option Type"))-IF('Adjustment Surface'!C$2='Data Validation'!$A$2,O36,IF('Adjustment Surface'!C$2='Data Validation'!$A$3,P36,"Unknown Option Type")))/(Q36*SQRT(M36)),0,1,TRUE)))+((Q36*SQRT(M36))*(NORMDIST((IF('Adjustment Surface'!C$2='Data Validation'!$A$2,P36,IF('Adjustment Surface'!C$2='Data Validation'!$A$3,O36,"Unknown Option Type"))-IF('Adjustment Surface'!C$2='Data Validation'!$A$2,O36,IF('Adjustment Surface'!C$2='Data Validation'!$A$3,P36,"Unknown Option Type")))/(Q36*SQRT(M36)),0,1,FALSE))))*R36*(L36/360)*N36))</f>
        <v>29652.689440266127</v>
      </c>
      <c r="U36" s="15">
        <f>IF(I36="","",SUM(T$4:T36))</f>
        <v>928169.08701950638</v>
      </c>
      <c r="W36" s="15">
        <f>IF(I36="","",IF(J36&lt;'Rate &amp; Vol Update'!$C$2,0,((((((IF('Adjustment Surface'!C$2='Data Validation'!$A$2,P36,IF('Adjustment Surface'!C$2='Data Validation'!$A$3,O36,"Unknown Option Type"))-IF('Adjustment Surface'!C$2='Data Validation'!$A$2,O36,IF('Adjustment Surface'!C$2='Data Validation'!$A$3,P36,"Unknown Option Type")))*(NORMDIST((IF('Adjustment Surface'!C$2='Data Validation'!$A$2,P36,IF('Adjustment Surface'!C$2='Data Validation'!$A$3,O36,"Unknown Option Type"))-IF('Adjustment Surface'!C$2='Data Validation'!$A$2,O36,IF('Adjustment Surface'!C$2='Data Validation'!$A$3,P36,"Unknown Option Type")))/((Q36+0.01%)*SQRT(M36)),0,1,TRUE)))+(((Q36+0.01%)*SQRT(M36))*(NORMDIST((IF('Adjustment Surface'!C$2='Data Validation'!$A$2,P36,IF('Adjustment Surface'!C$2='Data Validation'!$A$3,O36,"Unknown Option Type"))-IF('Adjustment Surface'!C$2='Data Validation'!$A$2,O36,IF('Adjustment Surface'!C$2='Data Validation'!$A$3,P36,"Unknown Option Type")))/((Q36+0.01%)*SQRT(M36)),0,1,FALSE))))*R36*(L36/360))-(T36/N36))*N36)*R36))</f>
        <v>80.289559128769326</v>
      </c>
      <c r="X36" s="15">
        <f>IF(I36="","",SUM(W$4:W36))</f>
        <v>1475.0201559941563</v>
      </c>
      <c r="Y36" s="15"/>
      <c r="Z36" s="20"/>
      <c r="AA36" s="3">
        <v>33</v>
      </c>
      <c r="AB36" s="4">
        <f>IF(AC35=MAX('Adjustment Surface'!$C$14:$F$14),"",AC35)</f>
        <v>47037</v>
      </c>
      <c r="AC36" s="4">
        <f>IF(AB36="","",IF(AB36&lt;EDATE('Adjustment Surface'!$C$6,DATEDIF('Adjustment Surface'!$C$6,MAX('Adjustment Surface'!$C$14:$F$14),"M")),EDATE(AB$5,COUNT(AB$5:AB36)),IF(AB36=EDATE('Adjustment Surface'!$C$6,DATEDIF('Adjustment Surface'!$C$6,MAX('Adjustment Surface'!$C$14:$F$14),"M")),MAX('Adjustment Surface'!$C$14:$F$14),EDATE('Adjustment Surface'!$C$6,DATEDIF('Adjustment Surface'!$C$6,MAX('Adjustment Surface'!$C$14:$F$14),"M")))))</f>
        <v>47068</v>
      </c>
      <c r="AD36" s="3">
        <f t="shared" si="2"/>
        <v>31</v>
      </c>
      <c r="AE36" s="5">
        <f>IF(AA36="","",(AC36-'Rate &amp; Vol Update'!$C$2)/360)</f>
        <v>2.7888888888888888</v>
      </c>
      <c r="AF36" s="15">
        <f>IF(AA36="","",IF('Adjustment Surface'!$C$3='Data Validation'!$C$2,'Adjustment Surface'!$C$4,_xlfn.IFNA(IF(INDEX(Schedules!$E$3:$E$123,MATCH('Bachelier Model'!AB36,Schedules!$B$3:$B$123,0))="",AF35,INDEX(Schedules!$E$3:$E$123,MATCH('Bachelier Model'!AB36,Schedules!$B$3:$B$123,0))),AF35)))</f>
        <v>25000000</v>
      </c>
      <c r="AG36" s="16">
        <f>IF(AA36="","",'Adjustment Surface'!B$15)</f>
        <v>0.03</v>
      </c>
      <c r="AH36" s="16" cm="1">
        <f t="array" ref="AH36">IF(AA36="","",FORECAST(AB36,INDEX('Rate &amp; Vol Update'!$C$6:$C$127,MATCH(INDEX('Rate &amp; Vol Update'!$B$6:$B$127,MATCH(AB36,'Rate &amp; Vol Update'!$B$6:$B$127,1)),'Rate &amp; Vol Update'!$B$6:$B$127,0)+IF('Adjustment Surface'!$C$11='Data Validation'!$E$3,-1,0)):INDEX('Rate &amp; Vol Update'!$C$6:$C$127,MATCH(INDEX('Rate &amp; Vol Update'!$B$6:$B$127,MATCH(AB36,'Rate &amp; Vol Update'!$B$6:$B$127,1)+1),'Rate &amp; Vol Update'!$B$6:$B$127,0)+IF('Adjustment Surface'!$C$11='Data Validation'!$E$3,-1,0)),INDEX('Rate &amp; Vol Update'!$B$6:$B$127,MATCH(AB36,'Rate &amp; Vol Update'!$B$6:$B$127,1)):INDEX('Rate &amp; Vol Update'!$B$6:$B$127,MATCH(AB36,'Rate &amp; Vol Update'!$B$6:$B$127,1)+1))/100)</f>
        <v>3.3565738847226766E-2</v>
      </c>
      <c r="AI36" s="16" cm="1">
        <f t="array" ref="AI36">IF(AA36="","",IF(AB36&lt;'Rate &amp; Vol Update'!$C$2,0.001%,(1/((INDEX('Rate &amp; Vol Update'!$E$6:$Z$6,1,MATCH(AG36,'Rate &amp; Vol Update'!$E$6:$Z$6,1)+1)-INDEX('Rate &amp; Vol Update'!$E$6:$Z$6,1,MATCH(AG36,'Rate &amp; Vol Update'!$E$6:$Z$6,1)))*(INDEX('Rate &amp; Vol Update'!$B$8:$B$127,MATCH(AB36,'Rate &amp; Vol Update'!$B$8:$B$127,1)+1)-INDEX('Rate &amp; Vol Update'!$B$8:$B$127,MATCH(AB36,'Rate &amp; Vol Update'!$B$8:$B$127,1))))*(INDEX('Rate &amp; Vol Update'!$E$8:$Z$127,MATCH(INDEX('Rate &amp; Vol Update'!$B$8:$B$127,MATCH(AB36,'Rate &amp; Vol Update'!$B$8:$B$127,1)),'Rate &amp; Vol Update'!$B$8:$B$127,0),MATCH(INDEX('Rate &amp; Vol Update'!$E$6:$Z$6,1,MATCH(AG36,'Rate &amp; Vol Update'!$E$6:$Z$6,1)),'Rate &amp; Vol Update'!$E$6:$Z$6,0))*(INDEX('Rate &amp; Vol Update'!$E$6:$Z$6,1,MATCH(AG36,'Rate &amp; Vol Update'!$E$6:$Z$6,1)+1)-AG36)*(INDEX('Rate &amp; Vol Update'!$B$8:$B$127,MATCH(AB36,'Rate &amp; Vol Update'!$B$8:$B$127,1)+1)-AB36)+INDEX('Rate &amp; Vol Update'!$E$8:$Z$127,MATCH(INDEX('Rate &amp; Vol Update'!$B$8:$B$127,MATCH(AB36,'Rate &amp; Vol Update'!$B$8:$B$127,1)),'Rate &amp; Vol Update'!$B$8:$B$127,0),MATCH(INDEX('Rate &amp; Vol Update'!$E$6:$Z$6,1,MATCH(AG36,'Rate &amp; Vol Update'!$E$6:$Z$6,1)+1),'Rate &amp; Vol Update'!$E$6:$Z$6,0))*(AG36-INDEX('Rate &amp; Vol Update'!$E$6:$Z$6,1,MATCH(AG36,'Rate &amp; Vol Update'!$E$6:$Z$6,1)))*(INDEX('Rate &amp; Vol Update'!$B$8:$B$127,MATCH(AB36,'Rate &amp; Vol Update'!$B$8:$B$127,1)+1)-AB36)+INDEX('Rate &amp; Vol Update'!$E$8:$Z$127,MATCH(INDEX('Rate &amp; Vol Update'!$B$8:$B$127,MATCH(AB36,'Rate &amp; Vol Update'!$B$8:$B$127,1)+1),'Rate &amp; Vol Update'!$B$8:$B$127,0),MATCH(INDEX('Rate &amp; Vol Update'!$E$6:$Z$6,1,MATCH(AG36,'Rate &amp; Vol Update'!$E$6:$Z$6,1)),'Rate &amp; Vol Update'!$E$6:$Z$6,0))*(INDEX('Rate &amp; Vol Update'!$E$6:$Z$6,1,MATCH(AG36,'Rate &amp; Vol Update'!$E$6:$Z$6,1)+1)-AG36)*(AB36-INDEX('Rate &amp; Vol Update'!$B$8:$B$127,MATCH(AB36,'Rate &amp; Vol Update'!$B$8:$B$127,1)))+INDEX('Rate &amp; Vol Update'!$E$8:$Z$127,MATCH(INDEX('Rate &amp; Vol Update'!$B$8:$B$127,MATCH(AB36,'Rate &amp; Vol Update'!$B$8:$B$127,1)+1),'Rate &amp; Vol Update'!$B$8:$B$127,0),MATCH(INDEX('Rate &amp; Vol Update'!$E$6:$Z$6,1,MATCH(AG36,'Rate &amp; Vol Update'!$E$6:$Z$6,1)+1),'Rate &amp; Vol Update'!$E$6:$Z$6,0))*(AG36-INDEX('Rate &amp; Vol Update'!$E$6:$Z$6,1,MATCH(AG36,'Rate &amp; Vol Update'!$E$6:$Z$6,1)))*(AB36-INDEX('Rate &amp; Vol Update'!$B$8:$B$127,MATCH(AB36,'Rate &amp; Vol Update'!$B$8:$B$127,1)))))*0.01%))</f>
        <v>8.1653631839340643E-3</v>
      </c>
      <c r="AJ36" s="5">
        <f>IF(AA36="","",1/((1+AH36)^((AC36-'Rate &amp; Vol Update'!$C$2)/360)))</f>
        <v>0.91203733978158119</v>
      </c>
      <c r="AL36" s="15">
        <f>IF(AA36="","",IF(AB36&lt;'Rate &amp; Vol Update'!$C$2,MAX(0,AH36-AG36)*(AD36/360)*AF36,(((IF('Adjustment Surface'!$C$2='Data Validation'!$A$2,AH36,IF('Adjustment Surface'!$C$2='Data Validation'!$A$3,AG36,"Unknown Option Type"))-IF('Adjustment Surface'!$C$2='Data Validation'!$A$2,AG36,IF('Adjustment Surface'!$C$2='Data Validation'!$A$3,AH36,"Unknown Option Type")))*(NORMDIST((IF('Adjustment Surface'!$C$2='Data Validation'!$A$2,AH36,IF('Adjustment Surface'!$C$2='Data Validation'!$A$3,AG36,"Unknown Option Type"))-IF('Adjustment Surface'!$C$2='Data Validation'!$A$2,AG36,IF('Adjustment Surface'!$C$2='Data Validation'!$A$3,AH36,"Unknown Option Type")))/(AI36*SQRT(AE36)),0,1,TRUE)))+((AI36*SQRT(AE36))*(NORMDIST((IF('Adjustment Surface'!$C$2='Data Validation'!$A$2,AH36,IF('Adjustment Surface'!$C$2='Data Validation'!$A$3,AG36,"Unknown Option Type"))-IF('Adjustment Surface'!$C$2='Data Validation'!$A$2,AG36,IF('Adjustment Surface'!$C$2='Data Validation'!$A$3,AH36,"Unknown Option Type")))/(AI36*SQRT(AE36)),0,1,FALSE))))*AJ36*(AD36/360)*AF36))</f>
        <v>14544.644256133364</v>
      </c>
      <c r="AM36" s="15">
        <f>IF(AA36="","",SUM(AL$4:AL36))</f>
        <v>366994.13864209014</v>
      </c>
      <c r="AO36" s="15">
        <f>IF(AA36="","",IF(AB36&lt;'Rate &amp; Vol Update'!$C$2,0,((((((IF('Adjustment Surface'!$C$2='Data Validation'!$A$2,AH36,IF('Adjustment Surface'!$C$2='Data Validation'!$A$3,AG36,"Unknown Option Type"))-IF('Adjustment Surface'!$C$2='Data Validation'!$A$2,AG36,IF('Adjustment Surface'!$C$2='Data Validation'!$A$3,AH36,"Unknown Option Type")))*(NORMDIST((IF('Adjustment Surface'!$C$2='Data Validation'!$A$2,AH36,IF('Adjustment Surface'!$C$2='Data Validation'!$A$3,AG36,"Unknown Option Type"))-IF('Adjustment Surface'!$C$2='Data Validation'!$A$2,AG36,IF('Adjustment Surface'!$C$2='Data Validation'!$A$3,AH36,"Unknown Option Type")))/((AI36+0.01%)*SQRT(AE36)),0,1,TRUE)))+(((AI36+0.01%)*SQRT(AE36))*(NORMDIST((IF('Adjustment Surface'!$C$2='Data Validation'!$A$2,AH36,IF('Adjustment Surface'!$C$2='Data Validation'!$A$3,AG36,"Unknown Option Type"))-IF('Adjustment Surface'!$C$2='Data Validation'!$A$2,AG36,IF('Adjustment Surface'!$C$2='Data Validation'!$A$3,AH36,"Unknown Option Type")))/((AI36+0.01%)*SQRT(AE36)),0,1,FALSE))))*AJ36*(AD36/360))-(AL36/AF36))*AF36)*AJ36))</f>
        <v>115.34045423052737</v>
      </c>
      <c r="AP36" s="15">
        <f>IF(AA36="","",SUM(AO$4:AO36))</f>
        <v>2578.21075696356</v>
      </c>
      <c r="AQ36" s="15"/>
      <c r="AR36" s="20"/>
      <c r="AS36" s="3">
        <v>33</v>
      </c>
      <c r="AT36" s="4">
        <f>IF(AU35=MAX('Adjustment Surface'!$C$14:$F$14),"",AU35)</f>
        <v>47037</v>
      </c>
      <c r="AU36" s="4">
        <f>IF(AT36="","",IF(AT36&lt;EDATE('Adjustment Surface'!$C$6,DATEDIF('Adjustment Surface'!$C$6,MAX('Adjustment Surface'!$C$14:$F$14),"M")),EDATE(AT$5,COUNT(AT$5:AT36)),IF(AT36=EDATE('Adjustment Surface'!$C$6,DATEDIF('Adjustment Surface'!$C$6,MAX('Adjustment Surface'!$C$14:$F$14),"M")),MAX('Adjustment Surface'!$C$14:$F$14),EDATE('Adjustment Surface'!$C$6,DATEDIF('Adjustment Surface'!$C$6,MAX('Adjustment Surface'!$C$14:$F$14),"M")))))</f>
        <v>47068</v>
      </c>
      <c r="AV36" s="3">
        <f t="shared" si="3"/>
        <v>31</v>
      </c>
      <c r="AW36" s="5">
        <f>IF(AS36="","",(AU36-'Rate &amp; Vol Update'!$C$2)/360)</f>
        <v>2.7888888888888888</v>
      </c>
      <c r="AX36" s="15">
        <f>IF(AS36="","",IF('Adjustment Surface'!$C$3='Data Validation'!$C$2,'Adjustment Surface'!$C$4,_xlfn.IFNA(IF(INDEX(Schedules!$E$3:$E$123,MATCH('Bachelier Model'!AT36,Schedules!$B$3:$B$123,0))="",AX35,INDEX(Schedules!$E$3:$E$123,MATCH('Bachelier Model'!AT36,Schedules!$B$3:$B$123,0))),AX35)))</f>
        <v>25000000</v>
      </c>
      <c r="AY36" s="16">
        <f>IF(AS36="","",'Adjustment Surface'!B$16)</f>
        <v>0.04</v>
      </c>
      <c r="AZ36" s="16" cm="1">
        <f t="array" ref="AZ36">IF(AS36="","",FORECAST(AT36,INDEX('Rate &amp; Vol Update'!$C$6:$C$127,MATCH(INDEX('Rate &amp; Vol Update'!$B$6:$B$127,MATCH(AT36,'Rate &amp; Vol Update'!$B$6:$B$127,1)),'Rate &amp; Vol Update'!$B$6:$B$127,0)+IF('Adjustment Surface'!$C$11='Data Validation'!$E$3,-1,0)):INDEX('Rate &amp; Vol Update'!$C$6:$C$127,MATCH(INDEX('Rate &amp; Vol Update'!$B$6:$B$127,MATCH(AT36,'Rate &amp; Vol Update'!$B$6:$B$127,1)+1),'Rate &amp; Vol Update'!$B$6:$B$127,0)+IF('Adjustment Surface'!$C$11='Data Validation'!$E$3,-1,0)),INDEX('Rate &amp; Vol Update'!$B$6:$B$127,MATCH(AT36,'Rate &amp; Vol Update'!$B$6:$B$127,1)):INDEX('Rate &amp; Vol Update'!$B$6:$B$127,MATCH(AT36,'Rate &amp; Vol Update'!$B$6:$B$127,1)+1))/100)</f>
        <v>3.3565738847226766E-2</v>
      </c>
      <c r="BA36" s="16" cm="1">
        <f t="array" ref="BA36">IF(AS36="","",IF(AT36&lt;'Rate &amp; Vol Update'!$C$2,0.001%,(1/((INDEX('Rate &amp; Vol Update'!$E$6:$Z$6,1,MATCH(AY36,'Rate &amp; Vol Update'!$E$6:$Z$6,1)+1)-INDEX('Rate &amp; Vol Update'!$E$6:$Z$6,1,MATCH(AY36,'Rate &amp; Vol Update'!$E$6:$Z$6,1)))*(INDEX('Rate &amp; Vol Update'!$B$8:$B$127,MATCH(AT36,'Rate &amp; Vol Update'!$B$8:$B$127,1)+1)-INDEX('Rate &amp; Vol Update'!$B$8:$B$127,MATCH(AT36,'Rate &amp; Vol Update'!$B$8:$B$127,1))))*(INDEX('Rate &amp; Vol Update'!$E$8:$Z$127,MATCH(INDEX('Rate &amp; Vol Update'!$B$8:$B$127,MATCH(AT36,'Rate &amp; Vol Update'!$B$8:$B$127,1)),'Rate &amp; Vol Update'!$B$8:$B$127,0),MATCH(INDEX('Rate &amp; Vol Update'!$E$6:$Z$6,1,MATCH(AY36,'Rate &amp; Vol Update'!$E$6:$Z$6,1)),'Rate &amp; Vol Update'!$E$6:$Z$6,0))*(INDEX('Rate &amp; Vol Update'!$E$6:$Z$6,1,MATCH(AY36,'Rate &amp; Vol Update'!$E$6:$Z$6,1)+1)-AY36)*(INDEX('Rate &amp; Vol Update'!$B$8:$B$127,MATCH(AT36,'Rate &amp; Vol Update'!$B$8:$B$127,1)+1)-AT36)+INDEX('Rate &amp; Vol Update'!$E$8:$Z$127,MATCH(INDEX('Rate &amp; Vol Update'!$B$8:$B$127,MATCH(AT36,'Rate &amp; Vol Update'!$B$8:$B$127,1)),'Rate &amp; Vol Update'!$B$8:$B$127,0),MATCH(INDEX('Rate &amp; Vol Update'!$E$6:$Z$6,1,MATCH(AY36,'Rate &amp; Vol Update'!$E$6:$Z$6,1)+1),'Rate &amp; Vol Update'!$E$6:$Z$6,0))*(AY36-INDEX('Rate &amp; Vol Update'!$E$6:$Z$6,1,MATCH(AY36,'Rate &amp; Vol Update'!$E$6:$Z$6,1)))*(INDEX('Rate &amp; Vol Update'!$B$8:$B$127,MATCH(AT36,'Rate &amp; Vol Update'!$B$8:$B$127,1)+1)-AT36)+INDEX('Rate &amp; Vol Update'!$E$8:$Z$127,MATCH(INDEX('Rate &amp; Vol Update'!$B$8:$B$127,MATCH(AT36,'Rate &amp; Vol Update'!$B$8:$B$127,1)+1),'Rate &amp; Vol Update'!$B$8:$B$127,0),MATCH(INDEX('Rate &amp; Vol Update'!$E$6:$Z$6,1,MATCH(AY36,'Rate &amp; Vol Update'!$E$6:$Z$6,1)),'Rate &amp; Vol Update'!$E$6:$Z$6,0))*(INDEX('Rate &amp; Vol Update'!$E$6:$Z$6,1,MATCH(AY36,'Rate &amp; Vol Update'!$E$6:$Z$6,1)+1)-AY36)*(AT36-INDEX('Rate &amp; Vol Update'!$B$8:$B$127,MATCH(AT36,'Rate &amp; Vol Update'!$B$8:$B$127,1)))+INDEX('Rate &amp; Vol Update'!$E$8:$Z$127,MATCH(INDEX('Rate &amp; Vol Update'!$B$8:$B$127,MATCH(AT36,'Rate &amp; Vol Update'!$B$8:$B$127,1)+1),'Rate &amp; Vol Update'!$B$8:$B$127,0),MATCH(INDEX('Rate &amp; Vol Update'!$E$6:$Z$6,1,MATCH(AY36,'Rate &amp; Vol Update'!$E$6:$Z$6,1)+1),'Rate &amp; Vol Update'!$E$6:$Z$6,0))*(AY36-INDEX('Rate &amp; Vol Update'!$E$6:$Z$6,1,MATCH(AY36,'Rate &amp; Vol Update'!$E$6:$Z$6,1)))*(AT36-INDEX('Rate &amp; Vol Update'!$B$8:$B$127,MATCH(AT36,'Rate &amp; Vol Update'!$B$8:$B$127,1)))))*0.01%))</f>
        <v>8.3195535428817816E-3</v>
      </c>
      <c r="BB36" s="5">
        <f>IF(AS36="","",1/((1+AZ36)^((AU36-'Rate &amp; Vol Update'!$C$2)/360)))</f>
        <v>0.91203733978158119</v>
      </c>
      <c r="BD36" s="15">
        <f>IF(AS36="","",IF(AT36&lt;'Rate &amp; Vol Update'!$C$2,MAX(0,AZ36-AY36)*(AV36/360)*AX36,(((IF('Adjustment Surface'!$C$2='Data Validation'!$A$2,AZ36,IF('Adjustment Surface'!$C$2='Data Validation'!$A$3,AY36,"Unknown Option Type"))-IF('Adjustment Surface'!$C$2='Data Validation'!$A$2,AY36,IF('Adjustment Surface'!$C$2='Data Validation'!$A$3,AZ36,"Unknown Option Type")))*(NORMDIST((IF('Adjustment Surface'!$C$2='Data Validation'!$A$2,AZ36,IF('Adjustment Surface'!$C$2='Data Validation'!$A$3,AY36,"Unknown Option Type"))-IF('Adjustment Surface'!$C$2='Data Validation'!$A$2,AY36,IF('Adjustment Surface'!$C$2='Data Validation'!$A$3,AZ36,"Unknown Option Type")))/(BA36*SQRT(AW36)),0,1,TRUE)))+((BA36*SQRT(AW36))*(NORMDIST((IF('Adjustment Surface'!$C$2='Data Validation'!$A$2,AZ36,IF('Adjustment Surface'!$C$2='Data Validation'!$A$3,AY36,"Unknown Option Type"))-IF('Adjustment Surface'!$C$2='Data Validation'!$A$2,AY36,IF('Adjustment Surface'!$C$2='Data Validation'!$A$3,AZ36,"Unknown Option Type")))/(BA36*SQRT(AW36)),0,1,FALSE))))*BB36*(AV36/360)*AX36))</f>
        <v>5712.7522006162953</v>
      </c>
      <c r="BE36" s="15">
        <f>IF(AS36="","",SUM(BD$4:BD36))</f>
        <v>76036.830581659829</v>
      </c>
      <c r="BG36" s="15">
        <f>IF(AS36="","",IF(AT36&lt;'Rate &amp; Vol Update'!$C$2,0,((((((IF('Adjustment Surface'!$C$2='Data Validation'!$A$2,AZ36,IF('Adjustment Surface'!$C$2='Data Validation'!$A$3,AY36,"Unknown Option Type"))-IF('Adjustment Surface'!$C$2='Data Validation'!$A$2,AY36,IF('Adjustment Surface'!$C$2='Data Validation'!$A$3,AZ36,"Unknown Option Type")))*(NORMDIST((IF('Adjustment Surface'!$C$2='Data Validation'!$A$2,AZ36,IF('Adjustment Surface'!$C$2='Data Validation'!$A$3,AY36,"Unknown Option Type"))-IF('Adjustment Surface'!$C$2='Data Validation'!$A$2,AY36,IF('Adjustment Surface'!$C$2='Data Validation'!$A$3,AZ36,"Unknown Option Type")))/((BA36+0.01%)*SQRT(AW36)),0,1,TRUE)))+(((BA36+0.01%)*SQRT(AW36))*(NORMDIST((IF('Adjustment Surface'!$C$2='Data Validation'!$A$2,AZ36,IF('Adjustment Surface'!$C$2='Data Validation'!$A$3,AY36,"Unknown Option Type"))-IF('Adjustment Surface'!$C$2='Data Validation'!$A$2,AY36,IF('Adjustment Surface'!$C$2='Data Validation'!$A$3,AZ36,"Unknown Option Type")))/((BA36+0.01%)*SQRT(AW36)),0,1,FALSE))))*BB36*(AV36/360))-(BD36/AX36))*AX36)*BB36))</f>
        <v>107.30793596833465</v>
      </c>
      <c r="BH36" s="15">
        <f>IF(AS36="","",SUM(BG$4:BG36))</f>
        <v>1986.1342462246969</v>
      </c>
      <c r="BI36" s="15"/>
      <c r="BJ36" s="20"/>
      <c r="BK36" s="3">
        <v>33</v>
      </c>
      <c r="BL36" s="4">
        <f>IF(BM35=MAX('Adjustment Surface'!$C$14:$F$14),"",BM35)</f>
        <v>47037</v>
      </c>
      <c r="BM36" s="4">
        <f>IF(BL36="","",IF(BL36&lt;EDATE('Adjustment Surface'!$C$6,DATEDIF('Adjustment Surface'!$C$6,MAX('Adjustment Surface'!$C$14:$F$14),"M")),EDATE(BL$5,COUNT(BL$5:BL36)),IF(BL36=EDATE('Adjustment Surface'!$C$6,DATEDIF('Adjustment Surface'!$C$6,MAX('Adjustment Surface'!$C$14:$F$14),"M")),MAX('Adjustment Surface'!$C$14:$F$14),EDATE('Adjustment Surface'!$C$6,DATEDIF('Adjustment Surface'!$C$6,MAX('Adjustment Surface'!$C$14:$F$14),"M")))))</f>
        <v>47068</v>
      </c>
      <c r="BN36" s="3">
        <f t="shared" si="4"/>
        <v>31</v>
      </c>
      <c r="BO36" s="5">
        <f>IF(BK36="","",(BM36-'Rate &amp; Vol Update'!$C$2)/360)</f>
        <v>2.7888888888888888</v>
      </c>
      <c r="BP36" s="15">
        <f>IF(BK36="","",IF('Adjustment Surface'!$C$3='Data Validation'!$C$2,'Adjustment Surface'!$C$4,_xlfn.IFNA(IF(INDEX(Schedules!$E$3:$E$123,MATCH('Bachelier Model'!BL36,Schedules!$B$3:$B$123,0))="",BP35,INDEX(Schedules!$E$3:$E$123,MATCH('Bachelier Model'!BL36,Schedules!$B$3:$B$123,0))),BP35)))</f>
        <v>25000000</v>
      </c>
      <c r="BQ36" s="16">
        <f>IF(BK36="","",'Adjustment Surface'!B$17)</f>
        <v>0.05</v>
      </c>
      <c r="BR36" s="16" cm="1">
        <f t="array" ref="BR36">IF(BK36="","",FORECAST(BL36,INDEX('Rate &amp; Vol Update'!$C$6:$C$127,MATCH(INDEX('Rate &amp; Vol Update'!$B$6:$B$127,MATCH(BL36,'Rate &amp; Vol Update'!$B$6:$B$127,1)),'Rate &amp; Vol Update'!$B$6:$B$127,0)+IF('Adjustment Surface'!$C$11='Data Validation'!$E$3,-1,0)):INDEX('Rate &amp; Vol Update'!$C$6:$C$127,MATCH(INDEX('Rate &amp; Vol Update'!$B$6:$B$127,MATCH(BL36,'Rate &amp; Vol Update'!$B$6:$B$127,1)+1),'Rate &amp; Vol Update'!$B$6:$B$127,0)+IF('Adjustment Surface'!$C$11='Data Validation'!$E$3,-1,0)),INDEX('Rate &amp; Vol Update'!$B$6:$B$127,MATCH(BL36,'Rate &amp; Vol Update'!$B$6:$B$127,1)):INDEX('Rate &amp; Vol Update'!$B$6:$B$127,MATCH(BL36,'Rate &amp; Vol Update'!$B$6:$B$127,1)+1))/100)</f>
        <v>3.3565738847226766E-2</v>
      </c>
      <c r="BS36" s="16" cm="1">
        <f t="array" ref="BS36">IF(BK36="","",IF(BL36&lt;'Rate &amp; Vol Update'!$C$2,0.001%,(1/((INDEX('Rate &amp; Vol Update'!$E$6:$Z$6,1,MATCH(BQ36,'Rate &amp; Vol Update'!$E$6:$Z$6,1)+1)-INDEX('Rate &amp; Vol Update'!$E$6:$Z$6,1,MATCH(BQ36,'Rate &amp; Vol Update'!$E$6:$Z$6,1)))*(INDEX('Rate &amp; Vol Update'!$B$8:$B$127,MATCH(BL36,'Rate &amp; Vol Update'!$B$8:$B$127,1)+1)-INDEX('Rate &amp; Vol Update'!$B$8:$B$127,MATCH(BL36,'Rate &amp; Vol Update'!$B$8:$B$127,1))))*(INDEX('Rate &amp; Vol Update'!$E$8:$Z$127,MATCH(INDEX('Rate &amp; Vol Update'!$B$8:$B$127,MATCH(BL36,'Rate &amp; Vol Update'!$B$8:$B$127,1)),'Rate &amp; Vol Update'!$B$8:$B$127,0),MATCH(INDEX('Rate &amp; Vol Update'!$E$6:$Z$6,1,MATCH(BQ36,'Rate &amp; Vol Update'!$E$6:$Z$6,1)),'Rate &amp; Vol Update'!$E$6:$Z$6,0))*(INDEX('Rate &amp; Vol Update'!$E$6:$Z$6,1,MATCH(BQ36,'Rate &amp; Vol Update'!$E$6:$Z$6,1)+1)-BQ36)*(INDEX('Rate &amp; Vol Update'!$B$8:$B$127,MATCH(BL36,'Rate &amp; Vol Update'!$B$8:$B$127,1)+1)-BL36)+INDEX('Rate &amp; Vol Update'!$E$8:$Z$127,MATCH(INDEX('Rate &amp; Vol Update'!$B$8:$B$127,MATCH(BL36,'Rate &amp; Vol Update'!$B$8:$B$127,1)),'Rate &amp; Vol Update'!$B$8:$B$127,0),MATCH(INDEX('Rate &amp; Vol Update'!$E$6:$Z$6,1,MATCH(BQ36,'Rate &amp; Vol Update'!$E$6:$Z$6,1)+1),'Rate &amp; Vol Update'!$E$6:$Z$6,0))*(BQ36-INDEX('Rate &amp; Vol Update'!$E$6:$Z$6,1,MATCH(BQ36,'Rate &amp; Vol Update'!$E$6:$Z$6,1)))*(INDEX('Rate &amp; Vol Update'!$B$8:$B$127,MATCH(BL36,'Rate &amp; Vol Update'!$B$8:$B$127,1)+1)-BL36)+INDEX('Rate &amp; Vol Update'!$E$8:$Z$127,MATCH(INDEX('Rate &amp; Vol Update'!$B$8:$B$127,MATCH(BL36,'Rate &amp; Vol Update'!$B$8:$B$127,1)+1),'Rate &amp; Vol Update'!$B$8:$B$127,0),MATCH(INDEX('Rate &amp; Vol Update'!$E$6:$Z$6,1,MATCH(BQ36,'Rate &amp; Vol Update'!$E$6:$Z$6,1)),'Rate &amp; Vol Update'!$E$6:$Z$6,0))*(INDEX('Rate &amp; Vol Update'!$E$6:$Z$6,1,MATCH(BQ36,'Rate &amp; Vol Update'!$E$6:$Z$6,1)+1)-BQ36)*(BL36-INDEX('Rate &amp; Vol Update'!$B$8:$B$127,MATCH(BL36,'Rate &amp; Vol Update'!$B$8:$B$127,1)))+INDEX('Rate &amp; Vol Update'!$E$8:$Z$127,MATCH(INDEX('Rate &amp; Vol Update'!$B$8:$B$127,MATCH(BL36,'Rate &amp; Vol Update'!$B$8:$B$127,1)+1),'Rate &amp; Vol Update'!$B$8:$B$127,0),MATCH(INDEX('Rate &amp; Vol Update'!$E$6:$Z$6,1,MATCH(BQ36,'Rate &amp; Vol Update'!$E$6:$Z$6,1)+1),'Rate &amp; Vol Update'!$E$6:$Z$6,0))*(BQ36-INDEX('Rate &amp; Vol Update'!$E$6:$Z$6,1,MATCH(BQ36,'Rate &amp; Vol Update'!$E$6:$Z$6,1)))*(BL36-INDEX('Rate &amp; Vol Update'!$B$8:$B$127,MATCH(BL36,'Rate &amp; Vol Update'!$B$8:$B$127,1)))))*0.01%))</f>
        <v>9.5644606851423789E-3</v>
      </c>
      <c r="BT36" s="5">
        <f>IF(BK36="","",1/((1+BR36)^((BM36-'Rate &amp; Vol Update'!$C$2)/360)))</f>
        <v>0.91203733978158119</v>
      </c>
      <c r="BV36" s="15">
        <f>IF(BK36="","",IF(BL36&lt;'Rate &amp; Vol Update'!$C$2,MAX(0,BR36-BQ36)*(BN36/360)*BP36,(((IF('Adjustment Surface'!$C$2='Data Validation'!$A$2,BR36,IF('Adjustment Surface'!$C$2='Data Validation'!$A$3,BQ36,"Unknown Option Type"))-IF('Adjustment Surface'!$C$2='Data Validation'!$A$2,BQ36,IF('Adjustment Surface'!$C$2='Data Validation'!$A$3,BR36,"Unknown Option Type")))*(NORMDIST((IF('Adjustment Surface'!$C$2='Data Validation'!$A$2,BR36,IF('Adjustment Surface'!$C$2='Data Validation'!$A$3,BQ36,"Unknown Option Type"))-IF('Adjustment Surface'!$C$2='Data Validation'!$A$2,BQ36,IF('Adjustment Surface'!$C$2='Data Validation'!$A$3,BR36,"Unknown Option Type")))/(BS36*SQRT(BO36)),0,1,TRUE)))+((BS36*SQRT(BO36))*(NORMDIST((IF('Adjustment Surface'!$C$2='Data Validation'!$A$2,BR36,IF('Adjustment Surface'!$C$2='Data Validation'!$A$3,BQ36,"Unknown Option Type"))-IF('Adjustment Surface'!$C$2='Data Validation'!$A$2,BQ36,IF('Adjustment Surface'!$C$2='Data Validation'!$A$3,BR36,"Unknown Option Type")))/(BS36*SQRT(BO36)),0,1,FALSE))))*BT36*(BN36/360)*BP36))</f>
        <v>2472.1786970132825</v>
      </c>
      <c r="BW36" s="15">
        <f>IF(BK36="","",SUM(BV$4:BV36))</f>
        <v>25378.468306809547</v>
      </c>
      <c r="BY36" s="15">
        <f>IF(BK36="","",IF(BL36&lt;'Rate &amp; Vol Update'!$C$2,0,((((((IF('Adjustment Surface'!$C$2='Data Validation'!$A$2,BR36,IF('Adjustment Surface'!$C$2='Data Validation'!$A$3,BQ36,"Unknown Option Type"))-IF('Adjustment Surface'!$C$2='Data Validation'!$A$2,BQ36,IF('Adjustment Surface'!$C$2='Data Validation'!$A$3,BR36,"Unknown Option Type")))*(NORMDIST((IF('Adjustment Surface'!$C$2='Data Validation'!$A$2,BR36,IF('Adjustment Surface'!$C$2='Data Validation'!$A$3,BQ36,"Unknown Option Type"))-IF('Adjustment Surface'!$C$2='Data Validation'!$A$2,BQ36,IF('Adjustment Surface'!$C$2='Data Validation'!$A$3,BR36,"Unknown Option Type")))/((BS36+0.01%)*SQRT(BO36)),0,1,TRUE)))+(((BS36+0.01%)*SQRT(BO36))*(NORMDIST((IF('Adjustment Surface'!$C$2='Data Validation'!$A$2,BR36,IF('Adjustment Surface'!$C$2='Data Validation'!$A$3,BQ36,"Unknown Option Type"))-IF('Adjustment Surface'!$C$2='Data Validation'!$A$2,BQ36,IF('Adjustment Surface'!$C$2='Data Validation'!$A$3,BR36,"Unknown Option Type")))/((BS36+0.01%)*SQRT(BO36)),0,1,FALSE))))*BT36*(BN36/360))-(BV36/BP36))*BP36)*BT36))</f>
        <v>70.656185250758952</v>
      </c>
      <c r="BZ36" s="15">
        <f>IF(BK36="","",SUM(BY$4:BY36))</f>
        <v>914.89577108982473</v>
      </c>
      <c r="CA36" s="15"/>
      <c r="CB36" s="20"/>
      <c r="CC36" s="3">
        <v>33</v>
      </c>
      <c r="CD36" s="4">
        <f>IF(CE35=MAX('Adjustment Surface'!$C$14:$F$14),"",CE35)</f>
        <v>47037</v>
      </c>
      <c r="CE36" s="4">
        <f>IF(CD36="","",IF(CD36&lt;EDATE('Adjustment Surface'!$C$6,DATEDIF('Adjustment Surface'!$C$6,MAX('Adjustment Surface'!$C$14:$F$14),"M")),EDATE(CD$5,COUNT(CD$5:CD36)),IF(CD36=EDATE('Adjustment Surface'!$C$6,DATEDIF('Adjustment Surface'!$C$6,MAX('Adjustment Surface'!$C$14:$F$14),"M")),MAX('Adjustment Surface'!$C$14:$F$14),EDATE('Adjustment Surface'!$C$6,DATEDIF('Adjustment Surface'!$C$6,MAX('Adjustment Surface'!$C$14:$F$14),"M")))))</f>
        <v>47068</v>
      </c>
      <c r="CF36" s="3">
        <f t="shared" si="5"/>
        <v>31</v>
      </c>
      <c r="CG36" s="5">
        <f>IF(CC36="","",(CE36-'Rate &amp; Vol Update'!$C$2)/360)</f>
        <v>2.7888888888888888</v>
      </c>
      <c r="CH36" s="15">
        <f>IF(CC36="","",IF('Adjustment Surface'!$C$3='Data Validation'!$C$2,'Adjustment Surface'!$C$4,_xlfn.IFNA(IF(INDEX(Schedules!$E$3:$E$123,MATCH('Bachelier Model'!CD36,Schedules!$B$3:$B$123,0))="",CH35,INDEX(Schedules!$E$3:$E$123,MATCH('Bachelier Model'!CD36,Schedules!$B$3:$B$123,0))),CH35)))</f>
        <v>25000000</v>
      </c>
      <c r="CI36" s="16">
        <f>IF(CC36="","",'Adjustment Surface'!B$18)</f>
        <v>0.06</v>
      </c>
      <c r="CJ36" s="16" cm="1">
        <f t="array" ref="CJ36">IF(CC36="","",FORECAST(CD36,INDEX('Rate &amp; Vol Update'!$C$6:$C$127,MATCH(INDEX('Rate &amp; Vol Update'!$B$6:$B$127,MATCH(CD36,'Rate &amp; Vol Update'!$B$6:$B$127,1)),'Rate &amp; Vol Update'!$B$6:$B$127,0)+IF('Adjustment Surface'!$C$11='Data Validation'!$E$3,-1,0)):INDEX('Rate &amp; Vol Update'!$C$6:$C$127,MATCH(INDEX('Rate &amp; Vol Update'!$B$6:$B$127,MATCH(CD36,'Rate &amp; Vol Update'!$B$6:$B$127,1)+1),'Rate &amp; Vol Update'!$B$6:$B$127,0)+IF('Adjustment Surface'!$C$11='Data Validation'!$E$3,-1,0)),INDEX('Rate &amp; Vol Update'!$B$6:$B$127,MATCH(CD36,'Rate &amp; Vol Update'!$B$6:$B$127,1)):INDEX('Rate &amp; Vol Update'!$B$6:$B$127,MATCH(CD36,'Rate &amp; Vol Update'!$B$6:$B$127,1)+1))/100)</f>
        <v>3.3565738847226766E-2</v>
      </c>
      <c r="CK36" s="16" cm="1">
        <f t="array" ref="CK36">IF(CC36="","",IF(CD36&lt;'Rate &amp; Vol Update'!$C$2,0.001%,(1/((INDEX('Rate &amp; Vol Update'!$E$6:$Z$6,1,MATCH(CI36,'Rate &amp; Vol Update'!$E$6:$Z$6,1)+1)-INDEX('Rate &amp; Vol Update'!$E$6:$Z$6,1,MATCH(CI36,'Rate &amp; Vol Update'!$E$6:$Z$6,1)))*(INDEX('Rate &amp; Vol Update'!$B$8:$B$127,MATCH(CD36,'Rate &amp; Vol Update'!$B$8:$B$127,1)+1)-INDEX('Rate &amp; Vol Update'!$B$8:$B$127,MATCH(CD36,'Rate &amp; Vol Update'!$B$8:$B$127,1))))*(INDEX('Rate &amp; Vol Update'!$E$8:$Z$127,MATCH(INDEX('Rate &amp; Vol Update'!$B$8:$B$127,MATCH(CD36,'Rate &amp; Vol Update'!$B$8:$B$127,1)),'Rate &amp; Vol Update'!$B$8:$B$127,0),MATCH(INDEX('Rate &amp; Vol Update'!$E$6:$Z$6,1,MATCH(CI36,'Rate &amp; Vol Update'!$E$6:$Z$6,1)),'Rate &amp; Vol Update'!$E$6:$Z$6,0))*(INDEX('Rate &amp; Vol Update'!$E$6:$Z$6,1,MATCH(CI36,'Rate &amp; Vol Update'!$E$6:$Z$6,1)+1)-CI36)*(INDEX('Rate &amp; Vol Update'!$B$8:$B$127,MATCH(CD36,'Rate &amp; Vol Update'!$B$8:$B$127,1)+1)-CD36)+INDEX('Rate &amp; Vol Update'!$E$8:$Z$127,MATCH(INDEX('Rate &amp; Vol Update'!$B$8:$B$127,MATCH(CD36,'Rate &amp; Vol Update'!$B$8:$B$127,1)),'Rate &amp; Vol Update'!$B$8:$B$127,0),MATCH(INDEX('Rate &amp; Vol Update'!$E$6:$Z$6,1,MATCH(CI36,'Rate &amp; Vol Update'!$E$6:$Z$6,1)+1),'Rate &amp; Vol Update'!$E$6:$Z$6,0))*(CI36-INDEX('Rate &amp; Vol Update'!$E$6:$Z$6,1,MATCH(CI36,'Rate &amp; Vol Update'!$E$6:$Z$6,1)))*(INDEX('Rate &amp; Vol Update'!$B$8:$B$127,MATCH(CD36,'Rate &amp; Vol Update'!$B$8:$B$127,1)+1)-CD36)+INDEX('Rate &amp; Vol Update'!$E$8:$Z$127,MATCH(INDEX('Rate &amp; Vol Update'!$B$8:$B$127,MATCH(CD36,'Rate &amp; Vol Update'!$B$8:$B$127,1)+1),'Rate &amp; Vol Update'!$B$8:$B$127,0),MATCH(INDEX('Rate &amp; Vol Update'!$E$6:$Z$6,1,MATCH(CI36,'Rate &amp; Vol Update'!$E$6:$Z$6,1)),'Rate &amp; Vol Update'!$E$6:$Z$6,0))*(INDEX('Rate &amp; Vol Update'!$E$6:$Z$6,1,MATCH(CI36,'Rate &amp; Vol Update'!$E$6:$Z$6,1)+1)-CI36)*(CD36-INDEX('Rate &amp; Vol Update'!$B$8:$B$127,MATCH(CD36,'Rate &amp; Vol Update'!$B$8:$B$127,1)))+INDEX('Rate &amp; Vol Update'!$E$8:$Z$127,MATCH(INDEX('Rate &amp; Vol Update'!$B$8:$B$127,MATCH(CD36,'Rate &amp; Vol Update'!$B$8:$B$127,1)+1),'Rate &amp; Vol Update'!$B$8:$B$127,0),MATCH(INDEX('Rate &amp; Vol Update'!$E$6:$Z$6,1,MATCH(CI36,'Rate &amp; Vol Update'!$E$6:$Z$6,1)+1),'Rate &amp; Vol Update'!$E$6:$Z$6,0))*(CI36-INDEX('Rate &amp; Vol Update'!$E$6:$Z$6,1,MATCH(CI36,'Rate &amp; Vol Update'!$E$6:$Z$6,1)))*(CD36-INDEX('Rate &amp; Vol Update'!$B$8:$B$127,MATCH(CD36,'Rate &amp; Vol Update'!$B$8:$B$127,1)))))*0.01%))</f>
        <v>1.1208729836361361E-2</v>
      </c>
      <c r="CL36" s="5">
        <f>IF(CC36="","",1/((1+CJ36)^((CE36-'Rate &amp; Vol Update'!$C$2)/360)))</f>
        <v>0.91203733978158119</v>
      </c>
      <c r="CN36" s="15">
        <f>IF(CC36="","",IF(CD36&lt;'Rate &amp; Vol Update'!$C$2,MAX(0,CJ36-CI36)*(CF36/360)*CH36,(((IF('Adjustment Surface'!$C$2='Data Validation'!$A$2,CJ36,IF('Adjustment Surface'!$C$2='Data Validation'!$A$3,CI36,"Unknown Option Type"))-IF('Adjustment Surface'!$C$2='Data Validation'!$A$2,CI36,IF('Adjustment Surface'!$C$2='Data Validation'!$A$3,CJ36,"Unknown Option Type")))*(NORMDIST((IF('Adjustment Surface'!$C$2='Data Validation'!$A$2,CJ36,IF('Adjustment Surface'!$C$2='Data Validation'!$A$3,CI36,"Unknown Option Type"))-IF('Adjustment Surface'!$C$2='Data Validation'!$A$2,CI36,IF('Adjustment Surface'!$C$2='Data Validation'!$A$3,CJ36,"Unknown Option Type")))/(CK36*SQRT(CG36)),0,1,TRUE)))+((CK36*SQRT(CG36))*(NORMDIST((IF('Adjustment Surface'!$C$2='Data Validation'!$A$2,CJ36,IF('Adjustment Surface'!$C$2='Data Validation'!$A$3,CI36,"Unknown Option Type"))-IF('Adjustment Surface'!$C$2='Data Validation'!$A$2,CI36,IF('Adjustment Surface'!$C$2='Data Validation'!$A$3,CJ36,"Unknown Option Type")))/(CK36*SQRT(CG36)),0,1,FALSE))))*CL36*(CF36/360)*CH36))</f>
        <v>1311.8439607209918</v>
      </c>
      <c r="CO36" s="15">
        <f>IF(CC36="","",SUM(CN$4:CN36))</f>
        <v>11916.656781972171</v>
      </c>
      <c r="CQ36" s="15">
        <f>IF(CC36="","",IF(CD36&lt;'Rate &amp; Vol Update'!$C$2,0,((((((IF('Adjustment Surface'!$C$2='Data Validation'!$A$2,CJ36,IF('Adjustment Surface'!$C$2='Data Validation'!$A$3,CI36,"Unknown Option Type"))-IF('Adjustment Surface'!$C$2='Data Validation'!$A$2,CI36,IF('Adjustment Surface'!$C$2='Data Validation'!$A$3,CJ36,"Unknown Option Type")))*(NORMDIST((IF('Adjustment Surface'!$C$2='Data Validation'!$A$2,CJ36,IF('Adjustment Surface'!$C$2='Data Validation'!$A$3,CI36,"Unknown Option Type"))-IF('Adjustment Surface'!$C$2='Data Validation'!$A$2,CI36,IF('Adjustment Surface'!$C$2='Data Validation'!$A$3,CJ36,"Unknown Option Type")))/((CK36+0.01%)*SQRT(CG36)),0,1,TRUE)))+(((CK36+0.01%)*SQRT(CG36))*(NORMDIST((IF('Adjustment Surface'!$C$2='Data Validation'!$A$2,CJ36,IF('Adjustment Surface'!$C$2='Data Validation'!$A$3,CI36,"Unknown Option Type"))-IF('Adjustment Surface'!$C$2='Data Validation'!$A$2,CI36,IF('Adjustment Surface'!$C$2='Data Validation'!$A$3,CJ36,"Unknown Option Type")))/((CK36+0.01%)*SQRT(CG36)),0,1,FALSE))))*CL36*(CF36/360))-(CN36/CH36))*CH36)*CL36))</f>
        <v>44.404654910158079</v>
      </c>
      <c r="CR36" s="15">
        <f>IF(CC36="","",SUM(CQ$4:CQ36))</f>
        <v>488.52896599260026</v>
      </c>
    </row>
    <row r="37" spans="7:96" x14ac:dyDescent="0.25">
      <c r="G37" s="28"/>
      <c r="I37" s="3">
        <v>34</v>
      </c>
      <c r="J37" s="4">
        <f>IF(K36='Adjustment Surface'!C$8,"",K36)</f>
        <v>47068</v>
      </c>
      <c r="K37" s="4">
        <f>IF(J37="","",IF(J37&lt;'Adjustment Surface'!C$7,EDATE(J$5,COUNT(J$5:J37)),IF(J37='Adjustment Surface'!C$7,'Adjustment Surface'!C$8,'Adjustment Surface'!C$7)))</f>
        <v>47098</v>
      </c>
      <c r="L37" s="3">
        <f t="shared" si="1"/>
        <v>30</v>
      </c>
      <c r="M37" s="5">
        <f>IF(I37="","",(K37-'Rate &amp; Vol Update'!$C$2)/360)</f>
        <v>2.8722222222222222</v>
      </c>
      <c r="N37" s="15">
        <f>IF(I37="","",IF('Adjustment Surface'!C$3='Data Validation'!$C$2,'Adjustment Surface'!C$4,IF(INDEX(Schedules!$E$3:$E$123,MATCH('Bachelier Model'!J37,Schedules!$B$3:$B$123,0))="",N36,INDEX(Schedules!$E$3:$E$123,MATCH('Bachelier Model'!J37,Schedules!$B$3:$B$123,0)))))</f>
        <v>25000000</v>
      </c>
      <c r="O37" s="16">
        <f>IF(I37="","",IF('Adjustment Surface'!C$9='Data Validation'!$D$2,'Adjustment Surface'!C$10,IF(INDEX(Schedules!$H$3:$H$123,MATCH('Bachelier Model'!J37,Schedules!$B$3:$B$123,0))="",O36,INDEX(Schedules!$H$3:$H$123,MATCH('Bachelier Model'!J37,Schedules!$B$3:$B$123,0)))))</f>
        <v>0.02</v>
      </c>
      <c r="P37" s="16" cm="1">
        <f t="array" ref="P37">IF(I37="","",FORECAST(J37,INDEX('Rate &amp; Vol Update'!$C$6:$C$127,MATCH(INDEX('Rate &amp; Vol Update'!$B$6:$B$127,MATCH(J37,'Rate &amp; Vol Update'!$B$6:$B$127,1)),'Rate &amp; Vol Update'!$B$6:$B$127,0)+IF('Adjustment Surface'!C$11='Data Validation'!$E$3,-1,0)):INDEX('Rate &amp; Vol Update'!$C$6:$C$127,MATCH(INDEX('Rate &amp; Vol Update'!$B$6:$B$127,MATCH(J37,'Rate &amp; Vol Update'!$B$6:$B$127,1)+1),'Rate &amp; Vol Update'!$B$6:$B$127,0)+IF('Adjustment Surface'!C$11='Data Validation'!$E$3,-1,0)),INDEX('Rate &amp; Vol Update'!$B$6:$B$127,MATCH(J37,'Rate &amp; Vol Update'!$B$6:$B$127,1)):INDEX('Rate &amp; Vol Update'!$B$6:$B$127,MATCH(J37,'Rate &amp; Vol Update'!$B$6:$B$127,1)+1))/100)</f>
        <v>3.3564175597290635E-2</v>
      </c>
      <c r="Q37" s="16" cm="1">
        <f t="array" ref="Q37">IF(I37="","",IF(J37&lt;'Rate &amp; Vol Update'!$C$2,0.001%,(1/((INDEX('Rate &amp; Vol Update'!$E$6:$Z$6,1,MATCH(O37,'Rate &amp; Vol Update'!$E$6:$Z$6,1)+1)-INDEX('Rate &amp; Vol Update'!$E$6:$Z$6,1,MATCH(O37,'Rate &amp; Vol Update'!$E$6:$Z$6,1)))*(INDEX('Rate &amp; Vol Update'!$B$8:$B$127,MATCH(J37,'Rate &amp; Vol Update'!$B$8:$B$127,1)+1)-INDEX('Rate &amp; Vol Update'!$B$8:$B$127,MATCH(J37,'Rate &amp; Vol Update'!$B$8:$B$127,1))))*(INDEX('Rate &amp; Vol Update'!$E$8:$Z$127,MATCH(INDEX('Rate &amp; Vol Update'!$B$8:$B$127,MATCH(J37,'Rate &amp; Vol Update'!$B$8:$B$127,1)),'Rate &amp; Vol Update'!$B$8:$B$127,0),MATCH(INDEX('Rate &amp; Vol Update'!$E$6:$Z$6,1,MATCH(O37,'Rate &amp; Vol Update'!$E$6:$Z$6,1)),'Rate &amp; Vol Update'!$E$6:$Z$6,0))*(INDEX('Rate &amp; Vol Update'!$E$6:$Z$6,1,MATCH(O37,'Rate &amp; Vol Update'!$E$6:$Z$6,1)+1)-O37)*(INDEX('Rate &amp; Vol Update'!$B$8:$B$127,MATCH(J37,'Rate &amp; Vol Update'!$B$8:$B$127,1)+1)-J37)+INDEX('Rate &amp; Vol Update'!$E$8:$Z$127,MATCH(INDEX('Rate &amp; Vol Update'!$B$8:$B$127,MATCH(J37,'Rate &amp; Vol Update'!$B$8:$B$127,1)),'Rate &amp; Vol Update'!$B$8:$B$127,0),MATCH(INDEX('Rate &amp; Vol Update'!$E$6:$Z$6,1,MATCH(O37,'Rate &amp; Vol Update'!$E$6:$Z$6,1)+1),'Rate &amp; Vol Update'!$E$6:$Z$6,0))*(O37-INDEX('Rate &amp; Vol Update'!$E$6:$Z$6,1,MATCH(O37,'Rate &amp; Vol Update'!$E$6:$Z$6,1)))*(INDEX('Rate &amp; Vol Update'!$B$8:$B$127,MATCH(J37,'Rate &amp; Vol Update'!$B$8:$B$127,1)+1)-J37)+INDEX('Rate &amp; Vol Update'!$E$8:$Z$127,MATCH(INDEX('Rate &amp; Vol Update'!$B$8:$B$127,MATCH(J37,'Rate &amp; Vol Update'!$B$8:$B$127,1)+1),'Rate &amp; Vol Update'!$B$8:$B$127,0),MATCH(INDEX('Rate &amp; Vol Update'!$E$6:$Z$6,1,MATCH(O37,'Rate &amp; Vol Update'!$E$6:$Z$6,1)),'Rate &amp; Vol Update'!$E$6:$Z$6,0))*(INDEX('Rate &amp; Vol Update'!$E$6:$Z$6,1,MATCH(O37,'Rate &amp; Vol Update'!$E$6:$Z$6,1)+1)-O37)*(J37-INDEX('Rate &amp; Vol Update'!$B$8:$B$127,MATCH(J37,'Rate &amp; Vol Update'!$B$8:$B$127,1)))+INDEX('Rate &amp; Vol Update'!$E$8:$Z$127,MATCH(INDEX('Rate &amp; Vol Update'!$B$8:$B$127,MATCH(J37,'Rate &amp; Vol Update'!$B$8:$B$127,1)+1),'Rate &amp; Vol Update'!$B$8:$B$127,0),MATCH(INDEX('Rate &amp; Vol Update'!$E$6:$Z$6,1,MATCH(O37,'Rate &amp; Vol Update'!$E$6:$Z$6,1)+1),'Rate &amp; Vol Update'!$E$6:$Z$6,0))*(O37-INDEX('Rate &amp; Vol Update'!$E$6:$Z$6,1,MATCH(O37,'Rate &amp; Vol Update'!$E$6:$Z$6,1)))*(J37-INDEX('Rate &amp; Vol Update'!$B$8:$B$127,MATCH(J37,'Rate &amp; Vol Update'!$B$8:$B$127,1)))))*0.01%))</f>
        <v>9.0581702262794005E-3</v>
      </c>
      <c r="R37" s="5">
        <f>IF(I37="","",1/((1+P37)^((K37-'Rate &amp; Vol Update'!$C$2)/360)))</f>
        <v>0.90953551912568309</v>
      </c>
      <c r="T37" s="15">
        <f>IF(I37="","",IF(J37&lt;'Rate &amp; Vol Update'!$C$2,MAX(0,P37-O37)*(L37/360)*N37,(((IF('Adjustment Surface'!C$2='Data Validation'!$A$2,P37,IF('Adjustment Surface'!C$2='Data Validation'!$A$3,O37,"Unknown Option Type"))-IF('Adjustment Surface'!C$2='Data Validation'!$A$2,O37,IF('Adjustment Surface'!C$2='Data Validation'!$A$3,P37,"Unknown Option Type")))*(NORMDIST((IF('Adjustment Surface'!C$2='Data Validation'!$A$2,P37,IF('Adjustment Surface'!C$2='Data Validation'!$A$3,O37,"Unknown Option Type"))-IF('Adjustment Surface'!C$2='Data Validation'!$A$2,O37,IF('Adjustment Surface'!C$2='Data Validation'!$A$3,P37,"Unknown Option Type")))/(Q37*SQRT(M37)),0,1,TRUE)))+((Q37*SQRT(M37))*(NORMDIST((IF('Adjustment Surface'!C$2='Data Validation'!$A$2,P37,IF('Adjustment Surface'!C$2='Data Validation'!$A$3,O37,"Unknown Option Type"))-IF('Adjustment Surface'!C$2='Data Validation'!$A$2,O37,IF('Adjustment Surface'!C$2='Data Validation'!$A$3,P37,"Unknown Option Type")))/(Q37*SQRT(M37)),0,1,FALSE))))*R37*(L37/360)*N37))</f>
        <v>28712.711221135483</v>
      </c>
      <c r="U37" s="15">
        <f>IF(I37="","",SUM(T$4:T37))</f>
        <v>956881.79824064183</v>
      </c>
      <c r="W37" s="15">
        <f>IF(I37="","",IF(J37&lt;'Rate &amp; Vol Update'!$C$2,0,((((((IF('Adjustment Surface'!C$2='Data Validation'!$A$2,P37,IF('Adjustment Surface'!C$2='Data Validation'!$A$3,O37,"Unknown Option Type"))-IF('Adjustment Surface'!C$2='Data Validation'!$A$2,O37,IF('Adjustment Surface'!C$2='Data Validation'!$A$3,P37,"Unknown Option Type")))*(NORMDIST((IF('Adjustment Surface'!C$2='Data Validation'!$A$2,P37,IF('Adjustment Surface'!C$2='Data Validation'!$A$3,O37,"Unknown Option Type"))-IF('Adjustment Surface'!C$2='Data Validation'!$A$2,O37,IF('Adjustment Surface'!C$2='Data Validation'!$A$3,P37,"Unknown Option Type")))/((Q37+0.01%)*SQRT(M37)),0,1,TRUE)))+(((Q37+0.01%)*SQRT(M37))*(NORMDIST((IF('Adjustment Surface'!C$2='Data Validation'!$A$2,P37,IF('Adjustment Surface'!C$2='Data Validation'!$A$3,O37,"Unknown Option Type"))-IF('Adjustment Surface'!C$2='Data Validation'!$A$2,O37,IF('Adjustment Surface'!C$2='Data Validation'!$A$3,P37,"Unknown Option Type")))/((Q37+0.01%)*SQRT(M37)),0,1,FALSE))))*R37*(L37/360))-(T37/N37))*N37)*R37))</f>
        <v>79.202943375636025</v>
      </c>
      <c r="X37" s="15">
        <f>IF(I37="","",SUM(W$4:W37))</f>
        <v>1554.2230993697924</v>
      </c>
      <c r="Y37" s="15"/>
      <c r="Z37" s="20"/>
      <c r="AA37" s="3">
        <v>34</v>
      </c>
      <c r="AB37" s="4">
        <f>IF(AC36=MAX('Adjustment Surface'!$C$14:$F$14),"",AC36)</f>
        <v>47068</v>
      </c>
      <c r="AC37" s="4">
        <f>IF(AB37="","",IF(AB37&lt;EDATE('Adjustment Surface'!$C$6,DATEDIF('Adjustment Surface'!$C$6,MAX('Adjustment Surface'!$C$14:$F$14),"M")),EDATE(AB$5,COUNT(AB$5:AB37)),IF(AB37=EDATE('Adjustment Surface'!$C$6,DATEDIF('Adjustment Surface'!$C$6,MAX('Adjustment Surface'!$C$14:$F$14),"M")),MAX('Adjustment Surface'!$C$14:$F$14),EDATE('Adjustment Surface'!$C$6,DATEDIF('Adjustment Surface'!$C$6,MAX('Adjustment Surface'!$C$14:$F$14),"M")))))</f>
        <v>47098</v>
      </c>
      <c r="AD37" s="3">
        <f t="shared" si="2"/>
        <v>30</v>
      </c>
      <c r="AE37" s="5">
        <f>IF(AA37="","",(AC37-'Rate &amp; Vol Update'!$C$2)/360)</f>
        <v>2.8722222222222222</v>
      </c>
      <c r="AF37" s="15">
        <f>IF(AA37="","",IF('Adjustment Surface'!$C$3='Data Validation'!$C$2,'Adjustment Surface'!$C$4,_xlfn.IFNA(IF(INDEX(Schedules!$E$3:$E$123,MATCH('Bachelier Model'!AB37,Schedules!$B$3:$B$123,0))="",AF36,INDEX(Schedules!$E$3:$E$123,MATCH('Bachelier Model'!AB37,Schedules!$B$3:$B$123,0))),AF36)))</f>
        <v>25000000</v>
      </c>
      <c r="AG37" s="16">
        <f>IF(AA37="","",'Adjustment Surface'!B$15)</f>
        <v>0.03</v>
      </c>
      <c r="AH37" s="16" cm="1">
        <f t="array" ref="AH37">IF(AA37="","",FORECAST(AB37,INDEX('Rate &amp; Vol Update'!$C$6:$C$127,MATCH(INDEX('Rate &amp; Vol Update'!$B$6:$B$127,MATCH(AB37,'Rate &amp; Vol Update'!$B$6:$B$127,1)),'Rate &amp; Vol Update'!$B$6:$B$127,0)+IF('Adjustment Surface'!$C$11='Data Validation'!$E$3,-1,0)):INDEX('Rate &amp; Vol Update'!$C$6:$C$127,MATCH(INDEX('Rate &amp; Vol Update'!$B$6:$B$127,MATCH(AB37,'Rate &amp; Vol Update'!$B$6:$B$127,1)+1),'Rate &amp; Vol Update'!$B$6:$B$127,0)+IF('Adjustment Surface'!$C$11='Data Validation'!$E$3,-1,0)),INDEX('Rate &amp; Vol Update'!$B$6:$B$127,MATCH(AB37,'Rate &amp; Vol Update'!$B$6:$B$127,1)):INDEX('Rate &amp; Vol Update'!$B$6:$B$127,MATCH(AB37,'Rate &amp; Vol Update'!$B$6:$B$127,1)+1))/100)</f>
        <v>3.3564175597290635E-2</v>
      </c>
      <c r="AI37" s="16" cm="1">
        <f t="array" ref="AI37">IF(AA37="","",IF(AB37&lt;'Rate &amp; Vol Update'!$C$2,0.001%,(1/((INDEX('Rate &amp; Vol Update'!$E$6:$Z$6,1,MATCH(AG37,'Rate &amp; Vol Update'!$E$6:$Z$6,1)+1)-INDEX('Rate &amp; Vol Update'!$E$6:$Z$6,1,MATCH(AG37,'Rate &amp; Vol Update'!$E$6:$Z$6,1)))*(INDEX('Rate &amp; Vol Update'!$B$8:$B$127,MATCH(AB37,'Rate &amp; Vol Update'!$B$8:$B$127,1)+1)-INDEX('Rate &amp; Vol Update'!$B$8:$B$127,MATCH(AB37,'Rate &amp; Vol Update'!$B$8:$B$127,1))))*(INDEX('Rate &amp; Vol Update'!$E$8:$Z$127,MATCH(INDEX('Rate &amp; Vol Update'!$B$8:$B$127,MATCH(AB37,'Rate &amp; Vol Update'!$B$8:$B$127,1)),'Rate &amp; Vol Update'!$B$8:$B$127,0),MATCH(INDEX('Rate &amp; Vol Update'!$E$6:$Z$6,1,MATCH(AG37,'Rate &amp; Vol Update'!$E$6:$Z$6,1)),'Rate &amp; Vol Update'!$E$6:$Z$6,0))*(INDEX('Rate &amp; Vol Update'!$E$6:$Z$6,1,MATCH(AG37,'Rate &amp; Vol Update'!$E$6:$Z$6,1)+1)-AG37)*(INDEX('Rate &amp; Vol Update'!$B$8:$B$127,MATCH(AB37,'Rate &amp; Vol Update'!$B$8:$B$127,1)+1)-AB37)+INDEX('Rate &amp; Vol Update'!$E$8:$Z$127,MATCH(INDEX('Rate &amp; Vol Update'!$B$8:$B$127,MATCH(AB37,'Rate &amp; Vol Update'!$B$8:$B$127,1)),'Rate &amp; Vol Update'!$B$8:$B$127,0),MATCH(INDEX('Rate &amp; Vol Update'!$E$6:$Z$6,1,MATCH(AG37,'Rate &amp; Vol Update'!$E$6:$Z$6,1)+1),'Rate &amp; Vol Update'!$E$6:$Z$6,0))*(AG37-INDEX('Rate &amp; Vol Update'!$E$6:$Z$6,1,MATCH(AG37,'Rate &amp; Vol Update'!$E$6:$Z$6,1)))*(INDEX('Rate &amp; Vol Update'!$B$8:$B$127,MATCH(AB37,'Rate &amp; Vol Update'!$B$8:$B$127,1)+1)-AB37)+INDEX('Rate &amp; Vol Update'!$E$8:$Z$127,MATCH(INDEX('Rate &amp; Vol Update'!$B$8:$B$127,MATCH(AB37,'Rate &amp; Vol Update'!$B$8:$B$127,1)+1),'Rate &amp; Vol Update'!$B$8:$B$127,0),MATCH(INDEX('Rate &amp; Vol Update'!$E$6:$Z$6,1,MATCH(AG37,'Rate &amp; Vol Update'!$E$6:$Z$6,1)),'Rate &amp; Vol Update'!$E$6:$Z$6,0))*(INDEX('Rate &amp; Vol Update'!$E$6:$Z$6,1,MATCH(AG37,'Rate &amp; Vol Update'!$E$6:$Z$6,1)+1)-AG37)*(AB37-INDEX('Rate &amp; Vol Update'!$B$8:$B$127,MATCH(AB37,'Rate &amp; Vol Update'!$B$8:$B$127,1)))+INDEX('Rate &amp; Vol Update'!$E$8:$Z$127,MATCH(INDEX('Rate &amp; Vol Update'!$B$8:$B$127,MATCH(AB37,'Rate &amp; Vol Update'!$B$8:$B$127,1)+1),'Rate &amp; Vol Update'!$B$8:$B$127,0),MATCH(INDEX('Rate &amp; Vol Update'!$E$6:$Z$6,1,MATCH(AG37,'Rate &amp; Vol Update'!$E$6:$Z$6,1)+1),'Rate &amp; Vol Update'!$E$6:$Z$6,0))*(AG37-INDEX('Rate &amp; Vol Update'!$E$6:$Z$6,1,MATCH(AG37,'Rate &amp; Vol Update'!$E$6:$Z$6,1)))*(AB37-INDEX('Rate &amp; Vol Update'!$B$8:$B$127,MATCH(AB37,'Rate &amp; Vol Update'!$B$8:$B$127,1)))))*0.01%))</f>
        <v>8.1625497394383559E-3</v>
      </c>
      <c r="AJ37" s="5">
        <f>IF(AA37="","",1/((1+AH37)^((AC37-'Rate &amp; Vol Update'!$C$2)/360)))</f>
        <v>0.90953551912568309</v>
      </c>
      <c r="AL37" s="15">
        <f>IF(AA37="","",IF(AB37&lt;'Rate &amp; Vol Update'!$C$2,MAX(0,AH37-AG37)*(AD37/360)*AF37,(((IF('Adjustment Surface'!$C$2='Data Validation'!$A$2,AH37,IF('Adjustment Surface'!$C$2='Data Validation'!$A$3,AG37,"Unknown Option Type"))-IF('Adjustment Surface'!$C$2='Data Validation'!$A$2,AG37,IF('Adjustment Surface'!$C$2='Data Validation'!$A$3,AH37,"Unknown Option Type")))*(NORMDIST((IF('Adjustment Surface'!$C$2='Data Validation'!$A$2,AH37,IF('Adjustment Surface'!$C$2='Data Validation'!$A$3,AG37,"Unknown Option Type"))-IF('Adjustment Surface'!$C$2='Data Validation'!$A$2,AG37,IF('Adjustment Surface'!$C$2='Data Validation'!$A$3,AH37,"Unknown Option Type")))/(AI37*SQRT(AE37)),0,1,TRUE)))+((AI37*SQRT(AE37))*(NORMDIST((IF('Adjustment Surface'!$C$2='Data Validation'!$A$2,AH37,IF('Adjustment Surface'!$C$2='Data Validation'!$A$3,AG37,"Unknown Option Type"))-IF('Adjustment Surface'!$C$2='Data Validation'!$A$2,AG37,IF('Adjustment Surface'!$C$2='Data Validation'!$A$3,AH37,"Unknown Option Type")))/(AI37*SQRT(AE37)),0,1,FALSE))))*AJ37*(AD37/360)*AF37))</f>
        <v>14179.390523942886</v>
      </c>
      <c r="AM37" s="15">
        <f>IF(AA37="","",SUM(AL$4:AL37))</f>
        <v>381173.52916603303</v>
      </c>
      <c r="AO37" s="15">
        <f>IF(AA37="","",IF(AB37&lt;'Rate &amp; Vol Update'!$C$2,0,((((((IF('Adjustment Surface'!$C$2='Data Validation'!$A$2,AH37,IF('Adjustment Surface'!$C$2='Data Validation'!$A$3,AG37,"Unknown Option Type"))-IF('Adjustment Surface'!$C$2='Data Validation'!$A$2,AG37,IF('Adjustment Surface'!$C$2='Data Validation'!$A$3,AH37,"Unknown Option Type")))*(NORMDIST((IF('Adjustment Surface'!$C$2='Data Validation'!$A$2,AH37,IF('Adjustment Surface'!$C$2='Data Validation'!$A$3,AG37,"Unknown Option Type"))-IF('Adjustment Surface'!$C$2='Data Validation'!$A$2,AG37,IF('Adjustment Surface'!$C$2='Data Validation'!$A$3,AH37,"Unknown Option Type")))/((AI37+0.01%)*SQRT(AE37)),0,1,TRUE)))+(((AI37+0.01%)*SQRT(AE37))*(NORMDIST((IF('Adjustment Surface'!$C$2='Data Validation'!$A$2,AH37,IF('Adjustment Surface'!$C$2='Data Validation'!$A$3,AG37,"Unknown Option Type"))-IF('Adjustment Surface'!$C$2='Data Validation'!$A$2,AG37,IF('Adjustment Surface'!$C$2='Data Validation'!$A$3,AH37,"Unknown Option Type")))/((AI37+0.01%)*SQRT(AE37)),0,1,FALSE))))*AJ37*(AD37/360))-(AL37/AF37))*AF37)*AJ37))</f>
        <v>112.7657044968235</v>
      </c>
      <c r="AP37" s="15">
        <f>IF(AA37="","",SUM(AO$4:AO37))</f>
        <v>2690.9764614603837</v>
      </c>
      <c r="AQ37" s="15"/>
      <c r="AR37" s="20"/>
      <c r="AS37" s="3">
        <v>34</v>
      </c>
      <c r="AT37" s="4">
        <f>IF(AU36=MAX('Adjustment Surface'!$C$14:$F$14),"",AU36)</f>
        <v>47068</v>
      </c>
      <c r="AU37" s="4">
        <f>IF(AT37="","",IF(AT37&lt;EDATE('Adjustment Surface'!$C$6,DATEDIF('Adjustment Surface'!$C$6,MAX('Adjustment Surface'!$C$14:$F$14),"M")),EDATE(AT$5,COUNT(AT$5:AT37)),IF(AT37=EDATE('Adjustment Surface'!$C$6,DATEDIF('Adjustment Surface'!$C$6,MAX('Adjustment Surface'!$C$14:$F$14),"M")),MAX('Adjustment Surface'!$C$14:$F$14),EDATE('Adjustment Surface'!$C$6,DATEDIF('Adjustment Surface'!$C$6,MAX('Adjustment Surface'!$C$14:$F$14),"M")))))</f>
        <v>47098</v>
      </c>
      <c r="AV37" s="3">
        <f t="shared" si="3"/>
        <v>30</v>
      </c>
      <c r="AW37" s="5">
        <f>IF(AS37="","",(AU37-'Rate &amp; Vol Update'!$C$2)/360)</f>
        <v>2.8722222222222222</v>
      </c>
      <c r="AX37" s="15">
        <f>IF(AS37="","",IF('Adjustment Surface'!$C$3='Data Validation'!$C$2,'Adjustment Surface'!$C$4,_xlfn.IFNA(IF(INDEX(Schedules!$E$3:$E$123,MATCH('Bachelier Model'!AT37,Schedules!$B$3:$B$123,0))="",AX36,INDEX(Schedules!$E$3:$E$123,MATCH('Bachelier Model'!AT37,Schedules!$B$3:$B$123,0))),AX36)))</f>
        <v>25000000</v>
      </c>
      <c r="AY37" s="16">
        <f>IF(AS37="","",'Adjustment Surface'!B$16)</f>
        <v>0.04</v>
      </c>
      <c r="AZ37" s="16" cm="1">
        <f t="array" ref="AZ37">IF(AS37="","",FORECAST(AT37,INDEX('Rate &amp; Vol Update'!$C$6:$C$127,MATCH(INDEX('Rate &amp; Vol Update'!$B$6:$B$127,MATCH(AT37,'Rate &amp; Vol Update'!$B$6:$B$127,1)),'Rate &amp; Vol Update'!$B$6:$B$127,0)+IF('Adjustment Surface'!$C$11='Data Validation'!$E$3,-1,0)):INDEX('Rate &amp; Vol Update'!$C$6:$C$127,MATCH(INDEX('Rate &amp; Vol Update'!$B$6:$B$127,MATCH(AT37,'Rate &amp; Vol Update'!$B$6:$B$127,1)+1),'Rate &amp; Vol Update'!$B$6:$B$127,0)+IF('Adjustment Surface'!$C$11='Data Validation'!$E$3,-1,0)),INDEX('Rate &amp; Vol Update'!$B$6:$B$127,MATCH(AT37,'Rate &amp; Vol Update'!$B$6:$B$127,1)):INDEX('Rate &amp; Vol Update'!$B$6:$B$127,MATCH(AT37,'Rate &amp; Vol Update'!$B$6:$B$127,1)+1))/100)</f>
        <v>3.3564175597290635E-2</v>
      </c>
      <c r="BA37" s="16" cm="1">
        <f t="array" ref="BA37">IF(AS37="","",IF(AT37&lt;'Rate &amp; Vol Update'!$C$2,0.001%,(1/((INDEX('Rate &amp; Vol Update'!$E$6:$Z$6,1,MATCH(AY37,'Rate &amp; Vol Update'!$E$6:$Z$6,1)+1)-INDEX('Rate &amp; Vol Update'!$E$6:$Z$6,1,MATCH(AY37,'Rate &amp; Vol Update'!$E$6:$Z$6,1)))*(INDEX('Rate &amp; Vol Update'!$B$8:$B$127,MATCH(AT37,'Rate &amp; Vol Update'!$B$8:$B$127,1)+1)-INDEX('Rate &amp; Vol Update'!$B$8:$B$127,MATCH(AT37,'Rate &amp; Vol Update'!$B$8:$B$127,1))))*(INDEX('Rate &amp; Vol Update'!$E$8:$Z$127,MATCH(INDEX('Rate &amp; Vol Update'!$B$8:$B$127,MATCH(AT37,'Rate &amp; Vol Update'!$B$8:$B$127,1)),'Rate &amp; Vol Update'!$B$8:$B$127,0),MATCH(INDEX('Rate &amp; Vol Update'!$E$6:$Z$6,1,MATCH(AY37,'Rate &amp; Vol Update'!$E$6:$Z$6,1)),'Rate &amp; Vol Update'!$E$6:$Z$6,0))*(INDEX('Rate &amp; Vol Update'!$E$6:$Z$6,1,MATCH(AY37,'Rate &amp; Vol Update'!$E$6:$Z$6,1)+1)-AY37)*(INDEX('Rate &amp; Vol Update'!$B$8:$B$127,MATCH(AT37,'Rate &amp; Vol Update'!$B$8:$B$127,1)+1)-AT37)+INDEX('Rate &amp; Vol Update'!$E$8:$Z$127,MATCH(INDEX('Rate &amp; Vol Update'!$B$8:$B$127,MATCH(AT37,'Rate &amp; Vol Update'!$B$8:$B$127,1)),'Rate &amp; Vol Update'!$B$8:$B$127,0),MATCH(INDEX('Rate &amp; Vol Update'!$E$6:$Z$6,1,MATCH(AY37,'Rate &amp; Vol Update'!$E$6:$Z$6,1)+1),'Rate &amp; Vol Update'!$E$6:$Z$6,0))*(AY37-INDEX('Rate &amp; Vol Update'!$E$6:$Z$6,1,MATCH(AY37,'Rate &amp; Vol Update'!$E$6:$Z$6,1)))*(INDEX('Rate &amp; Vol Update'!$B$8:$B$127,MATCH(AT37,'Rate &amp; Vol Update'!$B$8:$B$127,1)+1)-AT37)+INDEX('Rate &amp; Vol Update'!$E$8:$Z$127,MATCH(INDEX('Rate &amp; Vol Update'!$B$8:$B$127,MATCH(AT37,'Rate &amp; Vol Update'!$B$8:$B$127,1)+1),'Rate &amp; Vol Update'!$B$8:$B$127,0),MATCH(INDEX('Rate &amp; Vol Update'!$E$6:$Z$6,1,MATCH(AY37,'Rate &amp; Vol Update'!$E$6:$Z$6,1)),'Rate &amp; Vol Update'!$E$6:$Z$6,0))*(INDEX('Rate &amp; Vol Update'!$E$6:$Z$6,1,MATCH(AY37,'Rate &amp; Vol Update'!$E$6:$Z$6,1)+1)-AY37)*(AT37-INDEX('Rate &amp; Vol Update'!$B$8:$B$127,MATCH(AT37,'Rate &amp; Vol Update'!$B$8:$B$127,1)))+INDEX('Rate &amp; Vol Update'!$E$8:$Z$127,MATCH(INDEX('Rate &amp; Vol Update'!$B$8:$B$127,MATCH(AT37,'Rate &amp; Vol Update'!$B$8:$B$127,1)+1),'Rate &amp; Vol Update'!$B$8:$B$127,0),MATCH(INDEX('Rate &amp; Vol Update'!$E$6:$Z$6,1,MATCH(AY37,'Rate &amp; Vol Update'!$E$6:$Z$6,1)+1),'Rate &amp; Vol Update'!$E$6:$Z$6,0))*(AY37-INDEX('Rate &amp; Vol Update'!$E$6:$Z$6,1,MATCH(AY37,'Rate &amp; Vol Update'!$E$6:$Z$6,1)))*(AT37-INDEX('Rate &amp; Vol Update'!$B$8:$B$127,MATCH(AT37,'Rate &amp; Vol Update'!$B$8:$B$127,1)))))*0.01%))</f>
        <v>8.3290088879670182E-3</v>
      </c>
      <c r="BB37" s="5">
        <f>IF(AS37="","",1/((1+AZ37)^((AU37-'Rate &amp; Vol Update'!$C$2)/360)))</f>
        <v>0.90953551912568309</v>
      </c>
      <c r="BD37" s="15">
        <f>IF(AS37="","",IF(AT37&lt;'Rate &amp; Vol Update'!$C$2,MAX(0,AZ37-AY37)*(AV37/360)*AX37,(((IF('Adjustment Surface'!$C$2='Data Validation'!$A$2,AZ37,IF('Adjustment Surface'!$C$2='Data Validation'!$A$3,AY37,"Unknown Option Type"))-IF('Adjustment Surface'!$C$2='Data Validation'!$A$2,AY37,IF('Adjustment Surface'!$C$2='Data Validation'!$A$3,AZ37,"Unknown Option Type")))*(NORMDIST((IF('Adjustment Surface'!$C$2='Data Validation'!$A$2,AZ37,IF('Adjustment Surface'!$C$2='Data Validation'!$A$3,AY37,"Unknown Option Type"))-IF('Adjustment Surface'!$C$2='Data Validation'!$A$2,AY37,IF('Adjustment Surface'!$C$2='Data Validation'!$A$3,AZ37,"Unknown Option Type")))/(BA37*SQRT(AW37)),0,1,TRUE)))+((BA37*SQRT(AW37))*(NORMDIST((IF('Adjustment Surface'!$C$2='Data Validation'!$A$2,AZ37,IF('Adjustment Surface'!$C$2='Data Validation'!$A$3,AY37,"Unknown Option Type"))-IF('Adjustment Surface'!$C$2='Data Validation'!$A$2,AY37,IF('Adjustment Surface'!$C$2='Data Validation'!$A$3,AZ37,"Unknown Option Type")))/(BA37*SQRT(AW37)),0,1,FALSE))))*BB37*(AV37/360)*AX37))</f>
        <v>5663.4013811958248</v>
      </c>
      <c r="BE37" s="15">
        <f>IF(AS37="","",SUM(BD$4:BD37))</f>
        <v>81700.231962855658</v>
      </c>
      <c r="BG37" s="15">
        <f>IF(AS37="","",IF(AT37&lt;'Rate &amp; Vol Update'!$C$2,0,((((((IF('Adjustment Surface'!$C$2='Data Validation'!$A$2,AZ37,IF('Adjustment Surface'!$C$2='Data Validation'!$A$3,AY37,"Unknown Option Type"))-IF('Adjustment Surface'!$C$2='Data Validation'!$A$2,AY37,IF('Adjustment Surface'!$C$2='Data Validation'!$A$3,AZ37,"Unknown Option Type")))*(NORMDIST((IF('Adjustment Surface'!$C$2='Data Validation'!$A$2,AZ37,IF('Adjustment Surface'!$C$2='Data Validation'!$A$3,AY37,"Unknown Option Type"))-IF('Adjustment Surface'!$C$2='Data Validation'!$A$2,AY37,IF('Adjustment Surface'!$C$2='Data Validation'!$A$3,AZ37,"Unknown Option Type")))/((BA37+0.01%)*SQRT(AW37)),0,1,TRUE)))+(((BA37+0.01%)*SQRT(AW37))*(NORMDIST((IF('Adjustment Surface'!$C$2='Data Validation'!$A$2,AZ37,IF('Adjustment Surface'!$C$2='Data Validation'!$A$3,AY37,"Unknown Option Type"))-IF('Adjustment Surface'!$C$2='Data Validation'!$A$2,AY37,IF('Adjustment Surface'!$C$2='Data Validation'!$A$3,AZ37,"Unknown Option Type")))/((BA37+0.01%)*SQRT(AW37)),0,1,FALSE))))*BB37*(AV37/360))-(BD37/AX37))*AX37)*BB37))</f>
        <v>105.15094509465037</v>
      </c>
      <c r="BH37" s="15">
        <f>IF(AS37="","",SUM(BG$4:BG37))</f>
        <v>2091.2851913193472</v>
      </c>
      <c r="BI37" s="15"/>
      <c r="BJ37" s="20"/>
      <c r="BK37" s="3">
        <v>34</v>
      </c>
      <c r="BL37" s="4">
        <f>IF(BM36=MAX('Adjustment Surface'!$C$14:$F$14),"",BM36)</f>
        <v>47068</v>
      </c>
      <c r="BM37" s="4">
        <f>IF(BL37="","",IF(BL37&lt;EDATE('Adjustment Surface'!$C$6,DATEDIF('Adjustment Surface'!$C$6,MAX('Adjustment Surface'!$C$14:$F$14),"M")),EDATE(BL$5,COUNT(BL$5:BL37)),IF(BL37=EDATE('Adjustment Surface'!$C$6,DATEDIF('Adjustment Surface'!$C$6,MAX('Adjustment Surface'!$C$14:$F$14),"M")),MAX('Adjustment Surface'!$C$14:$F$14),EDATE('Adjustment Surface'!$C$6,DATEDIF('Adjustment Surface'!$C$6,MAX('Adjustment Surface'!$C$14:$F$14),"M")))))</f>
        <v>47098</v>
      </c>
      <c r="BN37" s="3">
        <f t="shared" si="4"/>
        <v>30</v>
      </c>
      <c r="BO37" s="5">
        <f>IF(BK37="","",(BM37-'Rate &amp; Vol Update'!$C$2)/360)</f>
        <v>2.8722222222222222</v>
      </c>
      <c r="BP37" s="15">
        <f>IF(BK37="","",IF('Adjustment Surface'!$C$3='Data Validation'!$C$2,'Adjustment Surface'!$C$4,_xlfn.IFNA(IF(INDEX(Schedules!$E$3:$E$123,MATCH('Bachelier Model'!BL37,Schedules!$B$3:$B$123,0))="",BP36,INDEX(Schedules!$E$3:$E$123,MATCH('Bachelier Model'!BL37,Schedules!$B$3:$B$123,0))),BP36)))</f>
        <v>25000000</v>
      </c>
      <c r="BQ37" s="16">
        <f>IF(BK37="","",'Adjustment Surface'!B$17)</f>
        <v>0.05</v>
      </c>
      <c r="BR37" s="16" cm="1">
        <f t="array" ref="BR37">IF(BK37="","",FORECAST(BL37,INDEX('Rate &amp; Vol Update'!$C$6:$C$127,MATCH(INDEX('Rate &amp; Vol Update'!$B$6:$B$127,MATCH(BL37,'Rate &amp; Vol Update'!$B$6:$B$127,1)),'Rate &amp; Vol Update'!$B$6:$B$127,0)+IF('Adjustment Surface'!$C$11='Data Validation'!$E$3,-1,0)):INDEX('Rate &amp; Vol Update'!$C$6:$C$127,MATCH(INDEX('Rate &amp; Vol Update'!$B$6:$B$127,MATCH(BL37,'Rate &amp; Vol Update'!$B$6:$B$127,1)+1),'Rate &amp; Vol Update'!$B$6:$B$127,0)+IF('Adjustment Surface'!$C$11='Data Validation'!$E$3,-1,0)),INDEX('Rate &amp; Vol Update'!$B$6:$B$127,MATCH(BL37,'Rate &amp; Vol Update'!$B$6:$B$127,1)):INDEX('Rate &amp; Vol Update'!$B$6:$B$127,MATCH(BL37,'Rate &amp; Vol Update'!$B$6:$B$127,1)+1))/100)</f>
        <v>3.3564175597290635E-2</v>
      </c>
      <c r="BS37" s="16" cm="1">
        <f t="array" ref="BS37">IF(BK37="","",IF(BL37&lt;'Rate &amp; Vol Update'!$C$2,0.001%,(1/((INDEX('Rate &amp; Vol Update'!$E$6:$Z$6,1,MATCH(BQ37,'Rate &amp; Vol Update'!$E$6:$Z$6,1)+1)-INDEX('Rate &amp; Vol Update'!$E$6:$Z$6,1,MATCH(BQ37,'Rate &amp; Vol Update'!$E$6:$Z$6,1)))*(INDEX('Rate &amp; Vol Update'!$B$8:$B$127,MATCH(BL37,'Rate &amp; Vol Update'!$B$8:$B$127,1)+1)-INDEX('Rate &amp; Vol Update'!$B$8:$B$127,MATCH(BL37,'Rate &amp; Vol Update'!$B$8:$B$127,1))))*(INDEX('Rate &amp; Vol Update'!$E$8:$Z$127,MATCH(INDEX('Rate &amp; Vol Update'!$B$8:$B$127,MATCH(BL37,'Rate &amp; Vol Update'!$B$8:$B$127,1)),'Rate &amp; Vol Update'!$B$8:$B$127,0),MATCH(INDEX('Rate &amp; Vol Update'!$E$6:$Z$6,1,MATCH(BQ37,'Rate &amp; Vol Update'!$E$6:$Z$6,1)),'Rate &amp; Vol Update'!$E$6:$Z$6,0))*(INDEX('Rate &amp; Vol Update'!$E$6:$Z$6,1,MATCH(BQ37,'Rate &amp; Vol Update'!$E$6:$Z$6,1)+1)-BQ37)*(INDEX('Rate &amp; Vol Update'!$B$8:$B$127,MATCH(BL37,'Rate &amp; Vol Update'!$B$8:$B$127,1)+1)-BL37)+INDEX('Rate &amp; Vol Update'!$E$8:$Z$127,MATCH(INDEX('Rate &amp; Vol Update'!$B$8:$B$127,MATCH(BL37,'Rate &amp; Vol Update'!$B$8:$B$127,1)),'Rate &amp; Vol Update'!$B$8:$B$127,0),MATCH(INDEX('Rate &amp; Vol Update'!$E$6:$Z$6,1,MATCH(BQ37,'Rate &amp; Vol Update'!$E$6:$Z$6,1)+1),'Rate &amp; Vol Update'!$E$6:$Z$6,0))*(BQ37-INDEX('Rate &amp; Vol Update'!$E$6:$Z$6,1,MATCH(BQ37,'Rate &amp; Vol Update'!$E$6:$Z$6,1)))*(INDEX('Rate &amp; Vol Update'!$B$8:$B$127,MATCH(BL37,'Rate &amp; Vol Update'!$B$8:$B$127,1)+1)-BL37)+INDEX('Rate &amp; Vol Update'!$E$8:$Z$127,MATCH(INDEX('Rate &amp; Vol Update'!$B$8:$B$127,MATCH(BL37,'Rate &amp; Vol Update'!$B$8:$B$127,1)+1),'Rate &amp; Vol Update'!$B$8:$B$127,0),MATCH(INDEX('Rate &amp; Vol Update'!$E$6:$Z$6,1,MATCH(BQ37,'Rate &amp; Vol Update'!$E$6:$Z$6,1)),'Rate &amp; Vol Update'!$E$6:$Z$6,0))*(INDEX('Rate &amp; Vol Update'!$E$6:$Z$6,1,MATCH(BQ37,'Rate &amp; Vol Update'!$E$6:$Z$6,1)+1)-BQ37)*(BL37-INDEX('Rate &amp; Vol Update'!$B$8:$B$127,MATCH(BL37,'Rate &amp; Vol Update'!$B$8:$B$127,1)))+INDEX('Rate &amp; Vol Update'!$E$8:$Z$127,MATCH(INDEX('Rate &amp; Vol Update'!$B$8:$B$127,MATCH(BL37,'Rate &amp; Vol Update'!$B$8:$B$127,1)+1),'Rate &amp; Vol Update'!$B$8:$B$127,0),MATCH(INDEX('Rate &amp; Vol Update'!$E$6:$Z$6,1,MATCH(BQ37,'Rate &amp; Vol Update'!$E$6:$Z$6,1)+1),'Rate &amp; Vol Update'!$E$6:$Z$6,0))*(BQ37-INDEX('Rate &amp; Vol Update'!$E$6:$Z$6,1,MATCH(BQ37,'Rate &amp; Vol Update'!$E$6:$Z$6,1)))*(BL37-INDEX('Rate &amp; Vol Update'!$B$8:$B$127,MATCH(BL37,'Rate &amp; Vol Update'!$B$8:$B$127,1)))))*0.01%))</f>
        <v>9.5735045961011806E-3</v>
      </c>
      <c r="BT37" s="5">
        <f>IF(BK37="","",1/((1+BR37)^((BM37-'Rate &amp; Vol Update'!$C$2)/360)))</f>
        <v>0.90953551912568309</v>
      </c>
      <c r="BV37" s="15">
        <f>IF(BK37="","",IF(BL37&lt;'Rate &amp; Vol Update'!$C$2,MAX(0,BR37-BQ37)*(BN37/360)*BP37,(((IF('Adjustment Surface'!$C$2='Data Validation'!$A$2,BR37,IF('Adjustment Surface'!$C$2='Data Validation'!$A$3,BQ37,"Unknown Option Type"))-IF('Adjustment Surface'!$C$2='Data Validation'!$A$2,BQ37,IF('Adjustment Surface'!$C$2='Data Validation'!$A$3,BR37,"Unknown Option Type")))*(NORMDIST((IF('Adjustment Surface'!$C$2='Data Validation'!$A$2,BR37,IF('Adjustment Surface'!$C$2='Data Validation'!$A$3,BQ37,"Unknown Option Type"))-IF('Adjustment Surface'!$C$2='Data Validation'!$A$2,BQ37,IF('Adjustment Surface'!$C$2='Data Validation'!$A$3,BR37,"Unknown Option Type")))/(BS37*SQRT(BO37)),0,1,TRUE)))+((BS37*SQRT(BO37))*(NORMDIST((IF('Adjustment Surface'!$C$2='Data Validation'!$A$2,BR37,IF('Adjustment Surface'!$C$2='Data Validation'!$A$3,BQ37,"Unknown Option Type"))-IF('Adjustment Surface'!$C$2='Data Validation'!$A$2,BQ37,IF('Adjustment Surface'!$C$2='Data Validation'!$A$3,BR37,"Unknown Option Type")))/(BS37*SQRT(BO37)),0,1,FALSE))))*BT37*(BN37/360)*BP37))</f>
        <v>2498.632102166835</v>
      </c>
      <c r="BW37" s="15">
        <f>IF(BK37="","",SUM(BV$4:BV37))</f>
        <v>27877.100408976381</v>
      </c>
      <c r="BY37" s="15">
        <f>IF(BK37="","",IF(BL37&lt;'Rate &amp; Vol Update'!$C$2,0,((((((IF('Adjustment Surface'!$C$2='Data Validation'!$A$2,BR37,IF('Adjustment Surface'!$C$2='Data Validation'!$A$3,BQ37,"Unknown Option Type"))-IF('Adjustment Surface'!$C$2='Data Validation'!$A$2,BQ37,IF('Adjustment Surface'!$C$2='Data Validation'!$A$3,BR37,"Unknown Option Type")))*(NORMDIST((IF('Adjustment Surface'!$C$2='Data Validation'!$A$2,BR37,IF('Adjustment Surface'!$C$2='Data Validation'!$A$3,BQ37,"Unknown Option Type"))-IF('Adjustment Surface'!$C$2='Data Validation'!$A$2,BQ37,IF('Adjustment Surface'!$C$2='Data Validation'!$A$3,BR37,"Unknown Option Type")))/((BS37+0.01%)*SQRT(BO37)),0,1,TRUE)))+(((BS37+0.01%)*SQRT(BO37))*(NORMDIST((IF('Adjustment Surface'!$C$2='Data Validation'!$A$2,BR37,IF('Adjustment Surface'!$C$2='Data Validation'!$A$3,BQ37,"Unknown Option Type"))-IF('Adjustment Surface'!$C$2='Data Validation'!$A$2,BQ37,IF('Adjustment Surface'!$C$2='Data Validation'!$A$3,BR37,"Unknown Option Type")))/((BS37+0.01%)*SQRT(BO37)),0,1,FALSE))))*BT37*(BN37/360))-(BV37/BP37))*BP37)*BT37))</f>
        <v>70.127897522093633</v>
      </c>
      <c r="BZ37" s="15">
        <f>IF(BK37="","",SUM(BY$4:BY37))</f>
        <v>985.02366861191831</v>
      </c>
      <c r="CA37" s="15"/>
      <c r="CB37" s="20"/>
      <c r="CC37" s="3">
        <v>34</v>
      </c>
      <c r="CD37" s="4">
        <f>IF(CE36=MAX('Adjustment Surface'!$C$14:$F$14),"",CE36)</f>
        <v>47068</v>
      </c>
      <c r="CE37" s="4">
        <f>IF(CD37="","",IF(CD37&lt;EDATE('Adjustment Surface'!$C$6,DATEDIF('Adjustment Surface'!$C$6,MAX('Adjustment Surface'!$C$14:$F$14),"M")),EDATE(CD$5,COUNT(CD$5:CD37)),IF(CD37=EDATE('Adjustment Surface'!$C$6,DATEDIF('Adjustment Surface'!$C$6,MAX('Adjustment Surface'!$C$14:$F$14),"M")),MAX('Adjustment Surface'!$C$14:$F$14),EDATE('Adjustment Surface'!$C$6,DATEDIF('Adjustment Surface'!$C$6,MAX('Adjustment Surface'!$C$14:$F$14),"M")))))</f>
        <v>47098</v>
      </c>
      <c r="CF37" s="3">
        <f t="shared" si="5"/>
        <v>30</v>
      </c>
      <c r="CG37" s="5">
        <f>IF(CC37="","",(CE37-'Rate &amp; Vol Update'!$C$2)/360)</f>
        <v>2.8722222222222222</v>
      </c>
      <c r="CH37" s="15">
        <f>IF(CC37="","",IF('Adjustment Surface'!$C$3='Data Validation'!$C$2,'Adjustment Surface'!$C$4,_xlfn.IFNA(IF(INDEX(Schedules!$E$3:$E$123,MATCH('Bachelier Model'!CD37,Schedules!$B$3:$B$123,0))="",CH36,INDEX(Schedules!$E$3:$E$123,MATCH('Bachelier Model'!CD37,Schedules!$B$3:$B$123,0))),CH36)))</f>
        <v>25000000</v>
      </c>
      <c r="CI37" s="16">
        <f>IF(CC37="","",'Adjustment Surface'!B$18)</f>
        <v>0.06</v>
      </c>
      <c r="CJ37" s="16" cm="1">
        <f t="array" ref="CJ37">IF(CC37="","",FORECAST(CD37,INDEX('Rate &amp; Vol Update'!$C$6:$C$127,MATCH(INDEX('Rate &amp; Vol Update'!$B$6:$B$127,MATCH(CD37,'Rate &amp; Vol Update'!$B$6:$B$127,1)),'Rate &amp; Vol Update'!$B$6:$B$127,0)+IF('Adjustment Surface'!$C$11='Data Validation'!$E$3,-1,0)):INDEX('Rate &amp; Vol Update'!$C$6:$C$127,MATCH(INDEX('Rate &amp; Vol Update'!$B$6:$B$127,MATCH(CD37,'Rate &amp; Vol Update'!$B$6:$B$127,1)+1),'Rate &amp; Vol Update'!$B$6:$B$127,0)+IF('Adjustment Surface'!$C$11='Data Validation'!$E$3,-1,0)),INDEX('Rate &amp; Vol Update'!$B$6:$B$127,MATCH(CD37,'Rate &amp; Vol Update'!$B$6:$B$127,1)):INDEX('Rate &amp; Vol Update'!$B$6:$B$127,MATCH(CD37,'Rate &amp; Vol Update'!$B$6:$B$127,1)+1))/100)</f>
        <v>3.3564175597290635E-2</v>
      </c>
      <c r="CK37" s="16" cm="1">
        <f t="array" ref="CK37">IF(CC37="","",IF(CD37&lt;'Rate &amp; Vol Update'!$C$2,0.001%,(1/((INDEX('Rate &amp; Vol Update'!$E$6:$Z$6,1,MATCH(CI37,'Rate &amp; Vol Update'!$E$6:$Z$6,1)+1)-INDEX('Rate &amp; Vol Update'!$E$6:$Z$6,1,MATCH(CI37,'Rate &amp; Vol Update'!$E$6:$Z$6,1)))*(INDEX('Rate &amp; Vol Update'!$B$8:$B$127,MATCH(CD37,'Rate &amp; Vol Update'!$B$8:$B$127,1)+1)-INDEX('Rate &amp; Vol Update'!$B$8:$B$127,MATCH(CD37,'Rate &amp; Vol Update'!$B$8:$B$127,1))))*(INDEX('Rate &amp; Vol Update'!$E$8:$Z$127,MATCH(INDEX('Rate &amp; Vol Update'!$B$8:$B$127,MATCH(CD37,'Rate &amp; Vol Update'!$B$8:$B$127,1)),'Rate &amp; Vol Update'!$B$8:$B$127,0),MATCH(INDEX('Rate &amp; Vol Update'!$E$6:$Z$6,1,MATCH(CI37,'Rate &amp; Vol Update'!$E$6:$Z$6,1)),'Rate &amp; Vol Update'!$E$6:$Z$6,0))*(INDEX('Rate &amp; Vol Update'!$E$6:$Z$6,1,MATCH(CI37,'Rate &amp; Vol Update'!$E$6:$Z$6,1)+1)-CI37)*(INDEX('Rate &amp; Vol Update'!$B$8:$B$127,MATCH(CD37,'Rate &amp; Vol Update'!$B$8:$B$127,1)+1)-CD37)+INDEX('Rate &amp; Vol Update'!$E$8:$Z$127,MATCH(INDEX('Rate &amp; Vol Update'!$B$8:$B$127,MATCH(CD37,'Rate &amp; Vol Update'!$B$8:$B$127,1)),'Rate &amp; Vol Update'!$B$8:$B$127,0),MATCH(INDEX('Rate &amp; Vol Update'!$E$6:$Z$6,1,MATCH(CI37,'Rate &amp; Vol Update'!$E$6:$Z$6,1)+1),'Rate &amp; Vol Update'!$E$6:$Z$6,0))*(CI37-INDEX('Rate &amp; Vol Update'!$E$6:$Z$6,1,MATCH(CI37,'Rate &amp; Vol Update'!$E$6:$Z$6,1)))*(INDEX('Rate &amp; Vol Update'!$B$8:$B$127,MATCH(CD37,'Rate &amp; Vol Update'!$B$8:$B$127,1)+1)-CD37)+INDEX('Rate &amp; Vol Update'!$E$8:$Z$127,MATCH(INDEX('Rate &amp; Vol Update'!$B$8:$B$127,MATCH(CD37,'Rate &amp; Vol Update'!$B$8:$B$127,1)+1),'Rate &amp; Vol Update'!$B$8:$B$127,0),MATCH(INDEX('Rate &amp; Vol Update'!$E$6:$Z$6,1,MATCH(CI37,'Rate &amp; Vol Update'!$E$6:$Z$6,1)),'Rate &amp; Vol Update'!$E$6:$Z$6,0))*(INDEX('Rate &amp; Vol Update'!$E$6:$Z$6,1,MATCH(CI37,'Rate &amp; Vol Update'!$E$6:$Z$6,1)+1)-CI37)*(CD37-INDEX('Rate &amp; Vol Update'!$B$8:$B$127,MATCH(CD37,'Rate &amp; Vol Update'!$B$8:$B$127,1)))+INDEX('Rate &amp; Vol Update'!$E$8:$Z$127,MATCH(INDEX('Rate &amp; Vol Update'!$B$8:$B$127,MATCH(CD37,'Rate &amp; Vol Update'!$B$8:$B$127,1)+1),'Rate &amp; Vol Update'!$B$8:$B$127,0),MATCH(INDEX('Rate &amp; Vol Update'!$E$6:$Z$6,1,MATCH(CI37,'Rate &amp; Vol Update'!$E$6:$Z$6,1)+1),'Rate &amp; Vol Update'!$E$6:$Z$6,0))*(CI37-INDEX('Rate &amp; Vol Update'!$E$6:$Z$6,1,MATCH(CI37,'Rate &amp; Vol Update'!$E$6:$Z$6,1)))*(CD37-INDEX('Rate &amp; Vol Update'!$B$8:$B$127,MATCH(CD37,'Rate &amp; Vol Update'!$B$8:$B$127,1)))))*0.01%))</f>
        <v>1.1212523092711844E-2</v>
      </c>
      <c r="CL37" s="5">
        <f>IF(CC37="","",1/((1+CJ37)^((CE37-'Rate &amp; Vol Update'!$C$2)/360)))</f>
        <v>0.90953551912568309</v>
      </c>
      <c r="CN37" s="15">
        <f>IF(CC37="","",IF(CD37&lt;'Rate &amp; Vol Update'!$C$2,MAX(0,CJ37-CI37)*(CF37/360)*CH37,(((IF('Adjustment Surface'!$C$2='Data Validation'!$A$2,CJ37,IF('Adjustment Surface'!$C$2='Data Validation'!$A$3,CI37,"Unknown Option Type"))-IF('Adjustment Surface'!$C$2='Data Validation'!$A$2,CI37,IF('Adjustment Surface'!$C$2='Data Validation'!$A$3,CJ37,"Unknown Option Type")))*(NORMDIST((IF('Adjustment Surface'!$C$2='Data Validation'!$A$2,CJ37,IF('Adjustment Surface'!$C$2='Data Validation'!$A$3,CI37,"Unknown Option Type"))-IF('Adjustment Surface'!$C$2='Data Validation'!$A$2,CI37,IF('Adjustment Surface'!$C$2='Data Validation'!$A$3,CJ37,"Unknown Option Type")))/(CK37*SQRT(CG37)),0,1,TRUE)))+((CK37*SQRT(CG37))*(NORMDIST((IF('Adjustment Surface'!$C$2='Data Validation'!$A$2,CJ37,IF('Adjustment Surface'!$C$2='Data Validation'!$A$3,CI37,"Unknown Option Type"))-IF('Adjustment Surface'!$C$2='Data Validation'!$A$2,CI37,IF('Adjustment Surface'!$C$2='Data Validation'!$A$3,CJ37,"Unknown Option Type")))/(CK37*SQRT(CG37)),0,1,FALSE))))*CL37*(CF37/360)*CH37))</f>
        <v>1346.206030351027</v>
      </c>
      <c r="CO37" s="15">
        <f>IF(CC37="","",SUM(CN$4:CN37))</f>
        <v>13262.862812323197</v>
      </c>
      <c r="CQ37" s="15">
        <f>IF(CC37="","",IF(CD37&lt;'Rate &amp; Vol Update'!$C$2,0,((((((IF('Adjustment Surface'!$C$2='Data Validation'!$A$2,CJ37,IF('Adjustment Surface'!$C$2='Data Validation'!$A$3,CI37,"Unknown Option Type"))-IF('Adjustment Surface'!$C$2='Data Validation'!$A$2,CI37,IF('Adjustment Surface'!$C$2='Data Validation'!$A$3,CJ37,"Unknown Option Type")))*(NORMDIST((IF('Adjustment Surface'!$C$2='Data Validation'!$A$2,CJ37,IF('Adjustment Surface'!$C$2='Data Validation'!$A$3,CI37,"Unknown Option Type"))-IF('Adjustment Surface'!$C$2='Data Validation'!$A$2,CI37,IF('Adjustment Surface'!$C$2='Data Validation'!$A$3,CJ37,"Unknown Option Type")))/((CK37+0.01%)*SQRT(CG37)),0,1,TRUE)))+(((CK37+0.01%)*SQRT(CG37))*(NORMDIST((IF('Adjustment Surface'!$C$2='Data Validation'!$A$2,CJ37,IF('Adjustment Surface'!$C$2='Data Validation'!$A$3,CI37,"Unknown Option Type"))-IF('Adjustment Surface'!$C$2='Data Validation'!$A$2,CI37,IF('Adjustment Surface'!$C$2='Data Validation'!$A$3,CJ37,"Unknown Option Type")))/((CK37+0.01%)*SQRT(CG37)),0,1,FALSE))))*CL37*(CF37/360))-(CN37/CH37))*CH37)*CL37))</f>
        <v>44.656026008109684</v>
      </c>
      <c r="CR37" s="15">
        <f>IF(CC37="","",SUM(CQ$4:CQ37))</f>
        <v>533.18499200070994</v>
      </c>
    </row>
    <row r="38" spans="7:96" x14ac:dyDescent="0.25">
      <c r="G38" s="28"/>
      <c r="I38" s="3">
        <v>35</v>
      </c>
      <c r="J38" s="4">
        <f>IF(K37='Adjustment Surface'!C$8,"",K37)</f>
        <v>47098</v>
      </c>
      <c r="K38" s="4">
        <f>IF(J38="","",IF(J38&lt;'Adjustment Surface'!C$7,EDATE(J$5,COUNT(J$5:J38)),IF(J38='Adjustment Surface'!C$7,'Adjustment Surface'!C$8,'Adjustment Surface'!C$7)))</f>
        <v>47129</v>
      </c>
      <c r="L38" s="3">
        <f t="shared" si="1"/>
        <v>31</v>
      </c>
      <c r="M38" s="5">
        <f>IF(I38="","",(K38-'Rate &amp; Vol Update'!$C$2)/360)</f>
        <v>2.9583333333333335</v>
      </c>
      <c r="N38" s="15">
        <f>IF(I38="","",IF('Adjustment Surface'!C$3='Data Validation'!$C$2,'Adjustment Surface'!C$4,IF(INDEX(Schedules!$E$3:$E$123,MATCH('Bachelier Model'!J38,Schedules!$B$3:$B$123,0))="",N37,INDEX(Schedules!$E$3:$E$123,MATCH('Bachelier Model'!J38,Schedules!$B$3:$B$123,0)))))</f>
        <v>25000000</v>
      </c>
      <c r="O38" s="16">
        <f>IF(I38="","",IF('Adjustment Surface'!C$9='Data Validation'!$D$2,'Adjustment Surface'!C$10,IF(INDEX(Schedules!$H$3:$H$123,MATCH('Bachelier Model'!J38,Schedules!$B$3:$B$123,0))="",O37,INDEX(Schedules!$H$3:$H$123,MATCH('Bachelier Model'!J38,Schedules!$B$3:$B$123,0)))))</f>
        <v>0.02</v>
      </c>
      <c r="P38" s="16" cm="1">
        <f t="array" ref="P38">IF(I38="","",FORECAST(J38,INDEX('Rate &amp; Vol Update'!$C$6:$C$127,MATCH(INDEX('Rate &amp; Vol Update'!$B$6:$B$127,MATCH(J38,'Rate &amp; Vol Update'!$B$6:$B$127,1)),'Rate &amp; Vol Update'!$B$6:$B$127,0)+IF('Adjustment Surface'!C$11='Data Validation'!$E$3,-1,0)):INDEX('Rate &amp; Vol Update'!$C$6:$C$127,MATCH(INDEX('Rate &amp; Vol Update'!$B$6:$B$127,MATCH(J38,'Rate &amp; Vol Update'!$B$6:$B$127,1)+1),'Rate &amp; Vol Update'!$B$6:$B$127,0)+IF('Adjustment Surface'!C$11='Data Validation'!$E$3,-1,0)),INDEX('Rate &amp; Vol Update'!$B$6:$B$127,MATCH(J38,'Rate &amp; Vol Update'!$B$6:$B$127,1)):INDEX('Rate &amp; Vol Update'!$B$6:$B$127,MATCH(J38,'Rate &amp; Vol Update'!$B$6:$B$127,1)+1))/100)</f>
        <v>3.3570429179421046E-2</v>
      </c>
      <c r="Q38" s="16" cm="1">
        <f t="array" ref="Q38">IF(I38="","",IF(J38&lt;'Rate &amp; Vol Update'!$C$2,0.001%,(1/((INDEX('Rate &amp; Vol Update'!$E$6:$Z$6,1,MATCH(O38,'Rate &amp; Vol Update'!$E$6:$Z$6,1)+1)-INDEX('Rate &amp; Vol Update'!$E$6:$Z$6,1,MATCH(O38,'Rate &amp; Vol Update'!$E$6:$Z$6,1)))*(INDEX('Rate &amp; Vol Update'!$B$8:$B$127,MATCH(J38,'Rate &amp; Vol Update'!$B$8:$B$127,1)+1)-INDEX('Rate &amp; Vol Update'!$B$8:$B$127,MATCH(J38,'Rate &amp; Vol Update'!$B$8:$B$127,1))))*(INDEX('Rate &amp; Vol Update'!$E$8:$Z$127,MATCH(INDEX('Rate &amp; Vol Update'!$B$8:$B$127,MATCH(J38,'Rate &amp; Vol Update'!$B$8:$B$127,1)),'Rate &amp; Vol Update'!$B$8:$B$127,0),MATCH(INDEX('Rate &amp; Vol Update'!$E$6:$Z$6,1,MATCH(O38,'Rate &amp; Vol Update'!$E$6:$Z$6,1)),'Rate &amp; Vol Update'!$E$6:$Z$6,0))*(INDEX('Rate &amp; Vol Update'!$E$6:$Z$6,1,MATCH(O38,'Rate &amp; Vol Update'!$E$6:$Z$6,1)+1)-O38)*(INDEX('Rate &amp; Vol Update'!$B$8:$B$127,MATCH(J38,'Rate &amp; Vol Update'!$B$8:$B$127,1)+1)-J38)+INDEX('Rate &amp; Vol Update'!$E$8:$Z$127,MATCH(INDEX('Rate &amp; Vol Update'!$B$8:$B$127,MATCH(J38,'Rate &amp; Vol Update'!$B$8:$B$127,1)),'Rate &amp; Vol Update'!$B$8:$B$127,0),MATCH(INDEX('Rate &amp; Vol Update'!$E$6:$Z$6,1,MATCH(O38,'Rate &amp; Vol Update'!$E$6:$Z$6,1)+1),'Rate &amp; Vol Update'!$E$6:$Z$6,0))*(O38-INDEX('Rate &amp; Vol Update'!$E$6:$Z$6,1,MATCH(O38,'Rate &amp; Vol Update'!$E$6:$Z$6,1)))*(INDEX('Rate &amp; Vol Update'!$B$8:$B$127,MATCH(J38,'Rate &amp; Vol Update'!$B$8:$B$127,1)+1)-J38)+INDEX('Rate &amp; Vol Update'!$E$8:$Z$127,MATCH(INDEX('Rate &amp; Vol Update'!$B$8:$B$127,MATCH(J38,'Rate &amp; Vol Update'!$B$8:$B$127,1)+1),'Rate &amp; Vol Update'!$B$8:$B$127,0),MATCH(INDEX('Rate &amp; Vol Update'!$E$6:$Z$6,1,MATCH(O38,'Rate &amp; Vol Update'!$E$6:$Z$6,1)),'Rate &amp; Vol Update'!$E$6:$Z$6,0))*(INDEX('Rate &amp; Vol Update'!$E$6:$Z$6,1,MATCH(O38,'Rate &amp; Vol Update'!$E$6:$Z$6,1)+1)-O38)*(J38-INDEX('Rate &amp; Vol Update'!$B$8:$B$127,MATCH(J38,'Rate &amp; Vol Update'!$B$8:$B$127,1)))+INDEX('Rate &amp; Vol Update'!$E$8:$Z$127,MATCH(INDEX('Rate &amp; Vol Update'!$B$8:$B$127,MATCH(J38,'Rate &amp; Vol Update'!$B$8:$B$127,1)+1),'Rate &amp; Vol Update'!$B$8:$B$127,0),MATCH(INDEX('Rate &amp; Vol Update'!$E$6:$Z$6,1,MATCH(O38,'Rate &amp; Vol Update'!$E$6:$Z$6,1)+1),'Rate &amp; Vol Update'!$E$6:$Z$6,0))*(O38-INDEX('Rate &amp; Vol Update'!$E$6:$Z$6,1,MATCH(O38,'Rate &amp; Vol Update'!$E$6:$Z$6,1)))*(J38-INDEX('Rate &amp; Vol Update'!$B$8:$B$127,MATCH(J38,'Rate &amp; Vol Update'!$B$8:$B$127,1)))))*0.01%))</f>
        <v>8.7994920456926223E-3</v>
      </c>
      <c r="R38" s="5">
        <f>IF(I38="","",1/((1+P38)^((K38-'Rate &amp; Vol Update'!$C$2)/360)))</f>
        <v>0.90693732702661023</v>
      </c>
      <c r="T38" s="15">
        <f>IF(I38="","",IF(J38&lt;'Rate &amp; Vol Update'!$C$2,MAX(0,P38-O38)*(L38/360)*N38,(((IF('Adjustment Surface'!C$2='Data Validation'!$A$2,P38,IF('Adjustment Surface'!C$2='Data Validation'!$A$3,O38,"Unknown Option Type"))-IF('Adjustment Surface'!C$2='Data Validation'!$A$2,O38,IF('Adjustment Surface'!C$2='Data Validation'!$A$3,P38,"Unknown Option Type")))*(NORMDIST((IF('Adjustment Surface'!C$2='Data Validation'!$A$2,P38,IF('Adjustment Surface'!C$2='Data Validation'!$A$3,O38,"Unknown Option Type"))-IF('Adjustment Surface'!C$2='Data Validation'!$A$2,O38,IF('Adjustment Surface'!C$2='Data Validation'!$A$3,P38,"Unknown Option Type")))/(Q38*SQRT(M38)),0,1,TRUE)))+((Q38*SQRT(M38))*(NORMDIST((IF('Adjustment Surface'!C$2='Data Validation'!$A$2,P38,IF('Adjustment Surface'!C$2='Data Validation'!$A$3,O38,"Unknown Option Type"))-IF('Adjustment Surface'!C$2='Data Validation'!$A$2,O38,IF('Adjustment Surface'!C$2='Data Validation'!$A$3,P38,"Unknown Option Type")))/(Q38*SQRT(M38)),0,1,FALSE))))*R38*(L38/360)*N38))</f>
        <v>29481.499074183146</v>
      </c>
      <c r="U38" s="15">
        <f>IF(I38="","",SUM(T$4:T38))</f>
        <v>986363.297314825</v>
      </c>
      <c r="W38" s="15">
        <f>IF(I38="","",IF(J38&lt;'Rate &amp; Vol Update'!$C$2,0,((((((IF('Adjustment Surface'!C$2='Data Validation'!$A$2,P38,IF('Adjustment Surface'!C$2='Data Validation'!$A$3,O38,"Unknown Option Type"))-IF('Adjustment Surface'!C$2='Data Validation'!$A$2,O38,IF('Adjustment Surface'!C$2='Data Validation'!$A$3,P38,"Unknown Option Type")))*(NORMDIST((IF('Adjustment Surface'!C$2='Data Validation'!$A$2,P38,IF('Adjustment Surface'!C$2='Data Validation'!$A$3,O38,"Unknown Option Type"))-IF('Adjustment Surface'!C$2='Data Validation'!$A$2,O38,IF('Adjustment Surface'!C$2='Data Validation'!$A$3,P38,"Unknown Option Type")))/((Q38+0.01%)*SQRT(M38)),0,1,TRUE)))+(((Q38+0.01%)*SQRT(M38))*(NORMDIST((IF('Adjustment Surface'!C$2='Data Validation'!$A$2,P38,IF('Adjustment Surface'!C$2='Data Validation'!$A$3,O38,"Unknown Option Type"))-IF('Adjustment Surface'!C$2='Data Validation'!$A$2,O38,IF('Adjustment Surface'!C$2='Data Validation'!$A$3,P38,"Unknown Option Type")))/((Q38+0.01%)*SQRT(M38)),0,1,FALSE))))*R38*(L38/360))-(T38/N38))*N38)*R38))</f>
        <v>81.653839127053757</v>
      </c>
      <c r="X38" s="15">
        <f>IF(I38="","",SUM(W$4:W38))</f>
        <v>1635.8769384968462</v>
      </c>
      <c r="Y38" s="15"/>
      <c r="Z38" s="20"/>
      <c r="AA38" s="3">
        <v>35</v>
      </c>
      <c r="AB38" s="4">
        <f>IF(AC37=MAX('Adjustment Surface'!$C$14:$F$14),"",AC37)</f>
        <v>47098</v>
      </c>
      <c r="AC38" s="4">
        <f>IF(AB38="","",IF(AB38&lt;EDATE('Adjustment Surface'!$C$6,DATEDIF('Adjustment Surface'!$C$6,MAX('Adjustment Surface'!$C$14:$F$14),"M")),EDATE(AB$5,COUNT(AB$5:AB38)),IF(AB38=EDATE('Adjustment Surface'!$C$6,DATEDIF('Adjustment Surface'!$C$6,MAX('Adjustment Surface'!$C$14:$F$14),"M")),MAX('Adjustment Surface'!$C$14:$F$14),EDATE('Adjustment Surface'!$C$6,DATEDIF('Adjustment Surface'!$C$6,MAX('Adjustment Surface'!$C$14:$F$14),"M")))))</f>
        <v>47129</v>
      </c>
      <c r="AD38" s="3">
        <f t="shared" si="2"/>
        <v>31</v>
      </c>
      <c r="AE38" s="5">
        <f>IF(AA38="","",(AC38-'Rate &amp; Vol Update'!$C$2)/360)</f>
        <v>2.9583333333333335</v>
      </c>
      <c r="AF38" s="15">
        <f>IF(AA38="","",IF('Adjustment Surface'!$C$3='Data Validation'!$C$2,'Adjustment Surface'!$C$4,_xlfn.IFNA(IF(INDEX(Schedules!$E$3:$E$123,MATCH('Bachelier Model'!AB38,Schedules!$B$3:$B$123,0))="",AF37,INDEX(Schedules!$E$3:$E$123,MATCH('Bachelier Model'!AB38,Schedules!$B$3:$B$123,0))),AF37)))</f>
        <v>25000000</v>
      </c>
      <c r="AG38" s="16">
        <f>IF(AA38="","",'Adjustment Surface'!B$15)</f>
        <v>0.03</v>
      </c>
      <c r="AH38" s="16" cm="1">
        <f t="array" ref="AH38">IF(AA38="","",FORECAST(AB38,INDEX('Rate &amp; Vol Update'!$C$6:$C$127,MATCH(INDEX('Rate &amp; Vol Update'!$B$6:$B$127,MATCH(AB38,'Rate &amp; Vol Update'!$B$6:$B$127,1)),'Rate &amp; Vol Update'!$B$6:$B$127,0)+IF('Adjustment Surface'!$C$11='Data Validation'!$E$3,-1,0)):INDEX('Rate &amp; Vol Update'!$C$6:$C$127,MATCH(INDEX('Rate &amp; Vol Update'!$B$6:$B$127,MATCH(AB38,'Rate &amp; Vol Update'!$B$6:$B$127,1)+1),'Rate &amp; Vol Update'!$B$6:$B$127,0)+IF('Adjustment Surface'!$C$11='Data Validation'!$E$3,-1,0)),INDEX('Rate &amp; Vol Update'!$B$6:$B$127,MATCH(AB38,'Rate &amp; Vol Update'!$B$6:$B$127,1)):INDEX('Rate &amp; Vol Update'!$B$6:$B$127,MATCH(AB38,'Rate &amp; Vol Update'!$B$6:$B$127,1)+1))/100)</f>
        <v>3.3570429179421046E-2</v>
      </c>
      <c r="AI38" s="16" cm="1">
        <f t="array" ref="AI38">IF(AA38="","",IF(AB38&lt;'Rate &amp; Vol Update'!$C$2,0.001%,(1/((INDEX('Rate &amp; Vol Update'!$E$6:$Z$6,1,MATCH(AG38,'Rate &amp; Vol Update'!$E$6:$Z$6,1)+1)-INDEX('Rate &amp; Vol Update'!$E$6:$Z$6,1,MATCH(AG38,'Rate &amp; Vol Update'!$E$6:$Z$6,1)))*(INDEX('Rate &amp; Vol Update'!$B$8:$B$127,MATCH(AB38,'Rate &amp; Vol Update'!$B$8:$B$127,1)+1)-INDEX('Rate &amp; Vol Update'!$B$8:$B$127,MATCH(AB38,'Rate &amp; Vol Update'!$B$8:$B$127,1))))*(INDEX('Rate &amp; Vol Update'!$E$8:$Z$127,MATCH(INDEX('Rate &amp; Vol Update'!$B$8:$B$127,MATCH(AB38,'Rate &amp; Vol Update'!$B$8:$B$127,1)),'Rate &amp; Vol Update'!$B$8:$B$127,0),MATCH(INDEX('Rate &amp; Vol Update'!$E$6:$Z$6,1,MATCH(AG38,'Rate &amp; Vol Update'!$E$6:$Z$6,1)),'Rate &amp; Vol Update'!$E$6:$Z$6,0))*(INDEX('Rate &amp; Vol Update'!$E$6:$Z$6,1,MATCH(AG38,'Rate &amp; Vol Update'!$E$6:$Z$6,1)+1)-AG38)*(INDEX('Rate &amp; Vol Update'!$B$8:$B$127,MATCH(AB38,'Rate &amp; Vol Update'!$B$8:$B$127,1)+1)-AB38)+INDEX('Rate &amp; Vol Update'!$E$8:$Z$127,MATCH(INDEX('Rate &amp; Vol Update'!$B$8:$B$127,MATCH(AB38,'Rate &amp; Vol Update'!$B$8:$B$127,1)),'Rate &amp; Vol Update'!$B$8:$B$127,0),MATCH(INDEX('Rate &amp; Vol Update'!$E$6:$Z$6,1,MATCH(AG38,'Rate &amp; Vol Update'!$E$6:$Z$6,1)+1),'Rate &amp; Vol Update'!$E$6:$Z$6,0))*(AG38-INDEX('Rate &amp; Vol Update'!$E$6:$Z$6,1,MATCH(AG38,'Rate &amp; Vol Update'!$E$6:$Z$6,1)))*(INDEX('Rate &amp; Vol Update'!$B$8:$B$127,MATCH(AB38,'Rate &amp; Vol Update'!$B$8:$B$127,1)+1)-AB38)+INDEX('Rate &amp; Vol Update'!$E$8:$Z$127,MATCH(INDEX('Rate &amp; Vol Update'!$B$8:$B$127,MATCH(AB38,'Rate &amp; Vol Update'!$B$8:$B$127,1)+1),'Rate &amp; Vol Update'!$B$8:$B$127,0),MATCH(INDEX('Rate &amp; Vol Update'!$E$6:$Z$6,1,MATCH(AG38,'Rate &amp; Vol Update'!$E$6:$Z$6,1)),'Rate &amp; Vol Update'!$E$6:$Z$6,0))*(INDEX('Rate &amp; Vol Update'!$E$6:$Z$6,1,MATCH(AG38,'Rate &amp; Vol Update'!$E$6:$Z$6,1)+1)-AG38)*(AB38-INDEX('Rate &amp; Vol Update'!$B$8:$B$127,MATCH(AB38,'Rate &amp; Vol Update'!$B$8:$B$127,1)))+INDEX('Rate &amp; Vol Update'!$E$8:$Z$127,MATCH(INDEX('Rate &amp; Vol Update'!$B$8:$B$127,MATCH(AB38,'Rate &amp; Vol Update'!$B$8:$B$127,1)+1),'Rate &amp; Vol Update'!$B$8:$B$127,0),MATCH(INDEX('Rate &amp; Vol Update'!$E$6:$Z$6,1,MATCH(AG38,'Rate &amp; Vol Update'!$E$6:$Z$6,1)+1),'Rate &amp; Vol Update'!$E$6:$Z$6,0))*(AG38-INDEX('Rate &amp; Vol Update'!$E$6:$Z$6,1,MATCH(AG38,'Rate &amp; Vol Update'!$E$6:$Z$6,1)))*(AB38-INDEX('Rate &amp; Vol Update'!$B$8:$B$127,MATCH(AB38,'Rate &amp; Vol Update'!$B$8:$B$127,1)))))*0.01%))</f>
        <v>8.1359519542015396E-3</v>
      </c>
      <c r="AJ38" s="5">
        <f>IF(AA38="","",1/((1+AH38)^((AC38-'Rate &amp; Vol Update'!$C$2)/360)))</f>
        <v>0.90693732702661023</v>
      </c>
      <c r="AL38" s="15">
        <f>IF(AA38="","",IF(AB38&lt;'Rate &amp; Vol Update'!$C$2,MAX(0,AH38-AG38)*(AD38/360)*AF38,(((IF('Adjustment Surface'!$C$2='Data Validation'!$A$2,AH38,IF('Adjustment Surface'!$C$2='Data Validation'!$A$3,AG38,"Unknown Option Type"))-IF('Adjustment Surface'!$C$2='Data Validation'!$A$2,AG38,IF('Adjustment Surface'!$C$2='Data Validation'!$A$3,AH38,"Unknown Option Type")))*(NORMDIST((IF('Adjustment Surface'!$C$2='Data Validation'!$A$2,AH38,IF('Adjustment Surface'!$C$2='Data Validation'!$A$3,AG38,"Unknown Option Type"))-IF('Adjustment Surface'!$C$2='Data Validation'!$A$2,AG38,IF('Adjustment Surface'!$C$2='Data Validation'!$A$3,AH38,"Unknown Option Type")))/(AI38*SQRT(AE38)),0,1,TRUE)))+((AI38*SQRT(AE38))*(NORMDIST((IF('Adjustment Surface'!$C$2='Data Validation'!$A$2,AH38,IF('Adjustment Surface'!$C$2='Data Validation'!$A$3,AG38,"Unknown Option Type"))-IF('Adjustment Surface'!$C$2='Data Validation'!$A$2,AG38,IF('Adjustment Surface'!$C$2='Data Validation'!$A$3,AH38,"Unknown Option Type")))/(AI38*SQRT(AE38)),0,1,FALSE))))*AJ38*(AD38/360)*AF38))</f>
        <v>14738.186127506524</v>
      </c>
      <c r="AM38" s="15">
        <f>IF(AA38="","",SUM(AL$4:AL38))</f>
        <v>395911.71529353957</v>
      </c>
      <c r="AO38" s="15">
        <f>IF(AA38="","",IF(AB38&lt;'Rate &amp; Vol Update'!$C$2,0,((((((IF('Adjustment Surface'!$C$2='Data Validation'!$A$2,AH38,IF('Adjustment Surface'!$C$2='Data Validation'!$A$3,AG38,"Unknown Option Type"))-IF('Adjustment Surface'!$C$2='Data Validation'!$A$2,AG38,IF('Adjustment Surface'!$C$2='Data Validation'!$A$3,AH38,"Unknown Option Type")))*(NORMDIST((IF('Adjustment Surface'!$C$2='Data Validation'!$A$2,AH38,IF('Adjustment Surface'!$C$2='Data Validation'!$A$3,AG38,"Unknown Option Type"))-IF('Adjustment Surface'!$C$2='Data Validation'!$A$2,AG38,IF('Adjustment Surface'!$C$2='Data Validation'!$A$3,AH38,"Unknown Option Type")))/((AI38+0.01%)*SQRT(AE38)),0,1,TRUE)))+(((AI38+0.01%)*SQRT(AE38))*(NORMDIST((IF('Adjustment Surface'!$C$2='Data Validation'!$A$2,AH38,IF('Adjustment Surface'!$C$2='Data Validation'!$A$3,AG38,"Unknown Option Type"))-IF('Adjustment Surface'!$C$2='Data Validation'!$A$2,AG38,IF('Adjustment Surface'!$C$2='Data Validation'!$A$3,AH38,"Unknown Option Type")))/((AI38+0.01%)*SQRT(AE38)),0,1,FALSE))))*AJ38*(AD38/360))-(AL38/AF38))*AF38)*AJ38))</f>
        <v>117.65838147764381</v>
      </c>
      <c r="AP38" s="15">
        <f>IF(AA38="","",SUM(AO$4:AO38))</f>
        <v>2808.6348429380273</v>
      </c>
      <c r="AQ38" s="15"/>
      <c r="AR38" s="20"/>
      <c r="AS38" s="3">
        <v>35</v>
      </c>
      <c r="AT38" s="4">
        <f>IF(AU37=MAX('Adjustment Surface'!$C$14:$F$14),"",AU37)</f>
        <v>47098</v>
      </c>
      <c r="AU38" s="4">
        <f>IF(AT38="","",IF(AT38&lt;EDATE('Adjustment Surface'!$C$6,DATEDIF('Adjustment Surface'!$C$6,MAX('Adjustment Surface'!$C$14:$F$14),"M")),EDATE(AT$5,COUNT(AT$5:AT38)),IF(AT38=EDATE('Adjustment Surface'!$C$6,DATEDIF('Adjustment Surface'!$C$6,MAX('Adjustment Surface'!$C$14:$F$14),"M")),MAX('Adjustment Surface'!$C$14:$F$14),EDATE('Adjustment Surface'!$C$6,DATEDIF('Adjustment Surface'!$C$6,MAX('Adjustment Surface'!$C$14:$F$14),"M")))))</f>
        <v>47129</v>
      </c>
      <c r="AV38" s="3">
        <f t="shared" si="3"/>
        <v>31</v>
      </c>
      <c r="AW38" s="5">
        <f>IF(AS38="","",(AU38-'Rate &amp; Vol Update'!$C$2)/360)</f>
        <v>2.9583333333333335</v>
      </c>
      <c r="AX38" s="15">
        <f>IF(AS38="","",IF('Adjustment Surface'!$C$3='Data Validation'!$C$2,'Adjustment Surface'!$C$4,_xlfn.IFNA(IF(INDEX(Schedules!$E$3:$E$123,MATCH('Bachelier Model'!AT38,Schedules!$B$3:$B$123,0))="",AX37,INDEX(Schedules!$E$3:$E$123,MATCH('Bachelier Model'!AT38,Schedules!$B$3:$B$123,0))),AX37)))</f>
        <v>25000000</v>
      </c>
      <c r="AY38" s="16">
        <f>IF(AS38="","",'Adjustment Surface'!B$16)</f>
        <v>0.04</v>
      </c>
      <c r="AZ38" s="16" cm="1">
        <f t="array" ref="AZ38">IF(AS38="","",FORECAST(AT38,INDEX('Rate &amp; Vol Update'!$C$6:$C$127,MATCH(INDEX('Rate &amp; Vol Update'!$B$6:$B$127,MATCH(AT38,'Rate &amp; Vol Update'!$B$6:$B$127,1)),'Rate &amp; Vol Update'!$B$6:$B$127,0)+IF('Adjustment Surface'!$C$11='Data Validation'!$E$3,-1,0)):INDEX('Rate &amp; Vol Update'!$C$6:$C$127,MATCH(INDEX('Rate &amp; Vol Update'!$B$6:$B$127,MATCH(AT38,'Rate &amp; Vol Update'!$B$6:$B$127,1)+1),'Rate &amp; Vol Update'!$B$6:$B$127,0)+IF('Adjustment Surface'!$C$11='Data Validation'!$E$3,-1,0)),INDEX('Rate &amp; Vol Update'!$B$6:$B$127,MATCH(AT38,'Rate &amp; Vol Update'!$B$6:$B$127,1)):INDEX('Rate &amp; Vol Update'!$B$6:$B$127,MATCH(AT38,'Rate &amp; Vol Update'!$B$6:$B$127,1)+1))/100)</f>
        <v>3.3570429179421046E-2</v>
      </c>
      <c r="BA38" s="16" cm="1">
        <f t="array" ref="BA38">IF(AS38="","",IF(AT38&lt;'Rate &amp; Vol Update'!$C$2,0.001%,(1/((INDEX('Rate &amp; Vol Update'!$E$6:$Z$6,1,MATCH(AY38,'Rate &amp; Vol Update'!$E$6:$Z$6,1)+1)-INDEX('Rate &amp; Vol Update'!$E$6:$Z$6,1,MATCH(AY38,'Rate &amp; Vol Update'!$E$6:$Z$6,1)))*(INDEX('Rate &amp; Vol Update'!$B$8:$B$127,MATCH(AT38,'Rate &amp; Vol Update'!$B$8:$B$127,1)+1)-INDEX('Rate &amp; Vol Update'!$B$8:$B$127,MATCH(AT38,'Rate &amp; Vol Update'!$B$8:$B$127,1))))*(INDEX('Rate &amp; Vol Update'!$E$8:$Z$127,MATCH(INDEX('Rate &amp; Vol Update'!$B$8:$B$127,MATCH(AT38,'Rate &amp; Vol Update'!$B$8:$B$127,1)),'Rate &amp; Vol Update'!$B$8:$B$127,0),MATCH(INDEX('Rate &amp; Vol Update'!$E$6:$Z$6,1,MATCH(AY38,'Rate &amp; Vol Update'!$E$6:$Z$6,1)),'Rate &amp; Vol Update'!$E$6:$Z$6,0))*(INDEX('Rate &amp; Vol Update'!$E$6:$Z$6,1,MATCH(AY38,'Rate &amp; Vol Update'!$E$6:$Z$6,1)+1)-AY38)*(INDEX('Rate &amp; Vol Update'!$B$8:$B$127,MATCH(AT38,'Rate &amp; Vol Update'!$B$8:$B$127,1)+1)-AT38)+INDEX('Rate &amp; Vol Update'!$E$8:$Z$127,MATCH(INDEX('Rate &amp; Vol Update'!$B$8:$B$127,MATCH(AT38,'Rate &amp; Vol Update'!$B$8:$B$127,1)),'Rate &amp; Vol Update'!$B$8:$B$127,0),MATCH(INDEX('Rate &amp; Vol Update'!$E$6:$Z$6,1,MATCH(AY38,'Rate &amp; Vol Update'!$E$6:$Z$6,1)+1),'Rate &amp; Vol Update'!$E$6:$Z$6,0))*(AY38-INDEX('Rate &amp; Vol Update'!$E$6:$Z$6,1,MATCH(AY38,'Rate &amp; Vol Update'!$E$6:$Z$6,1)))*(INDEX('Rate &amp; Vol Update'!$B$8:$B$127,MATCH(AT38,'Rate &amp; Vol Update'!$B$8:$B$127,1)+1)-AT38)+INDEX('Rate &amp; Vol Update'!$E$8:$Z$127,MATCH(INDEX('Rate &amp; Vol Update'!$B$8:$B$127,MATCH(AT38,'Rate &amp; Vol Update'!$B$8:$B$127,1)+1),'Rate &amp; Vol Update'!$B$8:$B$127,0),MATCH(INDEX('Rate &amp; Vol Update'!$E$6:$Z$6,1,MATCH(AY38,'Rate &amp; Vol Update'!$E$6:$Z$6,1)),'Rate &amp; Vol Update'!$E$6:$Z$6,0))*(INDEX('Rate &amp; Vol Update'!$E$6:$Z$6,1,MATCH(AY38,'Rate &amp; Vol Update'!$E$6:$Z$6,1)+1)-AY38)*(AT38-INDEX('Rate &amp; Vol Update'!$B$8:$B$127,MATCH(AT38,'Rate &amp; Vol Update'!$B$8:$B$127,1)))+INDEX('Rate &amp; Vol Update'!$E$8:$Z$127,MATCH(INDEX('Rate &amp; Vol Update'!$B$8:$B$127,MATCH(AT38,'Rate &amp; Vol Update'!$B$8:$B$127,1)+1),'Rate &amp; Vol Update'!$B$8:$B$127,0),MATCH(INDEX('Rate &amp; Vol Update'!$E$6:$Z$6,1,MATCH(AY38,'Rate &amp; Vol Update'!$E$6:$Z$6,1)+1),'Rate &amp; Vol Update'!$E$6:$Z$6,0))*(AY38-INDEX('Rate &amp; Vol Update'!$E$6:$Z$6,1,MATCH(AY38,'Rate &amp; Vol Update'!$E$6:$Z$6,1)))*(AT38-INDEX('Rate &amp; Vol Update'!$B$8:$B$127,MATCH(AT38,'Rate &amp; Vol Update'!$B$8:$B$127,1)))))*0.01%))</f>
        <v>8.4613576759111301E-3</v>
      </c>
      <c r="BB38" s="5">
        <f>IF(AS38="","",1/((1+AZ38)^((AU38-'Rate &amp; Vol Update'!$C$2)/360)))</f>
        <v>0.90693732702661023</v>
      </c>
      <c r="BD38" s="15">
        <f>IF(AS38="","",IF(AT38&lt;'Rate &amp; Vol Update'!$C$2,MAX(0,AZ38-AY38)*(AV38/360)*AX38,(((IF('Adjustment Surface'!$C$2='Data Validation'!$A$2,AZ38,IF('Adjustment Surface'!$C$2='Data Validation'!$A$3,AY38,"Unknown Option Type"))-IF('Adjustment Surface'!$C$2='Data Validation'!$A$2,AY38,IF('Adjustment Surface'!$C$2='Data Validation'!$A$3,AZ38,"Unknown Option Type")))*(NORMDIST((IF('Adjustment Surface'!$C$2='Data Validation'!$A$2,AZ38,IF('Adjustment Surface'!$C$2='Data Validation'!$A$3,AY38,"Unknown Option Type"))-IF('Adjustment Surface'!$C$2='Data Validation'!$A$2,AY38,IF('Adjustment Surface'!$C$2='Data Validation'!$A$3,AZ38,"Unknown Option Type")))/(BA38*SQRT(AW38)),0,1,TRUE)))+((BA38*SQRT(AW38))*(NORMDIST((IF('Adjustment Surface'!$C$2='Data Validation'!$A$2,AZ38,IF('Adjustment Surface'!$C$2='Data Validation'!$A$3,AY38,"Unknown Option Type"))-IF('Adjustment Surface'!$C$2='Data Validation'!$A$2,AY38,IF('Adjustment Surface'!$C$2='Data Validation'!$A$3,AZ38,"Unknown Option Type")))/(BA38*SQRT(AW38)),0,1,FALSE))))*BB38*(AV38/360)*AX38))</f>
        <v>6147.7002016034021</v>
      </c>
      <c r="BE38" s="15">
        <f>IF(AS38="","",SUM(BD$4:BD38))</f>
        <v>87847.932164459053</v>
      </c>
      <c r="BG38" s="15">
        <f>IF(AS38="","",IF(AT38&lt;'Rate &amp; Vol Update'!$C$2,0,((((((IF('Adjustment Surface'!$C$2='Data Validation'!$A$2,AZ38,IF('Adjustment Surface'!$C$2='Data Validation'!$A$3,AY38,"Unknown Option Type"))-IF('Adjustment Surface'!$C$2='Data Validation'!$A$2,AY38,IF('Adjustment Surface'!$C$2='Data Validation'!$A$3,AZ38,"Unknown Option Type")))*(NORMDIST((IF('Adjustment Surface'!$C$2='Data Validation'!$A$2,AZ38,IF('Adjustment Surface'!$C$2='Data Validation'!$A$3,AY38,"Unknown Option Type"))-IF('Adjustment Surface'!$C$2='Data Validation'!$A$2,AY38,IF('Adjustment Surface'!$C$2='Data Validation'!$A$3,AZ38,"Unknown Option Type")))/((BA38+0.01%)*SQRT(AW38)),0,1,TRUE)))+(((BA38+0.01%)*SQRT(AW38))*(NORMDIST((IF('Adjustment Surface'!$C$2='Data Validation'!$A$2,AZ38,IF('Adjustment Surface'!$C$2='Data Validation'!$A$3,AY38,"Unknown Option Type"))-IF('Adjustment Surface'!$C$2='Data Validation'!$A$2,AY38,IF('Adjustment Surface'!$C$2='Data Validation'!$A$3,AZ38,"Unknown Option Type")))/((BA38+0.01%)*SQRT(AW38)),0,1,FALSE))))*BB38*(AV38/360))-(BD38/AX38))*AX38)*BB38))</f>
        <v>110.33151393461529</v>
      </c>
      <c r="BH38" s="15">
        <f>IF(AS38="","",SUM(BG$4:BG38))</f>
        <v>2201.6167052539627</v>
      </c>
      <c r="BI38" s="15"/>
      <c r="BJ38" s="20"/>
      <c r="BK38" s="3">
        <v>35</v>
      </c>
      <c r="BL38" s="4">
        <f>IF(BM37=MAX('Adjustment Surface'!$C$14:$F$14),"",BM37)</f>
        <v>47098</v>
      </c>
      <c r="BM38" s="4">
        <f>IF(BL38="","",IF(BL38&lt;EDATE('Adjustment Surface'!$C$6,DATEDIF('Adjustment Surface'!$C$6,MAX('Adjustment Surface'!$C$14:$F$14),"M")),EDATE(BL$5,COUNT(BL$5:BL38)),IF(BL38=EDATE('Adjustment Surface'!$C$6,DATEDIF('Adjustment Surface'!$C$6,MAX('Adjustment Surface'!$C$14:$F$14),"M")),MAX('Adjustment Surface'!$C$14:$F$14),EDATE('Adjustment Surface'!$C$6,DATEDIF('Adjustment Surface'!$C$6,MAX('Adjustment Surface'!$C$14:$F$14),"M")))))</f>
        <v>47129</v>
      </c>
      <c r="BN38" s="3">
        <f t="shared" si="4"/>
        <v>31</v>
      </c>
      <c r="BO38" s="5">
        <f>IF(BK38="","",(BM38-'Rate &amp; Vol Update'!$C$2)/360)</f>
        <v>2.9583333333333335</v>
      </c>
      <c r="BP38" s="15">
        <f>IF(BK38="","",IF('Adjustment Surface'!$C$3='Data Validation'!$C$2,'Adjustment Surface'!$C$4,_xlfn.IFNA(IF(INDEX(Schedules!$E$3:$E$123,MATCH('Bachelier Model'!BL38,Schedules!$B$3:$B$123,0))="",BP37,INDEX(Schedules!$E$3:$E$123,MATCH('Bachelier Model'!BL38,Schedules!$B$3:$B$123,0))),BP37)))</f>
        <v>25000000</v>
      </c>
      <c r="BQ38" s="16">
        <f>IF(BK38="","",'Adjustment Surface'!B$17)</f>
        <v>0.05</v>
      </c>
      <c r="BR38" s="16" cm="1">
        <f t="array" ref="BR38">IF(BK38="","",FORECAST(BL38,INDEX('Rate &amp; Vol Update'!$C$6:$C$127,MATCH(INDEX('Rate &amp; Vol Update'!$B$6:$B$127,MATCH(BL38,'Rate &amp; Vol Update'!$B$6:$B$127,1)),'Rate &amp; Vol Update'!$B$6:$B$127,0)+IF('Adjustment Surface'!$C$11='Data Validation'!$E$3,-1,0)):INDEX('Rate &amp; Vol Update'!$C$6:$C$127,MATCH(INDEX('Rate &amp; Vol Update'!$B$6:$B$127,MATCH(BL38,'Rate &amp; Vol Update'!$B$6:$B$127,1)+1),'Rate &amp; Vol Update'!$B$6:$B$127,0)+IF('Adjustment Surface'!$C$11='Data Validation'!$E$3,-1,0)),INDEX('Rate &amp; Vol Update'!$B$6:$B$127,MATCH(BL38,'Rate &amp; Vol Update'!$B$6:$B$127,1)):INDEX('Rate &amp; Vol Update'!$B$6:$B$127,MATCH(BL38,'Rate &amp; Vol Update'!$B$6:$B$127,1)+1))/100)</f>
        <v>3.3570429179421046E-2</v>
      </c>
      <c r="BS38" s="16" cm="1">
        <f t="array" ref="BS38">IF(BK38="","",IF(BL38&lt;'Rate &amp; Vol Update'!$C$2,0.001%,(1/((INDEX('Rate &amp; Vol Update'!$E$6:$Z$6,1,MATCH(BQ38,'Rate &amp; Vol Update'!$E$6:$Z$6,1)+1)-INDEX('Rate &amp; Vol Update'!$E$6:$Z$6,1,MATCH(BQ38,'Rate &amp; Vol Update'!$E$6:$Z$6,1)))*(INDEX('Rate &amp; Vol Update'!$B$8:$B$127,MATCH(BL38,'Rate &amp; Vol Update'!$B$8:$B$127,1)+1)-INDEX('Rate &amp; Vol Update'!$B$8:$B$127,MATCH(BL38,'Rate &amp; Vol Update'!$B$8:$B$127,1))))*(INDEX('Rate &amp; Vol Update'!$E$8:$Z$127,MATCH(INDEX('Rate &amp; Vol Update'!$B$8:$B$127,MATCH(BL38,'Rate &amp; Vol Update'!$B$8:$B$127,1)),'Rate &amp; Vol Update'!$B$8:$B$127,0),MATCH(INDEX('Rate &amp; Vol Update'!$E$6:$Z$6,1,MATCH(BQ38,'Rate &amp; Vol Update'!$E$6:$Z$6,1)),'Rate &amp; Vol Update'!$E$6:$Z$6,0))*(INDEX('Rate &amp; Vol Update'!$E$6:$Z$6,1,MATCH(BQ38,'Rate &amp; Vol Update'!$E$6:$Z$6,1)+1)-BQ38)*(INDEX('Rate &amp; Vol Update'!$B$8:$B$127,MATCH(BL38,'Rate &amp; Vol Update'!$B$8:$B$127,1)+1)-BL38)+INDEX('Rate &amp; Vol Update'!$E$8:$Z$127,MATCH(INDEX('Rate &amp; Vol Update'!$B$8:$B$127,MATCH(BL38,'Rate &amp; Vol Update'!$B$8:$B$127,1)),'Rate &amp; Vol Update'!$B$8:$B$127,0),MATCH(INDEX('Rate &amp; Vol Update'!$E$6:$Z$6,1,MATCH(BQ38,'Rate &amp; Vol Update'!$E$6:$Z$6,1)+1),'Rate &amp; Vol Update'!$E$6:$Z$6,0))*(BQ38-INDEX('Rate &amp; Vol Update'!$E$6:$Z$6,1,MATCH(BQ38,'Rate &amp; Vol Update'!$E$6:$Z$6,1)))*(INDEX('Rate &amp; Vol Update'!$B$8:$B$127,MATCH(BL38,'Rate &amp; Vol Update'!$B$8:$B$127,1)+1)-BL38)+INDEX('Rate &amp; Vol Update'!$E$8:$Z$127,MATCH(INDEX('Rate &amp; Vol Update'!$B$8:$B$127,MATCH(BL38,'Rate &amp; Vol Update'!$B$8:$B$127,1)+1),'Rate &amp; Vol Update'!$B$8:$B$127,0),MATCH(INDEX('Rate &amp; Vol Update'!$E$6:$Z$6,1,MATCH(BQ38,'Rate &amp; Vol Update'!$E$6:$Z$6,1)),'Rate &amp; Vol Update'!$E$6:$Z$6,0))*(INDEX('Rate &amp; Vol Update'!$E$6:$Z$6,1,MATCH(BQ38,'Rate &amp; Vol Update'!$E$6:$Z$6,1)+1)-BQ38)*(BL38-INDEX('Rate &amp; Vol Update'!$B$8:$B$127,MATCH(BL38,'Rate &amp; Vol Update'!$B$8:$B$127,1)))+INDEX('Rate &amp; Vol Update'!$E$8:$Z$127,MATCH(INDEX('Rate &amp; Vol Update'!$B$8:$B$127,MATCH(BL38,'Rate &amp; Vol Update'!$B$8:$B$127,1)+1),'Rate &amp; Vol Update'!$B$8:$B$127,0),MATCH(INDEX('Rate &amp; Vol Update'!$E$6:$Z$6,1,MATCH(BQ38,'Rate &amp; Vol Update'!$E$6:$Z$6,1)+1),'Rate &amp; Vol Update'!$E$6:$Z$6,0))*(BQ38-INDEX('Rate &amp; Vol Update'!$E$6:$Z$6,1,MATCH(BQ38,'Rate &amp; Vol Update'!$E$6:$Z$6,1)))*(BL38-INDEX('Rate &amp; Vol Update'!$B$8:$B$127,MATCH(BL38,'Rate &amp; Vol Update'!$B$8:$B$127,1)))))*0.01%))</f>
        <v>9.6920531523701971E-3</v>
      </c>
      <c r="BT38" s="5">
        <f>IF(BK38="","",1/((1+BR38)^((BM38-'Rate &amp; Vol Update'!$C$2)/360)))</f>
        <v>0.90693732702661023</v>
      </c>
      <c r="BV38" s="15">
        <f>IF(BK38="","",IF(BL38&lt;'Rate &amp; Vol Update'!$C$2,MAX(0,BR38-BQ38)*(BN38/360)*BP38,(((IF('Adjustment Surface'!$C$2='Data Validation'!$A$2,BR38,IF('Adjustment Surface'!$C$2='Data Validation'!$A$3,BQ38,"Unknown Option Type"))-IF('Adjustment Surface'!$C$2='Data Validation'!$A$2,BQ38,IF('Adjustment Surface'!$C$2='Data Validation'!$A$3,BR38,"Unknown Option Type")))*(NORMDIST((IF('Adjustment Surface'!$C$2='Data Validation'!$A$2,BR38,IF('Adjustment Surface'!$C$2='Data Validation'!$A$3,BQ38,"Unknown Option Type"))-IF('Adjustment Surface'!$C$2='Data Validation'!$A$2,BQ38,IF('Adjustment Surface'!$C$2='Data Validation'!$A$3,BR38,"Unknown Option Type")))/(BS38*SQRT(BO38)),0,1,TRUE)))+((BS38*SQRT(BO38))*(NORMDIST((IF('Adjustment Surface'!$C$2='Data Validation'!$A$2,BR38,IF('Adjustment Surface'!$C$2='Data Validation'!$A$3,BQ38,"Unknown Option Type"))-IF('Adjustment Surface'!$C$2='Data Validation'!$A$2,BQ38,IF('Adjustment Surface'!$C$2='Data Validation'!$A$3,BR38,"Unknown Option Type")))/(BS38*SQRT(BO38)),0,1,FALSE))))*BT38*(BN38/360)*BP38))</f>
        <v>2787.0437560387622</v>
      </c>
      <c r="BW38" s="15">
        <f>IF(BK38="","",SUM(BV$4:BV38))</f>
        <v>30664.144165015143</v>
      </c>
      <c r="BY38" s="15">
        <f>IF(BK38="","",IF(BL38&lt;'Rate &amp; Vol Update'!$C$2,0,((((((IF('Adjustment Surface'!$C$2='Data Validation'!$A$2,BR38,IF('Adjustment Surface'!$C$2='Data Validation'!$A$3,BQ38,"Unknown Option Type"))-IF('Adjustment Surface'!$C$2='Data Validation'!$A$2,BQ38,IF('Adjustment Surface'!$C$2='Data Validation'!$A$3,BR38,"Unknown Option Type")))*(NORMDIST((IF('Adjustment Surface'!$C$2='Data Validation'!$A$2,BR38,IF('Adjustment Surface'!$C$2='Data Validation'!$A$3,BQ38,"Unknown Option Type"))-IF('Adjustment Surface'!$C$2='Data Validation'!$A$2,BQ38,IF('Adjustment Surface'!$C$2='Data Validation'!$A$3,BR38,"Unknown Option Type")))/((BS38+0.01%)*SQRT(BO38)),0,1,TRUE)))+(((BS38+0.01%)*SQRT(BO38))*(NORMDIST((IF('Adjustment Surface'!$C$2='Data Validation'!$A$2,BR38,IF('Adjustment Surface'!$C$2='Data Validation'!$A$3,BQ38,"Unknown Option Type"))-IF('Adjustment Surface'!$C$2='Data Validation'!$A$2,BQ38,IF('Adjustment Surface'!$C$2='Data Validation'!$A$3,BR38,"Unknown Option Type")))/((BS38+0.01%)*SQRT(BO38)),0,1,FALSE))))*BT38*(BN38/360))-(BV38/BP38))*BP38)*BT38))</f>
        <v>75.130827567877617</v>
      </c>
      <c r="BZ38" s="15">
        <f>IF(BK38="","",SUM(BY$4:BY38))</f>
        <v>1060.1544961797958</v>
      </c>
      <c r="CA38" s="15"/>
      <c r="CB38" s="20"/>
      <c r="CC38" s="3">
        <v>35</v>
      </c>
      <c r="CD38" s="4">
        <f>IF(CE37=MAX('Adjustment Surface'!$C$14:$F$14),"",CE37)</f>
        <v>47098</v>
      </c>
      <c r="CE38" s="4">
        <f>IF(CD38="","",IF(CD38&lt;EDATE('Adjustment Surface'!$C$6,DATEDIF('Adjustment Surface'!$C$6,MAX('Adjustment Surface'!$C$14:$F$14),"M")),EDATE(CD$5,COUNT(CD$5:CD38)),IF(CD38=EDATE('Adjustment Surface'!$C$6,DATEDIF('Adjustment Surface'!$C$6,MAX('Adjustment Surface'!$C$14:$F$14),"M")),MAX('Adjustment Surface'!$C$14:$F$14),EDATE('Adjustment Surface'!$C$6,DATEDIF('Adjustment Surface'!$C$6,MAX('Adjustment Surface'!$C$14:$F$14),"M")))))</f>
        <v>47129</v>
      </c>
      <c r="CF38" s="3">
        <f t="shared" si="5"/>
        <v>31</v>
      </c>
      <c r="CG38" s="5">
        <f>IF(CC38="","",(CE38-'Rate &amp; Vol Update'!$C$2)/360)</f>
        <v>2.9583333333333335</v>
      </c>
      <c r="CH38" s="15">
        <f>IF(CC38="","",IF('Adjustment Surface'!$C$3='Data Validation'!$C$2,'Adjustment Surface'!$C$4,_xlfn.IFNA(IF(INDEX(Schedules!$E$3:$E$123,MATCH('Bachelier Model'!CD38,Schedules!$B$3:$B$123,0))="",CH37,INDEX(Schedules!$E$3:$E$123,MATCH('Bachelier Model'!CD38,Schedules!$B$3:$B$123,0))),CH37)))</f>
        <v>25000000</v>
      </c>
      <c r="CI38" s="16">
        <f>IF(CC38="","",'Adjustment Surface'!B$18)</f>
        <v>0.06</v>
      </c>
      <c r="CJ38" s="16" cm="1">
        <f t="array" ref="CJ38">IF(CC38="","",FORECAST(CD38,INDEX('Rate &amp; Vol Update'!$C$6:$C$127,MATCH(INDEX('Rate &amp; Vol Update'!$B$6:$B$127,MATCH(CD38,'Rate &amp; Vol Update'!$B$6:$B$127,1)),'Rate &amp; Vol Update'!$B$6:$B$127,0)+IF('Adjustment Surface'!$C$11='Data Validation'!$E$3,-1,0)):INDEX('Rate &amp; Vol Update'!$C$6:$C$127,MATCH(INDEX('Rate &amp; Vol Update'!$B$6:$B$127,MATCH(CD38,'Rate &amp; Vol Update'!$B$6:$B$127,1)+1),'Rate &amp; Vol Update'!$B$6:$B$127,0)+IF('Adjustment Surface'!$C$11='Data Validation'!$E$3,-1,0)),INDEX('Rate &amp; Vol Update'!$B$6:$B$127,MATCH(CD38,'Rate &amp; Vol Update'!$B$6:$B$127,1)):INDEX('Rate &amp; Vol Update'!$B$6:$B$127,MATCH(CD38,'Rate &amp; Vol Update'!$B$6:$B$127,1)+1))/100)</f>
        <v>3.3570429179421046E-2</v>
      </c>
      <c r="CK38" s="16" cm="1">
        <f t="array" ref="CK38">IF(CC38="","",IF(CD38&lt;'Rate &amp; Vol Update'!$C$2,0.001%,(1/((INDEX('Rate &amp; Vol Update'!$E$6:$Z$6,1,MATCH(CI38,'Rate &amp; Vol Update'!$E$6:$Z$6,1)+1)-INDEX('Rate &amp; Vol Update'!$E$6:$Z$6,1,MATCH(CI38,'Rate &amp; Vol Update'!$E$6:$Z$6,1)))*(INDEX('Rate &amp; Vol Update'!$B$8:$B$127,MATCH(CD38,'Rate &amp; Vol Update'!$B$8:$B$127,1)+1)-INDEX('Rate &amp; Vol Update'!$B$8:$B$127,MATCH(CD38,'Rate &amp; Vol Update'!$B$8:$B$127,1))))*(INDEX('Rate &amp; Vol Update'!$E$8:$Z$127,MATCH(INDEX('Rate &amp; Vol Update'!$B$8:$B$127,MATCH(CD38,'Rate &amp; Vol Update'!$B$8:$B$127,1)),'Rate &amp; Vol Update'!$B$8:$B$127,0),MATCH(INDEX('Rate &amp; Vol Update'!$E$6:$Z$6,1,MATCH(CI38,'Rate &amp; Vol Update'!$E$6:$Z$6,1)),'Rate &amp; Vol Update'!$E$6:$Z$6,0))*(INDEX('Rate &amp; Vol Update'!$E$6:$Z$6,1,MATCH(CI38,'Rate &amp; Vol Update'!$E$6:$Z$6,1)+1)-CI38)*(INDEX('Rate &amp; Vol Update'!$B$8:$B$127,MATCH(CD38,'Rate &amp; Vol Update'!$B$8:$B$127,1)+1)-CD38)+INDEX('Rate &amp; Vol Update'!$E$8:$Z$127,MATCH(INDEX('Rate &amp; Vol Update'!$B$8:$B$127,MATCH(CD38,'Rate &amp; Vol Update'!$B$8:$B$127,1)),'Rate &amp; Vol Update'!$B$8:$B$127,0),MATCH(INDEX('Rate &amp; Vol Update'!$E$6:$Z$6,1,MATCH(CI38,'Rate &amp; Vol Update'!$E$6:$Z$6,1)+1),'Rate &amp; Vol Update'!$E$6:$Z$6,0))*(CI38-INDEX('Rate &amp; Vol Update'!$E$6:$Z$6,1,MATCH(CI38,'Rate &amp; Vol Update'!$E$6:$Z$6,1)))*(INDEX('Rate &amp; Vol Update'!$B$8:$B$127,MATCH(CD38,'Rate &amp; Vol Update'!$B$8:$B$127,1)+1)-CD38)+INDEX('Rate &amp; Vol Update'!$E$8:$Z$127,MATCH(INDEX('Rate &amp; Vol Update'!$B$8:$B$127,MATCH(CD38,'Rate &amp; Vol Update'!$B$8:$B$127,1)+1),'Rate &amp; Vol Update'!$B$8:$B$127,0),MATCH(INDEX('Rate &amp; Vol Update'!$E$6:$Z$6,1,MATCH(CI38,'Rate &amp; Vol Update'!$E$6:$Z$6,1)),'Rate &amp; Vol Update'!$E$6:$Z$6,0))*(INDEX('Rate &amp; Vol Update'!$E$6:$Z$6,1,MATCH(CI38,'Rate &amp; Vol Update'!$E$6:$Z$6,1)+1)-CI38)*(CD38-INDEX('Rate &amp; Vol Update'!$B$8:$B$127,MATCH(CD38,'Rate &amp; Vol Update'!$B$8:$B$127,1)))+INDEX('Rate &amp; Vol Update'!$E$8:$Z$127,MATCH(INDEX('Rate &amp; Vol Update'!$B$8:$B$127,MATCH(CD38,'Rate &amp; Vol Update'!$B$8:$B$127,1)+1),'Rate &amp; Vol Update'!$B$8:$B$127,0),MATCH(INDEX('Rate &amp; Vol Update'!$E$6:$Z$6,1,MATCH(CI38,'Rate &amp; Vol Update'!$E$6:$Z$6,1)+1),'Rate &amp; Vol Update'!$E$6:$Z$6,0))*(CI38-INDEX('Rate &amp; Vol Update'!$E$6:$Z$6,1,MATCH(CI38,'Rate &amp; Vol Update'!$E$6:$Z$6,1)))*(CD38-INDEX('Rate &amp; Vol Update'!$B$8:$B$127,MATCH(CD38,'Rate &amp; Vol Update'!$B$8:$B$127,1)))))*0.01%))</f>
        <v>1.1255486344731896E-2</v>
      </c>
      <c r="CL38" s="5">
        <f>IF(CC38="","",1/((1+CJ38)^((CE38-'Rate &amp; Vol Update'!$C$2)/360)))</f>
        <v>0.90693732702661023</v>
      </c>
      <c r="CN38" s="15">
        <f>IF(CC38="","",IF(CD38&lt;'Rate &amp; Vol Update'!$C$2,MAX(0,CJ38-CI38)*(CF38/360)*CH38,(((IF('Adjustment Surface'!$C$2='Data Validation'!$A$2,CJ38,IF('Adjustment Surface'!$C$2='Data Validation'!$A$3,CI38,"Unknown Option Type"))-IF('Adjustment Surface'!$C$2='Data Validation'!$A$2,CI38,IF('Adjustment Surface'!$C$2='Data Validation'!$A$3,CJ38,"Unknown Option Type")))*(NORMDIST((IF('Adjustment Surface'!$C$2='Data Validation'!$A$2,CJ38,IF('Adjustment Surface'!$C$2='Data Validation'!$A$3,CI38,"Unknown Option Type"))-IF('Adjustment Surface'!$C$2='Data Validation'!$A$2,CI38,IF('Adjustment Surface'!$C$2='Data Validation'!$A$3,CJ38,"Unknown Option Type")))/(CK38*SQRT(CG38)),0,1,TRUE)))+((CK38*SQRT(CG38))*(NORMDIST((IF('Adjustment Surface'!$C$2='Data Validation'!$A$2,CJ38,IF('Adjustment Surface'!$C$2='Data Validation'!$A$3,CI38,"Unknown Option Type"))-IF('Adjustment Surface'!$C$2='Data Validation'!$A$2,CI38,IF('Adjustment Surface'!$C$2='Data Validation'!$A$3,CJ38,"Unknown Option Type")))/(CK38*SQRT(CG38)),0,1,FALSE))))*CL38*(CF38/360)*CH38))</f>
        <v>1495.6131565880448</v>
      </c>
      <c r="CO38" s="15">
        <f>IF(CC38="","",SUM(CN$4:CN38))</f>
        <v>14758.475968911242</v>
      </c>
      <c r="CQ38" s="15">
        <f>IF(CC38="","",IF(CD38&lt;'Rate &amp; Vol Update'!$C$2,0,((((((IF('Adjustment Surface'!$C$2='Data Validation'!$A$2,CJ38,IF('Adjustment Surface'!$C$2='Data Validation'!$A$3,CI38,"Unknown Option Type"))-IF('Adjustment Surface'!$C$2='Data Validation'!$A$2,CI38,IF('Adjustment Surface'!$C$2='Data Validation'!$A$3,CJ38,"Unknown Option Type")))*(NORMDIST((IF('Adjustment Surface'!$C$2='Data Validation'!$A$2,CJ38,IF('Adjustment Surface'!$C$2='Data Validation'!$A$3,CI38,"Unknown Option Type"))-IF('Adjustment Surface'!$C$2='Data Validation'!$A$2,CI38,IF('Adjustment Surface'!$C$2='Data Validation'!$A$3,CJ38,"Unknown Option Type")))/((CK38+0.01%)*SQRT(CG38)),0,1,TRUE)))+(((CK38+0.01%)*SQRT(CG38))*(NORMDIST((IF('Adjustment Surface'!$C$2='Data Validation'!$A$2,CJ38,IF('Adjustment Surface'!$C$2='Data Validation'!$A$3,CI38,"Unknown Option Type"))-IF('Adjustment Surface'!$C$2='Data Validation'!$A$2,CI38,IF('Adjustment Surface'!$C$2='Data Validation'!$A$3,CJ38,"Unknown Option Type")))/((CK38+0.01%)*SQRT(CG38)),0,1,FALSE))))*CL38*(CF38/360))-(CN38/CH38))*CH38)*CL38))</f>
        <v>48.242786904835924</v>
      </c>
      <c r="CR38" s="15">
        <f>IF(CC38="","",SUM(CQ$4:CQ38))</f>
        <v>581.42777890554589</v>
      </c>
    </row>
    <row r="39" spans="7:96" x14ac:dyDescent="0.25">
      <c r="G39" s="28"/>
      <c r="I39" s="3">
        <v>36</v>
      </c>
      <c r="J39" s="4">
        <f>IF(K38='Adjustment Surface'!C$8,"",K38)</f>
        <v>47129</v>
      </c>
      <c r="K39" s="4">
        <f>IF(J39="","",IF(J39&lt;'Adjustment Surface'!C$7,EDATE(J$5,COUNT(J$5:J39)),IF(J39='Adjustment Surface'!C$7,'Adjustment Surface'!C$8,'Adjustment Surface'!C$7)))</f>
        <v>47160</v>
      </c>
      <c r="L39" s="3">
        <f t="shared" si="1"/>
        <v>31</v>
      </c>
      <c r="M39" s="5">
        <f>IF(I39="","",(K39-'Rate &amp; Vol Update'!$C$2)/360)</f>
        <v>3.0444444444444443</v>
      </c>
      <c r="N39" s="15">
        <f>IF(I39="","",IF('Adjustment Surface'!C$3='Data Validation'!$C$2,'Adjustment Surface'!C$4,IF(INDEX(Schedules!$E$3:$E$123,MATCH('Bachelier Model'!J39,Schedules!$B$3:$B$123,0))="",N38,INDEX(Schedules!$E$3:$E$123,MATCH('Bachelier Model'!J39,Schedules!$B$3:$B$123,0)))))</f>
        <v>25000000</v>
      </c>
      <c r="O39" s="16">
        <f>IF(I39="","",IF('Adjustment Surface'!C$9='Data Validation'!$D$2,'Adjustment Surface'!C$10,IF(INDEX(Schedules!$H$3:$H$123,MATCH('Bachelier Model'!J39,Schedules!$B$3:$B$123,0))="",O38,INDEX(Schedules!$H$3:$H$123,MATCH('Bachelier Model'!J39,Schedules!$B$3:$B$123,0)))))</f>
        <v>0.02</v>
      </c>
      <c r="P39" s="16" cm="1">
        <f t="array" ref="P39">IF(I39="","",FORECAST(J39,INDEX('Rate &amp; Vol Update'!$C$6:$C$127,MATCH(INDEX('Rate &amp; Vol Update'!$B$6:$B$127,MATCH(J39,'Rate &amp; Vol Update'!$B$6:$B$127,1)),'Rate &amp; Vol Update'!$B$6:$B$127,0)+IF('Adjustment Surface'!C$11='Data Validation'!$E$3,-1,0)):INDEX('Rate &amp; Vol Update'!$C$6:$C$127,MATCH(INDEX('Rate &amp; Vol Update'!$B$6:$B$127,MATCH(J39,'Rate &amp; Vol Update'!$B$6:$B$127,1)+1),'Rate &amp; Vol Update'!$B$6:$B$127,0)+IF('Adjustment Surface'!C$11='Data Validation'!$E$3,-1,0)),INDEX('Rate &amp; Vol Update'!$B$6:$B$127,MATCH(J39,'Rate &amp; Vol Update'!$B$6:$B$127,1)):INDEX('Rate &amp; Vol Update'!$B$6:$B$127,MATCH(J39,'Rate &amp; Vol Update'!$B$6:$B$127,1)+1))/100)</f>
        <v>3.3622331704801528E-2</v>
      </c>
      <c r="Q39" s="16" cm="1">
        <f t="array" ref="Q39">IF(I39="","",IF(J39&lt;'Rate &amp; Vol Update'!$C$2,0.001%,(1/((INDEX('Rate &amp; Vol Update'!$E$6:$Z$6,1,MATCH(O39,'Rate &amp; Vol Update'!$E$6:$Z$6,1)+1)-INDEX('Rate &amp; Vol Update'!$E$6:$Z$6,1,MATCH(O39,'Rate &amp; Vol Update'!$E$6:$Z$6,1)))*(INDEX('Rate &amp; Vol Update'!$B$8:$B$127,MATCH(J39,'Rate &amp; Vol Update'!$B$8:$B$127,1)+1)-INDEX('Rate &amp; Vol Update'!$B$8:$B$127,MATCH(J39,'Rate &amp; Vol Update'!$B$8:$B$127,1))))*(INDEX('Rate &amp; Vol Update'!$E$8:$Z$127,MATCH(INDEX('Rate &amp; Vol Update'!$B$8:$B$127,MATCH(J39,'Rate &amp; Vol Update'!$B$8:$B$127,1)),'Rate &amp; Vol Update'!$B$8:$B$127,0),MATCH(INDEX('Rate &amp; Vol Update'!$E$6:$Z$6,1,MATCH(O39,'Rate &amp; Vol Update'!$E$6:$Z$6,1)),'Rate &amp; Vol Update'!$E$6:$Z$6,0))*(INDEX('Rate &amp; Vol Update'!$E$6:$Z$6,1,MATCH(O39,'Rate &amp; Vol Update'!$E$6:$Z$6,1)+1)-O39)*(INDEX('Rate &amp; Vol Update'!$B$8:$B$127,MATCH(J39,'Rate &amp; Vol Update'!$B$8:$B$127,1)+1)-J39)+INDEX('Rate &amp; Vol Update'!$E$8:$Z$127,MATCH(INDEX('Rate &amp; Vol Update'!$B$8:$B$127,MATCH(J39,'Rate &amp; Vol Update'!$B$8:$B$127,1)),'Rate &amp; Vol Update'!$B$8:$B$127,0),MATCH(INDEX('Rate &amp; Vol Update'!$E$6:$Z$6,1,MATCH(O39,'Rate &amp; Vol Update'!$E$6:$Z$6,1)+1),'Rate &amp; Vol Update'!$E$6:$Z$6,0))*(O39-INDEX('Rate &amp; Vol Update'!$E$6:$Z$6,1,MATCH(O39,'Rate &amp; Vol Update'!$E$6:$Z$6,1)))*(INDEX('Rate &amp; Vol Update'!$B$8:$B$127,MATCH(J39,'Rate &amp; Vol Update'!$B$8:$B$127,1)+1)-J39)+INDEX('Rate &amp; Vol Update'!$E$8:$Z$127,MATCH(INDEX('Rate &amp; Vol Update'!$B$8:$B$127,MATCH(J39,'Rate &amp; Vol Update'!$B$8:$B$127,1)+1),'Rate &amp; Vol Update'!$B$8:$B$127,0),MATCH(INDEX('Rate &amp; Vol Update'!$E$6:$Z$6,1,MATCH(O39,'Rate &amp; Vol Update'!$E$6:$Z$6,1)),'Rate &amp; Vol Update'!$E$6:$Z$6,0))*(INDEX('Rate &amp; Vol Update'!$E$6:$Z$6,1,MATCH(O39,'Rate &amp; Vol Update'!$E$6:$Z$6,1)+1)-O39)*(J39-INDEX('Rate &amp; Vol Update'!$B$8:$B$127,MATCH(J39,'Rate &amp; Vol Update'!$B$8:$B$127,1)))+INDEX('Rate &amp; Vol Update'!$E$8:$Z$127,MATCH(INDEX('Rate &amp; Vol Update'!$B$8:$B$127,MATCH(J39,'Rate &amp; Vol Update'!$B$8:$B$127,1)+1),'Rate &amp; Vol Update'!$B$8:$B$127,0),MATCH(INDEX('Rate &amp; Vol Update'!$E$6:$Z$6,1,MATCH(O39,'Rate &amp; Vol Update'!$E$6:$Z$6,1)+1),'Rate &amp; Vol Update'!$E$6:$Z$6,0))*(O39-INDEX('Rate &amp; Vol Update'!$E$6:$Z$6,1,MATCH(O39,'Rate &amp; Vol Update'!$E$6:$Z$6,1)))*(J39-INDEX('Rate &amp; Vol Update'!$B$8:$B$127,MATCH(J39,'Rate &amp; Vol Update'!$B$8:$B$127,1)))))*0.01%))</f>
        <v>8.5383388815690169E-3</v>
      </c>
      <c r="R39" s="5">
        <f>IF(I39="","",1/((1+P39)^((K39-'Rate &amp; Vol Update'!$C$2)/360)))</f>
        <v>0.90422402642337762</v>
      </c>
      <c r="T39" s="15">
        <f>IF(I39="","",IF(J39&lt;'Rate &amp; Vol Update'!$C$2,MAX(0,P39-O39)*(L39/360)*N39,(((IF('Adjustment Surface'!C$2='Data Validation'!$A$2,P39,IF('Adjustment Surface'!C$2='Data Validation'!$A$3,O39,"Unknown Option Type"))-IF('Adjustment Surface'!C$2='Data Validation'!$A$2,O39,IF('Adjustment Surface'!C$2='Data Validation'!$A$3,P39,"Unknown Option Type")))*(NORMDIST((IF('Adjustment Surface'!C$2='Data Validation'!$A$2,P39,IF('Adjustment Surface'!C$2='Data Validation'!$A$3,O39,"Unknown Option Type"))-IF('Adjustment Surface'!C$2='Data Validation'!$A$2,O39,IF('Adjustment Surface'!C$2='Data Validation'!$A$3,P39,"Unknown Option Type")))/(Q39*SQRT(M39)),0,1,TRUE)))+((Q39*SQRT(M39))*(NORMDIST((IF('Adjustment Surface'!C$2='Data Validation'!$A$2,P39,IF('Adjustment Surface'!C$2='Data Validation'!$A$3,O39,"Unknown Option Type"))-IF('Adjustment Surface'!C$2='Data Validation'!$A$2,O39,IF('Adjustment Surface'!C$2='Data Validation'!$A$3,P39,"Unknown Option Type")))/(Q39*SQRT(M39)),0,1,FALSE))))*R39*(L39/360)*N39))</f>
        <v>29353.741411911935</v>
      </c>
      <c r="U39" s="15">
        <f>IF(I39="","",SUM(T$4:T39))</f>
        <v>1015717.0387267369</v>
      </c>
      <c r="W39" s="15">
        <f>IF(I39="","",IF(J39&lt;'Rate &amp; Vol Update'!$C$2,0,((((((IF('Adjustment Surface'!C$2='Data Validation'!$A$2,P39,IF('Adjustment Surface'!C$2='Data Validation'!$A$3,O39,"Unknown Option Type"))-IF('Adjustment Surface'!C$2='Data Validation'!$A$2,O39,IF('Adjustment Surface'!C$2='Data Validation'!$A$3,P39,"Unknown Option Type")))*(NORMDIST((IF('Adjustment Surface'!C$2='Data Validation'!$A$2,P39,IF('Adjustment Surface'!C$2='Data Validation'!$A$3,O39,"Unknown Option Type"))-IF('Adjustment Surface'!C$2='Data Validation'!$A$2,O39,IF('Adjustment Surface'!C$2='Data Validation'!$A$3,P39,"Unknown Option Type")))/((Q39+0.01%)*SQRT(M39)),0,1,TRUE)))+(((Q39+0.01%)*SQRT(M39))*(NORMDIST((IF('Adjustment Surface'!C$2='Data Validation'!$A$2,P39,IF('Adjustment Surface'!C$2='Data Validation'!$A$3,O39,"Unknown Option Type"))-IF('Adjustment Surface'!C$2='Data Validation'!$A$2,O39,IF('Adjustment Surface'!C$2='Data Validation'!$A$3,P39,"Unknown Option Type")))/((Q39+0.01%)*SQRT(M39)),0,1,FALSE))))*R39*(L39/360))-(T39/N39))*N39)*R39))</f>
        <v>81.052459314871513</v>
      </c>
      <c r="X39" s="15">
        <f>IF(I39="","",SUM(W$4:W39))</f>
        <v>1716.9293978117178</v>
      </c>
      <c r="Y39" s="15"/>
      <c r="Z39" s="20"/>
      <c r="AA39" s="3">
        <v>36</v>
      </c>
      <c r="AB39" s="4">
        <f>IF(AC38=MAX('Adjustment Surface'!$C$14:$F$14),"",AC38)</f>
        <v>47129</v>
      </c>
      <c r="AC39" s="4">
        <f>IF(AB39="","",IF(AB39&lt;EDATE('Adjustment Surface'!$C$6,DATEDIF('Adjustment Surface'!$C$6,MAX('Adjustment Surface'!$C$14:$F$14),"M")),EDATE(AB$5,COUNT(AB$5:AB39)),IF(AB39=EDATE('Adjustment Surface'!$C$6,DATEDIF('Adjustment Surface'!$C$6,MAX('Adjustment Surface'!$C$14:$F$14),"M")),MAX('Adjustment Surface'!$C$14:$F$14),EDATE('Adjustment Surface'!$C$6,DATEDIF('Adjustment Surface'!$C$6,MAX('Adjustment Surface'!$C$14:$F$14),"M")))))</f>
        <v>47160</v>
      </c>
      <c r="AD39" s="3">
        <f t="shared" si="2"/>
        <v>31</v>
      </c>
      <c r="AE39" s="5">
        <f>IF(AA39="","",(AC39-'Rate &amp; Vol Update'!$C$2)/360)</f>
        <v>3.0444444444444443</v>
      </c>
      <c r="AF39" s="15">
        <f>IF(AA39="","",IF('Adjustment Surface'!$C$3='Data Validation'!$C$2,'Adjustment Surface'!$C$4,_xlfn.IFNA(IF(INDEX(Schedules!$E$3:$E$123,MATCH('Bachelier Model'!AB39,Schedules!$B$3:$B$123,0))="",AF38,INDEX(Schedules!$E$3:$E$123,MATCH('Bachelier Model'!AB39,Schedules!$B$3:$B$123,0))),AF38)))</f>
        <v>25000000</v>
      </c>
      <c r="AG39" s="16">
        <f>IF(AA39="","",'Adjustment Surface'!B$15)</f>
        <v>0.03</v>
      </c>
      <c r="AH39" s="16" cm="1">
        <f t="array" ref="AH39">IF(AA39="","",FORECAST(AB39,INDEX('Rate &amp; Vol Update'!$C$6:$C$127,MATCH(INDEX('Rate &amp; Vol Update'!$B$6:$B$127,MATCH(AB39,'Rate &amp; Vol Update'!$B$6:$B$127,1)),'Rate &amp; Vol Update'!$B$6:$B$127,0)+IF('Adjustment Surface'!$C$11='Data Validation'!$E$3,-1,0)):INDEX('Rate &amp; Vol Update'!$C$6:$C$127,MATCH(INDEX('Rate &amp; Vol Update'!$B$6:$B$127,MATCH(AB39,'Rate &amp; Vol Update'!$B$6:$B$127,1)+1),'Rate &amp; Vol Update'!$B$6:$B$127,0)+IF('Adjustment Surface'!$C$11='Data Validation'!$E$3,-1,0)),INDEX('Rate &amp; Vol Update'!$B$6:$B$127,MATCH(AB39,'Rate &amp; Vol Update'!$B$6:$B$127,1)):INDEX('Rate &amp; Vol Update'!$B$6:$B$127,MATCH(AB39,'Rate &amp; Vol Update'!$B$6:$B$127,1)+1))/100)</f>
        <v>3.3622331704801528E-2</v>
      </c>
      <c r="AI39" s="16" cm="1">
        <f t="array" ref="AI39">IF(AA39="","",IF(AB39&lt;'Rate &amp; Vol Update'!$C$2,0.001%,(1/((INDEX('Rate &amp; Vol Update'!$E$6:$Z$6,1,MATCH(AG39,'Rate &amp; Vol Update'!$E$6:$Z$6,1)+1)-INDEX('Rate &amp; Vol Update'!$E$6:$Z$6,1,MATCH(AG39,'Rate &amp; Vol Update'!$E$6:$Z$6,1)))*(INDEX('Rate &amp; Vol Update'!$B$8:$B$127,MATCH(AB39,'Rate &amp; Vol Update'!$B$8:$B$127,1)+1)-INDEX('Rate &amp; Vol Update'!$B$8:$B$127,MATCH(AB39,'Rate &amp; Vol Update'!$B$8:$B$127,1))))*(INDEX('Rate &amp; Vol Update'!$E$8:$Z$127,MATCH(INDEX('Rate &amp; Vol Update'!$B$8:$B$127,MATCH(AB39,'Rate &amp; Vol Update'!$B$8:$B$127,1)),'Rate &amp; Vol Update'!$B$8:$B$127,0),MATCH(INDEX('Rate &amp; Vol Update'!$E$6:$Z$6,1,MATCH(AG39,'Rate &amp; Vol Update'!$E$6:$Z$6,1)),'Rate &amp; Vol Update'!$E$6:$Z$6,0))*(INDEX('Rate &amp; Vol Update'!$E$6:$Z$6,1,MATCH(AG39,'Rate &amp; Vol Update'!$E$6:$Z$6,1)+1)-AG39)*(INDEX('Rate &amp; Vol Update'!$B$8:$B$127,MATCH(AB39,'Rate &amp; Vol Update'!$B$8:$B$127,1)+1)-AB39)+INDEX('Rate &amp; Vol Update'!$E$8:$Z$127,MATCH(INDEX('Rate &amp; Vol Update'!$B$8:$B$127,MATCH(AB39,'Rate &amp; Vol Update'!$B$8:$B$127,1)),'Rate &amp; Vol Update'!$B$8:$B$127,0),MATCH(INDEX('Rate &amp; Vol Update'!$E$6:$Z$6,1,MATCH(AG39,'Rate &amp; Vol Update'!$E$6:$Z$6,1)+1),'Rate &amp; Vol Update'!$E$6:$Z$6,0))*(AG39-INDEX('Rate &amp; Vol Update'!$E$6:$Z$6,1,MATCH(AG39,'Rate &amp; Vol Update'!$E$6:$Z$6,1)))*(INDEX('Rate &amp; Vol Update'!$B$8:$B$127,MATCH(AB39,'Rate &amp; Vol Update'!$B$8:$B$127,1)+1)-AB39)+INDEX('Rate &amp; Vol Update'!$E$8:$Z$127,MATCH(INDEX('Rate &amp; Vol Update'!$B$8:$B$127,MATCH(AB39,'Rate &amp; Vol Update'!$B$8:$B$127,1)+1),'Rate &amp; Vol Update'!$B$8:$B$127,0),MATCH(INDEX('Rate &amp; Vol Update'!$E$6:$Z$6,1,MATCH(AG39,'Rate &amp; Vol Update'!$E$6:$Z$6,1)),'Rate &amp; Vol Update'!$E$6:$Z$6,0))*(INDEX('Rate &amp; Vol Update'!$E$6:$Z$6,1,MATCH(AG39,'Rate &amp; Vol Update'!$E$6:$Z$6,1)+1)-AG39)*(AB39-INDEX('Rate &amp; Vol Update'!$B$8:$B$127,MATCH(AB39,'Rate &amp; Vol Update'!$B$8:$B$127,1)))+INDEX('Rate &amp; Vol Update'!$E$8:$Z$127,MATCH(INDEX('Rate &amp; Vol Update'!$B$8:$B$127,MATCH(AB39,'Rate &amp; Vol Update'!$B$8:$B$127,1)+1),'Rate &amp; Vol Update'!$B$8:$B$127,0),MATCH(INDEX('Rate &amp; Vol Update'!$E$6:$Z$6,1,MATCH(AG39,'Rate &amp; Vol Update'!$E$6:$Z$6,1)+1),'Rate &amp; Vol Update'!$E$6:$Z$6,0))*(AG39-INDEX('Rate &amp; Vol Update'!$E$6:$Z$6,1,MATCH(AG39,'Rate &amp; Vol Update'!$E$6:$Z$6,1)))*(AB39-INDEX('Rate &amp; Vol Update'!$B$8:$B$127,MATCH(AB39,'Rate &amp; Vol Update'!$B$8:$B$127,1)))))*0.01%))</f>
        <v>8.1322866670079999E-3</v>
      </c>
      <c r="AJ39" s="5">
        <f>IF(AA39="","",1/((1+AH39)^((AC39-'Rate &amp; Vol Update'!$C$2)/360)))</f>
        <v>0.90422402642337762</v>
      </c>
      <c r="AL39" s="15">
        <f>IF(AA39="","",IF(AB39&lt;'Rate &amp; Vol Update'!$C$2,MAX(0,AH39-AG39)*(AD39/360)*AF39,(((IF('Adjustment Surface'!$C$2='Data Validation'!$A$2,AH39,IF('Adjustment Surface'!$C$2='Data Validation'!$A$3,AG39,"Unknown Option Type"))-IF('Adjustment Surface'!$C$2='Data Validation'!$A$2,AG39,IF('Adjustment Surface'!$C$2='Data Validation'!$A$3,AH39,"Unknown Option Type")))*(NORMDIST((IF('Adjustment Surface'!$C$2='Data Validation'!$A$2,AH39,IF('Adjustment Surface'!$C$2='Data Validation'!$A$3,AG39,"Unknown Option Type"))-IF('Adjustment Surface'!$C$2='Data Validation'!$A$2,AG39,IF('Adjustment Surface'!$C$2='Data Validation'!$A$3,AH39,"Unknown Option Type")))/(AI39*SQRT(AE39)),0,1,TRUE)))+((AI39*SQRT(AE39))*(NORMDIST((IF('Adjustment Surface'!$C$2='Data Validation'!$A$2,AH39,IF('Adjustment Surface'!$C$2='Data Validation'!$A$3,AG39,"Unknown Option Type"))-IF('Adjustment Surface'!$C$2='Data Validation'!$A$2,AG39,IF('Adjustment Surface'!$C$2='Data Validation'!$A$3,AH39,"Unknown Option Type")))/(AI39*SQRT(AE39)),0,1,FALSE))))*AJ39*(AD39/360)*AF39))</f>
        <v>14901.97399691897</v>
      </c>
      <c r="AM39" s="15">
        <f>IF(AA39="","",SUM(AL$4:AL39))</f>
        <v>410813.68929045857</v>
      </c>
      <c r="AO39" s="15">
        <f>IF(AA39="","",IF(AB39&lt;'Rate &amp; Vol Update'!$C$2,0,((((((IF('Adjustment Surface'!$C$2='Data Validation'!$A$2,AH39,IF('Adjustment Surface'!$C$2='Data Validation'!$A$3,AG39,"Unknown Option Type"))-IF('Adjustment Surface'!$C$2='Data Validation'!$A$2,AG39,IF('Adjustment Surface'!$C$2='Data Validation'!$A$3,AH39,"Unknown Option Type")))*(NORMDIST((IF('Adjustment Surface'!$C$2='Data Validation'!$A$2,AH39,IF('Adjustment Surface'!$C$2='Data Validation'!$A$3,AG39,"Unknown Option Type"))-IF('Adjustment Surface'!$C$2='Data Validation'!$A$2,AG39,IF('Adjustment Surface'!$C$2='Data Validation'!$A$3,AH39,"Unknown Option Type")))/((AI39+0.01%)*SQRT(AE39)),0,1,TRUE)))+(((AI39+0.01%)*SQRT(AE39))*(NORMDIST((IF('Adjustment Surface'!$C$2='Data Validation'!$A$2,AH39,IF('Adjustment Surface'!$C$2='Data Validation'!$A$3,AG39,"Unknown Option Type"))-IF('Adjustment Surface'!$C$2='Data Validation'!$A$2,AG39,IF('Adjustment Surface'!$C$2='Data Validation'!$A$3,AH39,"Unknown Option Type")))/((AI39+0.01%)*SQRT(AE39)),0,1,FALSE))))*AJ39*(AD39/360))-(AL39/AF39))*AF39)*AJ39))</f>
        <v>118.64131686332013</v>
      </c>
      <c r="AP39" s="15">
        <f>IF(AA39="","",SUM(AO$4:AO39))</f>
        <v>2927.2761598013476</v>
      </c>
      <c r="AQ39" s="15"/>
      <c r="AR39" s="20"/>
      <c r="AS39" s="3">
        <v>36</v>
      </c>
      <c r="AT39" s="4">
        <f>IF(AU38=MAX('Adjustment Surface'!$C$14:$F$14),"",AU38)</f>
        <v>47129</v>
      </c>
      <c r="AU39" s="4">
        <f>IF(AT39="","",IF(AT39&lt;EDATE('Adjustment Surface'!$C$6,DATEDIF('Adjustment Surface'!$C$6,MAX('Adjustment Surface'!$C$14:$F$14),"M")),EDATE(AT$5,COUNT(AT$5:AT39)),IF(AT39=EDATE('Adjustment Surface'!$C$6,DATEDIF('Adjustment Surface'!$C$6,MAX('Adjustment Surface'!$C$14:$F$14),"M")),MAX('Adjustment Surface'!$C$14:$F$14),EDATE('Adjustment Surface'!$C$6,DATEDIF('Adjustment Surface'!$C$6,MAX('Adjustment Surface'!$C$14:$F$14),"M")))))</f>
        <v>47160</v>
      </c>
      <c r="AV39" s="3">
        <f t="shared" si="3"/>
        <v>31</v>
      </c>
      <c r="AW39" s="5">
        <f>IF(AS39="","",(AU39-'Rate &amp; Vol Update'!$C$2)/360)</f>
        <v>3.0444444444444443</v>
      </c>
      <c r="AX39" s="15">
        <f>IF(AS39="","",IF('Adjustment Surface'!$C$3='Data Validation'!$C$2,'Adjustment Surface'!$C$4,_xlfn.IFNA(IF(INDEX(Schedules!$E$3:$E$123,MATCH('Bachelier Model'!AT39,Schedules!$B$3:$B$123,0))="",AX38,INDEX(Schedules!$E$3:$E$123,MATCH('Bachelier Model'!AT39,Schedules!$B$3:$B$123,0))),AX38)))</f>
        <v>25000000</v>
      </c>
      <c r="AY39" s="16">
        <f>IF(AS39="","",'Adjustment Surface'!B$16)</f>
        <v>0.04</v>
      </c>
      <c r="AZ39" s="16" cm="1">
        <f t="array" ref="AZ39">IF(AS39="","",FORECAST(AT39,INDEX('Rate &amp; Vol Update'!$C$6:$C$127,MATCH(INDEX('Rate &amp; Vol Update'!$B$6:$B$127,MATCH(AT39,'Rate &amp; Vol Update'!$B$6:$B$127,1)),'Rate &amp; Vol Update'!$B$6:$B$127,0)+IF('Adjustment Surface'!$C$11='Data Validation'!$E$3,-1,0)):INDEX('Rate &amp; Vol Update'!$C$6:$C$127,MATCH(INDEX('Rate &amp; Vol Update'!$B$6:$B$127,MATCH(AT39,'Rate &amp; Vol Update'!$B$6:$B$127,1)+1),'Rate &amp; Vol Update'!$B$6:$B$127,0)+IF('Adjustment Surface'!$C$11='Data Validation'!$E$3,-1,0)),INDEX('Rate &amp; Vol Update'!$B$6:$B$127,MATCH(AT39,'Rate &amp; Vol Update'!$B$6:$B$127,1)):INDEX('Rate &amp; Vol Update'!$B$6:$B$127,MATCH(AT39,'Rate &amp; Vol Update'!$B$6:$B$127,1)+1))/100)</f>
        <v>3.3622331704801528E-2</v>
      </c>
      <c r="BA39" s="16" cm="1">
        <f t="array" ref="BA39">IF(AS39="","",IF(AT39&lt;'Rate &amp; Vol Update'!$C$2,0.001%,(1/((INDEX('Rate &amp; Vol Update'!$E$6:$Z$6,1,MATCH(AY39,'Rate &amp; Vol Update'!$E$6:$Z$6,1)+1)-INDEX('Rate &amp; Vol Update'!$E$6:$Z$6,1,MATCH(AY39,'Rate &amp; Vol Update'!$E$6:$Z$6,1)))*(INDEX('Rate &amp; Vol Update'!$B$8:$B$127,MATCH(AT39,'Rate &amp; Vol Update'!$B$8:$B$127,1)+1)-INDEX('Rate &amp; Vol Update'!$B$8:$B$127,MATCH(AT39,'Rate &amp; Vol Update'!$B$8:$B$127,1))))*(INDEX('Rate &amp; Vol Update'!$E$8:$Z$127,MATCH(INDEX('Rate &amp; Vol Update'!$B$8:$B$127,MATCH(AT39,'Rate &amp; Vol Update'!$B$8:$B$127,1)),'Rate &amp; Vol Update'!$B$8:$B$127,0),MATCH(INDEX('Rate &amp; Vol Update'!$E$6:$Z$6,1,MATCH(AY39,'Rate &amp; Vol Update'!$E$6:$Z$6,1)),'Rate &amp; Vol Update'!$E$6:$Z$6,0))*(INDEX('Rate &amp; Vol Update'!$E$6:$Z$6,1,MATCH(AY39,'Rate &amp; Vol Update'!$E$6:$Z$6,1)+1)-AY39)*(INDEX('Rate &amp; Vol Update'!$B$8:$B$127,MATCH(AT39,'Rate &amp; Vol Update'!$B$8:$B$127,1)+1)-AT39)+INDEX('Rate &amp; Vol Update'!$E$8:$Z$127,MATCH(INDEX('Rate &amp; Vol Update'!$B$8:$B$127,MATCH(AT39,'Rate &amp; Vol Update'!$B$8:$B$127,1)),'Rate &amp; Vol Update'!$B$8:$B$127,0),MATCH(INDEX('Rate &amp; Vol Update'!$E$6:$Z$6,1,MATCH(AY39,'Rate &amp; Vol Update'!$E$6:$Z$6,1)+1),'Rate &amp; Vol Update'!$E$6:$Z$6,0))*(AY39-INDEX('Rate &amp; Vol Update'!$E$6:$Z$6,1,MATCH(AY39,'Rate &amp; Vol Update'!$E$6:$Z$6,1)))*(INDEX('Rate &amp; Vol Update'!$B$8:$B$127,MATCH(AT39,'Rate &amp; Vol Update'!$B$8:$B$127,1)+1)-AT39)+INDEX('Rate &amp; Vol Update'!$E$8:$Z$127,MATCH(INDEX('Rate &amp; Vol Update'!$B$8:$B$127,MATCH(AT39,'Rate &amp; Vol Update'!$B$8:$B$127,1)+1),'Rate &amp; Vol Update'!$B$8:$B$127,0),MATCH(INDEX('Rate &amp; Vol Update'!$E$6:$Z$6,1,MATCH(AY39,'Rate &amp; Vol Update'!$E$6:$Z$6,1)),'Rate &amp; Vol Update'!$E$6:$Z$6,0))*(INDEX('Rate &amp; Vol Update'!$E$6:$Z$6,1,MATCH(AY39,'Rate &amp; Vol Update'!$E$6:$Z$6,1)+1)-AY39)*(AT39-INDEX('Rate &amp; Vol Update'!$B$8:$B$127,MATCH(AT39,'Rate &amp; Vol Update'!$B$8:$B$127,1)))+INDEX('Rate &amp; Vol Update'!$E$8:$Z$127,MATCH(INDEX('Rate &amp; Vol Update'!$B$8:$B$127,MATCH(AT39,'Rate &amp; Vol Update'!$B$8:$B$127,1)+1),'Rate &amp; Vol Update'!$B$8:$B$127,0),MATCH(INDEX('Rate &amp; Vol Update'!$E$6:$Z$6,1,MATCH(AY39,'Rate &amp; Vol Update'!$E$6:$Z$6,1)+1),'Rate &amp; Vol Update'!$E$6:$Z$6,0))*(AY39-INDEX('Rate &amp; Vol Update'!$E$6:$Z$6,1,MATCH(AY39,'Rate &amp; Vol Update'!$E$6:$Z$6,1)))*(AT39-INDEX('Rate &amp; Vol Update'!$B$8:$B$127,MATCH(AT39,'Rate &amp; Vol Update'!$B$8:$B$127,1)))))*0.01%))</f>
        <v>8.6125454252154888E-3</v>
      </c>
      <c r="BB39" s="5">
        <f>IF(AS39="","",1/((1+AZ39)^((AU39-'Rate &amp; Vol Update'!$C$2)/360)))</f>
        <v>0.90422402642337762</v>
      </c>
      <c r="BD39" s="15">
        <f>IF(AS39="","",IF(AT39&lt;'Rate &amp; Vol Update'!$C$2,MAX(0,AZ39-AY39)*(AV39/360)*AX39,(((IF('Adjustment Surface'!$C$2='Data Validation'!$A$2,AZ39,IF('Adjustment Surface'!$C$2='Data Validation'!$A$3,AY39,"Unknown Option Type"))-IF('Adjustment Surface'!$C$2='Data Validation'!$A$2,AY39,IF('Adjustment Surface'!$C$2='Data Validation'!$A$3,AZ39,"Unknown Option Type")))*(NORMDIST((IF('Adjustment Surface'!$C$2='Data Validation'!$A$2,AZ39,IF('Adjustment Surface'!$C$2='Data Validation'!$A$3,AY39,"Unknown Option Type"))-IF('Adjustment Surface'!$C$2='Data Validation'!$A$2,AY39,IF('Adjustment Surface'!$C$2='Data Validation'!$A$3,AZ39,"Unknown Option Type")))/(BA39*SQRT(AW39)),0,1,TRUE)))+((BA39*SQRT(AW39))*(NORMDIST((IF('Adjustment Surface'!$C$2='Data Validation'!$A$2,AZ39,IF('Adjustment Surface'!$C$2='Data Validation'!$A$3,AY39,"Unknown Option Type"))-IF('Adjustment Surface'!$C$2='Data Validation'!$A$2,AY39,IF('Adjustment Surface'!$C$2='Data Validation'!$A$3,AZ39,"Unknown Option Type")))/(BA39*SQRT(AW39)),0,1,FALSE))))*BB39*(AV39/360)*AX39))</f>
        <v>6498.1194573055318</v>
      </c>
      <c r="BE39" s="15">
        <f>IF(AS39="","",SUM(BD$4:BD39))</f>
        <v>94346.051621764578</v>
      </c>
      <c r="BG39" s="15">
        <f>IF(AS39="","",IF(AT39&lt;'Rate &amp; Vol Update'!$C$2,0,((((((IF('Adjustment Surface'!$C$2='Data Validation'!$A$2,AZ39,IF('Adjustment Surface'!$C$2='Data Validation'!$A$3,AY39,"Unknown Option Type"))-IF('Adjustment Surface'!$C$2='Data Validation'!$A$2,AY39,IF('Adjustment Surface'!$C$2='Data Validation'!$A$3,AZ39,"Unknown Option Type")))*(NORMDIST((IF('Adjustment Surface'!$C$2='Data Validation'!$A$2,AZ39,IF('Adjustment Surface'!$C$2='Data Validation'!$A$3,AY39,"Unknown Option Type"))-IF('Adjustment Surface'!$C$2='Data Validation'!$A$2,AY39,IF('Adjustment Surface'!$C$2='Data Validation'!$A$3,AZ39,"Unknown Option Type")))/((BA39+0.01%)*SQRT(AW39)),0,1,TRUE)))+(((BA39+0.01%)*SQRT(AW39))*(NORMDIST((IF('Adjustment Surface'!$C$2='Data Validation'!$A$2,AZ39,IF('Adjustment Surface'!$C$2='Data Validation'!$A$3,AY39,"Unknown Option Type"))-IF('Adjustment Surface'!$C$2='Data Validation'!$A$2,AY39,IF('Adjustment Surface'!$C$2='Data Validation'!$A$3,AZ39,"Unknown Option Type")))/((BA39+0.01%)*SQRT(AW39)),0,1,FALSE))))*BB39*(AV39/360))-(BD39/AX39))*AX39)*BB39))</f>
        <v>112.08632630532836</v>
      </c>
      <c r="BH39" s="15">
        <f>IF(AS39="","",SUM(BG$4:BG39))</f>
        <v>2313.703031559291</v>
      </c>
      <c r="BI39" s="15"/>
      <c r="BJ39" s="20"/>
      <c r="BK39" s="3">
        <v>36</v>
      </c>
      <c r="BL39" s="4">
        <f>IF(BM38=MAX('Adjustment Surface'!$C$14:$F$14),"",BM38)</f>
        <v>47129</v>
      </c>
      <c r="BM39" s="4">
        <f>IF(BL39="","",IF(BL39&lt;EDATE('Adjustment Surface'!$C$6,DATEDIF('Adjustment Surface'!$C$6,MAX('Adjustment Surface'!$C$14:$F$14),"M")),EDATE(BL$5,COUNT(BL$5:BL39)),IF(BL39=EDATE('Adjustment Surface'!$C$6,DATEDIF('Adjustment Surface'!$C$6,MAX('Adjustment Surface'!$C$14:$F$14),"M")),MAX('Adjustment Surface'!$C$14:$F$14),EDATE('Adjustment Surface'!$C$6,DATEDIF('Adjustment Surface'!$C$6,MAX('Adjustment Surface'!$C$14:$F$14),"M")))))</f>
        <v>47160</v>
      </c>
      <c r="BN39" s="3">
        <f t="shared" si="4"/>
        <v>31</v>
      </c>
      <c r="BO39" s="5">
        <f>IF(BK39="","",(BM39-'Rate &amp; Vol Update'!$C$2)/360)</f>
        <v>3.0444444444444443</v>
      </c>
      <c r="BP39" s="15">
        <f>IF(BK39="","",IF('Adjustment Surface'!$C$3='Data Validation'!$C$2,'Adjustment Surface'!$C$4,_xlfn.IFNA(IF(INDEX(Schedules!$E$3:$E$123,MATCH('Bachelier Model'!BL39,Schedules!$B$3:$B$123,0))="",BP38,INDEX(Schedules!$E$3:$E$123,MATCH('Bachelier Model'!BL39,Schedules!$B$3:$B$123,0))),BP38)))</f>
        <v>25000000</v>
      </c>
      <c r="BQ39" s="16">
        <f>IF(BK39="","",'Adjustment Surface'!B$17)</f>
        <v>0.05</v>
      </c>
      <c r="BR39" s="16" cm="1">
        <f t="array" ref="BR39">IF(BK39="","",FORECAST(BL39,INDEX('Rate &amp; Vol Update'!$C$6:$C$127,MATCH(INDEX('Rate &amp; Vol Update'!$B$6:$B$127,MATCH(BL39,'Rate &amp; Vol Update'!$B$6:$B$127,1)),'Rate &amp; Vol Update'!$B$6:$B$127,0)+IF('Adjustment Surface'!$C$11='Data Validation'!$E$3,-1,0)):INDEX('Rate &amp; Vol Update'!$C$6:$C$127,MATCH(INDEX('Rate &amp; Vol Update'!$B$6:$B$127,MATCH(BL39,'Rate &amp; Vol Update'!$B$6:$B$127,1)+1),'Rate &amp; Vol Update'!$B$6:$B$127,0)+IF('Adjustment Surface'!$C$11='Data Validation'!$E$3,-1,0)),INDEX('Rate &amp; Vol Update'!$B$6:$B$127,MATCH(BL39,'Rate &amp; Vol Update'!$B$6:$B$127,1)):INDEX('Rate &amp; Vol Update'!$B$6:$B$127,MATCH(BL39,'Rate &amp; Vol Update'!$B$6:$B$127,1)+1))/100)</f>
        <v>3.3622331704801528E-2</v>
      </c>
      <c r="BS39" s="16" cm="1">
        <f t="array" ref="BS39">IF(BK39="","",IF(BL39&lt;'Rate &amp; Vol Update'!$C$2,0.001%,(1/((INDEX('Rate &amp; Vol Update'!$E$6:$Z$6,1,MATCH(BQ39,'Rate &amp; Vol Update'!$E$6:$Z$6,1)+1)-INDEX('Rate &amp; Vol Update'!$E$6:$Z$6,1,MATCH(BQ39,'Rate &amp; Vol Update'!$E$6:$Z$6,1)))*(INDEX('Rate &amp; Vol Update'!$B$8:$B$127,MATCH(BL39,'Rate &amp; Vol Update'!$B$8:$B$127,1)+1)-INDEX('Rate &amp; Vol Update'!$B$8:$B$127,MATCH(BL39,'Rate &amp; Vol Update'!$B$8:$B$127,1))))*(INDEX('Rate &amp; Vol Update'!$E$8:$Z$127,MATCH(INDEX('Rate &amp; Vol Update'!$B$8:$B$127,MATCH(BL39,'Rate &amp; Vol Update'!$B$8:$B$127,1)),'Rate &amp; Vol Update'!$B$8:$B$127,0),MATCH(INDEX('Rate &amp; Vol Update'!$E$6:$Z$6,1,MATCH(BQ39,'Rate &amp; Vol Update'!$E$6:$Z$6,1)),'Rate &amp; Vol Update'!$E$6:$Z$6,0))*(INDEX('Rate &amp; Vol Update'!$E$6:$Z$6,1,MATCH(BQ39,'Rate &amp; Vol Update'!$E$6:$Z$6,1)+1)-BQ39)*(INDEX('Rate &amp; Vol Update'!$B$8:$B$127,MATCH(BL39,'Rate &amp; Vol Update'!$B$8:$B$127,1)+1)-BL39)+INDEX('Rate &amp; Vol Update'!$E$8:$Z$127,MATCH(INDEX('Rate &amp; Vol Update'!$B$8:$B$127,MATCH(BL39,'Rate &amp; Vol Update'!$B$8:$B$127,1)),'Rate &amp; Vol Update'!$B$8:$B$127,0),MATCH(INDEX('Rate &amp; Vol Update'!$E$6:$Z$6,1,MATCH(BQ39,'Rate &amp; Vol Update'!$E$6:$Z$6,1)+1),'Rate &amp; Vol Update'!$E$6:$Z$6,0))*(BQ39-INDEX('Rate &amp; Vol Update'!$E$6:$Z$6,1,MATCH(BQ39,'Rate &amp; Vol Update'!$E$6:$Z$6,1)))*(INDEX('Rate &amp; Vol Update'!$B$8:$B$127,MATCH(BL39,'Rate &amp; Vol Update'!$B$8:$B$127,1)+1)-BL39)+INDEX('Rate &amp; Vol Update'!$E$8:$Z$127,MATCH(INDEX('Rate &amp; Vol Update'!$B$8:$B$127,MATCH(BL39,'Rate &amp; Vol Update'!$B$8:$B$127,1)+1),'Rate &amp; Vol Update'!$B$8:$B$127,0),MATCH(INDEX('Rate &amp; Vol Update'!$E$6:$Z$6,1,MATCH(BQ39,'Rate &amp; Vol Update'!$E$6:$Z$6,1)),'Rate &amp; Vol Update'!$E$6:$Z$6,0))*(INDEX('Rate &amp; Vol Update'!$E$6:$Z$6,1,MATCH(BQ39,'Rate &amp; Vol Update'!$E$6:$Z$6,1)+1)-BQ39)*(BL39-INDEX('Rate &amp; Vol Update'!$B$8:$B$127,MATCH(BL39,'Rate &amp; Vol Update'!$B$8:$B$127,1)))+INDEX('Rate &amp; Vol Update'!$E$8:$Z$127,MATCH(INDEX('Rate &amp; Vol Update'!$B$8:$B$127,MATCH(BL39,'Rate &amp; Vol Update'!$B$8:$B$127,1)+1),'Rate &amp; Vol Update'!$B$8:$B$127,0),MATCH(INDEX('Rate &amp; Vol Update'!$E$6:$Z$6,1,MATCH(BQ39,'Rate &amp; Vol Update'!$E$6:$Z$6,1)+1),'Rate &amp; Vol Update'!$E$6:$Z$6,0))*(BQ39-INDEX('Rate &amp; Vol Update'!$E$6:$Z$6,1,MATCH(BQ39,'Rate &amp; Vol Update'!$E$6:$Z$6,1)))*(BL39-INDEX('Rate &amp; Vol Update'!$B$8:$B$127,MATCH(BL39,'Rate &amp; Vol Update'!$B$8:$B$127,1)))))*0.01%))</f>
        <v>9.8164035795160476E-3</v>
      </c>
      <c r="BT39" s="5">
        <f>IF(BK39="","",1/((1+BR39)^((BM39-'Rate &amp; Vol Update'!$C$2)/360)))</f>
        <v>0.90422402642337762</v>
      </c>
      <c r="BV39" s="15">
        <f>IF(BK39="","",IF(BL39&lt;'Rate &amp; Vol Update'!$C$2,MAX(0,BR39-BQ39)*(BN39/360)*BP39,(((IF('Adjustment Surface'!$C$2='Data Validation'!$A$2,BR39,IF('Adjustment Surface'!$C$2='Data Validation'!$A$3,BQ39,"Unknown Option Type"))-IF('Adjustment Surface'!$C$2='Data Validation'!$A$2,BQ39,IF('Adjustment Surface'!$C$2='Data Validation'!$A$3,BR39,"Unknown Option Type")))*(NORMDIST((IF('Adjustment Surface'!$C$2='Data Validation'!$A$2,BR39,IF('Adjustment Surface'!$C$2='Data Validation'!$A$3,BQ39,"Unknown Option Type"))-IF('Adjustment Surface'!$C$2='Data Validation'!$A$2,BQ39,IF('Adjustment Surface'!$C$2='Data Validation'!$A$3,BR39,"Unknown Option Type")))/(BS39*SQRT(BO39)),0,1,TRUE)))+((BS39*SQRT(BO39))*(NORMDIST((IF('Adjustment Surface'!$C$2='Data Validation'!$A$2,BR39,IF('Adjustment Surface'!$C$2='Data Validation'!$A$3,BQ39,"Unknown Option Type"))-IF('Adjustment Surface'!$C$2='Data Validation'!$A$2,BQ39,IF('Adjustment Surface'!$C$2='Data Validation'!$A$3,BR39,"Unknown Option Type")))/(BS39*SQRT(BO39)),0,1,FALSE))))*BT39*(BN39/360)*BP39))</f>
        <v>3017.4223604413764</v>
      </c>
      <c r="BW39" s="15">
        <f>IF(BK39="","",SUM(BV$4:BV39))</f>
        <v>33681.566525456517</v>
      </c>
      <c r="BY39" s="15">
        <f>IF(BK39="","",IF(BL39&lt;'Rate &amp; Vol Update'!$C$2,0,((((((IF('Adjustment Surface'!$C$2='Data Validation'!$A$2,BR39,IF('Adjustment Surface'!$C$2='Data Validation'!$A$3,BQ39,"Unknown Option Type"))-IF('Adjustment Surface'!$C$2='Data Validation'!$A$2,BQ39,IF('Adjustment Surface'!$C$2='Data Validation'!$A$3,BR39,"Unknown Option Type")))*(NORMDIST((IF('Adjustment Surface'!$C$2='Data Validation'!$A$2,BR39,IF('Adjustment Surface'!$C$2='Data Validation'!$A$3,BQ39,"Unknown Option Type"))-IF('Adjustment Surface'!$C$2='Data Validation'!$A$2,BQ39,IF('Adjustment Surface'!$C$2='Data Validation'!$A$3,BR39,"Unknown Option Type")))/((BS39+0.01%)*SQRT(BO39)),0,1,TRUE)))+(((BS39+0.01%)*SQRT(BO39))*(NORMDIST((IF('Adjustment Surface'!$C$2='Data Validation'!$A$2,BR39,IF('Adjustment Surface'!$C$2='Data Validation'!$A$3,BQ39,"Unknown Option Type"))-IF('Adjustment Surface'!$C$2='Data Validation'!$A$2,BQ39,IF('Adjustment Surface'!$C$2='Data Validation'!$A$3,BR39,"Unknown Option Type")))/((BS39+0.01%)*SQRT(BO39)),0,1,FALSE))))*BT39*(BN39/360))-(BV39/BP39))*BP39)*BT39))</f>
        <v>77.925596669029915</v>
      </c>
      <c r="BZ39" s="15">
        <f>IF(BK39="","",SUM(BY$4:BY39))</f>
        <v>1138.0800928488256</v>
      </c>
      <c r="CA39" s="15"/>
      <c r="CB39" s="20"/>
      <c r="CC39" s="3">
        <v>36</v>
      </c>
      <c r="CD39" s="4">
        <f>IF(CE38=MAX('Adjustment Surface'!$C$14:$F$14),"",CE38)</f>
        <v>47129</v>
      </c>
      <c r="CE39" s="4">
        <f>IF(CD39="","",IF(CD39&lt;EDATE('Adjustment Surface'!$C$6,DATEDIF('Adjustment Surface'!$C$6,MAX('Adjustment Surface'!$C$14:$F$14),"M")),EDATE(CD$5,COUNT(CD$5:CD39)),IF(CD39=EDATE('Adjustment Surface'!$C$6,DATEDIF('Adjustment Surface'!$C$6,MAX('Adjustment Surface'!$C$14:$F$14),"M")),MAX('Adjustment Surface'!$C$14:$F$14),EDATE('Adjustment Surface'!$C$6,DATEDIF('Adjustment Surface'!$C$6,MAX('Adjustment Surface'!$C$14:$F$14),"M")))))</f>
        <v>47160</v>
      </c>
      <c r="CF39" s="3">
        <f t="shared" si="5"/>
        <v>31</v>
      </c>
      <c r="CG39" s="5">
        <f>IF(CC39="","",(CE39-'Rate &amp; Vol Update'!$C$2)/360)</f>
        <v>3.0444444444444443</v>
      </c>
      <c r="CH39" s="15">
        <f>IF(CC39="","",IF('Adjustment Surface'!$C$3='Data Validation'!$C$2,'Adjustment Surface'!$C$4,_xlfn.IFNA(IF(INDEX(Schedules!$E$3:$E$123,MATCH('Bachelier Model'!CD39,Schedules!$B$3:$B$123,0))="",CH38,INDEX(Schedules!$E$3:$E$123,MATCH('Bachelier Model'!CD39,Schedules!$B$3:$B$123,0))),CH38)))</f>
        <v>25000000</v>
      </c>
      <c r="CI39" s="16">
        <f>IF(CC39="","",'Adjustment Surface'!B$18)</f>
        <v>0.06</v>
      </c>
      <c r="CJ39" s="16" cm="1">
        <f t="array" ref="CJ39">IF(CC39="","",FORECAST(CD39,INDEX('Rate &amp; Vol Update'!$C$6:$C$127,MATCH(INDEX('Rate &amp; Vol Update'!$B$6:$B$127,MATCH(CD39,'Rate &amp; Vol Update'!$B$6:$B$127,1)),'Rate &amp; Vol Update'!$B$6:$B$127,0)+IF('Adjustment Surface'!$C$11='Data Validation'!$E$3,-1,0)):INDEX('Rate &amp; Vol Update'!$C$6:$C$127,MATCH(INDEX('Rate &amp; Vol Update'!$B$6:$B$127,MATCH(CD39,'Rate &amp; Vol Update'!$B$6:$B$127,1)+1),'Rate &amp; Vol Update'!$B$6:$B$127,0)+IF('Adjustment Surface'!$C$11='Data Validation'!$E$3,-1,0)),INDEX('Rate &amp; Vol Update'!$B$6:$B$127,MATCH(CD39,'Rate &amp; Vol Update'!$B$6:$B$127,1)):INDEX('Rate &amp; Vol Update'!$B$6:$B$127,MATCH(CD39,'Rate &amp; Vol Update'!$B$6:$B$127,1)+1))/100)</f>
        <v>3.3622331704801528E-2</v>
      </c>
      <c r="CK39" s="16" cm="1">
        <f t="array" ref="CK39">IF(CC39="","",IF(CD39&lt;'Rate &amp; Vol Update'!$C$2,0.001%,(1/((INDEX('Rate &amp; Vol Update'!$E$6:$Z$6,1,MATCH(CI39,'Rate &amp; Vol Update'!$E$6:$Z$6,1)+1)-INDEX('Rate &amp; Vol Update'!$E$6:$Z$6,1,MATCH(CI39,'Rate &amp; Vol Update'!$E$6:$Z$6,1)))*(INDEX('Rate &amp; Vol Update'!$B$8:$B$127,MATCH(CD39,'Rate &amp; Vol Update'!$B$8:$B$127,1)+1)-INDEX('Rate &amp; Vol Update'!$B$8:$B$127,MATCH(CD39,'Rate &amp; Vol Update'!$B$8:$B$127,1))))*(INDEX('Rate &amp; Vol Update'!$E$8:$Z$127,MATCH(INDEX('Rate &amp; Vol Update'!$B$8:$B$127,MATCH(CD39,'Rate &amp; Vol Update'!$B$8:$B$127,1)),'Rate &amp; Vol Update'!$B$8:$B$127,0),MATCH(INDEX('Rate &amp; Vol Update'!$E$6:$Z$6,1,MATCH(CI39,'Rate &amp; Vol Update'!$E$6:$Z$6,1)),'Rate &amp; Vol Update'!$E$6:$Z$6,0))*(INDEX('Rate &amp; Vol Update'!$E$6:$Z$6,1,MATCH(CI39,'Rate &amp; Vol Update'!$E$6:$Z$6,1)+1)-CI39)*(INDEX('Rate &amp; Vol Update'!$B$8:$B$127,MATCH(CD39,'Rate &amp; Vol Update'!$B$8:$B$127,1)+1)-CD39)+INDEX('Rate &amp; Vol Update'!$E$8:$Z$127,MATCH(INDEX('Rate &amp; Vol Update'!$B$8:$B$127,MATCH(CD39,'Rate &amp; Vol Update'!$B$8:$B$127,1)),'Rate &amp; Vol Update'!$B$8:$B$127,0),MATCH(INDEX('Rate &amp; Vol Update'!$E$6:$Z$6,1,MATCH(CI39,'Rate &amp; Vol Update'!$E$6:$Z$6,1)+1),'Rate &amp; Vol Update'!$E$6:$Z$6,0))*(CI39-INDEX('Rate &amp; Vol Update'!$E$6:$Z$6,1,MATCH(CI39,'Rate &amp; Vol Update'!$E$6:$Z$6,1)))*(INDEX('Rate &amp; Vol Update'!$B$8:$B$127,MATCH(CD39,'Rate &amp; Vol Update'!$B$8:$B$127,1)+1)-CD39)+INDEX('Rate &amp; Vol Update'!$E$8:$Z$127,MATCH(INDEX('Rate &amp; Vol Update'!$B$8:$B$127,MATCH(CD39,'Rate &amp; Vol Update'!$B$8:$B$127,1)+1),'Rate &amp; Vol Update'!$B$8:$B$127,0),MATCH(INDEX('Rate &amp; Vol Update'!$E$6:$Z$6,1,MATCH(CI39,'Rate &amp; Vol Update'!$E$6:$Z$6,1)),'Rate &amp; Vol Update'!$E$6:$Z$6,0))*(INDEX('Rate &amp; Vol Update'!$E$6:$Z$6,1,MATCH(CI39,'Rate &amp; Vol Update'!$E$6:$Z$6,1)+1)-CI39)*(CD39-INDEX('Rate &amp; Vol Update'!$B$8:$B$127,MATCH(CD39,'Rate &amp; Vol Update'!$B$8:$B$127,1)))+INDEX('Rate &amp; Vol Update'!$E$8:$Z$127,MATCH(INDEX('Rate &amp; Vol Update'!$B$8:$B$127,MATCH(CD39,'Rate &amp; Vol Update'!$B$8:$B$127,1)+1),'Rate &amp; Vol Update'!$B$8:$B$127,0),MATCH(INDEX('Rate &amp; Vol Update'!$E$6:$Z$6,1,MATCH(CI39,'Rate &amp; Vol Update'!$E$6:$Z$6,1)+1),'Rate &amp; Vol Update'!$E$6:$Z$6,0))*(CI39-INDEX('Rate &amp; Vol Update'!$E$6:$Z$6,1,MATCH(CI39,'Rate &amp; Vol Update'!$E$6:$Z$6,1)))*(CD39-INDEX('Rate &amp; Vol Update'!$B$8:$B$127,MATCH(CD39,'Rate &amp; Vol Update'!$B$8:$B$127,1)))))*0.01%))</f>
        <v>1.129444581765383E-2</v>
      </c>
      <c r="CL39" s="5">
        <f>IF(CC39="","",1/((1+CJ39)^((CE39-'Rate &amp; Vol Update'!$C$2)/360)))</f>
        <v>0.90422402642337762</v>
      </c>
      <c r="CN39" s="15">
        <f>IF(CC39="","",IF(CD39&lt;'Rate &amp; Vol Update'!$C$2,MAX(0,CJ39-CI39)*(CF39/360)*CH39,(((IF('Adjustment Surface'!$C$2='Data Validation'!$A$2,CJ39,IF('Adjustment Surface'!$C$2='Data Validation'!$A$3,CI39,"Unknown Option Type"))-IF('Adjustment Surface'!$C$2='Data Validation'!$A$2,CI39,IF('Adjustment Surface'!$C$2='Data Validation'!$A$3,CJ39,"Unknown Option Type")))*(NORMDIST((IF('Adjustment Surface'!$C$2='Data Validation'!$A$2,CJ39,IF('Adjustment Surface'!$C$2='Data Validation'!$A$3,CI39,"Unknown Option Type"))-IF('Adjustment Surface'!$C$2='Data Validation'!$A$2,CI39,IF('Adjustment Surface'!$C$2='Data Validation'!$A$3,CJ39,"Unknown Option Type")))/(CK39*SQRT(CG39)),0,1,TRUE)))+((CK39*SQRT(CG39))*(NORMDIST((IF('Adjustment Surface'!$C$2='Data Validation'!$A$2,CJ39,IF('Adjustment Surface'!$C$2='Data Validation'!$A$3,CI39,"Unknown Option Type"))-IF('Adjustment Surface'!$C$2='Data Validation'!$A$2,CI39,IF('Adjustment Surface'!$C$2='Data Validation'!$A$3,CJ39,"Unknown Option Type")))/(CK39*SQRT(CG39)),0,1,FALSE))))*CL39*(CF39/360)*CH39))</f>
        <v>1608.3505975432934</v>
      </c>
      <c r="CO39" s="15">
        <f>IF(CC39="","",SUM(CN$4:CN39))</f>
        <v>16366.826566454534</v>
      </c>
      <c r="CQ39" s="15">
        <f>IF(CC39="","",IF(CD39&lt;'Rate &amp; Vol Update'!$C$2,0,((((((IF('Adjustment Surface'!$C$2='Data Validation'!$A$2,CJ39,IF('Adjustment Surface'!$C$2='Data Validation'!$A$3,CI39,"Unknown Option Type"))-IF('Adjustment Surface'!$C$2='Data Validation'!$A$2,CI39,IF('Adjustment Surface'!$C$2='Data Validation'!$A$3,CJ39,"Unknown Option Type")))*(NORMDIST((IF('Adjustment Surface'!$C$2='Data Validation'!$A$2,CJ39,IF('Adjustment Surface'!$C$2='Data Validation'!$A$3,CI39,"Unknown Option Type"))-IF('Adjustment Surface'!$C$2='Data Validation'!$A$2,CI39,IF('Adjustment Surface'!$C$2='Data Validation'!$A$3,CJ39,"Unknown Option Type")))/((CK39+0.01%)*SQRT(CG39)),0,1,TRUE)))+(((CK39+0.01%)*SQRT(CG39))*(NORMDIST((IF('Adjustment Surface'!$C$2='Data Validation'!$A$2,CJ39,IF('Adjustment Surface'!$C$2='Data Validation'!$A$3,CI39,"Unknown Option Type"))-IF('Adjustment Surface'!$C$2='Data Validation'!$A$2,CI39,IF('Adjustment Surface'!$C$2='Data Validation'!$A$3,CJ39,"Unknown Option Type")))/((CK39+0.01%)*SQRT(CG39)),0,1,FALSE))))*CL39*(CF39/360))-(CN39/CH39))*CH39)*CL39))</f>
        <v>50.419505921465628</v>
      </c>
      <c r="CR39" s="15">
        <f>IF(CC39="","",SUM(CQ$4:CQ39))</f>
        <v>631.84728482701155</v>
      </c>
    </row>
    <row r="40" spans="7:96" x14ac:dyDescent="0.25">
      <c r="G40" s="28"/>
      <c r="J40" s="4" t="str">
        <f>IF(K39='Adjustment Surface'!C$8,"",K39)</f>
        <v/>
      </c>
      <c r="K40" s="4" t="str">
        <f>IF(J40="","",IF(J40&lt;'Adjustment Surface'!C$7,EDATE(J$5,COUNT(J$5:J40)),IF(J40='Adjustment Surface'!C$7,'Adjustment Surface'!C$8,'Adjustment Surface'!C$7)))</f>
        <v/>
      </c>
      <c r="L40" s="3" t="str">
        <f t="shared" si="1"/>
        <v/>
      </c>
      <c r="M40" s="5" t="str">
        <f>IF(I40="","",(K40-'Rate &amp; Vol Update'!$C$2)/360)</f>
        <v/>
      </c>
      <c r="N40" s="15" t="str">
        <f>IF(I40="","",IF('Adjustment Surface'!C$3='Data Validation'!$C$2,'Adjustment Surface'!C$4,IF(INDEX(Schedules!$E$3:$E$123,MATCH('Bachelier Model'!J40,Schedules!$B$3:$B$123,0))="",N39,INDEX(Schedules!$E$3:$E$123,MATCH('Bachelier Model'!J40,Schedules!$B$3:$B$123,0)))))</f>
        <v/>
      </c>
      <c r="O40" s="16" t="str">
        <f>IF(I40="","",IF('Adjustment Surface'!C$9='Data Validation'!$D$2,'Adjustment Surface'!C$10,IF(INDEX(Schedules!$H$3:$H$123,MATCH('Bachelier Model'!J40,Schedules!$B$3:$B$123,0))="",O39,INDEX(Schedules!$H$3:$H$123,MATCH('Bachelier Model'!J40,Schedules!$B$3:$B$123,0)))))</f>
        <v/>
      </c>
      <c r="P40" s="16" t="str" cm="1">
        <f t="array" ref="P40">IF(I40="","",FORECAST(J40,INDEX('Rate &amp; Vol Update'!$C$6:$C$127,MATCH(INDEX('Rate &amp; Vol Update'!$B$6:$B$127,MATCH(J40,'Rate &amp; Vol Update'!$B$6:$B$127,1)),'Rate &amp; Vol Update'!$B$6:$B$127,0)+IF('Adjustment Surface'!C$11='Data Validation'!$E$3,-1,0)):INDEX('Rate &amp; Vol Update'!$C$6:$C$127,MATCH(INDEX('Rate &amp; Vol Update'!$B$6:$B$127,MATCH(J40,'Rate &amp; Vol Update'!$B$6:$B$127,1)+1),'Rate &amp; Vol Update'!$B$6:$B$127,0)+IF('Adjustment Surface'!C$11='Data Validation'!$E$3,-1,0)),INDEX('Rate &amp; Vol Update'!$B$6:$B$127,MATCH(J40,'Rate &amp; Vol Update'!$B$6:$B$127,1)):INDEX('Rate &amp; Vol Update'!$B$6:$B$127,MATCH(J40,'Rate &amp; Vol Update'!$B$6:$B$127,1)+1))/100)</f>
        <v/>
      </c>
      <c r="Q40" s="16" t="str" cm="1">
        <f t="array" ref="Q40">IF(I40="","",IF(J40&lt;'Rate &amp; Vol Update'!$C$2,0.001%,(1/((INDEX('Rate &amp; Vol Update'!$E$6:$Z$6,1,MATCH(O40,'Rate &amp; Vol Update'!$E$6:$Z$6,1)+1)-INDEX('Rate &amp; Vol Update'!$E$6:$Z$6,1,MATCH(O40,'Rate &amp; Vol Update'!$E$6:$Z$6,1)))*(INDEX('Rate &amp; Vol Update'!$B$8:$B$127,MATCH(J40,'Rate &amp; Vol Update'!$B$8:$B$127,1)+1)-INDEX('Rate &amp; Vol Update'!$B$8:$B$127,MATCH(J40,'Rate &amp; Vol Update'!$B$8:$B$127,1))))*(INDEX('Rate &amp; Vol Update'!$E$8:$Z$127,MATCH(INDEX('Rate &amp; Vol Update'!$B$8:$B$127,MATCH(J40,'Rate &amp; Vol Update'!$B$8:$B$127,1)),'Rate &amp; Vol Update'!$B$8:$B$127,0),MATCH(INDEX('Rate &amp; Vol Update'!$E$6:$Z$6,1,MATCH(O40,'Rate &amp; Vol Update'!$E$6:$Z$6,1)),'Rate &amp; Vol Update'!$E$6:$Z$6,0))*(INDEX('Rate &amp; Vol Update'!$E$6:$Z$6,1,MATCH(O40,'Rate &amp; Vol Update'!$E$6:$Z$6,1)+1)-O40)*(INDEX('Rate &amp; Vol Update'!$B$8:$B$127,MATCH(J40,'Rate &amp; Vol Update'!$B$8:$B$127,1)+1)-J40)+INDEX('Rate &amp; Vol Update'!$E$8:$Z$127,MATCH(INDEX('Rate &amp; Vol Update'!$B$8:$B$127,MATCH(J40,'Rate &amp; Vol Update'!$B$8:$B$127,1)),'Rate &amp; Vol Update'!$B$8:$B$127,0),MATCH(INDEX('Rate &amp; Vol Update'!$E$6:$Z$6,1,MATCH(O40,'Rate &amp; Vol Update'!$E$6:$Z$6,1)+1),'Rate &amp; Vol Update'!$E$6:$Z$6,0))*(O40-INDEX('Rate &amp; Vol Update'!$E$6:$Z$6,1,MATCH(O40,'Rate &amp; Vol Update'!$E$6:$Z$6,1)))*(INDEX('Rate &amp; Vol Update'!$B$8:$B$127,MATCH(J40,'Rate &amp; Vol Update'!$B$8:$B$127,1)+1)-J40)+INDEX('Rate &amp; Vol Update'!$E$8:$Z$127,MATCH(INDEX('Rate &amp; Vol Update'!$B$8:$B$127,MATCH(J40,'Rate &amp; Vol Update'!$B$8:$B$127,1)+1),'Rate &amp; Vol Update'!$B$8:$B$127,0),MATCH(INDEX('Rate &amp; Vol Update'!$E$6:$Z$6,1,MATCH(O40,'Rate &amp; Vol Update'!$E$6:$Z$6,1)),'Rate &amp; Vol Update'!$E$6:$Z$6,0))*(INDEX('Rate &amp; Vol Update'!$E$6:$Z$6,1,MATCH(O40,'Rate &amp; Vol Update'!$E$6:$Z$6,1)+1)-O40)*(J40-INDEX('Rate &amp; Vol Update'!$B$8:$B$127,MATCH(J40,'Rate &amp; Vol Update'!$B$8:$B$127,1)))+INDEX('Rate &amp; Vol Update'!$E$8:$Z$127,MATCH(INDEX('Rate &amp; Vol Update'!$B$8:$B$127,MATCH(J40,'Rate &amp; Vol Update'!$B$8:$B$127,1)+1),'Rate &amp; Vol Update'!$B$8:$B$127,0),MATCH(INDEX('Rate &amp; Vol Update'!$E$6:$Z$6,1,MATCH(O40,'Rate &amp; Vol Update'!$E$6:$Z$6,1)+1),'Rate &amp; Vol Update'!$E$6:$Z$6,0))*(O40-INDEX('Rate &amp; Vol Update'!$E$6:$Z$6,1,MATCH(O40,'Rate &amp; Vol Update'!$E$6:$Z$6,1)))*(J40-INDEX('Rate &amp; Vol Update'!$B$8:$B$127,MATCH(J40,'Rate &amp; Vol Update'!$B$8:$B$127,1)))))*0.01%))</f>
        <v/>
      </c>
      <c r="R40" s="5" t="str">
        <f>IF(I40="","",1/((1+P40)^((K40-'Rate &amp; Vol Update'!$C$2)/360)))</f>
        <v/>
      </c>
      <c r="T40" s="15" t="str">
        <f>IF(I40="","",IF(J40&lt;'Rate &amp; Vol Update'!$C$2,MAX(0,P40-O40)*(L40/360)*N40,(((IF('Adjustment Surface'!C$2='Data Validation'!$A$2,P40,IF('Adjustment Surface'!C$2='Data Validation'!$A$3,O40,"Unknown Option Type"))-IF('Adjustment Surface'!C$2='Data Validation'!$A$2,O40,IF('Adjustment Surface'!C$2='Data Validation'!$A$3,P40,"Unknown Option Type")))*(NORMDIST((IF('Adjustment Surface'!C$2='Data Validation'!$A$2,P40,IF('Adjustment Surface'!C$2='Data Validation'!$A$3,O40,"Unknown Option Type"))-IF('Adjustment Surface'!C$2='Data Validation'!$A$2,O40,IF('Adjustment Surface'!C$2='Data Validation'!$A$3,P40,"Unknown Option Type")))/(Q40*SQRT(M40)),0,1,TRUE)))+((Q40*SQRT(M40))*(NORMDIST((IF('Adjustment Surface'!C$2='Data Validation'!$A$2,P40,IF('Adjustment Surface'!C$2='Data Validation'!$A$3,O40,"Unknown Option Type"))-IF('Adjustment Surface'!C$2='Data Validation'!$A$2,O40,IF('Adjustment Surface'!C$2='Data Validation'!$A$3,P40,"Unknown Option Type")))/(Q40*SQRT(M40)),0,1,FALSE))))*R40*(L40/360)*N40))</f>
        <v/>
      </c>
      <c r="U40" s="15" t="str">
        <f>IF(I40="","",SUM(T$4:T40))</f>
        <v/>
      </c>
      <c r="W40" s="15" t="str">
        <f>IF(I40="","",IF(J40&lt;'Rate &amp; Vol Update'!$C$2,0,((((((IF('Adjustment Surface'!C$2='Data Validation'!$A$2,P40,IF('Adjustment Surface'!C$2='Data Validation'!$A$3,O40,"Unknown Option Type"))-IF('Adjustment Surface'!C$2='Data Validation'!$A$2,O40,IF('Adjustment Surface'!C$2='Data Validation'!$A$3,P40,"Unknown Option Type")))*(NORMDIST((IF('Adjustment Surface'!C$2='Data Validation'!$A$2,P40,IF('Adjustment Surface'!C$2='Data Validation'!$A$3,O40,"Unknown Option Type"))-IF('Adjustment Surface'!C$2='Data Validation'!$A$2,O40,IF('Adjustment Surface'!C$2='Data Validation'!$A$3,P40,"Unknown Option Type")))/((Q40+0.01%)*SQRT(M40)),0,1,TRUE)))+(((Q40+0.01%)*SQRT(M40))*(NORMDIST((IF('Adjustment Surface'!C$2='Data Validation'!$A$2,P40,IF('Adjustment Surface'!C$2='Data Validation'!$A$3,O40,"Unknown Option Type"))-IF('Adjustment Surface'!C$2='Data Validation'!$A$2,O40,IF('Adjustment Surface'!C$2='Data Validation'!$A$3,P40,"Unknown Option Type")))/((Q40+0.01%)*SQRT(M40)),0,1,FALSE))))*R40*(L40/360))-(T40/N40))*N40)*R40))</f>
        <v/>
      </c>
      <c r="X40" s="15" t="str">
        <f>IF(I40="","",SUM(W$4:W40))</f>
        <v/>
      </c>
      <c r="Y40" s="15"/>
      <c r="Z40" s="20"/>
      <c r="AA40" s="3">
        <v>37</v>
      </c>
      <c r="AB40" s="4">
        <f>IF(AC39=MAX('Adjustment Surface'!$C$14:$F$14),"",AC39)</f>
        <v>47160</v>
      </c>
      <c r="AC40" s="4">
        <f>IF(AB40="","",IF(AB40&lt;EDATE('Adjustment Surface'!$C$6,DATEDIF('Adjustment Surface'!$C$6,MAX('Adjustment Surface'!$C$14:$F$14),"M")),EDATE(AB$5,COUNT(AB$5:AB40)),IF(AB40=EDATE('Adjustment Surface'!$C$6,DATEDIF('Adjustment Surface'!$C$6,MAX('Adjustment Surface'!$C$14:$F$14),"M")),MAX('Adjustment Surface'!$C$14:$F$14),EDATE('Adjustment Surface'!$C$6,DATEDIF('Adjustment Surface'!$C$6,MAX('Adjustment Surface'!$C$14:$F$14),"M")))))</f>
        <v>47188</v>
      </c>
      <c r="AD40" s="3">
        <f t="shared" si="2"/>
        <v>28</v>
      </c>
      <c r="AE40" s="5">
        <f>IF(AA40="","",(AC40-'Rate &amp; Vol Update'!$C$2)/360)</f>
        <v>3.1222222222222222</v>
      </c>
      <c r="AF40" s="15">
        <f>IF(AA40="","",IF('Adjustment Surface'!$C$3='Data Validation'!$C$2,'Adjustment Surface'!$C$4,_xlfn.IFNA(IF(INDEX(Schedules!$E$3:$E$123,MATCH('Bachelier Model'!AB40,Schedules!$B$3:$B$123,0))="",AF39,INDEX(Schedules!$E$3:$E$123,MATCH('Bachelier Model'!AB40,Schedules!$B$3:$B$123,0))),AF39)))</f>
        <v>25000000</v>
      </c>
      <c r="AG40" s="16">
        <f>IF(AA40="","",'Adjustment Surface'!B$15)</f>
        <v>0.03</v>
      </c>
      <c r="AH40" s="16" cm="1">
        <f t="array" ref="AH40">IF(AA40="","",FORECAST(AB40,INDEX('Rate &amp; Vol Update'!$C$6:$C$127,MATCH(INDEX('Rate &amp; Vol Update'!$B$6:$B$127,MATCH(AB40,'Rate &amp; Vol Update'!$B$6:$B$127,1)),'Rate &amp; Vol Update'!$B$6:$B$127,0)+IF('Adjustment Surface'!$C$11='Data Validation'!$E$3,-1,0)):INDEX('Rate &amp; Vol Update'!$C$6:$C$127,MATCH(INDEX('Rate &amp; Vol Update'!$B$6:$B$127,MATCH(AB40,'Rate &amp; Vol Update'!$B$6:$B$127,1)+1),'Rate &amp; Vol Update'!$B$6:$B$127,0)+IF('Adjustment Surface'!$C$11='Data Validation'!$E$3,-1,0)),INDEX('Rate &amp; Vol Update'!$B$6:$B$127,MATCH(AB40,'Rate &amp; Vol Update'!$B$6:$B$127,1)):INDEX('Rate &amp; Vol Update'!$B$6:$B$127,MATCH(AB40,'Rate &amp; Vol Update'!$B$6:$B$127,1)+1))/100)</f>
        <v>3.5252405985159357E-2</v>
      </c>
      <c r="AI40" s="16" cm="1">
        <f t="array" ref="AI40">IF(AA40="","",IF(AB40&lt;'Rate &amp; Vol Update'!$C$2,0.001%,(1/((INDEX('Rate &amp; Vol Update'!$E$6:$Z$6,1,MATCH(AG40,'Rate &amp; Vol Update'!$E$6:$Z$6,1)+1)-INDEX('Rate &amp; Vol Update'!$E$6:$Z$6,1,MATCH(AG40,'Rate &amp; Vol Update'!$E$6:$Z$6,1)))*(INDEX('Rate &amp; Vol Update'!$B$8:$B$127,MATCH(AB40,'Rate &amp; Vol Update'!$B$8:$B$127,1)+1)-INDEX('Rate &amp; Vol Update'!$B$8:$B$127,MATCH(AB40,'Rate &amp; Vol Update'!$B$8:$B$127,1))))*(INDEX('Rate &amp; Vol Update'!$E$8:$Z$127,MATCH(INDEX('Rate &amp; Vol Update'!$B$8:$B$127,MATCH(AB40,'Rate &amp; Vol Update'!$B$8:$B$127,1)),'Rate &amp; Vol Update'!$B$8:$B$127,0),MATCH(INDEX('Rate &amp; Vol Update'!$E$6:$Z$6,1,MATCH(AG40,'Rate &amp; Vol Update'!$E$6:$Z$6,1)),'Rate &amp; Vol Update'!$E$6:$Z$6,0))*(INDEX('Rate &amp; Vol Update'!$E$6:$Z$6,1,MATCH(AG40,'Rate &amp; Vol Update'!$E$6:$Z$6,1)+1)-AG40)*(INDEX('Rate &amp; Vol Update'!$B$8:$B$127,MATCH(AB40,'Rate &amp; Vol Update'!$B$8:$B$127,1)+1)-AB40)+INDEX('Rate &amp; Vol Update'!$E$8:$Z$127,MATCH(INDEX('Rate &amp; Vol Update'!$B$8:$B$127,MATCH(AB40,'Rate &amp; Vol Update'!$B$8:$B$127,1)),'Rate &amp; Vol Update'!$B$8:$B$127,0),MATCH(INDEX('Rate &amp; Vol Update'!$E$6:$Z$6,1,MATCH(AG40,'Rate &amp; Vol Update'!$E$6:$Z$6,1)+1),'Rate &amp; Vol Update'!$E$6:$Z$6,0))*(AG40-INDEX('Rate &amp; Vol Update'!$E$6:$Z$6,1,MATCH(AG40,'Rate &amp; Vol Update'!$E$6:$Z$6,1)))*(INDEX('Rate &amp; Vol Update'!$B$8:$B$127,MATCH(AB40,'Rate &amp; Vol Update'!$B$8:$B$127,1)+1)-AB40)+INDEX('Rate &amp; Vol Update'!$E$8:$Z$127,MATCH(INDEX('Rate &amp; Vol Update'!$B$8:$B$127,MATCH(AB40,'Rate &amp; Vol Update'!$B$8:$B$127,1)+1),'Rate &amp; Vol Update'!$B$8:$B$127,0),MATCH(INDEX('Rate &amp; Vol Update'!$E$6:$Z$6,1,MATCH(AG40,'Rate &amp; Vol Update'!$E$6:$Z$6,1)),'Rate &amp; Vol Update'!$E$6:$Z$6,0))*(INDEX('Rate &amp; Vol Update'!$E$6:$Z$6,1,MATCH(AG40,'Rate &amp; Vol Update'!$E$6:$Z$6,1)+1)-AG40)*(AB40-INDEX('Rate &amp; Vol Update'!$B$8:$B$127,MATCH(AB40,'Rate &amp; Vol Update'!$B$8:$B$127,1)))+INDEX('Rate &amp; Vol Update'!$E$8:$Z$127,MATCH(INDEX('Rate &amp; Vol Update'!$B$8:$B$127,MATCH(AB40,'Rate &amp; Vol Update'!$B$8:$B$127,1)+1),'Rate &amp; Vol Update'!$B$8:$B$127,0),MATCH(INDEX('Rate &amp; Vol Update'!$E$6:$Z$6,1,MATCH(AG40,'Rate &amp; Vol Update'!$E$6:$Z$6,1)+1),'Rate &amp; Vol Update'!$E$6:$Z$6,0))*(AG40-INDEX('Rate &amp; Vol Update'!$E$6:$Z$6,1,MATCH(AG40,'Rate &amp; Vol Update'!$E$6:$Z$6,1)))*(AB40-INDEX('Rate &amp; Vol Update'!$B$8:$B$127,MATCH(AB40,'Rate &amp; Vol Update'!$B$8:$B$127,1)))))*0.01%))</f>
        <v>8.1288109161040435E-3</v>
      </c>
      <c r="AJ40" s="5">
        <f>IF(AA40="","",1/((1+AH40)^((AC40-'Rate &amp; Vol Update'!$C$2)/360)))</f>
        <v>0.89747481159197129</v>
      </c>
      <c r="AL40" s="15">
        <f>IF(AA40="","",IF(AB40&lt;'Rate &amp; Vol Update'!$C$2,MAX(0,AH40-AG40)*(AD40/360)*AF40,(((IF('Adjustment Surface'!$C$2='Data Validation'!$A$2,AH40,IF('Adjustment Surface'!$C$2='Data Validation'!$A$3,AG40,"Unknown Option Type"))-IF('Adjustment Surface'!$C$2='Data Validation'!$A$2,AG40,IF('Adjustment Surface'!$C$2='Data Validation'!$A$3,AH40,"Unknown Option Type")))*(NORMDIST((IF('Adjustment Surface'!$C$2='Data Validation'!$A$2,AH40,IF('Adjustment Surface'!$C$2='Data Validation'!$A$3,AG40,"Unknown Option Type"))-IF('Adjustment Surface'!$C$2='Data Validation'!$A$2,AG40,IF('Adjustment Surface'!$C$2='Data Validation'!$A$3,AH40,"Unknown Option Type")))/(AI40*SQRT(AE40)),0,1,TRUE)))+((AI40*SQRT(AE40))*(NORMDIST((IF('Adjustment Surface'!$C$2='Data Validation'!$A$2,AH40,IF('Adjustment Surface'!$C$2='Data Validation'!$A$3,AG40,"Unknown Option Type"))-IF('Adjustment Surface'!$C$2='Data Validation'!$A$2,AG40,IF('Adjustment Surface'!$C$2='Data Validation'!$A$3,AH40,"Unknown Option Type")))/(AI40*SQRT(AE40)),0,1,FALSE))))*AJ40*(AD40/360)*AF40))</f>
        <v>15243.887885484721</v>
      </c>
      <c r="AM40" s="15">
        <f>IF(AA40="","",SUM(AL$4:AL40))</f>
        <v>426057.5771759433</v>
      </c>
      <c r="AO40" s="15">
        <f>IF(AA40="","",IF(AB40&lt;'Rate &amp; Vol Update'!$C$2,0,((((((IF('Adjustment Surface'!$C$2='Data Validation'!$A$2,AH40,IF('Adjustment Surface'!$C$2='Data Validation'!$A$3,AG40,"Unknown Option Type"))-IF('Adjustment Surface'!$C$2='Data Validation'!$A$2,AG40,IF('Adjustment Surface'!$C$2='Data Validation'!$A$3,AH40,"Unknown Option Type")))*(NORMDIST((IF('Adjustment Surface'!$C$2='Data Validation'!$A$2,AH40,IF('Adjustment Surface'!$C$2='Data Validation'!$A$3,AG40,"Unknown Option Type"))-IF('Adjustment Surface'!$C$2='Data Validation'!$A$2,AG40,IF('Adjustment Surface'!$C$2='Data Validation'!$A$3,AH40,"Unknown Option Type")))/((AI40+0.01%)*SQRT(AE40)),0,1,TRUE)))+(((AI40+0.01%)*SQRT(AE40))*(NORMDIST((IF('Adjustment Surface'!$C$2='Data Validation'!$A$2,AH40,IF('Adjustment Surface'!$C$2='Data Validation'!$A$3,AG40,"Unknown Option Type"))-IF('Adjustment Surface'!$C$2='Data Validation'!$A$2,AG40,IF('Adjustment Surface'!$C$2='Data Validation'!$A$3,AH40,"Unknown Option Type")))/((AI40+0.01%)*SQRT(AE40)),0,1,FALSE))))*AJ40*(AD40/360))-(AL40/AF40))*AF40)*AJ40))</f>
        <v>103.34700117815967</v>
      </c>
      <c r="AP40" s="15">
        <f>IF(AA40="","",SUM(AO$4:AO40))</f>
        <v>3030.6231609795072</v>
      </c>
      <c r="AQ40" s="15"/>
      <c r="AR40" s="20"/>
      <c r="AS40" s="3">
        <v>37</v>
      </c>
      <c r="AT40" s="4">
        <f>IF(AU39=MAX('Adjustment Surface'!$C$14:$F$14),"",AU39)</f>
        <v>47160</v>
      </c>
      <c r="AU40" s="4">
        <f>IF(AT40="","",IF(AT40&lt;EDATE('Adjustment Surface'!$C$6,DATEDIF('Adjustment Surface'!$C$6,MAX('Adjustment Surface'!$C$14:$F$14),"M")),EDATE(AT$5,COUNT(AT$5:AT40)),IF(AT40=EDATE('Adjustment Surface'!$C$6,DATEDIF('Adjustment Surface'!$C$6,MAX('Adjustment Surface'!$C$14:$F$14),"M")),MAX('Adjustment Surface'!$C$14:$F$14),EDATE('Adjustment Surface'!$C$6,DATEDIF('Adjustment Surface'!$C$6,MAX('Adjustment Surface'!$C$14:$F$14),"M")))))</f>
        <v>47188</v>
      </c>
      <c r="AV40" s="3">
        <f t="shared" si="3"/>
        <v>28</v>
      </c>
      <c r="AW40" s="5">
        <f>IF(AS40="","",(AU40-'Rate &amp; Vol Update'!$C$2)/360)</f>
        <v>3.1222222222222222</v>
      </c>
      <c r="AX40" s="15">
        <f>IF(AS40="","",IF('Adjustment Surface'!$C$3='Data Validation'!$C$2,'Adjustment Surface'!$C$4,_xlfn.IFNA(IF(INDEX(Schedules!$E$3:$E$123,MATCH('Bachelier Model'!AT40,Schedules!$B$3:$B$123,0))="",AX39,INDEX(Schedules!$E$3:$E$123,MATCH('Bachelier Model'!AT40,Schedules!$B$3:$B$123,0))),AX39)))</f>
        <v>25000000</v>
      </c>
      <c r="AY40" s="16">
        <f>IF(AS40="","",'Adjustment Surface'!B$16)</f>
        <v>0.04</v>
      </c>
      <c r="AZ40" s="16" cm="1">
        <f t="array" ref="AZ40">IF(AS40="","",FORECAST(AT40,INDEX('Rate &amp; Vol Update'!$C$6:$C$127,MATCH(INDEX('Rate &amp; Vol Update'!$B$6:$B$127,MATCH(AT40,'Rate &amp; Vol Update'!$B$6:$B$127,1)),'Rate &amp; Vol Update'!$B$6:$B$127,0)+IF('Adjustment Surface'!$C$11='Data Validation'!$E$3,-1,0)):INDEX('Rate &amp; Vol Update'!$C$6:$C$127,MATCH(INDEX('Rate &amp; Vol Update'!$B$6:$B$127,MATCH(AT40,'Rate &amp; Vol Update'!$B$6:$B$127,1)+1),'Rate &amp; Vol Update'!$B$6:$B$127,0)+IF('Adjustment Surface'!$C$11='Data Validation'!$E$3,-1,0)),INDEX('Rate &amp; Vol Update'!$B$6:$B$127,MATCH(AT40,'Rate &amp; Vol Update'!$B$6:$B$127,1)):INDEX('Rate &amp; Vol Update'!$B$6:$B$127,MATCH(AT40,'Rate &amp; Vol Update'!$B$6:$B$127,1)+1))/100)</f>
        <v>3.5252405985159357E-2</v>
      </c>
      <c r="BA40" s="16" cm="1">
        <f t="array" ref="BA40">IF(AS40="","",IF(AT40&lt;'Rate &amp; Vol Update'!$C$2,0.001%,(1/((INDEX('Rate &amp; Vol Update'!$E$6:$Z$6,1,MATCH(AY40,'Rate &amp; Vol Update'!$E$6:$Z$6,1)+1)-INDEX('Rate &amp; Vol Update'!$E$6:$Z$6,1,MATCH(AY40,'Rate &amp; Vol Update'!$E$6:$Z$6,1)))*(INDEX('Rate &amp; Vol Update'!$B$8:$B$127,MATCH(AT40,'Rate &amp; Vol Update'!$B$8:$B$127,1)+1)-INDEX('Rate &amp; Vol Update'!$B$8:$B$127,MATCH(AT40,'Rate &amp; Vol Update'!$B$8:$B$127,1))))*(INDEX('Rate &amp; Vol Update'!$E$8:$Z$127,MATCH(INDEX('Rate &amp; Vol Update'!$B$8:$B$127,MATCH(AT40,'Rate &amp; Vol Update'!$B$8:$B$127,1)),'Rate &amp; Vol Update'!$B$8:$B$127,0),MATCH(INDEX('Rate &amp; Vol Update'!$E$6:$Z$6,1,MATCH(AY40,'Rate &amp; Vol Update'!$E$6:$Z$6,1)),'Rate &amp; Vol Update'!$E$6:$Z$6,0))*(INDEX('Rate &amp; Vol Update'!$E$6:$Z$6,1,MATCH(AY40,'Rate &amp; Vol Update'!$E$6:$Z$6,1)+1)-AY40)*(INDEX('Rate &amp; Vol Update'!$B$8:$B$127,MATCH(AT40,'Rate &amp; Vol Update'!$B$8:$B$127,1)+1)-AT40)+INDEX('Rate &amp; Vol Update'!$E$8:$Z$127,MATCH(INDEX('Rate &amp; Vol Update'!$B$8:$B$127,MATCH(AT40,'Rate &amp; Vol Update'!$B$8:$B$127,1)),'Rate &amp; Vol Update'!$B$8:$B$127,0),MATCH(INDEX('Rate &amp; Vol Update'!$E$6:$Z$6,1,MATCH(AY40,'Rate &amp; Vol Update'!$E$6:$Z$6,1)+1),'Rate &amp; Vol Update'!$E$6:$Z$6,0))*(AY40-INDEX('Rate &amp; Vol Update'!$E$6:$Z$6,1,MATCH(AY40,'Rate &amp; Vol Update'!$E$6:$Z$6,1)))*(INDEX('Rate &amp; Vol Update'!$B$8:$B$127,MATCH(AT40,'Rate &amp; Vol Update'!$B$8:$B$127,1)+1)-AT40)+INDEX('Rate &amp; Vol Update'!$E$8:$Z$127,MATCH(INDEX('Rate &amp; Vol Update'!$B$8:$B$127,MATCH(AT40,'Rate &amp; Vol Update'!$B$8:$B$127,1)+1),'Rate &amp; Vol Update'!$B$8:$B$127,0),MATCH(INDEX('Rate &amp; Vol Update'!$E$6:$Z$6,1,MATCH(AY40,'Rate &amp; Vol Update'!$E$6:$Z$6,1)),'Rate &amp; Vol Update'!$E$6:$Z$6,0))*(INDEX('Rate &amp; Vol Update'!$E$6:$Z$6,1,MATCH(AY40,'Rate &amp; Vol Update'!$E$6:$Z$6,1)+1)-AY40)*(AT40-INDEX('Rate &amp; Vol Update'!$B$8:$B$127,MATCH(AT40,'Rate &amp; Vol Update'!$B$8:$B$127,1)))+INDEX('Rate &amp; Vol Update'!$E$8:$Z$127,MATCH(INDEX('Rate &amp; Vol Update'!$B$8:$B$127,MATCH(AT40,'Rate &amp; Vol Update'!$B$8:$B$127,1)+1),'Rate &amp; Vol Update'!$B$8:$B$127,0),MATCH(INDEX('Rate &amp; Vol Update'!$E$6:$Z$6,1,MATCH(AY40,'Rate &amp; Vol Update'!$E$6:$Z$6,1)+1),'Rate &amp; Vol Update'!$E$6:$Z$6,0))*(AY40-INDEX('Rate &amp; Vol Update'!$E$6:$Z$6,1,MATCH(AY40,'Rate &amp; Vol Update'!$E$6:$Z$6,1)))*(AT40-INDEX('Rate &amp; Vol Update'!$B$8:$B$127,MATCH(AT40,'Rate &amp; Vol Update'!$B$8:$B$127,1)))))*0.01%))</f>
        <v>8.597641015525034E-3</v>
      </c>
      <c r="BB40" s="5">
        <f>IF(AS40="","",1/((1+AZ40)^((AU40-'Rate &amp; Vol Update'!$C$2)/360)))</f>
        <v>0.89747481159197129</v>
      </c>
      <c r="BD40" s="15">
        <f>IF(AS40="","",IF(AT40&lt;'Rate &amp; Vol Update'!$C$2,MAX(0,AZ40-AY40)*(AV40/360)*AX40,(((IF('Adjustment Surface'!$C$2='Data Validation'!$A$2,AZ40,IF('Adjustment Surface'!$C$2='Data Validation'!$A$3,AY40,"Unknown Option Type"))-IF('Adjustment Surface'!$C$2='Data Validation'!$A$2,AY40,IF('Adjustment Surface'!$C$2='Data Validation'!$A$3,AZ40,"Unknown Option Type")))*(NORMDIST((IF('Adjustment Surface'!$C$2='Data Validation'!$A$2,AZ40,IF('Adjustment Surface'!$C$2='Data Validation'!$A$3,AY40,"Unknown Option Type"))-IF('Adjustment Surface'!$C$2='Data Validation'!$A$2,AY40,IF('Adjustment Surface'!$C$2='Data Validation'!$A$3,AZ40,"Unknown Option Type")))/(BA40*SQRT(AW40)),0,1,TRUE)))+((BA40*SQRT(AW40))*(NORMDIST((IF('Adjustment Surface'!$C$2='Data Validation'!$A$2,AZ40,IF('Adjustment Surface'!$C$2='Data Validation'!$A$3,AY40,"Unknown Option Type"))-IF('Adjustment Surface'!$C$2='Data Validation'!$A$2,AY40,IF('Adjustment Surface'!$C$2='Data Validation'!$A$3,AZ40,"Unknown Option Type")))/(BA40*SQRT(AW40)),0,1,FALSE))))*BB40*(AV40/360)*AX40))</f>
        <v>6946.2345762966333</v>
      </c>
      <c r="BE40" s="15">
        <f>IF(AS40="","",SUM(BD$4:BD40))</f>
        <v>101292.28619806121</v>
      </c>
      <c r="BG40" s="15">
        <f>IF(AS40="","",IF(AT40&lt;'Rate &amp; Vol Update'!$C$2,0,((((((IF('Adjustment Surface'!$C$2='Data Validation'!$A$2,AZ40,IF('Adjustment Surface'!$C$2='Data Validation'!$A$3,AY40,"Unknown Option Type"))-IF('Adjustment Surface'!$C$2='Data Validation'!$A$2,AY40,IF('Adjustment Surface'!$C$2='Data Validation'!$A$3,AZ40,"Unknown Option Type")))*(NORMDIST((IF('Adjustment Surface'!$C$2='Data Validation'!$A$2,AZ40,IF('Adjustment Surface'!$C$2='Data Validation'!$A$3,AY40,"Unknown Option Type"))-IF('Adjustment Surface'!$C$2='Data Validation'!$A$2,AY40,IF('Adjustment Surface'!$C$2='Data Validation'!$A$3,AZ40,"Unknown Option Type")))/((BA40+0.01%)*SQRT(AW40)),0,1,TRUE)))+(((BA40+0.01%)*SQRT(AW40))*(NORMDIST((IF('Adjustment Surface'!$C$2='Data Validation'!$A$2,AZ40,IF('Adjustment Surface'!$C$2='Data Validation'!$A$3,AY40,"Unknown Option Type"))-IF('Adjustment Surface'!$C$2='Data Validation'!$A$2,AY40,IF('Adjustment Surface'!$C$2='Data Validation'!$A$3,AZ40,"Unknown Option Type")))/((BA40+0.01%)*SQRT(AW40)),0,1,FALSE))))*BB40*(AV40/360))-(BD40/AX40))*AX40)*BB40))</f>
        <v>105.20076655282276</v>
      </c>
      <c r="BH40" s="15">
        <f>IF(AS40="","",SUM(BG$4:BG40))</f>
        <v>2418.9037981121137</v>
      </c>
      <c r="BI40" s="15"/>
      <c r="BJ40" s="20"/>
      <c r="BK40" s="3">
        <v>37</v>
      </c>
      <c r="BL40" s="4">
        <f>IF(BM39=MAX('Adjustment Surface'!$C$14:$F$14),"",BM39)</f>
        <v>47160</v>
      </c>
      <c r="BM40" s="4">
        <f>IF(BL40="","",IF(BL40&lt;EDATE('Adjustment Surface'!$C$6,DATEDIF('Adjustment Surface'!$C$6,MAX('Adjustment Surface'!$C$14:$F$14),"M")),EDATE(BL$5,COUNT(BL$5:BL40)),IF(BL40=EDATE('Adjustment Surface'!$C$6,DATEDIF('Adjustment Surface'!$C$6,MAX('Adjustment Surface'!$C$14:$F$14),"M")),MAX('Adjustment Surface'!$C$14:$F$14),EDATE('Adjustment Surface'!$C$6,DATEDIF('Adjustment Surface'!$C$6,MAX('Adjustment Surface'!$C$14:$F$14),"M")))))</f>
        <v>47188</v>
      </c>
      <c r="BN40" s="3">
        <f t="shared" si="4"/>
        <v>28</v>
      </c>
      <c r="BO40" s="5">
        <f>IF(BK40="","",(BM40-'Rate &amp; Vol Update'!$C$2)/360)</f>
        <v>3.1222222222222222</v>
      </c>
      <c r="BP40" s="15">
        <f>IF(BK40="","",IF('Adjustment Surface'!$C$3='Data Validation'!$C$2,'Adjustment Surface'!$C$4,_xlfn.IFNA(IF(INDEX(Schedules!$E$3:$E$123,MATCH('Bachelier Model'!BL40,Schedules!$B$3:$B$123,0))="",BP39,INDEX(Schedules!$E$3:$E$123,MATCH('Bachelier Model'!BL40,Schedules!$B$3:$B$123,0))),BP39)))</f>
        <v>25000000</v>
      </c>
      <c r="BQ40" s="16">
        <f>IF(BK40="","",'Adjustment Surface'!B$17)</f>
        <v>0.05</v>
      </c>
      <c r="BR40" s="16" cm="1">
        <f t="array" ref="BR40">IF(BK40="","",FORECAST(BL40,INDEX('Rate &amp; Vol Update'!$C$6:$C$127,MATCH(INDEX('Rate &amp; Vol Update'!$B$6:$B$127,MATCH(BL40,'Rate &amp; Vol Update'!$B$6:$B$127,1)),'Rate &amp; Vol Update'!$B$6:$B$127,0)+IF('Adjustment Surface'!$C$11='Data Validation'!$E$3,-1,0)):INDEX('Rate &amp; Vol Update'!$C$6:$C$127,MATCH(INDEX('Rate &amp; Vol Update'!$B$6:$B$127,MATCH(BL40,'Rate &amp; Vol Update'!$B$6:$B$127,1)+1),'Rate &amp; Vol Update'!$B$6:$B$127,0)+IF('Adjustment Surface'!$C$11='Data Validation'!$E$3,-1,0)),INDEX('Rate &amp; Vol Update'!$B$6:$B$127,MATCH(BL40,'Rate &amp; Vol Update'!$B$6:$B$127,1)):INDEX('Rate &amp; Vol Update'!$B$6:$B$127,MATCH(BL40,'Rate &amp; Vol Update'!$B$6:$B$127,1)+1))/100)</f>
        <v>3.5252405985159357E-2</v>
      </c>
      <c r="BS40" s="16" cm="1">
        <f t="array" ref="BS40">IF(BK40="","",IF(BL40&lt;'Rate &amp; Vol Update'!$C$2,0.001%,(1/((INDEX('Rate &amp; Vol Update'!$E$6:$Z$6,1,MATCH(BQ40,'Rate &amp; Vol Update'!$E$6:$Z$6,1)+1)-INDEX('Rate &amp; Vol Update'!$E$6:$Z$6,1,MATCH(BQ40,'Rate &amp; Vol Update'!$E$6:$Z$6,1)))*(INDEX('Rate &amp; Vol Update'!$B$8:$B$127,MATCH(BL40,'Rate &amp; Vol Update'!$B$8:$B$127,1)+1)-INDEX('Rate &amp; Vol Update'!$B$8:$B$127,MATCH(BL40,'Rate &amp; Vol Update'!$B$8:$B$127,1))))*(INDEX('Rate &amp; Vol Update'!$E$8:$Z$127,MATCH(INDEX('Rate &amp; Vol Update'!$B$8:$B$127,MATCH(BL40,'Rate &amp; Vol Update'!$B$8:$B$127,1)),'Rate &amp; Vol Update'!$B$8:$B$127,0),MATCH(INDEX('Rate &amp; Vol Update'!$E$6:$Z$6,1,MATCH(BQ40,'Rate &amp; Vol Update'!$E$6:$Z$6,1)),'Rate &amp; Vol Update'!$E$6:$Z$6,0))*(INDEX('Rate &amp; Vol Update'!$E$6:$Z$6,1,MATCH(BQ40,'Rate &amp; Vol Update'!$E$6:$Z$6,1)+1)-BQ40)*(INDEX('Rate &amp; Vol Update'!$B$8:$B$127,MATCH(BL40,'Rate &amp; Vol Update'!$B$8:$B$127,1)+1)-BL40)+INDEX('Rate &amp; Vol Update'!$E$8:$Z$127,MATCH(INDEX('Rate &amp; Vol Update'!$B$8:$B$127,MATCH(BL40,'Rate &amp; Vol Update'!$B$8:$B$127,1)),'Rate &amp; Vol Update'!$B$8:$B$127,0),MATCH(INDEX('Rate &amp; Vol Update'!$E$6:$Z$6,1,MATCH(BQ40,'Rate &amp; Vol Update'!$E$6:$Z$6,1)+1),'Rate &amp; Vol Update'!$E$6:$Z$6,0))*(BQ40-INDEX('Rate &amp; Vol Update'!$E$6:$Z$6,1,MATCH(BQ40,'Rate &amp; Vol Update'!$E$6:$Z$6,1)))*(INDEX('Rate &amp; Vol Update'!$B$8:$B$127,MATCH(BL40,'Rate &amp; Vol Update'!$B$8:$B$127,1)+1)-BL40)+INDEX('Rate &amp; Vol Update'!$E$8:$Z$127,MATCH(INDEX('Rate &amp; Vol Update'!$B$8:$B$127,MATCH(BL40,'Rate &amp; Vol Update'!$B$8:$B$127,1)+1),'Rate &amp; Vol Update'!$B$8:$B$127,0),MATCH(INDEX('Rate &amp; Vol Update'!$E$6:$Z$6,1,MATCH(BQ40,'Rate &amp; Vol Update'!$E$6:$Z$6,1)),'Rate &amp; Vol Update'!$E$6:$Z$6,0))*(INDEX('Rate &amp; Vol Update'!$E$6:$Z$6,1,MATCH(BQ40,'Rate &amp; Vol Update'!$E$6:$Z$6,1)+1)-BQ40)*(BL40-INDEX('Rate &amp; Vol Update'!$B$8:$B$127,MATCH(BL40,'Rate &amp; Vol Update'!$B$8:$B$127,1)))+INDEX('Rate &amp; Vol Update'!$E$8:$Z$127,MATCH(INDEX('Rate &amp; Vol Update'!$B$8:$B$127,MATCH(BL40,'Rate &amp; Vol Update'!$B$8:$B$127,1)+1),'Rate &amp; Vol Update'!$B$8:$B$127,0),MATCH(INDEX('Rate &amp; Vol Update'!$E$6:$Z$6,1,MATCH(BQ40,'Rate &amp; Vol Update'!$E$6:$Z$6,1)+1),'Rate &amp; Vol Update'!$E$6:$Z$6,0))*(BQ40-INDEX('Rate &amp; Vol Update'!$E$6:$Z$6,1,MATCH(BQ40,'Rate &amp; Vol Update'!$E$6:$Z$6,1)))*(BL40-INDEX('Rate &amp; Vol Update'!$B$8:$B$127,MATCH(BL40,'Rate &amp; Vol Update'!$B$8:$B$127,1)))))*0.01%))</f>
        <v>9.6889086550371508E-3</v>
      </c>
      <c r="BT40" s="5">
        <f>IF(BK40="","",1/((1+BR40)^((BM40-'Rate &amp; Vol Update'!$C$2)/360)))</f>
        <v>0.89747481159197129</v>
      </c>
      <c r="BV40" s="15">
        <f>IF(BK40="","",IF(BL40&lt;'Rate &amp; Vol Update'!$C$2,MAX(0,BR40-BQ40)*(BN40/360)*BP40,(((IF('Adjustment Surface'!$C$2='Data Validation'!$A$2,BR40,IF('Adjustment Surface'!$C$2='Data Validation'!$A$3,BQ40,"Unknown Option Type"))-IF('Adjustment Surface'!$C$2='Data Validation'!$A$2,BQ40,IF('Adjustment Surface'!$C$2='Data Validation'!$A$3,BR40,"Unknown Option Type")))*(NORMDIST((IF('Adjustment Surface'!$C$2='Data Validation'!$A$2,BR40,IF('Adjustment Surface'!$C$2='Data Validation'!$A$3,BQ40,"Unknown Option Type"))-IF('Adjustment Surface'!$C$2='Data Validation'!$A$2,BQ40,IF('Adjustment Surface'!$C$2='Data Validation'!$A$3,BR40,"Unknown Option Type")))/(BS40*SQRT(BO40)),0,1,TRUE)))+((BS40*SQRT(BO40))*(NORMDIST((IF('Adjustment Surface'!$C$2='Data Validation'!$A$2,BR40,IF('Adjustment Surface'!$C$2='Data Validation'!$A$3,BQ40,"Unknown Option Type"))-IF('Adjustment Surface'!$C$2='Data Validation'!$A$2,BQ40,IF('Adjustment Surface'!$C$2='Data Validation'!$A$3,BR40,"Unknown Option Type")))/(BS40*SQRT(BO40)),0,1,FALSE))))*BT40*(BN40/360)*BP40))</f>
        <v>3218.6377746482904</v>
      </c>
      <c r="BW40" s="15">
        <f>IF(BK40="","",SUM(BV$4:BV40))</f>
        <v>36900.204300104808</v>
      </c>
      <c r="BY40" s="15">
        <f>IF(BK40="","",IF(BL40&lt;'Rate &amp; Vol Update'!$C$2,0,((((((IF('Adjustment Surface'!$C$2='Data Validation'!$A$2,BR40,IF('Adjustment Surface'!$C$2='Data Validation'!$A$3,BQ40,"Unknown Option Type"))-IF('Adjustment Surface'!$C$2='Data Validation'!$A$2,BQ40,IF('Adjustment Surface'!$C$2='Data Validation'!$A$3,BR40,"Unknown Option Type")))*(NORMDIST((IF('Adjustment Surface'!$C$2='Data Validation'!$A$2,BR40,IF('Adjustment Surface'!$C$2='Data Validation'!$A$3,BQ40,"Unknown Option Type"))-IF('Adjustment Surface'!$C$2='Data Validation'!$A$2,BQ40,IF('Adjustment Surface'!$C$2='Data Validation'!$A$3,BR40,"Unknown Option Type")))/((BS40+0.01%)*SQRT(BO40)),0,1,TRUE)))+(((BS40+0.01%)*SQRT(BO40))*(NORMDIST((IF('Adjustment Surface'!$C$2='Data Validation'!$A$2,BR40,IF('Adjustment Surface'!$C$2='Data Validation'!$A$3,BQ40,"Unknown Option Type"))-IF('Adjustment Surface'!$C$2='Data Validation'!$A$2,BQ40,IF('Adjustment Surface'!$C$2='Data Validation'!$A$3,BR40,"Unknown Option Type")))/((BS40+0.01%)*SQRT(BO40)),0,1,FALSE))))*BT40*(BN40/360))-(BV40/BP40))*BP40)*BT40))</f>
        <v>76.470979807957221</v>
      </c>
      <c r="BZ40" s="15">
        <f>IF(BK40="","",SUM(BY$4:BY40))</f>
        <v>1214.5510726567829</v>
      </c>
      <c r="CA40" s="15"/>
      <c r="CB40" s="20"/>
      <c r="CC40" s="3">
        <v>37</v>
      </c>
      <c r="CD40" s="4">
        <f>IF(CE39=MAX('Adjustment Surface'!$C$14:$F$14),"",CE39)</f>
        <v>47160</v>
      </c>
      <c r="CE40" s="4">
        <f>IF(CD40="","",IF(CD40&lt;EDATE('Adjustment Surface'!$C$6,DATEDIF('Adjustment Surface'!$C$6,MAX('Adjustment Surface'!$C$14:$F$14),"M")),EDATE(CD$5,COUNT(CD$5:CD40)),IF(CD40=EDATE('Adjustment Surface'!$C$6,DATEDIF('Adjustment Surface'!$C$6,MAX('Adjustment Surface'!$C$14:$F$14),"M")),MAX('Adjustment Surface'!$C$14:$F$14),EDATE('Adjustment Surface'!$C$6,DATEDIF('Adjustment Surface'!$C$6,MAX('Adjustment Surface'!$C$14:$F$14),"M")))))</f>
        <v>47188</v>
      </c>
      <c r="CF40" s="3">
        <f t="shared" si="5"/>
        <v>28</v>
      </c>
      <c r="CG40" s="5">
        <f>IF(CC40="","",(CE40-'Rate &amp; Vol Update'!$C$2)/360)</f>
        <v>3.1222222222222222</v>
      </c>
      <c r="CH40" s="15">
        <f>IF(CC40="","",IF('Adjustment Surface'!$C$3='Data Validation'!$C$2,'Adjustment Surface'!$C$4,_xlfn.IFNA(IF(INDEX(Schedules!$E$3:$E$123,MATCH('Bachelier Model'!CD40,Schedules!$B$3:$B$123,0))="",CH39,INDEX(Schedules!$E$3:$E$123,MATCH('Bachelier Model'!CD40,Schedules!$B$3:$B$123,0))),CH39)))</f>
        <v>25000000</v>
      </c>
      <c r="CI40" s="16">
        <f>IF(CC40="","",'Adjustment Surface'!B$18)</f>
        <v>0.06</v>
      </c>
      <c r="CJ40" s="16" cm="1">
        <f t="array" ref="CJ40">IF(CC40="","",FORECAST(CD40,INDEX('Rate &amp; Vol Update'!$C$6:$C$127,MATCH(INDEX('Rate &amp; Vol Update'!$B$6:$B$127,MATCH(CD40,'Rate &amp; Vol Update'!$B$6:$B$127,1)),'Rate &amp; Vol Update'!$B$6:$B$127,0)+IF('Adjustment Surface'!$C$11='Data Validation'!$E$3,-1,0)):INDEX('Rate &amp; Vol Update'!$C$6:$C$127,MATCH(INDEX('Rate &amp; Vol Update'!$B$6:$B$127,MATCH(CD40,'Rate &amp; Vol Update'!$B$6:$B$127,1)+1),'Rate &amp; Vol Update'!$B$6:$B$127,0)+IF('Adjustment Surface'!$C$11='Data Validation'!$E$3,-1,0)),INDEX('Rate &amp; Vol Update'!$B$6:$B$127,MATCH(CD40,'Rate &amp; Vol Update'!$B$6:$B$127,1)):INDEX('Rate &amp; Vol Update'!$B$6:$B$127,MATCH(CD40,'Rate &amp; Vol Update'!$B$6:$B$127,1)+1))/100)</f>
        <v>3.5252405985159357E-2</v>
      </c>
      <c r="CK40" s="16" cm="1">
        <f t="array" ref="CK40">IF(CC40="","",IF(CD40&lt;'Rate &amp; Vol Update'!$C$2,0.001%,(1/((INDEX('Rate &amp; Vol Update'!$E$6:$Z$6,1,MATCH(CI40,'Rate &amp; Vol Update'!$E$6:$Z$6,1)+1)-INDEX('Rate &amp; Vol Update'!$E$6:$Z$6,1,MATCH(CI40,'Rate &amp; Vol Update'!$E$6:$Z$6,1)))*(INDEX('Rate &amp; Vol Update'!$B$8:$B$127,MATCH(CD40,'Rate &amp; Vol Update'!$B$8:$B$127,1)+1)-INDEX('Rate &amp; Vol Update'!$B$8:$B$127,MATCH(CD40,'Rate &amp; Vol Update'!$B$8:$B$127,1))))*(INDEX('Rate &amp; Vol Update'!$E$8:$Z$127,MATCH(INDEX('Rate &amp; Vol Update'!$B$8:$B$127,MATCH(CD40,'Rate &amp; Vol Update'!$B$8:$B$127,1)),'Rate &amp; Vol Update'!$B$8:$B$127,0),MATCH(INDEX('Rate &amp; Vol Update'!$E$6:$Z$6,1,MATCH(CI40,'Rate &amp; Vol Update'!$E$6:$Z$6,1)),'Rate &amp; Vol Update'!$E$6:$Z$6,0))*(INDEX('Rate &amp; Vol Update'!$E$6:$Z$6,1,MATCH(CI40,'Rate &amp; Vol Update'!$E$6:$Z$6,1)+1)-CI40)*(INDEX('Rate &amp; Vol Update'!$B$8:$B$127,MATCH(CD40,'Rate &amp; Vol Update'!$B$8:$B$127,1)+1)-CD40)+INDEX('Rate &amp; Vol Update'!$E$8:$Z$127,MATCH(INDEX('Rate &amp; Vol Update'!$B$8:$B$127,MATCH(CD40,'Rate &amp; Vol Update'!$B$8:$B$127,1)),'Rate &amp; Vol Update'!$B$8:$B$127,0),MATCH(INDEX('Rate &amp; Vol Update'!$E$6:$Z$6,1,MATCH(CI40,'Rate &amp; Vol Update'!$E$6:$Z$6,1)+1),'Rate &amp; Vol Update'!$E$6:$Z$6,0))*(CI40-INDEX('Rate &amp; Vol Update'!$E$6:$Z$6,1,MATCH(CI40,'Rate &amp; Vol Update'!$E$6:$Z$6,1)))*(INDEX('Rate &amp; Vol Update'!$B$8:$B$127,MATCH(CD40,'Rate &amp; Vol Update'!$B$8:$B$127,1)+1)-CD40)+INDEX('Rate &amp; Vol Update'!$E$8:$Z$127,MATCH(INDEX('Rate &amp; Vol Update'!$B$8:$B$127,MATCH(CD40,'Rate &amp; Vol Update'!$B$8:$B$127,1)+1),'Rate &amp; Vol Update'!$B$8:$B$127,0),MATCH(INDEX('Rate &amp; Vol Update'!$E$6:$Z$6,1,MATCH(CI40,'Rate &amp; Vol Update'!$E$6:$Z$6,1)),'Rate &amp; Vol Update'!$E$6:$Z$6,0))*(INDEX('Rate &amp; Vol Update'!$E$6:$Z$6,1,MATCH(CI40,'Rate &amp; Vol Update'!$E$6:$Z$6,1)+1)-CI40)*(CD40-INDEX('Rate &amp; Vol Update'!$B$8:$B$127,MATCH(CD40,'Rate &amp; Vol Update'!$B$8:$B$127,1)))+INDEX('Rate &amp; Vol Update'!$E$8:$Z$127,MATCH(INDEX('Rate &amp; Vol Update'!$B$8:$B$127,MATCH(CD40,'Rate &amp; Vol Update'!$B$8:$B$127,1)+1),'Rate &amp; Vol Update'!$B$8:$B$127,0),MATCH(INDEX('Rate &amp; Vol Update'!$E$6:$Z$6,1,MATCH(CI40,'Rate &amp; Vol Update'!$E$6:$Z$6,1)+1),'Rate &amp; Vol Update'!$E$6:$Z$6,0))*(CI40-INDEX('Rate &amp; Vol Update'!$E$6:$Z$6,1,MATCH(CI40,'Rate &amp; Vol Update'!$E$6:$Z$6,1)))*(CD40-INDEX('Rate &amp; Vol Update'!$B$8:$B$127,MATCH(CD40,'Rate &amp; Vol Update'!$B$8:$B$127,1)))))*0.01%))</f>
        <v>1.1054668260024573E-2</v>
      </c>
      <c r="CL40" s="5">
        <f>IF(CC40="","",1/((1+CJ40)^((CE40-'Rate &amp; Vol Update'!$C$2)/360)))</f>
        <v>0.89747481159197129</v>
      </c>
      <c r="CN40" s="15">
        <f>IF(CC40="","",IF(CD40&lt;'Rate &amp; Vol Update'!$C$2,MAX(0,CJ40-CI40)*(CF40/360)*CH40,(((IF('Adjustment Surface'!$C$2='Data Validation'!$A$2,CJ40,IF('Adjustment Surface'!$C$2='Data Validation'!$A$3,CI40,"Unknown Option Type"))-IF('Adjustment Surface'!$C$2='Data Validation'!$A$2,CI40,IF('Adjustment Surface'!$C$2='Data Validation'!$A$3,CJ40,"Unknown Option Type")))*(NORMDIST((IF('Adjustment Surface'!$C$2='Data Validation'!$A$2,CJ40,IF('Adjustment Surface'!$C$2='Data Validation'!$A$3,CI40,"Unknown Option Type"))-IF('Adjustment Surface'!$C$2='Data Validation'!$A$2,CI40,IF('Adjustment Surface'!$C$2='Data Validation'!$A$3,CJ40,"Unknown Option Type")))/(CK40*SQRT(CG40)),0,1,TRUE)))+((CK40*SQRT(CG40))*(NORMDIST((IF('Adjustment Surface'!$C$2='Data Validation'!$A$2,CJ40,IF('Adjustment Surface'!$C$2='Data Validation'!$A$3,CI40,"Unknown Option Type"))-IF('Adjustment Surface'!$C$2='Data Validation'!$A$2,CI40,IF('Adjustment Surface'!$C$2='Data Validation'!$A$3,CJ40,"Unknown Option Type")))/(CK40*SQRT(CG40)),0,1,FALSE))))*CL40*(CF40/360)*CH40))</f>
        <v>1664.2683070361206</v>
      </c>
      <c r="CO40" s="15">
        <f>IF(CC40="","",SUM(CN$4:CN40))</f>
        <v>18031.094873490656</v>
      </c>
      <c r="CQ40" s="15">
        <f>IF(CC40="","",IF(CD40&lt;'Rate &amp; Vol Update'!$C$2,0,((((((IF('Adjustment Surface'!$C$2='Data Validation'!$A$2,CJ40,IF('Adjustment Surface'!$C$2='Data Validation'!$A$3,CI40,"Unknown Option Type"))-IF('Adjustment Surface'!$C$2='Data Validation'!$A$2,CI40,IF('Adjustment Surface'!$C$2='Data Validation'!$A$3,CJ40,"Unknown Option Type")))*(NORMDIST((IF('Adjustment Surface'!$C$2='Data Validation'!$A$2,CJ40,IF('Adjustment Surface'!$C$2='Data Validation'!$A$3,CI40,"Unknown Option Type"))-IF('Adjustment Surface'!$C$2='Data Validation'!$A$2,CI40,IF('Adjustment Surface'!$C$2='Data Validation'!$A$3,CJ40,"Unknown Option Type")))/((CK40+0.01%)*SQRT(CG40)),0,1,TRUE)))+(((CK40+0.01%)*SQRT(CG40))*(NORMDIST((IF('Adjustment Surface'!$C$2='Data Validation'!$A$2,CJ40,IF('Adjustment Surface'!$C$2='Data Validation'!$A$3,CI40,"Unknown Option Type"))-IF('Adjustment Surface'!$C$2='Data Validation'!$A$2,CI40,IF('Adjustment Surface'!$C$2='Data Validation'!$A$3,CJ40,"Unknown Option Type")))/((CK40+0.01%)*SQRT(CG40)),0,1,FALSE))))*CL40*(CF40/360))-(CN40/CH40))*CH40)*CL40))</f>
        <v>49.837987555283625</v>
      </c>
      <c r="CR40" s="15">
        <f>IF(CC40="","",SUM(CQ$4:CQ40))</f>
        <v>681.68527238229512</v>
      </c>
    </row>
    <row r="41" spans="7:96" x14ac:dyDescent="0.25">
      <c r="G41" s="28"/>
      <c r="J41" s="4" t="str">
        <f>IF(K40='Adjustment Surface'!C$8,"",K40)</f>
        <v/>
      </c>
      <c r="K41" s="4" t="str">
        <f>IF(J41="","",IF(J41&lt;'Adjustment Surface'!C$7,EDATE(J$5,COUNT(J$5:J41)),IF(J41='Adjustment Surface'!C$7,'Adjustment Surface'!C$8,'Adjustment Surface'!C$7)))</f>
        <v/>
      </c>
      <c r="L41" s="3" t="str">
        <f t="shared" si="1"/>
        <v/>
      </c>
      <c r="M41" s="5" t="str">
        <f>IF(I41="","",(K41-'Rate &amp; Vol Update'!$C$2)/360)</f>
        <v/>
      </c>
      <c r="N41" s="15" t="str">
        <f>IF(I41="","",IF('Adjustment Surface'!C$3='Data Validation'!$C$2,'Adjustment Surface'!C$4,IF(INDEX(Schedules!$E$3:$E$123,MATCH('Bachelier Model'!J41,Schedules!$B$3:$B$123,0))="",N40,INDEX(Schedules!$E$3:$E$123,MATCH('Bachelier Model'!J41,Schedules!$B$3:$B$123,0)))))</f>
        <v/>
      </c>
      <c r="O41" s="16" t="str">
        <f>IF(I41="","",IF('Adjustment Surface'!C$9='Data Validation'!$D$2,'Adjustment Surface'!C$10,IF(INDEX(Schedules!$H$3:$H$123,MATCH('Bachelier Model'!J41,Schedules!$B$3:$B$123,0))="",O40,INDEX(Schedules!$H$3:$H$123,MATCH('Bachelier Model'!J41,Schedules!$B$3:$B$123,0)))))</f>
        <v/>
      </c>
      <c r="P41" s="16" t="str" cm="1">
        <f t="array" ref="P41">IF(I41="","",FORECAST(J41,INDEX('Rate &amp; Vol Update'!$C$6:$C$127,MATCH(INDEX('Rate &amp; Vol Update'!$B$6:$B$127,MATCH(J41,'Rate &amp; Vol Update'!$B$6:$B$127,1)),'Rate &amp; Vol Update'!$B$6:$B$127,0)+IF('Adjustment Surface'!C$11='Data Validation'!$E$3,-1,0)):INDEX('Rate &amp; Vol Update'!$C$6:$C$127,MATCH(INDEX('Rate &amp; Vol Update'!$B$6:$B$127,MATCH(J41,'Rate &amp; Vol Update'!$B$6:$B$127,1)+1),'Rate &amp; Vol Update'!$B$6:$B$127,0)+IF('Adjustment Surface'!C$11='Data Validation'!$E$3,-1,0)),INDEX('Rate &amp; Vol Update'!$B$6:$B$127,MATCH(J41,'Rate &amp; Vol Update'!$B$6:$B$127,1)):INDEX('Rate &amp; Vol Update'!$B$6:$B$127,MATCH(J41,'Rate &amp; Vol Update'!$B$6:$B$127,1)+1))/100)</f>
        <v/>
      </c>
      <c r="Q41" s="16" t="str" cm="1">
        <f t="array" ref="Q41">IF(I41="","",IF(J41&lt;'Rate &amp; Vol Update'!$C$2,0.001%,(1/((INDEX('Rate &amp; Vol Update'!$E$6:$Z$6,1,MATCH(O41,'Rate &amp; Vol Update'!$E$6:$Z$6,1)+1)-INDEX('Rate &amp; Vol Update'!$E$6:$Z$6,1,MATCH(O41,'Rate &amp; Vol Update'!$E$6:$Z$6,1)))*(INDEX('Rate &amp; Vol Update'!$B$8:$B$127,MATCH(J41,'Rate &amp; Vol Update'!$B$8:$B$127,1)+1)-INDEX('Rate &amp; Vol Update'!$B$8:$B$127,MATCH(J41,'Rate &amp; Vol Update'!$B$8:$B$127,1))))*(INDEX('Rate &amp; Vol Update'!$E$8:$Z$127,MATCH(INDEX('Rate &amp; Vol Update'!$B$8:$B$127,MATCH(J41,'Rate &amp; Vol Update'!$B$8:$B$127,1)),'Rate &amp; Vol Update'!$B$8:$B$127,0),MATCH(INDEX('Rate &amp; Vol Update'!$E$6:$Z$6,1,MATCH(O41,'Rate &amp; Vol Update'!$E$6:$Z$6,1)),'Rate &amp; Vol Update'!$E$6:$Z$6,0))*(INDEX('Rate &amp; Vol Update'!$E$6:$Z$6,1,MATCH(O41,'Rate &amp; Vol Update'!$E$6:$Z$6,1)+1)-O41)*(INDEX('Rate &amp; Vol Update'!$B$8:$B$127,MATCH(J41,'Rate &amp; Vol Update'!$B$8:$B$127,1)+1)-J41)+INDEX('Rate &amp; Vol Update'!$E$8:$Z$127,MATCH(INDEX('Rate &amp; Vol Update'!$B$8:$B$127,MATCH(J41,'Rate &amp; Vol Update'!$B$8:$B$127,1)),'Rate &amp; Vol Update'!$B$8:$B$127,0),MATCH(INDEX('Rate &amp; Vol Update'!$E$6:$Z$6,1,MATCH(O41,'Rate &amp; Vol Update'!$E$6:$Z$6,1)+1),'Rate &amp; Vol Update'!$E$6:$Z$6,0))*(O41-INDEX('Rate &amp; Vol Update'!$E$6:$Z$6,1,MATCH(O41,'Rate &amp; Vol Update'!$E$6:$Z$6,1)))*(INDEX('Rate &amp; Vol Update'!$B$8:$B$127,MATCH(J41,'Rate &amp; Vol Update'!$B$8:$B$127,1)+1)-J41)+INDEX('Rate &amp; Vol Update'!$E$8:$Z$127,MATCH(INDEX('Rate &amp; Vol Update'!$B$8:$B$127,MATCH(J41,'Rate &amp; Vol Update'!$B$8:$B$127,1)+1),'Rate &amp; Vol Update'!$B$8:$B$127,0),MATCH(INDEX('Rate &amp; Vol Update'!$E$6:$Z$6,1,MATCH(O41,'Rate &amp; Vol Update'!$E$6:$Z$6,1)),'Rate &amp; Vol Update'!$E$6:$Z$6,0))*(INDEX('Rate &amp; Vol Update'!$E$6:$Z$6,1,MATCH(O41,'Rate &amp; Vol Update'!$E$6:$Z$6,1)+1)-O41)*(J41-INDEX('Rate &amp; Vol Update'!$B$8:$B$127,MATCH(J41,'Rate &amp; Vol Update'!$B$8:$B$127,1)))+INDEX('Rate &amp; Vol Update'!$E$8:$Z$127,MATCH(INDEX('Rate &amp; Vol Update'!$B$8:$B$127,MATCH(J41,'Rate &amp; Vol Update'!$B$8:$B$127,1)+1),'Rate &amp; Vol Update'!$B$8:$B$127,0),MATCH(INDEX('Rate &amp; Vol Update'!$E$6:$Z$6,1,MATCH(O41,'Rate &amp; Vol Update'!$E$6:$Z$6,1)+1),'Rate &amp; Vol Update'!$E$6:$Z$6,0))*(O41-INDEX('Rate &amp; Vol Update'!$E$6:$Z$6,1,MATCH(O41,'Rate &amp; Vol Update'!$E$6:$Z$6,1)))*(J41-INDEX('Rate &amp; Vol Update'!$B$8:$B$127,MATCH(J41,'Rate &amp; Vol Update'!$B$8:$B$127,1)))))*0.01%))</f>
        <v/>
      </c>
      <c r="R41" s="5" t="str">
        <f>IF(I41="","",1/((1+P41)^((K41-'Rate &amp; Vol Update'!$C$2)/360)))</f>
        <v/>
      </c>
      <c r="T41" s="15" t="str">
        <f>IF(I41="","",IF(J41&lt;'Rate &amp; Vol Update'!$C$2,MAX(0,P41-O41)*(L41/360)*N41,(((IF('Adjustment Surface'!C$2='Data Validation'!$A$2,P41,IF('Adjustment Surface'!C$2='Data Validation'!$A$3,O41,"Unknown Option Type"))-IF('Adjustment Surface'!C$2='Data Validation'!$A$2,O41,IF('Adjustment Surface'!C$2='Data Validation'!$A$3,P41,"Unknown Option Type")))*(NORMDIST((IF('Adjustment Surface'!C$2='Data Validation'!$A$2,P41,IF('Adjustment Surface'!C$2='Data Validation'!$A$3,O41,"Unknown Option Type"))-IF('Adjustment Surface'!C$2='Data Validation'!$A$2,O41,IF('Adjustment Surface'!C$2='Data Validation'!$A$3,P41,"Unknown Option Type")))/(Q41*SQRT(M41)),0,1,TRUE)))+((Q41*SQRT(M41))*(NORMDIST((IF('Adjustment Surface'!C$2='Data Validation'!$A$2,P41,IF('Adjustment Surface'!C$2='Data Validation'!$A$3,O41,"Unknown Option Type"))-IF('Adjustment Surface'!C$2='Data Validation'!$A$2,O41,IF('Adjustment Surface'!C$2='Data Validation'!$A$3,P41,"Unknown Option Type")))/(Q41*SQRT(M41)),0,1,FALSE))))*R41*(L41/360)*N41))</f>
        <v/>
      </c>
      <c r="U41" s="15" t="str">
        <f>IF(I41="","",SUM(T$4:T41))</f>
        <v/>
      </c>
      <c r="W41" s="15" t="str">
        <f>IF(I41="","",IF(J41&lt;'Rate &amp; Vol Update'!$C$2,0,((((((IF('Adjustment Surface'!C$2='Data Validation'!$A$2,P41,IF('Adjustment Surface'!C$2='Data Validation'!$A$3,O41,"Unknown Option Type"))-IF('Adjustment Surface'!C$2='Data Validation'!$A$2,O41,IF('Adjustment Surface'!C$2='Data Validation'!$A$3,P41,"Unknown Option Type")))*(NORMDIST((IF('Adjustment Surface'!C$2='Data Validation'!$A$2,P41,IF('Adjustment Surface'!C$2='Data Validation'!$A$3,O41,"Unknown Option Type"))-IF('Adjustment Surface'!C$2='Data Validation'!$A$2,O41,IF('Adjustment Surface'!C$2='Data Validation'!$A$3,P41,"Unknown Option Type")))/((Q41+0.01%)*SQRT(M41)),0,1,TRUE)))+(((Q41+0.01%)*SQRT(M41))*(NORMDIST((IF('Adjustment Surface'!C$2='Data Validation'!$A$2,P41,IF('Adjustment Surface'!C$2='Data Validation'!$A$3,O41,"Unknown Option Type"))-IF('Adjustment Surface'!C$2='Data Validation'!$A$2,O41,IF('Adjustment Surface'!C$2='Data Validation'!$A$3,P41,"Unknown Option Type")))/((Q41+0.01%)*SQRT(M41)),0,1,FALSE))))*R41*(L41/360))-(T41/N41))*N41)*R41))</f>
        <v/>
      </c>
      <c r="X41" s="15" t="str">
        <f>IF(I41="","",SUM(W$4:W41))</f>
        <v/>
      </c>
      <c r="Y41" s="15"/>
      <c r="Z41" s="20"/>
      <c r="AA41" s="3">
        <v>38</v>
      </c>
      <c r="AB41" s="4">
        <f>IF(AC40=MAX('Adjustment Surface'!$C$14:$F$14),"",AC40)</f>
        <v>47188</v>
      </c>
      <c r="AC41" s="4">
        <f>IF(AB41="","",IF(AB41&lt;EDATE('Adjustment Surface'!$C$6,DATEDIF('Adjustment Surface'!$C$6,MAX('Adjustment Surface'!$C$14:$F$14),"M")),EDATE(AB$5,COUNT(AB$5:AB41)),IF(AB41=EDATE('Adjustment Surface'!$C$6,DATEDIF('Adjustment Surface'!$C$6,MAX('Adjustment Surface'!$C$14:$F$14),"M")),MAX('Adjustment Surface'!$C$14:$F$14),EDATE('Adjustment Surface'!$C$6,DATEDIF('Adjustment Surface'!$C$6,MAX('Adjustment Surface'!$C$14:$F$14),"M")))))</f>
        <v>47219</v>
      </c>
      <c r="AD41" s="3">
        <f t="shared" si="2"/>
        <v>31</v>
      </c>
      <c r="AE41" s="5">
        <f>IF(AA41="","",(AC41-'Rate &amp; Vol Update'!$C$2)/360)</f>
        <v>3.2083333333333335</v>
      </c>
      <c r="AF41" s="15">
        <f>IF(AA41="","",IF('Adjustment Surface'!$C$3='Data Validation'!$C$2,'Adjustment Surface'!$C$4,_xlfn.IFNA(IF(INDEX(Schedules!$E$3:$E$123,MATCH('Bachelier Model'!AB41,Schedules!$B$3:$B$123,0))="",AF40,INDEX(Schedules!$E$3:$E$123,MATCH('Bachelier Model'!AB41,Schedules!$B$3:$B$123,0))),AF40)))</f>
        <v>25000000</v>
      </c>
      <c r="AG41" s="16">
        <f>IF(AA41="","",'Adjustment Surface'!B$15)</f>
        <v>0.03</v>
      </c>
      <c r="AH41" s="16" cm="1">
        <f t="array" ref="AH41">IF(AA41="","",FORECAST(AB41,INDEX('Rate &amp; Vol Update'!$C$6:$C$127,MATCH(INDEX('Rate &amp; Vol Update'!$B$6:$B$127,MATCH(AB41,'Rate &amp; Vol Update'!$B$6:$B$127,1)),'Rate &amp; Vol Update'!$B$6:$B$127,0)+IF('Adjustment Surface'!$C$11='Data Validation'!$E$3,-1,0)):INDEX('Rate &amp; Vol Update'!$C$6:$C$127,MATCH(INDEX('Rate &amp; Vol Update'!$B$6:$B$127,MATCH(AB41,'Rate &amp; Vol Update'!$B$6:$B$127,1)+1),'Rate &amp; Vol Update'!$B$6:$B$127,0)+IF('Adjustment Surface'!$C$11='Data Validation'!$E$3,-1,0)),INDEX('Rate &amp; Vol Update'!$B$6:$B$127,MATCH(AB41,'Rate &amp; Vol Update'!$B$6:$B$127,1)):INDEX('Rate &amp; Vol Update'!$B$6:$B$127,MATCH(AB41,'Rate &amp; Vol Update'!$B$6:$B$127,1)+1))/100)</f>
        <v>3.5323707362780704E-2</v>
      </c>
      <c r="AI41" s="16" cm="1">
        <f t="array" ref="AI41">IF(AA41="","",IF(AB41&lt;'Rate &amp; Vol Update'!$C$2,0.001%,(1/((INDEX('Rate &amp; Vol Update'!$E$6:$Z$6,1,MATCH(AG41,'Rate &amp; Vol Update'!$E$6:$Z$6,1)+1)-INDEX('Rate &amp; Vol Update'!$E$6:$Z$6,1,MATCH(AG41,'Rate &amp; Vol Update'!$E$6:$Z$6,1)))*(INDEX('Rate &amp; Vol Update'!$B$8:$B$127,MATCH(AB41,'Rate &amp; Vol Update'!$B$8:$B$127,1)+1)-INDEX('Rate &amp; Vol Update'!$B$8:$B$127,MATCH(AB41,'Rate &amp; Vol Update'!$B$8:$B$127,1))))*(INDEX('Rate &amp; Vol Update'!$E$8:$Z$127,MATCH(INDEX('Rate &amp; Vol Update'!$B$8:$B$127,MATCH(AB41,'Rate &amp; Vol Update'!$B$8:$B$127,1)),'Rate &amp; Vol Update'!$B$8:$B$127,0),MATCH(INDEX('Rate &amp; Vol Update'!$E$6:$Z$6,1,MATCH(AG41,'Rate &amp; Vol Update'!$E$6:$Z$6,1)),'Rate &amp; Vol Update'!$E$6:$Z$6,0))*(INDEX('Rate &amp; Vol Update'!$E$6:$Z$6,1,MATCH(AG41,'Rate &amp; Vol Update'!$E$6:$Z$6,1)+1)-AG41)*(INDEX('Rate &amp; Vol Update'!$B$8:$B$127,MATCH(AB41,'Rate &amp; Vol Update'!$B$8:$B$127,1)+1)-AB41)+INDEX('Rate &amp; Vol Update'!$E$8:$Z$127,MATCH(INDEX('Rate &amp; Vol Update'!$B$8:$B$127,MATCH(AB41,'Rate &amp; Vol Update'!$B$8:$B$127,1)),'Rate &amp; Vol Update'!$B$8:$B$127,0),MATCH(INDEX('Rate &amp; Vol Update'!$E$6:$Z$6,1,MATCH(AG41,'Rate &amp; Vol Update'!$E$6:$Z$6,1)+1),'Rate &amp; Vol Update'!$E$6:$Z$6,0))*(AG41-INDEX('Rate &amp; Vol Update'!$E$6:$Z$6,1,MATCH(AG41,'Rate &amp; Vol Update'!$E$6:$Z$6,1)))*(INDEX('Rate &amp; Vol Update'!$B$8:$B$127,MATCH(AB41,'Rate &amp; Vol Update'!$B$8:$B$127,1)+1)-AB41)+INDEX('Rate &amp; Vol Update'!$E$8:$Z$127,MATCH(INDEX('Rate &amp; Vol Update'!$B$8:$B$127,MATCH(AB41,'Rate &amp; Vol Update'!$B$8:$B$127,1)+1),'Rate &amp; Vol Update'!$B$8:$B$127,0),MATCH(INDEX('Rate &amp; Vol Update'!$E$6:$Z$6,1,MATCH(AG41,'Rate &amp; Vol Update'!$E$6:$Z$6,1)),'Rate &amp; Vol Update'!$E$6:$Z$6,0))*(INDEX('Rate &amp; Vol Update'!$E$6:$Z$6,1,MATCH(AG41,'Rate &amp; Vol Update'!$E$6:$Z$6,1)+1)-AG41)*(AB41-INDEX('Rate &amp; Vol Update'!$B$8:$B$127,MATCH(AB41,'Rate &amp; Vol Update'!$B$8:$B$127,1)))+INDEX('Rate &amp; Vol Update'!$E$8:$Z$127,MATCH(INDEX('Rate &amp; Vol Update'!$B$8:$B$127,MATCH(AB41,'Rate &amp; Vol Update'!$B$8:$B$127,1)+1),'Rate &amp; Vol Update'!$B$8:$B$127,0),MATCH(INDEX('Rate &amp; Vol Update'!$E$6:$Z$6,1,MATCH(AG41,'Rate &amp; Vol Update'!$E$6:$Z$6,1)+1),'Rate &amp; Vol Update'!$E$6:$Z$6,0))*(AG41-INDEX('Rate &amp; Vol Update'!$E$6:$Z$6,1,MATCH(AG41,'Rate &amp; Vol Update'!$E$6:$Z$6,1)))*(AB41-INDEX('Rate &amp; Vol Update'!$B$8:$B$127,MATCH(AB41,'Rate &amp; Vol Update'!$B$8:$B$127,1)))))*0.01%))</f>
        <v>8.1287996854542358E-3</v>
      </c>
      <c r="AJ41" s="5">
        <f>IF(AA41="","",1/((1+AH41)^((AC41-'Rate &amp; Vol Update'!$C$2)/360)))</f>
        <v>0.89460363219057526</v>
      </c>
      <c r="AL41" s="15">
        <f>IF(AA41="","",IF(AB41&lt;'Rate &amp; Vol Update'!$C$2,MAX(0,AH41-AG41)*(AD41/360)*AF41,(((IF('Adjustment Surface'!$C$2='Data Validation'!$A$2,AH41,IF('Adjustment Surface'!$C$2='Data Validation'!$A$3,AG41,"Unknown Option Type"))-IF('Adjustment Surface'!$C$2='Data Validation'!$A$2,AG41,IF('Adjustment Surface'!$C$2='Data Validation'!$A$3,AH41,"Unknown Option Type")))*(NORMDIST((IF('Adjustment Surface'!$C$2='Data Validation'!$A$2,AH41,IF('Adjustment Surface'!$C$2='Data Validation'!$A$3,AG41,"Unknown Option Type"))-IF('Adjustment Surface'!$C$2='Data Validation'!$A$2,AG41,IF('Adjustment Surface'!$C$2='Data Validation'!$A$3,AH41,"Unknown Option Type")))/(AI41*SQRT(AE41)),0,1,TRUE)))+((AI41*SQRT(AE41))*(NORMDIST((IF('Adjustment Surface'!$C$2='Data Validation'!$A$2,AH41,IF('Adjustment Surface'!$C$2='Data Validation'!$A$3,AG41,"Unknown Option Type"))-IF('Adjustment Surface'!$C$2='Data Validation'!$A$2,AG41,IF('Adjustment Surface'!$C$2='Data Validation'!$A$3,AH41,"Unknown Option Type")))/(AI41*SQRT(AE41)),0,1,FALSE))))*AJ41*(AD41/360)*AF41))</f>
        <v>17052.780066459414</v>
      </c>
      <c r="AM41" s="15">
        <f>IF(AA41="","",SUM(AL$4:AL41))</f>
        <v>443110.35724240274</v>
      </c>
      <c r="AO41" s="15">
        <f>IF(AA41="","",IF(AB41&lt;'Rate &amp; Vol Update'!$C$2,0,((((((IF('Adjustment Surface'!$C$2='Data Validation'!$A$2,AH41,IF('Adjustment Surface'!$C$2='Data Validation'!$A$3,AG41,"Unknown Option Type"))-IF('Adjustment Surface'!$C$2='Data Validation'!$A$2,AG41,IF('Adjustment Surface'!$C$2='Data Validation'!$A$3,AH41,"Unknown Option Type")))*(NORMDIST((IF('Adjustment Surface'!$C$2='Data Validation'!$A$2,AH41,IF('Adjustment Surface'!$C$2='Data Validation'!$A$3,AG41,"Unknown Option Type"))-IF('Adjustment Surface'!$C$2='Data Validation'!$A$2,AG41,IF('Adjustment Surface'!$C$2='Data Validation'!$A$3,AH41,"Unknown Option Type")))/((AI41+0.01%)*SQRT(AE41)),0,1,TRUE)))+(((AI41+0.01%)*SQRT(AE41))*(NORMDIST((IF('Adjustment Surface'!$C$2='Data Validation'!$A$2,AH41,IF('Adjustment Surface'!$C$2='Data Validation'!$A$3,AG41,"Unknown Option Type"))-IF('Adjustment Surface'!$C$2='Data Validation'!$A$2,AG41,IF('Adjustment Surface'!$C$2='Data Validation'!$A$3,AH41,"Unknown Option Type")))/((AI41+0.01%)*SQRT(AE41)),0,1,FALSE))))*AJ41*(AD41/360))-(AL41/AF41))*AF41)*AJ41))</f>
        <v>115.24787807407573</v>
      </c>
      <c r="AP41" s="15">
        <f>IF(AA41="","",SUM(AO$4:AO41))</f>
        <v>3145.871039053583</v>
      </c>
      <c r="AQ41" s="15"/>
      <c r="AR41" s="20"/>
      <c r="AS41" s="3">
        <v>38</v>
      </c>
      <c r="AT41" s="4">
        <f>IF(AU40=MAX('Adjustment Surface'!$C$14:$F$14),"",AU40)</f>
        <v>47188</v>
      </c>
      <c r="AU41" s="4">
        <f>IF(AT41="","",IF(AT41&lt;EDATE('Adjustment Surface'!$C$6,DATEDIF('Adjustment Surface'!$C$6,MAX('Adjustment Surface'!$C$14:$F$14),"M")),EDATE(AT$5,COUNT(AT$5:AT41)),IF(AT41=EDATE('Adjustment Surface'!$C$6,DATEDIF('Adjustment Surface'!$C$6,MAX('Adjustment Surface'!$C$14:$F$14),"M")),MAX('Adjustment Surface'!$C$14:$F$14),EDATE('Adjustment Surface'!$C$6,DATEDIF('Adjustment Surface'!$C$6,MAX('Adjustment Surface'!$C$14:$F$14),"M")))))</f>
        <v>47219</v>
      </c>
      <c r="AV41" s="3">
        <f t="shared" si="3"/>
        <v>31</v>
      </c>
      <c r="AW41" s="5">
        <f>IF(AS41="","",(AU41-'Rate &amp; Vol Update'!$C$2)/360)</f>
        <v>3.2083333333333335</v>
      </c>
      <c r="AX41" s="15">
        <f>IF(AS41="","",IF('Adjustment Surface'!$C$3='Data Validation'!$C$2,'Adjustment Surface'!$C$4,_xlfn.IFNA(IF(INDEX(Schedules!$E$3:$E$123,MATCH('Bachelier Model'!AT41,Schedules!$B$3:$B$123,0))="",AX40,INDEX(Schedules!$E$3:$E$123,MATCH('Bachelier Model'!AT41,Schedules!$B$3:$B$123,0))),AX40)))</f>
        <v>25000000</v>
      </c>
      <c r="AY41" s="16">
        <f>IF(AS41="","",'Adjustment Surface'!B$16)</f>
        <v>0.04</v>
      </c>
      <c r="AZ41" s="16" cm="1">
        <f t="array" ref="AZ41">IF(AS41="","",FORECAST(AT41,INDEX('Rate &amp; Vol Update'!$C$6:$C$127,MATCH(INDEX('Rate &amp; Vol Update'!$B$6:$B$127,MATCH(AT41,'Rate &amp; Vol Update'!$B$6:$B$127,1)),'Rate &amp; Vol Update'!$B$6:$B$127,0)+IF('Adjustment Surface'!$C$11='Data Validation'!$E$3,-1,0)):INDEX('Rate &amp; Vol Update'!$C$6:$C$127,MATCH(INDEX('Rate &amp; Vol Update'!$B$6:$B$127,MATCH(AT41,'Rate &amp; Vol Update'!$B$6:$B$127,1)+1),'Rate &amp; Vol Update'!$B$6:$B$127,0)+IF('Adjustment Surface'!$C$11='Data Validation'!$E$3,-1,0)),INDEX('Rate &amp; Vol Update'!$B$6:$B$127,MATCH(AT41,'Rate &amp; Vol Update'!$B$6:$B$127,1)):INDEX('Rate &amp; Vol Update'!$B$6:$B$127,MATCH(AT41,'Rate &amp; Vol Update'!$B$6:$B$127,1)+1))/100)</f>
        <v>3.5323707362780704E-2</v>
      </c>
      <c r="BA41" s="16" cm="1">
        <f t="array" ref="BA41">IF(AS41="","",IF(AT41&lt;'Rate &amp; Vol Update'!$C$2,0.001%,(1/((INDEX('Rate &amp; Vol Update'!$E$6:$Z$6,1,MATCH(AY41,'Rate &amp; Vol Update'!$E$6:$Z$6,1)+1)-INDEX('Rate &amp; Vol Update'!$E$6:$Z$6,1,MATCH(AY41,'Rate &amp; Vol Update'!$E$6:$Z$6,1)))*(INDEX('Rate &amp; Vol Update'!$B$8:$B$127,MATCH(AT41,'Rate &amp; Vol Update'!$B$8:$B$127,1)+1)-INDEX('Rate &amp; Vol Update'!$B$8:$B$127,MATCH(AT41,'Rate &amp; Vol Update'!$B$8:$B$127,1))))*(INDEX('Rate &amp; Vol Update'!$E$8:$Z$127,MATCH(INDEX('Rate &amp; Vol Update'!$B$8:$B$127,MATCH(AT41,'Rate &amp; Vol Update'!$B$8:$B$127,1)),'Rate &amp; Vol Update'!$B$8:$B$127,0),MATCH(INDEX('Rate &amp; Vol Update'!$E$6:$Z$6,1,MATCH(AY41,'Rate &amp; Vol Update'!$E$6:$Z$6,1)),'Rate &amp; Vol Update'!$E$6:$Z$6,0))*(INDEX('Rate &amp; Vol Update'!$E$6:$Z$6,1,MATCH(AY41,'Rate &amp; Vol Update'!$E$6:$Z$6,1)+1)-AY41)*(INDEX('Rate &amp; Vol Update'!$B$8:$B$127,MATCH(AT41,'Rate &amp; Vol Update'!$B$8:$B$127,1)+1)-AT41)+INDEX('Rate &amp; Vol Update'!$E$8:$Z$127,MATCH(INDEX('Rate &amp; Vol Update'!$B$8:$B$127,MATCH(AT41,'Rate &amp; Vol Update'!$B$8:$B$127,1)),'Rate &amp; Vol Update'!$B$8:$B$127,0),MATCH(INDEX('Rate &amp; Vol Update'!$E$6:$Z$6,1,MATCH(AY41,'Rate &amp; Vol Update'!$E$6:$Z$6,1)+1),'Rate &amp; Vol Update'!$E$6:$Z$6,0))*(AY41-INDEX('Rate &amp; Vol Update'!$E$6:$Z$6,1,MATCH(AY41,'Rate &amp; Vol Update'!$E$6:$Z$6,1)))*(INDEX('Rate &amp; Vol Update'!$B$8:$B$127,MATCH(AT41,'Rate &amp; Vol Update'!$B$8:$B$127,1)+1)-AT41)+INDEX('Rate &amp; Vol Update'!$E$8:$Z$127,MATCH(INDEX('Rate &amp; Vol Update'!$B$8:$B$127,MATCH(AT41,'Rate &amp; Vol Update'!$B$8:$B$127,1)+1),'Rate &amp; Vol Update'!$B$8:$B$127,0),MATCH(INDEX('Rate &amp; Vol Update'!$E$6:$Z$6,1,MATCH(AY41,'Rate &amp; Vol Update'!$E$6:$Z$6,1)),'Rate &amp; Vol Update'!$E$6:$Z$6,0))*(INDEX('Rate &amp; Vol Update'!$E$6:$Z$6,1,MATCH(AY41,'Rate &amp; Vol Update'!$E$6:$Z$6,1)+1)-AY41)*(AT41-INDEX('Rate &amp; Vol Update'!$B$8:$B$127,MATCH(AT41,'Rate &amp; Vol Update'!$B$8:$B$127,1)))+INDEX('Rate &amp; Vol Update'!$E$8:$Z$127,MATCH(INDEX('Rate &amp; Vol Update'!$B$8:$B$127,MATCH(AT41,'Rate &amp; Vol Update'!$B$8:$B$127,1)+1),'Rate &amp; Vol Update'!$B$8:$B$127,0),MATCH(INDEX('Rate &amp; Vol Update'!$E$6:$Z$6,1,MATCH(AY41,'Rate &amp; Vol Update'!$E$6:$Z$6,1)+1),'Rate &amp; Vol Update'!$E$6:$Z$6,0))*(AY41-INDEX('Rate &amp; Vol Update'!$E$6:$Z$6,1,MATCH(AY41,'Rate &amp; Vol Update'!$E$6:$Z$6,1)))*(AT41-INDEX('Rate &amp; Vol Update'!$B$8:$B$127,MATCH(AT41,'Rate &amp; Vol Update'!$B$8:$B$127,1)))))*0.01%))</f>
        <v>8.5972379792443928E-3</v>
      </c>
      <c r="BB41" s="5">
        <f>IF(AS41="","",1/((1+AZ41)^((AU41-'Rate &amp; Vol Update'!$C$2)/360)))</f>
        <v>0.89460363219057526</v>
      </c>
      <c r="BD41" s="15">
        <f>IF(AS41="","",IF(AT41&lt;'Rate &amp; Vol Update'!$C$2,MAX(0,AZ41-AY41)*(AV41/360)*AX41,(((IF('Adjustment Surface'!$C$2='Data Validation'!$A$2,AZ41,IF('Adjustment Surface'!$C$2='Data Validation'!$A$3,AY41,"Unknown Option Type"))-IF('Adjustment Surface'!$C$2='Data Validation'!$A$2,AY41,IF('Adjustment Surface'!$C$2='Data Validation'!$A$3,AZ41,"Unknown Option Type")))*(NORMDIST((IF('Adjustment Surface'!$C$2='Data Validation'!$A$2,AZ41,IF('Adjustment Surface'!$C$2='Data Validation'!$A$3,AY41,"Unknown Option Type"))-IF('Adjustment Surface'!$C$2='Data Validation'!$A$2,AY41,IF('Adjustment Surface'!$C$2='Data Validation'!$A$3,AZ41,"Unknown Option Type")))/(BA41*SQRT(AW41)),0,1,TRUE)))+((BA41*SQRT(AW41))*(NORMDIST((IF('Adjustment Surface'!$C$2='Data Validation'!$A$2,AZ41,IF('Adjustment Surface'!$C$2='Data Validation'!$A$3,AY41,"Unknown Option Type"))-IF('Adjustment Surface'!$C$2='Data Validation'!$A$2,AY41,IF('Adjustment Surface'!$C$2='Data Validation'!$A$3,AZ41,"Unknown Option Type")))/(BA41*SQRT(AW41)),0,1,FALSE))))*BB41*(AV41/360)*AX41))</f>
        <v>7869.8427690953549</v>
      </c>
      <c r="BE41" s="15">
        <f>IF(AS41="","",SUM(BD$4:BD41))</f>
        <v>109162.12896715656</v>
      </c>
      <c r="BG41" s="15">
        <f>IF(AS41="","",IF(AT41&lt;'Rate &amp; Vol Update'!$C$2,0,((((((IF('Adjustment Surface'!$C$2='Data Validation'!$A$2,AZ41,IF('Adjustment Surface'!$C$2='Data Validation'!$A$3,AY41,"Unknown Option Type"))-IF('Adjustment Surface'!$C$2='Data Validation'!$A$2,AY41,IF('Adjustment Surface'!$C$2='Data Validation'!$A$3,AZ41,"Unknown Option Type")))*(NORMDIST((IF('Adjustment Surface'!$C$2='Data Validation'!$A$2,AZ41,IF('Adjustment Surface'!$C$2='Data Validation'!$A$3,AY41,"Unknown Option Type"))-IF('Adjustment Surface'!$C$2='Data Validation'!$A$2,AY41,IF('Adjustment Surface'!$C$2='Data Validation'!$A$3,AZ41,"Unknown Option Type")))/((BA41+0.01%)*SQRT(AW41)),0,1,TRUE)))+(((BA41+0.01%)*SQRT(AW41))*(NORMDIST((IF('Adjustment Surface'!$C$2='Data Validation'!$A$2,AZ41,IF('Adjustment Surface'!$C$2='Data Validation'!$A$3,AY41,"Unknown Option Type"))-IF('Adjustment Surface'!$C$2='Data Validation'!$A$2,AY41,IF('Adjustment Surface'!$C$2='Data Validation'!$A$3,AZ41,"Unknown Option Type")))/((BA41+0.01%)*SQRT(AW41)),0,1,FALSE))))*BB41*(AV41/360))-(BD41/AX41))*AX41)*BB41))</f>
        <v>117.62947169104838</v>
      </c>
      <c r="BH41" s="15">
        <f>IF(AS41="","",SUM(BG$4:BG41))</f>
        <v>2536.5332698031621</v>
      </c>
      <c r="BI41" s="15"/>
      <c r="BJ41" s="20"/>
      <c r="BK41" s="3">
        <v>38</v>
      </c>
      <c r="BL41" s="4">
        <f>IF(BM40=MAX('Adjustment Surface'!$C$14:$F$14),"",BM40)</f>
        <v>47188</v>
      </c>
      <c r="BM41" s="4">
        <f>IF(BL41="","",IF(BL41&lt;EDATE('Adjustment Surface'!$C$6,DATEDIF('Adjustment Surface'!$C$6,MAX('Adjustment Surface'!$C$14:$F$14),"M")),EDATE(BL$5,COUNT(BL$5:BL41)),IF(BL41=EDATE('Adjustment Surface'!$C$6,DATEDIF('Adjustment Surface'!$C$6,MAX('Adjustment Surface'!$C$14:$F$14),"M")),MAX('Adjustment Surface'!$C$14:$F$14),EDATE('Adjustment Surface'!$C$6,DATEDIF('Adjustment Surface'!$C$6,MAX('Adjustment Surface'!$C$14:$F$14),"M")))))</f>
        <v>47219</v>
      </c>
      <c r="BN41" s="3">
        <f t="shared" si="4"/>
        <v>31</v>
      </c>
      <c r="BO41" s="5">
        <f>IF(BK41="","",(BM41-'Rate &amp; Vol Update'!$C$2)/360)</f>
        <v>3.2083333333333335</v>
      </c>
      <c r="BP41" s="15">
        <f>IF(BK41="","",IF('Adjustment Surface'!$C$3='Data Validation'!$C$2,'Adjustment Surface'!$C$4,_xlfn.IFNA(IF(INDEX(Schedules!$E$3:$E$123,MATCH('Bachelier Model'!BL41,Schedules!$B$3:$B$123,0))="",BP40,INDEX(Schedules!$E$3:$E$123,MATCH('Bachelier Model'!BL41,Schedules!$B$3:$B$123,0))),BP40)))</f>
        <v>25000000</v>
      </c>
      <c r="BQ41" s="16">
        <f>IF(BK41="","",'Adjustment Surface'!B$17)</f>
        <v>0.05</v>
      </c>
      <c r="BR41" s="16" cm="1">
        <f t="array" ref="BR41">IF(BK41="","",FORECAST(BL41,INDEX('Rate &amp; Vol Update'!$C$6:$C$127,MATCH(INDEX('Rate &amp; Vol Update'!$B$6:$B$127,MATCH(BL41,'Rate &amp; Vol Update'!$B$6:$B$127,1)),'Rate &amp; Vol Update'!$B$6:$B$127,0)+IF('Adjustment Surface'!$C$11='Data Validation'!$E$3,-1,0)):INDEX('Rate &amp; Vol Update'!$C$6:$C$127,MATCH(INDEX('Rate &amp; Vol Update'!$B$6:$B$127,MATCH(BL41,'Rate &amp; Vol Update'!$B$6:$B$127,1)+1),'Rate &amp; Vol Update'!$B$6:$B$127,0)+IF('Adjustment Surface'!$C$11='Data Validation'!$E$3,-1,0)),INDEX('Rate &amp; Vol Update'!$B$6:$B$127,MATCH(BL41,'Rate &amp; Vol Update'!$B$6:$B$127,1)):INDEX('Rate &amp; Vol Update'!$B$6:$B$127,MATCH(BL41,'Rate &amp; Vol Update'!$B$6:$B$127,1)+1))/100)</f>
        <v>3.5323707362780704E-2</v>
      </c>
      <c r="BS41" s="16" cm="1">
        <f t="array" ref="BS41">IF(BK41="","",IF(BL41&lt;'Rate &amp; Vol Update'!$C$2,0.001%,(1/((INDEX('Rate &amp; Vol Update'!$E$6:$Z$6,1,MATCH(BQ41,'Rate &amp; Vol Update'!$E$6:$Z$6,1)+1)-INDEX('Rate &amp; Vol Update'!$E$6:$Z$6,1,MATCH(BQ41,'Rate &amp; Vol Update'!$E$6:$Z$6,1)))*(INDEX('Rate &amp; Vol Update'!$B$8:$B$127,MATCH(BL41,'Rate &amp; Vol Update'!$B$8:$B$127,1)+1)-INDEX('Rate &amp; Vol Update'!$B$8:$B$127,MATCH(BL41,'Rate &amp; Vol Update'!$B$8:$B$127,1))))*(INDEX('Rate &amp; Vol Update'!$E$8:$Z$127,MATCH(INDEX('Rate &amp; Vol Update'!$B$8:$B$127,MATCH(BL41,'Rate &amp; Vol Update'!$B$8:$B$127,1)),'Rate &amp; Vol Update'!$B$8:$B$127,0),MATCH(INDEX('Rate &amp; Vol Update'!$E$6:$Z$6,1,MATCH(BQ41,'Rate &amp; Vol Update'!$E$6:$Z$6,1)),'Rate &amp; Vol Update'!$E$6:$Z$6,0))*(INDEX('Rate &amp; Vol Update'!$E$6:$Z$6,1,MATCH(BQ41,'Rate &amp; Vol Update'!$E$6:$Z$6,1)+1)-BQ41)*(INDEX('Rate &amp; Vol Update'!$B$8:$B$127,MATCH(BL41,'Rate &amp; Vol Update'!$B$8:$B$127,1)+1)-BL41)+INDEX('Rate &amp; Vol Update'!$E$8:$Z$127,MATCH(INDEX('Rate &amp; Vol Update'!$B$8:$B$127,MATCH(BL41,'Rate &amp; Vol Update'!$B$8:$B$127,1)),'Rate &amp; Vol Update'!$B$8:$B$127,0),MATCH(INDEX('Rate &amp; Vol Update'!$E$6:$Z$6,1,MATCH(BQ41,'Rate &amp; Vol Update'!$E$6:$Z$6,1)+1),'Rate &amp; Vol Update'!$E$6:$Z$6,0))*(BQ41-INDEX('Rate &amp; Vol Update'!$E$6:$Z$6,1,MATCH(BQ41,'Rate &amp; Vol Update'!$E$6:$Z$6,1)))*(INDEX('Rate &amp; Vol Update'!$B$8:$B$127,MATCH(BL41,'Rate &amp; Vol Update'!$B$8:$B$127,1)+1)-BL41)+INDEX('Rate &amp; Vol Update'!$E$8:$Z$127,MATCH(INDEX('Rate &amp; Vol Update'!$B$8:$B$127,MATCH(BL41,'Rate &amp; Vol Update'!$B$8:$B$127,1)+1),'Rate &amp; Vol Update'!$B$8:$B$127,0),MATCH(INDEX('Rate &amp; Vol Update'!$E$6:$Z$6,1,MATCH(BQ41,'Rate &amp; Vol Update'!$E$6:$Z$6,1)),'Rate &amp; Vol Update'!$E$6:$Z$6,0))*(INDEX('Rate &amp; Vol Update'!$E$6:$Z$6,1,MATCH(BQ41,'Rate &amp; Vol Update'!$E$6:$Z$6,1)+1)-BQ41)*(BL41-INDEX('Rate &amp; Vol Update'!$B$8:$B$127,MATCH(BL41,'Rate &amp; Vol Update'!$B$8:$B$127,1)))+INDEX('Rate &amp; Vol Update'!$E$8:$Z$127,MATCH(INDEX('Rate &amp; Vol Update'!$B$8:$B$127,MATCH(BL41,'Rate &amp; Vol Update'!$B$8:$B$127,1)+1),'Rate &amp; Vol Update'!$B$8:$B$127,0),MATCH(INDEX('Rate &amp; Vol Update'!$E$6:$Z$6,1,MATCH(BQ41,'Rate &amp; Vol Update'!$E$6:$Z$6,1)+1),'Rate &amp; Vol Update'!$E$6:$Z$6,0))*(BQ41-INDEX('Rate &amp; Vol Update'!$E$6:$Z$6,1,MATCH(BQ41,'Rate &amp; Vol Update'!$E$6:$Z$6,1)))*(BL41-INDEX('Rate &amp; Vol Update'!$B$8:$B$127,MATCH(BL41,'Rate &amp; Vol Update'!$B$8:$B$127,1)))))*0.01%))</f>
        <v>9.6883088496253125E-3</v>
      </c>
      <c r="BT41" s="5">
        <f>IF(BK41="","",1/((1+BR41)^((BM41-'Rate &amp; Vol Update'!$C$2)/360)))</f>
        <v>0.89460363219057526</v>
      </c>
      <c r="BV41" s="15">
        <f>IF(BK41="","",IF(BL41&lt;'Rate &amp; Vol Update'!$C$2,MAX(0,BR41-BQ41)*(BN41/360)*BP41,(((IF('Adjustment Surface'!$C$2='Data Validation'!$A$2,BR41,IF('Adjustment Surface'!$C$2='Data Validation'!$A$3,BQ41,"Unknown Option Type"))-IF('Adjustment Surface'!$C$2='Data Validation'!$A$2,BQ41,IF('Adjustment Surface'!$C$2='Data Validation'!$A$3,BR41,"Unknown Option Type")))*(NORMDIST((IF('Adjustment Surface'!$C$2='Data Validation'!$A$2,BR41,IF('Adjustment Surface'!$C$2='Data Validation'!$A$3,BQ41,"Unknown Option Type"))-IF('Adjustment Surface'!$C$2='Data Validation'!$A$2,BQ41,IF('Adjustment Surface'!$C$2='Data Validation'!$A$3,BR41,"Unknown Option Type")))/(BS41*SQRT(BO41)),0,1,TRUE)))+((BS41*SQRT(BO41))*(NORMDIST((IF('Adjustment Surface'!$C$2='Data Validation'!$A$2,BR41,IF('Adjustment Surface'!$C$2='Data Validation'!$A$3,BQ41,"Unknown Option Type"))-IF('Adjustment Surface'!$C$2='Data Validation'!$A$2,BQ41,IF('Adjustment Surface'!$C$2='Data Validation'!$A$3,BR41,"Unknown Option Type")))/(BS41*SQRT(BO41)),0,1,FALSE))))*BT41*(BN41/360)*BP41))</f>
        <v>3703.681855362438</v>
      </c>
      <c r="BW41" s="15">
        <f>IF(BK41="","",SUM(BV$4:BV41))</f>
        <v>40603.886155467248</v>
      </c>
      <c r="BY41" s="15">
        <f>IF(BK41="","",IF(BL41&lt;'Rate &amp; Vol Update'!$C$2,0,((((((IF('Adjustment Surface'!$C$2='Data Validation'!$A$2,BR41,IF('Adjustment Surface'!$C$2='Data Validation'!$A$3,BQ41,"Unknown Option Type"))-IF('Adjustment Surface'!$C$2='Data Validation'!$A$2,BQ41,IF('Adjustment Surface'!$C$2='Data Validation'!$A$3,BR41,"Unknown Option Type")))*(NORMDIST((IF('Adjustment Surface'!$C$2='Data Validation'!$A$2,BR41,IF('Adjustment Surface'!$C$2='Data Validation'!$A$3,BQ41,"Unknown Option Type"))-IF('Adjustment Surface'!$C$2='Data Validation'!$A$2,BQ41,IF('Adjustment Surface'!$C$2='Data Validation'!$A$3,BR41,"Unknown Option Type")))/((BS41+0.01%)*SQRT(BO41)),0,1,TRUE)))+(((BS41+0.01%)*SQRT(BO41))*(NORMDIST((IF('Adjustment Surface'!$C$2='Data Validation'!$A$2,BR41,IF('Adjustment Surface'!$C$2='Data Validation'!$A$3,BQ41,"Unknown Option Type"))-IF('Adjustment Surface'!$C$2='Data Validation'!$A$2,BQ41,IF('Adjustment Surface'!$C$2='Data Validation'!$A$3,BR41,"Unknown Option Type")))/((BS41+0.01%)*SQRT(BO41)),0,1,FALSE))))*BT41*(BN41/360))-(BV41/BP41))*BP41)*BT41))</f>
        <v>86.413909664951419</v>
      </c>
      <c r="BZ41" s="15">
        <f>IF(BK41="","",SUM(BY$4:BY41))</f>
        <v>1300.9649823217344</v>
      </c>
      <c r="CA41" s="15"/>
      <c r="CB41" s="20"/>
      <c r="CC41" s="3">
        <v>38</v>
      </c>
      <c r="CD41" s="4">
        <f>IF(CE40=MAX('Adjustment Surface'!$C$14:$F$14),"",CE40)</f>
        <v>47188</v>
      </c>
      <c r="CE41" s="4">
        <f>IF(CD41="","",IF(CD41&lt;EDATE('Adjustment Surface'!$C$6,DATEDIF('Adjustment Surface'!$C$6,MAX('Adjustment Surface'!$C$14:$F$14),"M")),EDATE(CD$5,COUNT(CD$5:CD41)),IF(CD41=EDATE('Adjustment Surface'!$C$6,DATEDIF('Adjustment Surface'!$C$6,MAX('Adjustment Surface'!$C$14:$F$14),"M")),MAX('Adjustment Surface'!$C$14:$F$14),EDATE('Adjustment Surface'!$C$6,DATEDIF('Adjustment Surface'!$C$6,MAX('Adjustment Surface'!$C$14:$F$14),"M")))))</f>
        <v>47219</v>
      </c>
      <c r="CF41" s="3">
        <f t="shared" si="5"/>
        <v>31</v>
      </c>
      <c r="CG41" s="5">
        <f>IF(CC41="","",(CE41-'Rate &amp; Vol Update'!$C$2)/360)</f>
        <v>3.2083333333333335</v>
      </c>
      <c r="CH41" s="15">
        <f>IF(CC41="","",IF('Adjustment Surface'!$C$3='Data Validation'!$C$2,'Adjustment Surface'!$C$4,_xlfn.IFNA(IF(INDEX(Schedules!$E$3:$E$123,MATCH('Bachelier Model'!CD41,Schedules!$B$3:$B$123,0))="",CH40,INDEX(Schedules!$E$3:$E$123,MATCH('Bachelier Model'!CD41,Schedules!$B$3:$B$123,0))),CH40)))</f>
        <v>25000000</v>
      </c>
      <c r="CI41" s="16">
        <f>IF(CC41="","",'Adjustment Surface'!B$18)</f>
        <v>0.06</v>
      </c>
      <c r="CJ41" s="16" cm="1">
        <f t="array" ref="CJ41">IF(CC41="","",FORECAST(CD41,INDEX('Rate &amp; Vol Update'!$C$6:$C$127,MATCH(INDEX('Rate &amp; Vol Update'!$B$6:$B$127,MATCH(CD41,'Rate &amp; Vol Update'!$B$6:$B$127,1)),'Rate &amp; Vol Update'!$B$6:$B$127,0)+IF('Adjustment Surface'!$C$11='Data Validation'!$E$3,-1,0)):INDEX('Rate &amp; Vol Update'!$C$6:$C$127,MATCH(INDEX('Rate &amp; Vol Update'!$B$6:$B$127,MATCH(CD41,'Rate &amp; Vol Update'!$B$6:$B$127,1)+1),'Rate &amp; Vol Update'!$B$6:$B$127,0)+IF('Adjustment Surface'!$C$11='Data Validation'!$E$3,-1,0)),INDEX('Rate &amp; Vol Update'!$B$6:$B$127,MATCH(CD41,'Rate &amp; Vol Update'!$B$6:$B$127,1)):INDEX('Rate &amp; Vol Update'!$B$6:$B$127,MATCH(CD41,'Rate &amp; Vol Update'!$B$6:$B$127,1)+1))/100)</f>
        <v>3.5323707362780704E-2</v>
      </c>
      <c r="CK41" s="16" cm="1">
        <f t="array" ref="CK41">IF(CC41="","",IF(CD41&lt;'Rate &amp; Vol Update'!$C$2,0.001%,(1/((INDEX('Rate &amp; Vol Update'!$E$6:$Z$6,1,MATCH(CI41,'Rate &amp; Vol Update'!$E$6:$Z$6,1)+1)-INDEX('Rate &amp; Vol Update'!$E$6:$Z$6,1,MATCH(CI41,'Rate &amp; Vol Update'!$E$6:$Z$6,1)))*(INDEX('Rate &amp; Vol Update'!$B$8:$B$127,MATCH(CD41,'Rate &amp; Vol Update'!$B$8:$B$127,1)+1)-INDEX('Rate &amp; Vol Update'!$B$8:$B$127,MATCH(CD41,'Rate &amp; Vol Update'!$B$8:$B$127,1))))*(INDEX('Rate &amp; Vol Update'!$E$8:$Z$127,MATCH(INDEX('Rate &amp; Vol Update'!$B$8:$B$127,MATCH(CD41,'Rate &amp; Vol Update'!$B$8:$B$127,1)),'Rate &amp; Vol Update'!$B$8:$B$127,0),MATCH(INDEX('Rate &amp; Vol Update'!$E$6:$Z$6,1,MATCH(CI41,'Rate &amp; Vol Update'!$E$6:$Z$6,1)),'Rate &amp; Vol Update'!$E$6:$Z$6,0))*(INDEX('Rate &amp; Vol Update'!$E$6:$Z$6,1,MATCH(CI41,'Rate &amp; Vol Update'!$E$6:$Z$6,1)+1)-CI41)*(INDEX('Rate &amp; Vol Update'!$B$8:$B$127,MATCH(CD41,'Rate &amp; Vol Update'!$B$8:$B$127,1)+1)-CD41)+INDEX('Rate &amp; Vol Update'!$E$8:$Z$127,MATCH(INDEX('Rate &amp; Vol Update'!$B$8:$B$127,MATCH(CD41,'Rate &amp; Vol Update'!$B$8:$B$127,1)),'Rate &amp; Vol Update'!$B$8:$B$127,0),MATCH(INDEX('Rate &amp; Vol Update'!$E$6:$Z$6,1,MATCH(CI41,'Rate &amp; Vol Update'!$E$6:$Z$6,1)+1),'Rate &amp; Vol Update'!$E$6:$Z$6,0))*(CI41-INDEX('Rate &amp; Vol Update'!$E$6:$Z$6,1,MATCH(CI41,'Rate &amp; Vol Update'!$E$6:$Z$6,1)))*(INDEX('Rate &amp; Vol Update'!$B$8:$B$127,MATCH(CD41,'Rate &amp; Vol Update'!$B$8:$B$127,1)+1)-CD41)+INDEX('Rate &amp; Vol Update'!$E$8:$Z$127,MATCH(INDEX('Rate &amp; Vol Update'!$B$8:$B$127,MATCH(CD41,'Rate &amp; Vol Update'!$B$8:$B$127,1)+1),'Rate &amp; Vol Update'!$B$8:$B$127,0),MATCH(INDEX('Rate &amp; Vol Update'!$E$6:$Z$6,1,MATCH(CI41,'Rate &amp; Vol Update'!$E$6:$Z$6,1)),'Rate &amp; Vol Update'!$E$6:$Z$6,0))*(INDEX('Rate &amp; Vol Update'!$E$6:$Z$6,1,MATCH(CI41,'Rate &amp; Vol Update'!$E$6:$Z$6,1)+1)-CI41)*(CD41-INDEX('Rate &amp; Vol Update'!$B$8:$B$127,MATCH(CD41,'Rate &amp; Vol Update'!$B$8:$B$127,1)))+INDEX('Rate &amp; Vol Update'!$E$8:$Z$127,MATCH(INDEX('Rate &amp; Vol Update'!$B$8:$B$127,MATCH(CD41,'Rate &amp; Vol Update'!$B$8:$B$127,1)+1),'Rate &amp; Vol Update'!$B$8:$B$127,0),MATCH(INDEX('Rate &amp; Vol Update'!$E$6:$Z$6,1,MATCH(CI41,'Rate &amp; Vol Update'!$E$6:$Z$6,1)+1),'Rate &amp; Vol Update'!$E$6:$Z$6,0))*(CI41-INDEX('Rate &amp; Vol Update'!$E$6:$Z$6,1,MATCH(CI41,'Rate &amp; Vol Update'!$E$6:$Z$6,1)))*(CD41-INDEX('Rate &amp; Vol Update'!$B$8:$B$127,MATCH(CD41,'Rate &amp; Vol Update'!$B$8:$B$127,1)))))*0.01%))</f>
        <v>1.1054007359628843E-2</v>
      </c>
      <c r="CL41" s="5">
        <f>IF(CC41="","",1/((1+CJ41)^((CE41-'Rate &amp; Vol Update'!$C$2)/360)))</f>
        <v>0.89460363219057526</v>
      </c>
      <c r="CN41" s="15">
        <f>IF(CC41="","",IF(CD41&lt;'Rate &amp; Vol Update'!$C$2,MAX(0,CJ41-CI41)*(CF41/360)*CH41,(((IF('Adjustment Surface'!$C$2='Data Validation'!$A$2,CJ41,IF('Adjustment Surface'!$C$2='Data Validation'!$A$3,CI41,"Unknown Option Type"))-IF('Adjustment Surface'!$C$2='Data Validation'!$A$2,CI41,IF('Adjustment Surface'!$C$2='Data Validation'!$A$3,CJ41,"Unknown Option Type")))*(NORMDIST((IF('Adjustment Surface'!$C$2='Data Validation'!$A$2,CJ41,IF('Adjustment Surface'!$C$2='Data Validation'!$A$3,CI41,"Unknown Option Type"))-IF('Adjustment Surface'!$C$2='Data Validation'!$A$2,CI41,IF('Adjustment Surface'!$C$2='Data Validation'!$A$3,CJ41,"Unknown Option Type")))/(CK41*SQRT(CG41)),0,1,TRUE)))+((CK41*SQRT(CG41))*(NORMDIST((IF('Adjustment Surface'!$C$2='Data Validation'!$A$2,CJ41,IF('Adjustment Surface'!$C$2='Data Validation'!$A$3,CI41,"Unknown Option Type"))-IF('Adjustment Surface'!$C$2='Data Validation'!$A$2,CI41,IF('Adjustment Surface'!$C$2='Data Validation'!$A$3,CJ41,"Unknown Option Type")))/(CK41*SQRT(CG41)),0,1,FALSE))))*CL41*(CF41/360)*CH41))</f>
        <v>1943.9564156534848</v>
      </c>
      <c r="CO41" s="15">
        <f>IF(CC41="","",SUM(CN$4:CN41))</f>
        <v>19975.051289144139</v>
      </c>
      <c r="CQ41" s="15">
        <f>IF(CC41="","",IF(CD41&lt;'Rate &amp; Vol Update'!$C$2,0,((((((IF('Adjustment Surface'!$C$2='Data Validation'!$A$2,CJ41,IF('Adjustment Surface'!$C$2='Data Validation'!$A$3,CI41,"Unknown Option Type"))-IF('Adjustment Surface'!$C$2='Data Validation'!$A$2,CI41,IF('Adjustment Surface'!$C$2='Data Validation'!$A$3,CJ41,"Unknown Option Type")))*(NORMDIST((IF('Adjustment Surface'!$C$2='Data Validation'!$A$2,CJ41,IF('Adjustment Surface'!$C$2='Data Validation'!$A$3,CI41,"Unknown Option Type"))-IF('Adjustment Surface'!$C$2='Data Validation'!$A$2,CI41,IF('Adjustment Surface'!$C$2='Data Validation'!$A$3,CJ41,"Unknown Option Type")))/((CK41+0.01%)*SQRT(CG41)),0,1,TRUE)))+(((CK41+0.01%)*SQRT(CG41))*(NORMDIST((IF('Adjustment Surface'!$C$2='Data Validation'!$A$2,CJ41,IF('Adjustment Surface'!$C$2='Data Validation'!$A$3,CI41,"Unknown Option Type"))-IF('Adjustment Surface'!$C$2='Data Validation'!$A$2,CI41,IF('Adjustment Surface'!$C$2='Data Validation'!$A$3,CJ41,"Unknown Option Type")))/((CK41+0.01%)*SQRT(CG41)),0,1,FALSE))))*CL41*(CF41/360))-(CN41/CH41))*CH41)*CL41))</f>
        <v>57.023534300425908</v>
      </c>
      <c r="CR41" s="15">
        <f>IF(CC41="","",SUM(CQ$4:CQ41))</f>
        <v>738.70880668272105</v>
      </c>
    </row>
    <row r="42" spans="7:96" x14ac:dyDescent="0.25">
      <c r="G42" s="28"/>
      <c r="J42" s="4" t="str">
        <f>IF(K41='Adjustment Surface'!C$8,"",K41)</f>
        <v/>
      </c>
      <c r="K42" s="4" t="str">
        <f>IF(J42="","",IF(J42&lt;'Adjustment Surface'!C$7,EDATE(J$5,COUNT(J$5:J42)),IF(J42='Adjustment Surface'!C$7,'Adjustment Surface'!C$8,'Adjustment Surface'!C$7)))</f>
        <v/>
      </c>
      <c r="L42" s="3" t="str">
        <f t="shared" si="1"/>
        <v/>
      </c>
      <c r="M42" s="5" t="str">
        <f>IF(I42="","",(K42-'Rate &amp; Vol Update'!$C$2)/360)</f>
        <v/>
      </c>
      <c r="N42" s="15" t="str">
        <f>IF(I42="","",IF('Adjustment Surface'!C$3='Data Validation'!$C$2,'Adjustment Surface'!C$4,IF(INDEX(Schedules!$E$3:$E$123,MATCH('Bachelier Model'!J42,Schedules!$B$3:$B$123,0))="",N41,INDEX(Schedules!$E$3:$E$123,MATCH('Bachelier Model'!J42,Schedules!$B$3:$B$123,0)))))</f>
        <v/>
      </c>
      <c r="O42" s="16" t="str">
        <f>IF(I42="","",IF('Adjustment Surface'!C$9='Data Validation'!$D$2,'Adjustment Surface'!C$10,IF(INDEX(Schedules!$H$3:$H$123,MATCH('Bachelier Model'!J42,Schedules!$B$3:$B$123,0))="",O41,INDEX(Schedules!$H$3:$H$123,MATCH('Bachelier Model'!J42,Schedules!$B$3:$B$123,0)))))</f>
        <v/>
      </c>
      <c r="P42" s="16" t="str" cm="1">
        <f t="array" ref="P42">IF(I42="","",FORECAST(J42,INDEX('Rate &amp; Vol Update'!$C$6:$C$127,MATCH(INDEX('Rate &amp; Vol Update'!$B$6:$B$127,MATCH(J42,'Rate &amp; Vol Update'!$B$6:$B$127,1)),'Rate &amp; Vol Update'!$B$6:$B$127,0)+IF('Adjustment Surface'!C$11='Data Validation'!$E$3,-1,0)):INDEX('Rate &amp; Vol Update'!$C$6:$C$127,MATCH(INDEX('Rate &amp; Vol Update'!$B$6:$B$127,MATCH(J42,'Rate &amp; Vol Update'!$B$6:$B$127,1)+1),'Rate &amp; Vol Update'!$B$6:$B$127,0)+IF('Adjustment Surface'!C$11='Data Validation'!$E$3,-1,0)),INDEX('Rate &amp; Vol Update'!$B$6:$B$127,MATCH(J42,'Rate &amp; Vol Update'!$B$6:$B$127,1)):INDEX('Rate &amp; Vol Update'!$B$6:$B$127,MATCH(J42,'Rate &amp; Vol Update'!$B$6:$B$127,1)+1))/100)</f>
        <v/>
      </c>
      <c r="Q42" s="16" t="str" cm="1">
        <f t="array" ref="Q42">IF(I42="","",IF(J42&lt;'Rate &amp; Vol Update'!$C$2,0.001%,(1/((INDEX('Rate &amp; Vol Update'!$E$6:$Z$6,1,MATCH(O42,'Rate &amp; Vol Update'!$E$6:$Z$6,1)+1)-INDEX('Rate &amp; Vol Update'!$E$6:$Z$6,1,MATCH(O42,'Rate &amp; Vol Update'!$E$6:$Z$6,1)))*(INDEX('Rate &amp; Vol Update'!$B$8:$B$127,MATCH(J42,'Rate &amp; Vol Update'!$B$8:$B$127,1)+1)-INDEX('Rate &amp; Vol Update'!$B$8:$B$127,MATCH(J42,'Rate &amp; Vol Update'!$B$8:$B$127,1))))*(INDEX('Rate &amp; Vol Update'!$E$8:$Z$127,MATCH(INDEX('Rate &amp; Vol Update'!$B$8:$B$127,MATCH(J42,'Rate &amp; Vol Update'!$B$8:$B$127,1)),'Rate &amp; Vol Update'!$B$8:$B$127,0),MATCH(INDEX('Rate &amp; Vol Update'!$E$6:$Z$6,1,MATCH(O42,'Rate &amp; Vol Update'!$E$6:$Z$6,1)),'Rate &amp; Vol Update'!$E$6:$Z$6,0))*(INDEX('Rate &amp; Vol Update'!$E$6:$Z$6,1,MATCH(O42,'Rate &amp; Vol Update'!$E$6:$Z$6,1)+1)-O42)*(INDEX('Rate &amp; Vol Update'!$B$8:$B$127,MATCH(J42,'Rate &amp; Vol Update'!$B$8:$B$127,1)+1)-J42)+INDEX('Rate &amp; Vol Update'!$E$8:$Z$127,MATCH(INDEX('Rate &amp; Vol Update'!$B$8:$B$127,MATCH(J42,'Rate &amp; Vol Update'!$B$8:$B$127,1)),'Rate &amp; Vol Update'!$B$8:$B$127,0),MATCH(INDEX('Rate &amp; Vol Update'!$E$6:$Z$6,1,MATCH(O42,'Rate &amp; Vol Update'!$E$6:$Z$6,1)+1),'Rate &amp; Vol Update'!$E$6:$Z$6,0))*(O42-INDEX('Rate &amp; Vol Update'!$E$6:$Z$6,1,MATCH(O42,'Rate &amp; Vol Update'!$E$6:$Z$6,1)))*(INDEX('Rate &amp; Vol Update'!$B$8:$B$127,MATCH(J42,'Rate &amp; Vol Update'!$B$8:$B$127,1)+1)-J42)+INDEX('Rate &amp; Vol Update'!$E$8:$Z$127,MATCH(INDEX('Rate &amp; Vol Update'!$B$8:$B$127,MATCH(J42,'Rate &amp; Vol Update'!$B$8:$B$127,1)+1),'Rate &amp; Vol Update'!$B$8:$B$127,0),MATCH(INDEX('Rate &amp; Vol Update'!$E$6:$Z$6,1,MATCH(O42,'Rate &amp; Vol Update'!$E$6:$Z$6,1)),'Rate &amp; Vol Update'!$E$6:$Z$6,0))*(INDEX('Rate &amp; Vol Update'!$E$6:$Z$6,1,MATCH(O42,'Rate &amp; Vol Update'!$E$6:$Z$6,1)+1)-O42)*(J42-INDEX('Rate &amp; Vol Update'!$B$8:$B$127,MATCH(J42,'Rate &amp; Vol Update'!$B$8:$B$127,1)))+INDEX('Rate &amp; Vol Update'!$E$8:$Z$127,MATCH(INDEX('Rate &amp; Vol Update'!$B$8:$B$127,MATCH(J42,'Rate &amp; Vol Update'!$B$8:$B$127,1)+1),'Rate &amp; Vol Update'!$B$8:$B$127,0),MATCH(INDEX('Rate &amp; Vol Update'!$E$6:$Z$6,1,MATCH(O42,'Rate &amp; Vol Update'!$E$6:$Z$6,1)+1),'Rate &amp; Vol Update'!$E$6:$Z$6,0))*(O42-INDEX('Rate &amp; Vol Update'!$E$6:$Z$6,1,MATCH(O42,'Rate &amp; Vol Update'!$E$6:$Z$6,1)))*(J42-INDEX('Rate &amp; Vol Update'!$B$8:$B$127,MATCH(J42,'Rate &amp; Vol Update'!$B$8:$B$127,1)))))*0.01%))</f>
        <v/>
      </c>
      <c r="R42" s="5" t="str">
        <f>IF(I42="","",1/((1+P42)^((K42-'Rate &amp; Vol Update'!$C$2)/360)))</f>
        <v/>
      </c>
      <c r="T42" s="15" t="str">
        <f>IF(I42="","",IF(J42&lt;'Rate &amp; Vol Update'!$C$2,MAX(0,P42-O42)*(L42/360)*N42,(((IF('Adjustment Surface'!C$2='Data Validation'!$A$2,P42,IF('Adjustment Surface'!C$2='Data Validation'!$A$3,O42,"Unknown Option Type"))-IF('Adjustment Surface'!C$2='Data Validation'!$A$2,O42,IF('Adjustment Surface'!C$2='Data Validation'!$A$3,P42,"Unknown Option Type")))*(NORMDIST((IF('Adjustment Surface'!C$2='Data Validation'!$A$2,P42,IF('Adjustment Surface'!C$2='Data Validation'!$A$3,O42,"Unknown Option Type"))-IF('Adjustment Surface'!C$2='Data Validation'!$A$2,O42,IF('Adjustment Surface'!C$2='Data Validation'!$A$3,P42,"Unknown Option Type")))/(Q42*SQRT(M42)),0,1,TRUE)))+((Q42*SQRT(M42))*(NORMDIST((IF('Adjustment Surface'!C$2='Data Validation'!$A$2,P42,IF('Adjustment Surface'!C$2='Data Validation'!$A$3,O42,"Unknown Option Type"))-IF('Adjustment Surface'!C$2='Data Validation'!$A$2,O42,IF('Adjustment Surface'!C$2='Data Validation'!$A$3,P42,"Unknown Option Type")))/(Q42*SQRT(M42)),0,1,FALSE))))*R42*(L42/360)*N42))</f>
        <v/>
      </c>
      <c r="U42" s="15" t="str">
        <f>IF(I42="","",SUM(T$4:T42))</f>
        <v/>
      </c>
      <c r="W42" s="15" t="str">
        <f>IF(I42="","",IF(J42&lt;'Rate &amp; Vol Update'!$C$2,0,((((((IF('Adjustment Surface'!C$2='Data Validation'!$A$2,P42,IF('Adjustment Surface'!C$2='Data Validation'!$A$3,O42,"Unknown Option Type"))-IF('Adjustment Surface'!C$2='Data Validation'!$A$2,O42,IF('Adjustment Surface'!C$2='Data Validation'!$A$3,P42,"Unknown Option Type")))*(NORMDIST((IF('Adjustment Surface'!C$2='Data Validation'!$A$2,P42,IF('Adjustment Surface'!C$2='Data Validation'!$A$3,O42,"Unknown Option Type"))-IF('Adjustment Surface'!C$2='Data Validation'!$A$2,O42,IF('Adjustment Surface'!C$2='Data Validation'!$A$3,P42,"Unknown Option Type")))/((Q42+0.01%)*SQRT(M42)),0,1,TRUE)))+(((Q42+0.01%)*SQRT(M42))*(NORMDIST((IF('Adjustment Surface'!C$2='Data Validation'!$A$2,P42,IF('Adjustment Surface'!C$2='Data Validation'!$A$3,O42,"Unknown Option Type"))-IF('Adjustment Surface'!C$2='Data Validation'!$A$2,O42,IF('Adjustment Surface'!C$2='Data Validation'!$A$3,P42,"Unknown Option Type")))/((Q42+0.01%)*SQRT(M42)),0,1,FALSE))))*R42*(L42/360))-(T42/N42))*N42)*R42))</f>
        <v/>
      </c>
      <c r="X42" s="15" t="str">
        <f>IF(I42="","",SUM(W$4:W42))</f>
        <v/>
      </c>
      <c r="Y42" s="15"/>
      <c r="Z42" s="20"/>
      <c r="AA42" s="3">
        <v>39</v>
      </c>
      <c r="AB42" s="4">
        <f>IF(AC41=MAX('Adjustment Surface'!$C$14:$F$14),"",AC41)</f>
        <v>47219</v>
      </c>
      <c r="AC42" s="4">
        <f>IF(AB42="","",IF(AB42&lt;EDATE('Adjustment Surface'!$C$6,DATEDIF('Adjustment Surface'!$C$6,MAX('Adjustment Surface'!$C$14:$F$14),"M")),EDATE(AB$5,COUNT(AB$5:AB42)),IF(AB42=EDATE('Adjustment Surface'!$C$6,DATEDIF('Adjustment Surface'!$C$6,MAX('Adjustment Surface'!$C$14:$F$14),"M")),MAX('Adjustment Surface'!$C$14:$F$14),EDATE('Adjustment Surface'!$C$6,DATEDIF('Adjustment Surface'!$C$6,MAX('Adjustment Surface'!$C$14:$F$14),"M")))))</f>
        <v>47249</v>
      </c>
      <c r="AD42" s="3">
        <f t="shared" si="2"/>
        <v>30</v>
      </c>
      <c r="AE42" s="5">
        <f>IF(AA42="","",(AC42-'Rate &amp; Vol Update'!$C$2)/360)</f>
        <v>3.2916666666666665</v>
      </c>
      <c r="AF42" s="15">
        <f>IF(AA42="","",IF('Adjustment Surface'!$C$3='Data Validation'!$C$2,'Adjustment Surface'!$C$4,_xlfn.IFNA(IF(INDEX(Schedules!$E$3:$E$123,MATCH('Bachelier Model'!AB42,Schedules!$B$3:$B$123,0))="",AF41,INDEX(Schedules!$E$3:$E$123,MATCH('Bachelier Model'!AB42,Schedules!$B$3:$B$123,0))),AF41)))</f>
        <v>25000000</v>
      </c>
      <c r="AG42" s="16">
        <f>IF(AA42="","",'Adjustment Surface'!B$15)</f>
        <v>0.03</v>
      </c>
      <c r="AH42" s="16" cm="1">
        <f t="array" ref="AH42">IF(AA42="","",FORECAST(AB42,INDEX('Rate &amp; Vol Update'!$C$6:$C$127,MATCH(INDEX('Rate &amp; Vol Update'!$B$6:$B$127,MATCH(AB42,'Rate &amp; Vol Update'!$B$6:$B$127,1)),'Rate &amp; Vol Update'!$B$6:$B$127,0)+IF('Adjustment Surface'!$C$11='Data Validation'!$E$3,-1,0)):INDEX('Rate &amp; Vol Update'!$C$6:$C$127,MATCH(INDEX('Rate &amp; Vol Update'!$B$6:$B$127,MATCH(AB42,'Rate &amp; Vol Update'!$B$6:$B$127,1)+1),'Rate &amp; Vol Update'!$B$6:$B$127,0)+IF('Adjustment Surface'!$C$11='Data Validation'!$E$3,-1,0)),INDEX('Rate &amp; Vol Update'!$B$6:$B$127,MATCH(AB42,'Rate &amp; Vol Update'!$B$6:$B$127,1)):INDEX('Rate &amp; Vol Update'!$B$6:$B$127,MATCH(AB42,'Rate &amp; Vol Update'!$B$6:$B$127,1)+1))/100)</f>
        <v>3.5320245311940911E-2</v>
      </c>
      <c r="AI42" s="16" cm="1">
        <f t="array" ref="AI42">IF(AA42="","",IF(AB42&lt;'Rate &amp; Vol Update'!$C$2,0.001%,(1/((INDEX('Rate &amp; Vol Update'!$E$6:$Z$6,1,MATCH(AG42,'Rate &amp; Vol Update'!$E$6:$Z$6,1)+1)-INDEX('Rate &amp; Vol Update'!$E$6:$Z$6,1,MATCH(AG42,'Rate &amp; Vol Update'!$E$6:$Z$6,1)))*(INDEX('Rate &amp; Vol Update'!$B$8:$B$127,MATCH(AB42,'Rate &amp; Vol Update'!$B$8:$B$127,1)+1)-INDEX('Rate &amp; Vol Update'!$B$8:$B$127,MATCH(AB42,'Rate &amp; Vol Update'!$B$8:$B$127,1))))*(INDEX('Rate &amp; Vol Update'!$E$8:$Z$127,MATCH(INDEX('Rate &amp; Vol Update'!$B$8:$B$127,MATCH(AB42,'Rate &amp; Vol Update'!$B$8:$B$127,1)),'Rate &amp; Vol Update'!$B$8:$B$127,0),MATCH(INDEX('Rate &amp; Vol Update'!$E$6:$Z$6,1,MATCH(AG42,'Rate &amp; Vol Update'!$E$6:$Z$6,1)),'Rate &amp; Vol Update'!$E$6:$Z$6,0))*(INDEX('Rate &amp; Vol Update'!$E$6:$Z$6,1,MATCH(AG42,'Rate &amp; Vol Update'!$E$6:$Z$6,1)+1)-AG42)*(INDEX('Rate &amp; Vol Update'!$B$8:$B$127,MATCH(AB42,'Rate &amp; Vol Update'!$B$8:$B$127,1)+1)-AB42)+INDEX('Rate &amp; Vol Update'!$E$8:$Z$127,MATCH(INDEX('Rate &amp; Vol Update'!$B$8:$B$127,MATCH(AB42,'Rate &amp; Vol Update'!$B$8:$B$127,1)),'Rate &amp; Vol Update'!$B$8:$B$127,0),MATCH(INDEX('Rate &amp; Vol Update'!$E$6:$Z$6,1,MATCH(AG42,'Rate &amp; Vol Update'!$E$6:$Z$6,1)+1),'Rate &amp; Vol Update'!$E$6:$Z$6,0))*(AG42-INDEX('Rate &amp; Vol Update'!$E$6:$Z$6,1,MATCH(AG42,'Rate &amp; Vol Update'!$E$6:$Z$6,1)))*(INDEX('Rate &amp; Vol Update'!$B$8:$B$127,MATCH(AB42,'Rate &amp; Vol Update'!$B$8:$B$127,1)+1)-AB42)+INDEX('Rate &amp; Vol Update'!$E$8:$Z$127,MATCH(INDEX('Rate &amp; Vol Update'!$B$8:$B$127,MATCH(AB42,'Rate &amp; Vol Update'!$B$8:$B$127,1)+1),'Rate &amp; Vol Update'!$B$8:$B$127,0),MATCH(INDEX('Rate &amp; Vol Update'!$E$6:$Z$6,1,MATCH(AG42,'Rate &amp; Vol Update'!$E$6:$Z$6,1)),'Rate &amp; Vol Update'!$E$6:$Z$6,0))*(INDEX('Rate &amp; Vol Update'!$E$6:$Z$6,1,MATCH(AG42,'Rate &amp; Vol Update'!$E$6:$Z$6,1)+1)-AG42)*(AB42-INDEX('Rate &amp; Vol Update'!$B$8:$B$127,MATCH(AB42,'Rate &amp; Vol Update'!$B$8:$B$127,1)))+INDEX('Rate &amp; Vol Update'!$E$8:$Z$127,MATCH(INDEX('Rate &amp; Vol Update'!$B$8:$B$127,MATCH(AB42,'Rate &amp; Vol Update'!$B$8:$B$127,1)+1),'Rate &amp; Vol Update'!$B$8:$B$127,0),MATCH(INDEX('Rate &amp; Vol Update'!$E$6:$Z$6,1,MATCH(AG42,'Rate &amp; Vol Update'!$E$6:$Z$6,1)+1),'Rate &amp; Vol Update'!$E$6:$Z$6,0))*(AG42-INDEX('Rate &amp; Vol Update'!$E$6:$Z$6,1,MATCH(AG42,'Rate &amp; Vol Update'!$E$6:$Z$6,1)))*(AB42-INDEX('Rate &amp; Vol Update'!$B$8:$B$127,MATCH(AB42,'Rate &amp; Vol Update'!$B$8:$B$127,1)))))*0.01%))</f>
        <v>8.128825958409332E-3</v>
      </c>
      <c r="AJ42" s="5">
        <f>IF(AA42="","",1/((1+AH42)^((AC42-'Rate &amp; Vol Update'!$C$2)/360)))</f>
        <v>0.89202924093767944</v>
      </c>
      <c r="AL42" s="15">
        <f>IF(AA42="","",IF(AB42&lt;'Rate &amp; Vol Update'!$C$2,MAX(0,AH42-AG42)*(AD42/360)*AF42,(((IF('Adjustment Surface'!$C$2='Data Validation'!$A$2,AH42,IF('Adjustment Surface'!$C$2='Data Validation'!$A$3,AG42,"Unknown Option Type"))-IF('Adjustment Surface'!$C$2='Data Validation'!$A$2,AG42,IF('Adjustment Surface'!$C$2='Data Validation'!$A$3,AH42,"Unknown Option Type")))*(NORMDIST((IF('Adjustment Surface'!$C$2='Data Validation'!$A$2,AH42,IF('Adjustment Surface'!$C$2='Data Validation'!$A$3,AG42,"Unknown Option Type"))-IF('Adjustment Surface'!$C$2='Data Validation'!$A$2,AG42,IF('Adjustment Surface'!$C$2='Data Validation'!$A$3,AH42,"Unknown Option Type")))/(AI42*SQRT(AE42)),0,1,TRUE)))+((AI42*SQRT(AE42))*(NORMDIST((IF('Adjustment Surface'!$C$2='Data Validation'!$A$2,AH42,IF('Adjustment Surface'!$C$2='Data Validation'!$A$3,AG42,"Unknown Option Type"))-IF('Adjustment Surface'!$C$2='Data Validation'!$A$2,AG42,IF('Adjustment Surface'!$C$2='Data Validation'!$A$3,AH42,"Unknown Option Type")))/(AI42*SQRT(AE42)),0,1,FALSE))))*AJ42*(AD42/360)*AF42))</f>
        <v>16581.508162064823</v>
      </c>
      <c r="AM42" s="15">
        <f>IF(AA42="","",SUM(AL$4:AL42))</f>
        <v>459691.86540446756</v>
      </c>
      <c r="AO42" s="15">
        <f>IF(AA42="","",IF(AB42&lt;'Rate &amp; Vol Update'!$C$2,0,((((((IF('Adjustment Surface'!$C$2='Data Validation'!$A$2,AH42,IF('Adjustment Surface'!$C$2='Data Validation'!$A$3,AG42,"Unknown Option Type"))-IF('Adjustment Surface'!$C$2='Data Validation'!$A$2,AG42,IF('Adjustment Surface'!$C$2='Data Validation'!$A$3,AH42,"Unknown Option Type")))*(NORMDIST((IF('Adjustment Surface'!$C$2='Data Validation'!$A$2,AH42,IF('Adjustment Surface'!$C$2='Data Validation'!$A$3,AG42,"Unknown Option Type"))-IF('Adjustment Surface'!$C$2='Data Validation'!$A$2,AG42,IF('Adjustment Surface'!$C$2='Data Validation'!$A$3,AH42,"Unknown Option Type")))/((AI42+0.01%)*SQRT(AE42)),0,1,TRUE)))+(((AI42+0.01%)*SQRT(AE42))*(NORMDIST((IF('Adjustment Surface'!$C$2='Data Validation'!$A$2,AH42,IF('Adjustment Surface'!$C$2='Data Validation'!$A$3,AG42,"Unknown Option Type"))-IF('Adjustment Surface'!$C$2='Data Validation'!$A$2,AG42,IF('Adjustment Surface'!$C$2='Data Validation'!$A$3,AH42,"Unknown Option Type")))/((AI42+0.01%)*SQRT(AE42)),0,1,FALSE))))*AJ42*(AD42/360))-(AL42/AF42))*AF42)*AJ42))</f>
        <v>112.5175014053889</v>
      </c>
      <c r="AP42" s="15">
        <f>IF(AA42="","",SUM(AO$4:AO42))</f>
        <v>3258.3885404589719</v>
      </c>
      <c r="AQ42" s="15"/>
      <c r="AR42" s="20"/>
      <c r="AS42" s="3">
        <v>39</v>
      </c>
      <c r="AT42" s="4">
        <f>IF(AU41=MAX('Adjustment Surface'!$C$14:$F$14),"",AU41)</f>
        <v>47219</v>
      </c>
      <c r="AU42" s="4">
        <f>IF(AT42="","",IF(AT42&lt;EDATE('Adjustment Surface'!$C$6,DATEDIF('Adjustment Surface'!$C$6,MAX('Adjustment Surface'!$C$14:$F$14),"M")),EDATE(AT$5,COUNT(AT$5:AT42)),IF(AT42=EDATE('Adjustment Surface'!$C$6,DATEDIF('Adjustment Surface'!$C$6,MAX('Adjustment Surface'!$C$14:$F$14),"M")),MAX('Adjustment Surface'!$C$14:$F$14),EDATE('Adjustment Surface'!$C$6,DATEDIF('Adjustment Surface'!$C$6,MAX('Adjustment Surface'!$C$14:$F$14),"M")))))</f>
        <v>47249</v>
      </c>
      <c r="AV42" s="3">
        <f t="shared" si="3"/>
        <v>30</v>
      </c>
      <c r="AW42" s="5">
        <f>IF(AS42="","",(AU42-'Rate &amp; Vol Update'!$C$2)/360)</f>
        <v>3.2916666666666665</v>
      </c>
      <c r="AX42" s="15">
        <f>IF(AS42="","",IF('Adjustment Surface'!$C$3='Data Validation'!$C$2,'Adjustment Surface'!$C$4,_xlfn.IFNA(IF(INDEX(Schedules!$E$3:$E$123,MATCH('Bachelier Model'!AT42,Schedules!$B$3:$B$123,0))="",AX41,INDEX(Schedules!$E$3:$E$123,MATCH('Bachelier Model'!AT42,Schedules!$B$3:$B$123,0))),AX41)))</f>
        <v>25000000</v>
      </c>
      <c r="AY42" s="16">
        <f>IF(AS42="","",'Adjustment Surface'!B$16)</f>
        <v>0.04</v>
      </c>
      <c r="AZ42" s="16" cm="1">
        <f t="array" ref="AZ42">IF(AS42="","",FORECAST(AT42,INDEX('Rate &amp; Vol Update'!$C$6:$C$127,MATCH(INDEX('Rate &amp; Vol Update'!$B$6:$B$127,MATCH(AT42,'Rate &amp; Vol Update'!$B$6:$B$127,1)),'Rate &amp; Vol Update'!$B$6:$B$127,0)+IF('Adjustment Surface'!$C$11='Data Validation'!$E$3,-1,0)):INDEX('Rate &amp; Vol Update'!$C$6:$C$127,MATCH(INDEX('Rate &amp; Vol Update'!$B$6:$B$127,MATCH(AT42,'Rate &amp; Vol Update'!$B$6:$B$127,1)+1),'Rate &amp; Vol Update'!$B$6:$B$127,0)+IF('Adjustment Surface'!$C$11='Data Validation'!$E$3,-1,0)),INDEX('Rate &amp; Vol Update'!$B$6:$B$127,MATCH(AT42,'Rate &amp; Vol Update'!$B$6:$B$127,1)):INDEX('Rate &amp; Vol Update'!$B$6:$B$127,MATCH(AT42,'Rate &amp; Vol Update'!$B$6:$B$127,1)+1))/100)</f>
        <v>3.5320245311940911E-2</v>
      </c>
      <c r="BA42" s="16" cm="1">
        <f t="array" ref="BA42">IF(AS42="","",IF(AT42&lt;'Rate &amp; Vol Update'!$C$2,0.001%,(1/((INDEX('Rate &amp; Vol Update'!$E$6:$Z$6,1,MATCH(AY42,'Rate &amp; Vol Update'!$E$6:$Z$6,1)+1)-INDEX('Rate &amp; Vol Update'!$E$6:$Z$6,1,MATCH(AY42,'Rate &amp; Vol Update'!$E$6:$Z$6,1)))*(INDEX('Rate &amp; Vol Update'!$B$8:$B$127,MATCH(AT42,'Rate &amp; Vol Update'!$B$8:$B$127,1)+1)-INDEX('Rate &amp; Vol Update'!$B$8:$B$127,MATCH(AT42,'Rate &amp; Vol Update'!$B$8:$B$127,1))))*(INDEX('Rate &amp; Vol Update'!$E$8:$Z$127,MATCH(INDEX('Rate &amp; Vol Update'!$B$8:$B$127,MATCH(AT42,'Rate &amp; Vol Update'!$B$8:$B$127,1)),'Rate &amp; Vol Update'!$B$8:$B$127,0),MATCH(INDEX('Rate &amp; Vol Update'!$E$6:$Z$6,1,MATCH(AY42,'Rate &amp; Vol Update'!$E$6:$Z$6,1)),'Rate &amp; Vol Update'!$E$6:$Z$6,0))*(INDEX('Rate &amp; Vol Update'!$E$6:$Z$6,1,MATCH(AY42,'Rate &amp; Vol Update'!$E$6:$Z$6,1)+1)-AY42)*(INDEX('Rate &amp; Vol Update'!$B$8:$B$127,MATCH(AT42,'Rate &amp; Vol Update'!$B$8:$B$127,1)+1)-AT42)+INDEX('Rate &amp; Vol Update'!$E$8:$Z$127,MATCH(INDEX('Rate &amp; Vol Update'!$B$8:$B$127,MATCH(AT42,'Rate &amp; Vol Update'!$B$8:$B$127,1)),'Rate &amp; Vol Update'!$B$8:$B$127,0),MATCH(INDEX('Rate &amp; Vol Update'!$E$6:$Z$6,1,MATCH(AY42,'Rate &amp; Vol Update'!$E$6:$Z$6,1)+1),'Rate &amp; Vol Update'!$E$6:$Z$6,0))*(AY42-INDEX('Rate &amp; Vol Update'!$E$6:$Z$6,1,MATCH(AY42,'Rate &amp; Vol Update'!$E$6:$Z$6,1)))*(INDEX('Rate &amp; Vol Update'!$B$8:$B$127,MATCH(AT42,'Rate &amp; Vol Update'!$B$8:$B$127,1)+1)-AT42)+INDEX('Rate &amp; Vol Update'!$E$8:$Z$127,MATCH(INDEX('Rate &amp; Vol Update'!$B$8:$B$127,MATCH(AT42,'Rate &amp; Vol Update'!$B$8:$B$127,1)+1),'Rate &amp; Vol Update'!$B$8:$B$127,0),MATCH(INDEX('Rate &amp; Vol Update'!$E$6:$Z$6,1,MATCH(AY42,'Rate &amp; Vol Update'!$E$6:$Z$6,1)),'Rate &amp; Vol Update'!$E$6:$Z$6,0))*(INDEX('Rate &amp; Vol Update'!$E$6:$Z$6,1,MATCH(AY42,'Rate &amp; Vol Update'!$E$6:$Z$6,1)+1)-AY42)*(AT42-INDEX('Rate &amp; Vol Update'!$B$8:$B$127,MATCH(AT42,'Rate &amp; Vol Update'!$B$8:$B$127,1)))+INDEX('Rate &amp; Vol Update'!$E$8:$Z$127,MATCH(INDEX('Rate &amp; Vol Update'!$B$8:$B$127,MATCH(AT42,'Rate &amp; Vol Update'!$B$8:$B$127,1)+1),'Rate &amp; Vol Update'!$B$8:$B$127,0),MATCH(INDEX('Rate &amp; Vol Update'!$E$6:$Z$6,1,MATCH(AY42,'Rate &amp; Vol Update'!$E$6:$Z$6,1)+1),'Rate &amp; Vol Update'!$E$6:$Z$6,0))*(AY42-INDEX('Rate &amp; Vol Update'!$E$6:$Z$6,1,MATCH(AY42,'Rate &amp; Vol Update'!$E$6:$Z$6,1)))*(AT42-INDEX('Rate &amp; Vol Update'!$B$8:$B$127,MATCH(AT42,'Rate &amp; Vol Update'!$B$8:$B$127,1)))))*0.01%))</f>
        <v>8.5972893287255495E-3</v>
      </c>
      <c r="BB42" s="5">
        <f>IF(AS42="","",1/((1+AZ42)^((AU42-'Rate &amp; Vol Update'!$C$2)/360)))</f>
        <v>0.89202924093767944</v>
      </c>
      <c r="BD42" s="15">
        <f>IF(AS42="","",IF(AT42&lt;'Rate &amp; Vol Update'!$C$2,MAX(0,AZ42-AY42)*(AV42/360)*AX42,(((IF('Adjustment Surface'!$C$2='Data Validation'!$A$2,AZ42,IF('Adjustment Surface'!$C$2='Data Validation'!$A$3,AY42,"Unknown Option Type"))-IF('Adjustment Surface'!$C$2='Data Validation'!$A$2,AY42,IF('Adjustment Surface'!$C$2='Data Validation'!$A$3,AZ42,"Unknown Option Type")))*(NORMDIST((IF('Adjustment Surface'!$C$2='Data Validation'!$A$2,AZ42,IF('Adjustment Surface'!$C$2='Data Validation'!$A$3,AY42,"Unknown Option Type"))-IF('Adjustment Surface'!$C$2='Data Validation'!$A$2,AY42,IF('Adjustment Surface'!$C$2='Data Validation'!$A$3,AZ42,"Unknown Option Type")))/(BA42*SQRT(AW42)),0,1,TRUE)))+((BA42*SQRT(AW42))*(NORMDIST((IF('Adjustment Surface'!$C$2='Data Validation'!$A$2,AZ42,IF('Adjustment Surface'!$C$2='Data Validation'!$A$3,AY42,"Unknown Option Type"))-IF('Adjustment Surface'!$C$2='Data Validation'!$A$2,AY42,IF('Adjustment Surface'!$C$2='Data Validation'!$A$3,AZ42,"Unknown Option Type")))/(BA42*SQRT(AW42)),0,1,FALSE))))*BB42*(AV42/360)*AX42))</f>
        <v>7732.4326077993528</v>
      </c>
      <c r="BE42" s="15">
        <f>IF(AS42="","",SUM(BD$4:BD42))</f>
        <v>116894.56157495591</v>
      </c>
      <c r="BG42" s="15">
        <f>IF(AS42="","",IF(AT42&lt;'Rate &amp; Vol Update'!$C$2,0,((((((IF('Adjustment Surface'!$C$2='Data Validation'!$A$2,AZ42,IF('Adjustment Surface'!$C$2='Data Validation'!$A$3,AY42,"Unknown Option Type"))-IF('Adjustment Surface'!$C$2='Data Validation'!$A$2,AY42,IF('Adjustment Surface'!$C$2='Data Validation'!$A$3,AZ42,"Unknown Option Type")))*(NORMDIST((IF('Adjustment Surface'!$C$2='Data Validation'!$A$2,AZ42,IF('Adjustment Surface'!$C$2='Data Validation'!$A$3,AY42,"Unknown Option Type"))-IF('Adjustment Surface'!$C$2='Data Validation'!$A$2,AY42,IF('Adjustment Surface'!$C$2='Data Validation'!$A$3,AZ42,"Unknown Option Type")))/((BA42+0.01%)*SQRT(AW42)),0,1,TRUE)))+(((BA42+0.01%)*SQRT(AW42))*(NORMDIST((IF('Adjustment Surface'!$C$2='Data Validation'!$A$2,AZ42,IF('Adjustment Surface'!$C$2='Data Validation'!$A$3,AY42,"Unknown Option Type"))-IF('Adjustment Surface'!$C$2='Data Validation'!$A$2,AY42,IF('Adjustment Surface'!$C$2='Data Validation'!$A$3,AZ42,"Unknown Option Type")))/((BA42+0.01%)*SQRT(AW42)),0,1,FALSE))))*BB42*(AV42/360))-(BD42/AX42))*AX42)*BB42))</f>
        <v>114.76607470672919</v>
      </c>
      <c r="BH42" s="15">
        <f>IF(AS42="","",SUM(BG$4:BG42))</f>
        <v>2651.2993445098914</v>
      </c>
      <c r="BI42" s="15"/>
      <c r="BJ42" s="20"/>
      <c r="BK42" s="3">
        <v>39</v>
      </c>
      <c r="BL42" s="4">
        <f>IF(BM41=MAX('Adjustment Surface'!$C$14:$F$14),"",BM41)</f>
        <v>47219</v>
      </c>
      <c r="BM42" s="4">
        <f>IF(BL42="","",IF(BL42&lt;EDATE('Adjustment Surface'!$C$6,DATEDIF('Adjustment Surface'!$C$6,MAX('Adjustment Surface'!$C$14:$F$14),"M")),EDATE(BL$5,COUNT(BL$5:BL42)),IF(BL42=EDATE('Adjustment Surface'!$C$6,DATEDIF('Adjustment Surface'!$C$6,MAX('Adjustment Surface'!$C$14:$F$14),"M")),MAX('Adjustment Surface'!$C$14:$F$14),EDATE('Adjustment Surface'!$C$6,DATEDIF('Adjustment Surface'!$C$6,MAX('Adjustment Surface'!$C$14:$F$14),"M")))))</f>
        <v>47249</v>
      </c>
      <c r="BN42" s="3">
        <f t="shared" si="4"/>
        <v>30</v>
      </c>
      <c r="BO42" s="5">
        <f>IF(BK42="","",(BM42-'Rate &amp; Vol Update'!$C$2)/360)</f>
        <v>3.2916666666666665</v>
      </c>
      <c r="BP42" s="15">
        <f>IF(BK42="","",IF('Adjustment Surface'!$C$3='Data Validation'!$C$2,'Adjustment Surface'!$C$4,_xlfn.IFNA(IF(INDEX(Schedules!$E$3:$E$123,MATCH('Bachelier Model'!BL42,Schedules!$B$3:$B$123,0))="",BP41,INDEX(Schedules!$E$3:$E$123,MATCH('Bachelier Model'!BL42,Schedules!$B$3:$B$123,0))),BP41)))</f>
        <v>25000000</v>
      </c>
      <c r="BQ42" s="16">
        <f>IF(BK42="","",'Adjustment Surface'!B$17)</f>
        <v>0.05</v>
      </c>
      <c r="BR42" s="16" cm="1">
        <f t="array" ref="BR42">IF(BK42="","",FORECAST(BL42,INDEX('Rate &amp; Vol Update'!$C$6:$C$127,MATCH(INDEX('Rate &amp; Vol Update'!$B$6:$B$127,MATCH(BL42,'Rate &amp; Vol Update'!$B$6:$B$127,1)),'Rate &amp; Vol Update'!$B$6:$B$127,0)+IF('Adjustment Surface'!$C$11='Data Validation'!$E$3,-1,0)):INDEX('Rate &amp; Vol Update'!$C$6:$C$127,MATCH(INDEX('Rate &amp; Vol Update'!$B$6:$B$127,MATCH(BL42,'Rate &amp; Vol Update'!$B$6:$B$127,1)+1),'Rate &amp; Vol Update'!$B$6:$B$127,0)+IF('Adjustment Surface'!$C$11='Data Validation'!$E$3,-1,0)),INDEX('Rate &amp; Vol Update'!$B$6:$B$127,MATCH(BL42,'Rate &amp; Vol Update'!$B$6:$B$127,1)):INDEX('Rate &amp; Vol Update'!$B$6:$B$127,MATCH(BL42,'Rate &amp; Vol Update'!$B$6:$B$127,1)+1))/100)</f>
        <v>3.5320245311940911E-2</v>
      </c>
      <c r="BS42" s="16" cm="1">
        <f t="array" ref="BS42">IF(BK42="","",IF(BL42&lt;'Rate &amp; Vol Update'!$C$2,0.001%,(1/((INDEX('Rate &amp; Vol Update'!$E$6:$Z$6,1,MATCH(BQ42,'Rate &amp; Vol Update'!$E$6:$Z$6,1)+1)-INDEX('Rate &amp; Vol Update'!$E$6:$Z$6,1,MATCH(BQ42,'Rate &amp; Vol Update'!$E$6:$Z$6,1)))*(INDEX('Rate &amp; Vol Update'!$B$8:$B$127,MATCH(BL42,'Rate &amp; Vol Update'!$B$8:$B$127,1)+1)-INDEX('Rate &amp; Vol Update'!$B$8:$B$127,MATCH(BL42,'Rate &amp; Vol Update'!$B$8:$B$127,1))))*(INDEX('Rate &amp; Vol Update'!$E$8:$Z$127,MATCH(INDEX('Rate &amp; Vol Update'!$B$8:$B$127,MATCH(BL42,'Rate &amp; Vol Update'!$B$8:$B$127,1)),'Rate &amp; Vol Update'!$B$8:$B$127,0),MATCH(INDEX('Rate &amp; Vol Update'!$E$6:$Z$6,1,MATCH(BQ42,'Rate &amp; Vol Update'!$E$6:$Z$6,1)),'Rate &amp; Vol Update'!$E$6:$Z$6,0))*(INDEX('Rate &amp; Vol Update'!$E$6:$Z$6,1,MATCH(BQ42,'Rate &amp; Vol Update'!$E$6:$Z$6,1)+1)-BQ42)*(INDEX('Rate &amp; Vol Update'!$B$8:$B$127,MATCH(BL42,'Rate &amp; Vol Update'!$B$8:$B$127,1)+1)-BL42)+INDEX('Rate &amp; Vol Update'!$E$8:$Z$127,MATCH(INDEX('Rate &amp; Vol Update'!$B$8:$B$127,MATCH(BL42,'Rate &amp; Vol Update'!$B$8:$B$127,1)),'Rate &amp; Vol Update'!$B$8:$B$127,0),MATCH(INDEX('Rate &amp; Vol Update'!$E$6:$Z$6,1,MATCH(BQ42,'Rate &amp; Vol Update'!$E$6:$Z$6,1)+1),'Rate &amp; Vol Update'!$E$6:$Z$6,0))*(BQ42-INDEX('Rate &amp; Vol Update'!$E$6:$Z$6,1,MATCH(BQ42,'Rate &amp; Vol Update'!$E$6:$Z$6,1)))*(INDEX('Rate &amp; Vol Update'!$B$8:$B$127,MATCH(BL42,'Rate &amp; Vol Update'!$B$8:$B$127,1)+1)-BL42)+INDEX('Rate &amp; Vol Update'!$E$8:$Z$127,MATCH(INDEX('Rate &amp; Vol Update'!$B$8:$B$127,MATCH(BL42,'Rate &amp; Vol Update'!$B$8:$B$127,1)+1),'Rate &amp; Vol Update'!$B$8:$B$127,0),MATCH(INDEX('Rate &amp; Vol Update'!$E$6:$Z$6,1,MATCH(BQ42,'Rate &amp; Vol Update'!$E$6:$Z$6,1)),'Rate &amp; Vol Update'!$E$6:$Z$6,0))*(INDEX('Rate &amp; Vol Update'!$E$6:$Z$6,1,MATCH(BQ42,'Rate &amp; Vol Update'!$E$6:$Z$6,1)+1)-BQ42)*(BL42-INDEX('Rate &amp; Vol Update'!$B$8:$B$127,MATCH(BL42,'Rate &amp; Vol Update'!$B$8:$B$127,1)))+INDEX('Rate &amp; Vol Update'!$E$8:$Z$127,MATCH(INDEX('Rate &amp; Vol Update'!$B$8:$B$127,MATCH(BL42,'Rate &amp; Vol Update'!$B$8:$B$127,1)+1),'Rate &amp; Vol Update'!$B$8:$B$127,0),MATCH(INDEX('Rate &amp; Vol Update'!$E$6:$Z$6,1,MATCH(BQ42,'Rate &amp; Vol Update'!$E$6:$Z$6,1)+1),'Rate &amp; Vol Update'!$E$6:$Z$6,0))*(BQ42-INDEX('Rate &amp; Vol Update'!$E$6:$Z$6,1,MATCH(BQ42,'Rate &amp; Vol Update'!$E$6:$Z$6,1)))*(BL42-INDEX('Rate &amp; Vol Update'!$B$8:$B$127,MATCH(BL42,'Rate &amp; Vol Update'!$B$8:$B$127,1)))))*0.01%))</f>
        <v>9.6883970075947456E-3</v>
      </c>
      <c r="BT42" s="5">
        <f>IF(BK42="","",1/((1+BR42)^((BM42-'Rate &amp; Vol Update'!$C$2)/360)))</f>
        <v>0.89202924093767944</v>
      </c>
      <c r="BV42" s="15">
        <f>IF(BK42="","",IF(BL42&lt;'Rate &amp; Vol Update'!$C$2,MAX(0,BR42-BQ42)*(BN42/360)*BP42,(((IF('Adjustment Surface'!$C$2='Data Validation'!$A$2,BR42,IF('Adjustment Surface'!$C$2='Data Validation'!$A$3,BQ42,"Unknown Option Type"))-IF('Adjustment Surface'!$C$2='Data Validation'!$A$2,BQ42,IF('Adjustment Surface'!$C$2='Data Validation'!$A$3,BR42,"Unknown Option Type")))*(NORMDIST((IF('Adjustment Surface'!$C$2='Data Validation'!$A$2,BR42,IF('Adjustment Surface'!$C$2='Data Validation'!$A$3,BQ42,"Unknown Option Type"))-IF('Adjustment Surface'!$C$2='Data Validation'!$A$2,BQ42,IF('Adjustment Surface'!$C$2='Data Validation'!$A$3,BR42,"Unknown Option Type")))/(BS42*SQRT(BO42)),0,1,TRUE)))+((BS42*SQRT(BO42))*(NORMDIST((IF('Adjustment Surface'!$C$2='Data Validation'!$A$2,BR42,IF('Adjustment Surface'!$C$2='Data Validation'!$A$3,BQ42,"Unknown Option Type"))-IF('Adjustment Surface'!$C$2='Data Validation'!$A$2,BQ42,IF('Adjustment Surface'!$C$2='Data Validation'!$A$3,BR42,"Unknown Option Type")))/(BS42*SQRT(BO42)),0,1,FALSE))))*BT42*(BN42/360)*BP42))</f>
        <v>3689.3110102531095</v>
      </c>
      <c r="BW42" s="15">
        <f>IF(BK42="","",SUM(BV$4:BV42))</f>
        <v>44293.197165720354</v>
      </c>
      <c r="BY42" s="15">
        <f>IF(BK42="","",IF(BL42&lt;'Rate &amp; Vol Update'!$C$2,0,((((((IF('Adjustment Surface'!$C$2='Data Validation'!$A$2,BR42,IF('Adjustment Surface'!$C$2='Data Validation'!$A$3,BQ42,"Unknown Option Type"))-IF('Adjustment Surface'!$C$2='Data Validation'!$A$2,BQ42,IF('Adjustment Surface'!$C$2='Data Validation'!$A$3,BR42,"Unknown Option Type")))*(NORMDIST((IF('Adjustment Surface'!$C$2='Data Validation'!$A$2,BR42,IF('Adjustment Surface'!$C$2='Data Validation'!$A$3,BQ42,"Unknown Option Type"))-IF('Adjustment Surface'!$C$2='Data Validation'!$A$2,BQ42,IF('Adjustment Surface'!$C$2='Data Validation'!$A$3,BR42,"Unknown Option Type")))/((BS42+0.01%)*SQRT(BO42)),0,1,TRUE)))+(((BS42+0.01%)*SQRT(BO42))*(NORMDIST((IF('Adjustment Surface'!$C$2='Data Validation'!$A$2,BR42,IF('Adjustment Surface'!$C$2='Data Validation'!$A$3,BQ42,"Unknown Option Type"))-IF('Adjustment Surface'!$C$2='Data Validation'!$A$2,BQ42,IF('Adjustment Surface'!$C$2='Data Validation'!$A$3,BR42,"Unknown Option Type")))/((BS42+0.01%)*SQRT(BO42)),0,1,FALSE))))*BT42*(BN42/360))-(BV42/BP42))*BP42)*BT42))</f>
        <v>84.96343704686177</v>
      </c>
      <c r="BZ42" s="15">
        <f>IF(BK42="","",SUM(BY$4:BY42))</f>
        <v>1385.9284193685962</v>
      </c>
      <c r="CA42" s="15"/>
      <c r="CB42" s="20"/>
      <c r="CC42" s="3">
        <v>39</v>
      </c>
      <c r="CD42" s="4">
        <f>IF(CE41=MAX('Adjustment Surface'!$C$14:$F$14),"",CE41)</f>
        <v>47219</v>
      </c>
      <c r="CE42" s="4">
        <f>IF(CD42="","",IF(CD42&lt;EDATE('Adjustment Surface'!$C$6,DATEDIF('Adjustment Surface'!$C$6,MAX('Adjustment Surface'!$C$14:$F$14),"M")),EDATE(CD$5,COUNT(CD$5:CD42)),IF(CD42=EDATE('Adjustment Surface'!$C$6,DATEDIF('Adjustment Surface'!$C$6,MAX('Adjustment Surface'!$C$14:$F$14),"M")),MAX('Adjustment Surface'!$C$14:$F$14),EDATE('Adjustment Surface'!$C$6,DATEDIF('Adjustment Surface'!$C$6,MAX('Adjustment Surface'!$C$14:$F$14),"M")))))</f>
        <v>47249</v>
      </c>
      <c r="CF42" s="3">
        <f t="shared" si="5"/>
        <v>30</v>
      </c>
      <c r="CG42" s="5">
        <f>IF(CC42="","",(CE42-'Rate &amp; Vol Update'!$C$2)/360)</f>
        <v>3.2916666666666665</v>
      </c>
      <c r="CH42" s="15">
        <f>IF(CC42="","",IF('Adjustment Surface'!$C$3='Data Validation'!$C$2,'Adjustment Surface'!$C$4,_xlfn.IFNA(IF(INDEX(Schedules!$E$3:$E$123,MATCH('Bachelier Model'!CD42,Schedules!$B$3:$B$123,0))="",CH41,INDEX(Schedules!$E$3:$E$123,MATCH('Bachelier Model'!CD42,Schedules!$B$3:$B$123,0))),CH41)))</f>
        <v>25000000</v>
      </c>
      <c r="CI42" s="16">
        <f>IF(CC42="","",'Adjustment Surface'!B$18)</f>
        <v>0.06</v>
      </c>
      <c r="CJ42" s="16" cm="1">
        <f t="array" ref="CJ42">IF(CC42="","",FORECAST(CD42,INDEX('Rate &amp; Vol Update'!$C$6:$C$127,MATCH(INDEX('Rate &amp; Vol Update'!$B$6:$B$127,MATCH(CD42,'Rate &amp; Vol Update'!$B$6:$B$127,1)),'Rate &amp; Vol Update'!$B$6:$B$127,0)+IF('Adjustment Surface'!$C$11='Data Validation'!$E$3,-1,0)):INDEX('Rate &amp; Vol Update'!$C$6:$C$127,MATCH(INDEX('Rate &amp; Vol Update'!$B$6:$B$127,MATCH(CD42,'Rate &amp; Vol Update'!$B$6:$B$127,1)+1),'Rate &amp; Vol Update'!$B$6:$B$127,0)+IF('Adjustment Surface'!$C$11='Data Validation'!$E$3,-1,0)),INDEX('Rate &amp; Vol Update'!$B$6:$B$127,MATCH(CD42,'Rate &amp; Vol Update'!$B$6:$B$127,1)):INDEX('Rate &amp; Vol Update'!$B$6:$B$127,MATCH(CD42,'Rate &amp; Vol Update'!$B$6:$B$127,1)+1))/100)</f>
        <v>3.5320245311940911E-2</v>
      </c>
      <c r="CK42" s="16" cm="1">
        <f t="array" ref="CK42">IF(CC42="","",IF(CD42&lt;'Rate &amp; Vol Update'!$C$2,0.001%,(1/((INDEX('Rate &amp; Vol Update'!$E$6:$Z$6,1,MATCH(CI42,'Rate &amp; Vol Update'!$E$6:$Z$6,1)+1)-INDEX('Rate &amp; Vol Update'!$E$6:$Z$6,1,MATCH(CI42,'Rate &amp; Vol Update'!$E$6:$Z$6,1)))*(INDEX('Rate &amp; Vol Update'!$B$8:$B$127,MATCH(CD42,'Rate &amp; Vol Update'!$B$8:$B$127,1)+1)-INDEX('Rate &amp; Vol Update'!$B$8:$B$127,MATCH(CD42,'Rate &amp; Vol Update'!$B$8:$B$127,1))))*(INDEX('Rate &amp; Vol Update'!$E$8:$Z$127,MATCH(INDEX('Rate &amp; Vol Update'!$B$8:$B$127,MATCH(CD42,'Rate &amp; Vol Update'!$B$8:$B$127,1)),'Rate &amp; Vol Update'!$B$8:$B$127,0),MATCH(INDEX('Rate &amp; Vol Update'!$E$6:$Z$6,1,MATCH(CI42,'Rate &amp; Vol Update'!$E$6:$Z$6,1)),'Rate &amp; Vol Update'!$E$6:$Z$6,0))*(INDEX('Rate &amp; Vol Update'!$E$6:$Z$6,1,MATCH(CI42,'Rate &amp; Vol Update'!$E$6:$Z$6,1)+1)-CI42)*(INDEX('Rate &amp; Vol Update'!$B$8:$B$127,MATCH(CD42,'Rate &amp; Vol Update'!$B$8:$B$127,1)+1)-CD42)+INDEX('Rate &amp; Vol Update'!$E$8:$Z$127,MATCH(INDEX('Rate &amp; Vol Update'!$B$8:$B$127,MATCH(CD42,'Rate &amp; Vol Update'!$B$8:$B$127,1)),'Rate &amp; Vol Update'!$B$8:$B$127,0),MATCH(INDEX('Rate &amp; Vol Update'!$E$6:$Z$6,1,MATCH(CI42,'Rate &amp; Vol Update'!$E$6:$Z$6,1)+1),'Rate &amp; Vol Update'!$E$6:$Z$6,0))*(CI42-INDEX('Rate &amp; Vol Update'!$E$6:$Z$6,1,MATCH(CI42,'Rate &amp; Vol Update'!$E$6:$Z$6,1)))*(INDEX('Rate &amp; Vol Update'!$B$8:$B$127,MATCH(CD42,'Rate &amp; Vol Update'!$B$8:$B$127,1)+1)-CD42)+INDEX('Rate &amp; Vol Update'!$E$8:$Z$127,MATCH(INDEX('Rate &amp; Vol Update'!$B$8:$B$127,MATCH(CD42,'Rate &amp; Vol Update'!$B$8:$B$127,1)+1),'Rate &amp; Vol Update'!$B$8:$B$127,0),MATCH(INDEX('Rate &amp; Vol Update'!$E$6:$Z$6,1,MATCH(CI42,'Rate &amp; Vol Update'!$E$6:$Z$6,1)),'Rate &amp; Vol Update'!$E$6:$Z$6,0))*(INDEX('Rate &amp; Vol Update'!$E$6:$Z$6,1,MATCH(CI42,'Rate &amp; Vol Update'!$E$6:$Z$6,1)+1)-CI42)*(CD42-INDEX('Rate &amp; Vol Update'!$B$8:$B$127,MATCH(CD42,'Rate &amp; Vol Update'!$B$8:$B$127,1)))+INDEX('Rate &amp; Vol Update'!$E$8:$Z$127,MATCH(INDEX('Rate &amp; Vol Update'!$B$8:$B$127,MATCH(CD42,'Rate &amp; Vol Update'!$B$8:$B$127,1)+1),'Rate &amp; Vol Update'!$B$8:$B$127,0),MATCH(INDEX('Rate &amp; Vol Update'!$E$6:$Z$6,1,MATCH(CI42,'Rate &amp; Vol Update'!$E$6:$Z$6,1)+1),'Rate &amp; Vol Update'!$E$6:$Z$6,0))*(CI42-INDEX('Rate &amp; Vol Update'!$E$6:$Z$6,1,MATCH(CI42,'Rate &amp; Vol Update'!$E$6:$Z$6,1)))*(CD42-INDEX('Rate &amp; Vol Update'!$B$8:$B$127,MATCH(CD42,'Rate &amp; Vol Update'!$B$8:$B$127,1)))))*0.01%))</f>
        <v>1.1054116165650782E-2</v>
      </c>
      <c r="CL42" s="5">
        <f>IF(CC42="","",1/((1+CJ42)^((CE42-'Rate &amp; Vol Update'!$C$2)/360)))</f>
        <v>0.89202924093767944</v>
      </c>
      <c r="CN42" s="15">
        <f>IF(CC42="","",IF(CD42&lt;'Rate &amp; Vol Update'!$C$2,MAX(0,CJ42-CI42)*(CF42/360)*CH42,(((IF('Adjustment Surface'!$C$2='Data Validation'!$A$2,CJ42,IF('Adjustment Surface'!$C$2='Data Validation'!$A$3,CI42,"Unknown Option Type"))-IF('Adjustment Surface'!$C$2='Data Validation'!$A$2,CI42,IF('Adjustment Surface'!$C$2='Data Validation'!$A$3,CJ42,"Unknown Option Type")))*(NORMDIST((IF('Adjustment Surface'!$C$2='Data Validation'!$A$2,CJ42,IF('Adjustment Surface'!$C$2='Data Validation'!$A$3,CI42,"Unknown Option Type"))-IF('Adjustment Surface'!$C$2='Data Validation'!$A$2,CI42,IF('Adjustment Surface'!$C$2='Data Validation'!$A$3,CJ42,"Unknown Option Type")))/(CK42*SQRT(CG42)),0,1,TRUE)))+((CK42*SQRT(CG42))*(NORMDIST((IF('Adjustment Surface'!$C$2='Data Validation'!$A$2,CJ42,IF('Adjustment Surface'!$C$2='Data Validation'!$A$3,CI42,"Unknown Option Type"))-IF('Adjustment Surface'!$C$2='Data Validation'!$A$2,CI42,IF('Adjustment Surface'!$C$2='Data Validation'!$A$3,CJ42,"Unknown Option Type")))/(CK42*SQRT(CG42)),0,1,FALSE))))*CL42*(CF42/360)*CH42))</f>
        <v>1963.1923530156193</v>
      </c>
      <c r="CO42" s="15">
        <f>IF(CC42="","",SUM(CN$4:CN42))</f>
        <v>21938.243642159759</v>
      </c>
      <c r="CQ42" s="15">
        <f>IF(CC42="","",IF(CD42&lt;'Rate &amp; Vol Update'!$C$2,0,((((((IF('Adjustment Surface'!$C$2='Data Validation'!$A$2,CJ42,IF('Adjustment Surface'!$C$2='Data Validation'!$A$3,CI42,"Unknown Option Type"))-IF('Adjustment Surface'!$C$2='Data Validation'!$A$2,CI42,IF('Adjustment Surface'!$C$2='Data Validation'!$A$3,CJ42,"Unknown Option Type")))*(NORMDIST((IF('Adjustment Surface'!$C$2='Data Validation'!$A$2,CJ42,IF('Adjustment Surface'!$C$2='Data Validation'!$A$3,CI42,"Unknown Option Type"))-IF('Adjustment Surface'!$C$2='Data Validation'!$A$2,CI42,IF('Adjustment Surface'!$C$2='Data Validation'!$A$3,CJ42,"Unknown Option Type")))/((CK42+0.01%)*SQRT(CG42)),0,1,TRUE)))+(((CK42+0.01%)*SQRT(CG42))*(NORMDIST((IF('Adjustment Surface'!$C$2='Data Validation'!$A$2,CJ42,IF('Adjustment Surface'!$C$2='Data Validation'!$A$3,CI42,"Unknown Option Type"))-IF('Adjustment Surface'!$C$2='Data Validation'!$A$2,CI42,IF('Adjustment Surface'!$C$2='Data Validation'!$A$3,CJ42,"Unknown Option Type")))/((CK42+0.01%)*SQRT(CG42)),0,1,FALSE))))*CL42*(CF42/360))-(CN42/CH42))*CH42)*CL42))</f>
        <v>56.657290689816165</v>
      </c>
      <c r="CR42" s="15">
        <f>IF(CC42="","",SUM(CQ$4:CQ42))</f>
        <v>795.36609737253718</v>
      </c>
    </row>
    <row r="43" spans="7:96" x14ac:dyDescent="0.25">
      <c r="G43" s="28"/>
      <c r="J43" s="4" t="str">
        <f>IF(K42='Adjustment Surface'!C$8,"",K42)</f>
        <v/>
      </c>
      <c r="K43" s="4" t="str">
        <f>IF(J43="","",IF(J43&lt;'Adjustment Surface'!C$7,EDATE(J$5,COUNT(J$5:J43)),IF(J43='Adjustment Surface'!C$7,'Adjustment Surface'!C$8,'Adjustment Surface'!C$7)))</f>
        <v/>
      </c>
      <c r="L43" s="3" t="str">
        <f t="shared" si="1"/>
        <v/>
      </c>
      <c r="M43" s="5" t="str">
        <f>IF(I43="","",(K43-'Rate &amp; Vol Update'!$C$2)/360)</f>
        <v/>
      </c>
      <c r="N43" s="15" t="str">
        <f>IF(I43="","",IF('Adjustment Surface'!C$3='Data Validation'!$C$2,'Adjustment Surface'!C$4,IF(INDEX(Schedules!$E$3:$E$123,MATCH('Bachelier Model'!J43,Schedules!$B$3:$B$123,0))="",N42,INDEX(Schedules!$E$3:$E$123,MATCH('Bachelier Model'!J43,Schedules!$B$3:$B$123,0)))))</f>
        <v/>
      </c>
      <c r="O43" s="16" t="str">
        <f>IF(I43="","",IF('Adjustment Surface'!C$9='Data Validation'!$D$2,'Adjustment Surface'!C$10,IF(INDEX(Schedules!$H$3:$H$123,MATCH('Bachelier Model'!J43,Schedules!$B$3:$B$123,0))="",O42,INDEX(Schedules!$H$3:$H$123,MATCH('Bachelier Model'!J43,Schedules!$B$3:$B$123,0)))))</f>
        <v/>
      </c>
      <c r="P43" s="16" t="str" cm="1">
        <f t="array" ref="P43">IF(I43="","",FORECAST(J43,INDEX('Rate &amp; Vol Update'!$C$6:$C$127,MATCH(INDEX('Rate &amp; Vol Update'!$B$6:$B$127,MATCH(J43,'Rate &amp; Vol Update'!$B$6:$B$127,1)),'Rate &amp; Vol Update'!$B$6:$B$127,0)+IF('Adjustment Surface'!C$11='Data Validation'!$E$3,-1,0)):INDEX('Rate &amp; Vol Update'!$C$6:$C$127,MATCH(INDEX('Rate &amp; Vol Update'!$B$6:$B$127,MATCH(J43,'Rate &amp; Vol Update'!$B$6:$B$127,1)+1),'Rate &amp; Vol Update'!$B$6:$B$127,0)+IF('Adjustment Surface'!C$11='Data Validation'!$E$3,-1,0)),INDEX('Rate &amp; Vol Update'!$B$6:$B$127,MATCH(J43,'Rate &amp; Vol Update'!$B$6:$B$127,1)):INDEX('Rate &amp; Vol Update'!$B$6:$B$127,MATCH(J43,'Rate &amp; Vol Update'!$B$6:$B$127,1)+1))/100)</f>
        <v/>
      </c>
      <c r="Q43" s="16" t="str" cm="1">
        <f t="array" ref="Q43">IF(I43="","",IF(J43&lt;'Rate &amp; Vol Update'!$C$2,0.001%,(1/((INDEX('Rate &amp; Vol Update'!$E$6:$Z$6,1,MATCH(O43,'Rate &amp; Vol Update'!$E$6:$Z$6,1)+1)-INDEX('Rate &amp; Vol Update'!$E$6:$Z$6,1,MATCH(O43,'Rate &amp; Vol Update'!$E$6:$Z$6,1)))*(INDEX('Rate &amp; Vol Update'!$B$8:$B$127,MATCH(J43,'Rate &amp; Vol Update'!$B$8:$B$127,1)+1)-INDEX('Rate &amp; Vol Update'!$B$8:$B$127,MATCH(J43,'Rate &amp; Vol Update'!$B$8:$B$127,1))))*(INDEX('Rate &amp; Vol Update'!$E$8:$Z$127,MATCH(INDEX('Rate &amp; Vol Update'!$B$8:$B$127,MATCH(J43,'Rate &amp; Vol Update'!$B$8:$B$127,1)),'Rate &amp; Vol Update'!$B$8:$B$127,0),MATCH(INDEX('Rate &amp; Vol Update'!$E$6:$Z$6,1,MATCH(O43,'Rate &amp; Vol Update'!$E$6:$Z$6,1)),'Rate &amp; Vol Update'!$E$6:$Z$6,0))*(INDEX('Rate &amp; Vol Update'!$E$6:$Z$6,1,MATCH(O43,'Rate &amp; Vol Update'!$E$6:$Z$6,1)+1)-O43)*(INDEX('Rate &amp; Vol Update'!$B$8:$B$127,MATCH(J43,'Rate &amp; Vol Update'!$B$8:$B$127,1)+1)-J43)+INDEX('Rate &amp; Vol Update'!$E$8:$Z$127,MATCH(INDEX('Rate &amp; Vol Update'!$B$8:$B$127,MATCH(J43,'Rate &amp; Vol Update'!$B$8:$B$127,1)),'Rate &amp; Vol Update'!$B$8:$B$127,0),MATCH(INDEX('Rate &amp; Vol Update'!$E$6:$Z$6,1,MATCH(O43,'Rate &amp; Vol Update'!$E$6:$Z$6,1)+1),'Rate &amp; Vol Update'!$E$6:$Z$6,0))*(O43-INDEX('Rate &amp; Vol Update'!$E$6:$Z$6,1,MATCH(O43,'Rate &amp; Vol Update'!$E$6:$Z$6,1)))*(INDEX('Rate &amp; Vol Update'!$B$8:$B$127,MATCH(J43,'Rate &amp; Vol Update'!$B$8:$B$127,1)+1)-J43)+INDEX('Rate &amp; Vol Update'!$E$8:$Z$127,MATCH(INDEX('Rate &amp; Vol Update'!$B$8:$B$127,MATCH(J43,'Rate &amp; Vol Update'!$B$8:$B$127,1)+1),'Rate &amp; Vol Update'!$B$8:$B$127,0),MATCH(INDEX('Rate &amp; Vol Update'!$E$6:$Z$6,1,MATCH(O43,'Rate &amp; Vol Update'!$E$6:$Z$6,1)),'Rate &amp; Vol Update'!$E$6:$Z$6,0))*(INDEX('Rate &amp; Vol Update'!$E$6:$Z$6,1,MATCH(O43,'Rate &amp; Vol Update'!$E$6:$Z$6,1)+1)-O43)*(J43-INDEX('Rate &amp; Vol Update'!$B$8:$B$127,MATCH(J43,'Rate &amp; Vol Update'!$B$8:$B$127,1)))+INDEX('Rate &amp; Vol Update'!$E$8:$Z$127,MATCH(INDEX('Rate &amp; Vol Update'!$B$8:$B$127,MATCH(J43,'Rate &amp; Vol Update'!$B$8:$B$127,1)+1),'Rate &amp; Vol Update'!$B$8:$B$127,0),MATCH(INDEX('Rate &amp; Vol Update'!$E$6:$Z$6,1,MATCH(O43,'Rate &amp; Vol Update'!$E$6:$Z$6,1)+1),'Rate &amp; Vol Update'!$E$6:$Z$6,0))*(O43-INDEX('Rate &amp; Vol Update'!$E$6:$Z$6,1,MATCH(O43,'Rate &amp; Vol Update'!$E$6:$Z$6,1)))*(J43-INDEX('Rate &amp; Vol Update'!$B$8:$B$127,MATCH(J43,'Rate &amp; Vol Update'!$B$8:$B$127,1)))))*0.01%))</f>
        <v/>
      </c>
      <c r="R43" s="5" t="str">
        <f>IF(I43="","",1/((1+P43)^((K43-'Rate &amp; Vol Update'!$C$2)/360)))</f>
        <v/>
      </c>
      <c r="T43" s="15" t="str">
        <f>IF(I43="","",IF(J43&lt;'Rate &amp; Vol Update'!$C$2,MAX(0,P43-O43)*(L43/360)*N43,(((IF('Adjustment Surface'!C$2='Data Validation'!$A$2,P43,IF('Adjustment Surface'!C$2='Data Validation'!$A$3,O43,"Unknown Option Type"))-IF('Adjustment Surface'!C$2='Data Validation'!$A$2,O43,IF('Adjustment Surface'!C$2='Data Validation'!$A$3,P43,"Unknown Option Type")))*(NORMDIST((IF('Adjustment Surface'!C$2='Data Validation'!$A$2,P43,IF('Adjustment Surface'!C$2='Data Validation'!$A$3,O43,"Unknown Option Type"))-IF('Adjustment Surface'!C$2='Data Validation'!$A$2,O43,IF('Adjustment Surface'!C$2='Data Validation'!$A$3,P43,"Unknown Option Type")))/(Q43*SQRT(M43)),0,1,TRUE)))+((Q43*SQRT(M43))*(NORMDIST((IF('Adjustment Surface'!C$2='Data Validation'!$A$2,P43,IF('Adjustment Surface'!C$2='Data Validation'!$A$3,O43,"Unknown Option Type"))-IF('Adjustment Surface'!C$2='Data Validation'!$A$2,O43,IF('Adjustment Surface'!C$2='Data Validation'!$A$3,P43,"Unknown Option Type")))/(Q43*SQRT(M43)),0,1,FALSE))))*R43*(L43/360)*N43))</f>
        <v/>
      </c>
      <c r="U43" s="15" t="str">
        <f>IF(I43="","",SUM(T$4:T43))</f>
        <v/>
      </c>
      <c r="W43" s="15" t="str">
        <f>IF(I43="","",IF(J43&lt;'Rate &amp; Vol Update'!$C$2,0,((((((IF('Adjustment Surface'!C$2='Data Validation'!$A$2,P43,IF('Adjustment Surface'!C$2='Data Validation'!$A$3,O43,"Unknown Option Type"))-IF('Adjustment Surface'!C$2='Data Validation'!$A$2,O43,IF('Adjustment Surface'!C$2='Data Validation'!$A$3,P43,"Unknown Option Type")))*(NORMDIST((IF('Adjustment Surface'!C$2='Data Validation'!$A$2,P43,IF('Adjustment Surface'!C$2='Data Validation'!$A$3,O43,"Unknown Option Type"))-IF('Adjustment Surface'!C$2='Data Validation'!$A$2,O43,IF('Adjustment Surface'!C$2='Data Validation'!$A$3,P43,"Unknown Option Type")))/((Q43+0.01%)*SQRT(M43)),0,1,TRUE)))+(((Q43+0.01%)*SQRT(M43))*(NORMDIST((IF('Adjustment Surface'!C$2='Data Validation'!$A$2,P43,IF('Adjustment Surface'!C$2='Data Validation'!$A$3,O43,"Unknown Option Type"))-IF('Adjustment Surface'!C$2='Data Validation'!$A$2,O43,IF('Adjustment Surface'!C$2='Data Validation'!$A$3,P43,"Unknown Option Type")))/((Q43+0.01%)*SQRT(M43)),0,1,FALSE))))*R43*(L43/360))-(T43/N43))*N43)*R43))</f>
        <v/>
      </c>
      <c r="X43" s="15" t="str">
        <f>IF(I43="","",SUM(W$4:W43))</f>
        <v/>
      </c>
      <c r="Y43" s="15"/>
      <c r="Z43" s="20"/>
      <c r="AA43" s="3">
        <v>40</v>
      </c>
      <c r="AB43" s="4">
        <f>IF(AC42=MAX('Adjustment Surface'!$C$14:$F$14),"",AC42)</f>
        <v>47249</v>
      </c>
      <c r="AC43" s="4">
        <f>IF(AB43="","",IF(AB43&lt;EDATE('Adjustment Surface'!$C$6,DATEDIF('Adjustment Surface'!$C$6,MAX('Adjustment Surface'!$C$14:$F$14),"M")),EDATE(AB$5,COUNT(AB$5:AB43)),IF(AB43=EDATE('Adjustment Surface'!$C$6,DATEDIF('Adjustment Surface'!$C$6,MAX('Adjustment Surface'!$C$14:$F$14),"M")),MAX('Adjustment Surface'!$C$14:$F$14),EDATE('Adjustment Surface'!$C$6,DATEDIF('Adjustment Surface'!$C$6,MAX('Adjustment Surface'!$C$14:$F$14),"M")))))</f>
        <v>47280</v>
      </c>
      <c r="AD43" s="3">
        <f t="shared" si="2"/>
        <v>31</v>
      </c>
      <c r="AE43" s="5">
        <f>IF(AA43="","",(AC43-'Rate &amp; Vol Update'!$C$2)/360)</f>
        <v>3.3777777777777778</v>
      </c>
      <c r="AF43" s="15">
        <f>IF(AA43="","",IF('Adjustment Surface'!$C$3='Data Validation'!$C$2,'Adjustment Surface'!$C$4,_xlfn.IFNA(IF(INDEX(Schedules!$E$3:$E$123,MATCH('Bachelier Model'!AB43,Schedules!$B$3:$B$123,0))="",AF42,INDEX(Schedules!$E$3:$E$123,MATCH('Bachelier Model'!AB43,Schedules!$B$3:$B$123,0))),AF42)))</f>
        <v>25000000</v>
      </c>
      <c r="AG43" s="16">
        <f>IF(AA43="","",'Adjustment Surface'!B$15)</f>
        <v>0.03</v>
      </c>
      <c r="AH43" s="16" cm="1">
        <f t="array" ref="AH43">IF(AA43="","",FORECAST(AB43,INDEX('Rate &amp; Vol Update'!$C$6:$C$127,MATCH(INDEX('Rate &amp; Vol Update'!$B$6:$B$127,MATCH(AB43,'Rate &amp; Vol Update'!$B$6:$B$127,1)),'Rate &amp; Vol Update'!$B$6:$B$127,0)+IF('Adjustment Surface'!$C$11='Data Validation'!$E$3,-1,0)):INDEX('Rate &amp; Vol Update'!$C$6:$C$127,MATCH(INDEX('Rate &amp; Vol Update'!$B$6:$B$127,MATCH(AB43,'Rate &amp; Vol Update'!$B$6:$B$127,1)+1),'Rate &amp; Vol Update'!$B$6:$B$127,0)+IF('Adjustment Surface'!$C$11='Data Validation'!$E$3,-1,0)),INDEX('Rate &amp; Vol Update'!$B$6:$B$127,MATCH(AB43,'Rate &amp; Vol Update'!$B$6:$B$127,1)):INDEX('Rate &amp; Vol Update'!$B$6:$B$127,MATCH(AB43,'Rate &amp; Vol Update'!$B$6:$B$127,1)+1))/100)</f>
        <v>3.5320245311938336E-2</v>
      </c>
      <c r="AI43" s="16" cm="1">
        <f t="array" ref="AI43">IF(AA43="","",IF(AB43&lt;'Rate &amp; Vol Update'!$C$2,0.001%,(1/((INDEX('Rate &amp; Vol Update'!$E$6:$Z$6,1,MATCH(AG43,'Rate &amp; Vol Update'!$E$6:$Z$6,1)+1)-INDEX('Rate &amp; Vol Update'!$E$6:$Z$6,1,MATCH(AG43,'Rate &amp; Vol Update'!$E$6:$Z$6,1)))*(INDEX('Rate &amp; Vol Update'!$B$8:$B$127,MATCH(AB43,'Rate &amp; Vol Update'!$B$8:$B$127,1)+1)-INDEX('Rate &amp; Vol Update'!$B$8:$B$127,MATCH(AB43,'Rate &amp; Vol Update'!$B$8:$B$127,1))))*(INDEX('Rate &amp; Vol Update'!$E$8:$Z$127,MATCH(INDEX('Rate &amp; Vol Update'!$B$8:$B$127,MATCH(AB43,'Rate &amp; Vol Update'!$B$8:$B$127,1)),'Rate &amp; Vol Update'!$B$8:$B$127,0),MATCH(INDEX('Rate &amp; Vol Update'!$E$6:$Z$6,1,MATCH(AG43,'Rate &amp; Vol Update'!$E$6:$Z$6,1)),'Rate &amp; Vol Update'!$E$6:$Z$6,0))*(INDEX('Rate &amp; Vol Update'!$E$6:$Z$6,1,MATCH(AG43,'Rate &amp; Vol Update'!$E$6:$Z$6,1)+1)-AG43)*(INDEX('Rate &amp; Vol Update'!$B$8:$B$127,MATCH(AB43,'Rate &amp; Vol Update'!$B$8:$B$127,1)+1)-AB43)+INDEX('Rate &amp; Vol Update'!$E$8:$Z$127,MATCH(INDEX('Rate &amp; Vol Update'!$B$8:$B$127,MATCH(AB43,'Rate &amp; Vol Update'!$B$8:$B$127,1)),'Rate &amp; Vol Update'!$B$8:$B$127,0),MATCH(INDEX('Rate &amp; Vol Update'!$E$6:$Z$6,1,MATCH(AG43,'Rate &amp; Vol Update'!$E$6:$Z$6,1)+1),'Rate &amp; Vol Update'!$E$6:$Z$6,0))*(AG43-INDEX('Rate &amp; Vol Update'!$E$6:$Z$6,1,MATCH(AG43,'Rate &amp; Vol Update'!$E$6:$Z$6,1)))*(INDEX('Rate &amp; Vol Update'!$B$8:$B$127,MATCH(AB43,'Rate &amp; Vol Update'!$B$8:$B$127,1)+1)-AB43)+INDEX('Rate &amp; Vol Update'!$E$8:$Z$127,MATCH(INDEX('Rate &amp; Vol Update'!$B$8:$B$127,MATCH(AB43,'Rate &amp; Vol Update'!$B$8:$B$127,1)+1),'Rate &amp; Vol Update'!$B$8:$B$127,0),MATCH(INDEX('Rate &amp; Vol Update'!$E$6:$Z$6,1,MATCH(AG43,'Rate &amp; Vol Update'!$E$6:$Z$6,1)),'Rate &amp; Vol Update'!$E$6:$Z$6,0))*(INDEX('Rate &amp; Vol Update'!$E$6:$Z$6,1,MATCH(AG43,'Rate &amp; Vol Update'!$E$6:$Z$6,1)+1)-AG43)*(AB43-INDEX('Rate &amp; Vol Update'!$B$8:$B$127,MATCH(AB43,'Rate &amp; Vol Update'!$B$8:$B$127,1)))+INDEX('Rate &amp; Vol Update'!$E$8:$Z$127,MATCH(INDEX('Rate &amp; Vol Update'!$B$8:$B$127,MATCH(AB43,'Rate &amp; Vol Update'!$B$8:$B$127,1)+1),'Rate &amp; Vol Update'!$B$8:$B$127,0),MATCH(INDEX('Rate &amp; Vol Update'!$E$6:$Z$6,1,MATCH(AG43,'Rate &amp; Vol Update'!$E$6:$Z$6,1)+1),'Rate &amp; Vol Update'!$E$6:$Z$6,0))*(AG43-INDEX('Rate &amp; Vol Update'!$E$6:$Z$6,1,MATCH(AG43,'Rate &amp; Vol Update'!$E$6:$Z$6,1)))*(AB43-INDEX('Rate &amp; Vol Update'!$B$8:$B$127,MATCH(AB43,'Rate &amp; Vol Update'!$B$8:$B$127,1)))))*0.01%))</f>
        <v>8.1288641806658776E-3</v>
      </c>
      <c r="AJ43" s="5">
        <f>IF(AA43="","",1/((1+AH43)^((AC43-'Rate &amp; Vol Update'!$C$2)/360)))</f>
        <v>0.88936695957649059</v>
      </c>
      <c r="AL43" s="15">
        <f>IF(AA43="","",IF(AB43&lt;'Rate &amp; Vol Update'!$C$2,MAX(0,AH43-AG43)*(AD43/360)*AF43,(((IF('Adjustment Surface'!$C$2='Data Validation'!$A$2,AH43,IF('Adjustment Surface'!$C$2='Data Validation'!$A$3,AG43,"Unknown Option Type"))-IF('Adjustment Surface'!$C$2='Data Validation'!$A$2,AG43,IF('Adjustment Surface'!$C$2='Data Validation'!$A$3,AH43,"Unknown Option Type")))*(NORMDIST((IF('Adjustment Surface'!$C$2='Data Validation'!$A$2,AH43,IF('Adjustment Surface'!$C$2='Data Validation'!$A$3,AG43,"Unknown Option Type"))-IF('Adjustment Surface'!$C$2='Data Validation'!$A$2,AG43,IF('Adjustment Surface'!$C$2='Data Validation'!$A$3,AH43,"Unknown Option Type")))/(AI43*SQRT(AE43)),0,1,TRUE)))+((AI43*SQRT(AE43))*(NORMDIST((IF('Adjustment Surface'!$C$2='Data Validation'!$A$2,AH43,IF('Adjustment Surface'!$C$2='Data Validation'!$A$3,AG43,"Unknown Option Type"))-IF('Adjustment Surface'!$C$2='Data Validation'!$A$2,AG43,IF('Adjustment Surface'!$C$2='Data Validation'!$A$3,AH43,"Unknown Option Type")))/(AI43*SQRT(AE43)),0,1,FALSE))))*AJ43*(AD43/360)*AF43))</f>
        <v>17220.425407939973</v>
      </c>
      <c r="AM43" s="15">
        <f>IF(AA43="","",SUM(AL$4:AL43))</f>
        <v>476912.29081240756</v>
      </c>
      <c r="AO43" s="15">
        <f>IF(AA43="","",IF(AB43&lt;'Rate &amp; Vol Update'!$C$2,0,((((((IF('Adjustment Surface'!$C$2='Data Validation'!$A$2,AH43,IF('Adjustment Surface'!$C$2='Data Validation'!$A$3,AG43,"Unknown Option Type"))-IF('Adjustment Surface'!$C$2='Data Validation'!$A$2,AG43,IF('Adjustment Surface'!$C$2='Data Validation'!$A$3,AH43,"Unknown Option Type")))*(NORMDIST((IF('Adjustment Surface'!$C$2='Data Validation'!$A$2,AH43,IF('Adjustment Surface'!$C$2='Data Validation'!$A$3,AG43,"Unknown Option Type"))-IF('Adjustment Surface'!$C$2='Data Validation'!$A$2,AG43,IF('Adjustment Surface'!$C$2='Data Validation'!$A$3,AH43,"Unknown Option Type")))/((AI43+0.01%)*SQRT(AE43)),0,1,TRUE)))+(((AI43+0.01%)*SQRT(AE43))*(NORMDIST((IF('Adjustment Surface'!$C$2='Data Validation'!$A$2,AH43,IF('Adjustment Surface'!$C$2='Data Validation'!$A$3,AG43,"Unknown Option Type"))-IF('Adjustment Surface'!$C$2='Data Validation'!$A$2,AG43,IF('Adjustment Surface'!$C$2='Data Validation'!$A$3,AH43,"Unknown Option Type")))/((AI43+0.01%)*SQRT(AE43)),0,1,FALSE))))*AJ43*(AD43/360))-(AL43/AF43))*AF43)*AJ43))</f>
        <v>117.26916418385083</v>
      </c>
      <c r="AP43" s="15">
        <f>IF(AA43="","",SUM(AO$4:AO43))</f>
        <v>3375.6577046428229</v>
      </c>
      <c r="AQ43" s="15"/>
      <c r="AR43" s="20"/>
      <c r="AS43" s="3">
        <v>40</v>
      </c>
      <c r="AT43" s="4">
        <f>IF(AU42=MAX('Adjustment Surface'!$C$14:$F$14),"",AU42)</f>
        <v>47249</v>
      </c>
      <c r="AU43" s="4">
        <f>IF(AT43="","",IF(AT43&lt;EDATE('Adjustment Surface'!$C$6,DATEDIF('Adjustment Surface'!$C$6,MAX('Adjustment Surface'!$C$14:$F$14),"M")),EDATE(AT$5,COUNT(AT$5:AT43)),IF(AT43=EDATE('Adjustment Surface'!$C$6,DATEDIF('Adjustment Surface'!$C$6,MAX('Adjustment Surface'!$C$14:$F$14),"M")),MAX('Adjustment Surface'!$C$14:$F$14),EDATE('Adjustment Surface'!$C$6,DATEDIF('Adjustment Surface'!$C$6,MAX('Adjustment Surface'!$C$14:$F$14),"M")))))</f>
        <v>47280</v>
      </c>
      <c r="AV43" s="3">
        <f t="shared" si="3"/>
        <v>31</v>
      </c>
      <c r="AW43" s="5">
        <f>IF(AS43="","",(AU43-'Rate &amp; Vol Update'!$C$2)/360)</f>
        <v>3.3777777777777778</v>
      </c>
      <c r="AX43" s="15">
        <f>IF(AS43="","",IF('Adjustment Surface'!$C$3='Data Validation'!$C$2,'Adjustment Surface'!$C$4,_xlfn.IFNA(IF(INDEX(Schedules!$E$3:$E$123,MATCH('Bachelier Model'!AT43,Schedules!$B$3:$B$123,0))="",AX42,INDEX(Schedules!$E$3:$E$123,MATCH('Bachelier Model'!AT43,Schedules!$B$3:$B$123,0))),AX42)))</f>
        <v>25000000</v>
      </c>
      <c r="AY43" s="16">
        <f>IF(AS43="","",'Adjustment Surface'!B$16)</f>
        <v>0.04</v>
      </c>
      <c r="AZ43" s="16" cm="1">
        <f t="array" ref="AZ43">IF(AS43="","",FORECAST(AT43,INDEX('Rate &amp; Vol Update'!$C$6:$C$127,MATCH(INDEX('Rate &amp; Vol Update'!$B$6:$B$127,MATCH(AT43,'Rate &amp; Vol Update'!$B$6:$B$127,1)),'Rate &amp; Vol Update'!$B$6:$B$127,0)+IF('Adjustment Surface'!$C$11='Data Validation'!$E$3,-1,0)):INDEX('Rate &amp; Vol Update'!$C$6:$C$127,MATCH(INDEX('Rate &amp; Vol Update'!$B$6:$B$127,MATCH(AT43,'Rate &amp; Vol Update'!$B$6:$B$127,1)+1),'Rate &amp; Vol Update'!$B$6:$B$127,0)+IF('Adjustment Surface'!$C$11='Data Validation'!$E$3,-1,0)),INDEX('Rate &amp; Vol Update'!$B$6:$B$127,MATCH(AT43,'Rate &amp; Vol Update'!$B$6:$B$127,1)):INDEX('Rate &amp; Vol Update'!$B$6:$B$127,MATCH(AT43,'Rate &amp; Vol Update'!$B$6:$B$127,1)+1))/100)</f>
        <v>3.5320245311938336E-2</v>
      </c>
      <c r="BA43" s="16" cm="1">
        <f t="array" ref="BA43">IF(AS43="","",IF(AT43&lt;'Rate &amp; Vol Update'!$C$2,0.001%,(1/((INDEX('Rate &amp; Vol Update'!$E$6:$Z$6,1,MATCH(AY43,'Rate &amp; Vol Update'!$E$6:$Z$6,1)+1)-INDEX('Rate &amp; Vol Update'!$E$6:$Z$6,1,MATCH(AY43,'Rate &amp; Vol Update'!$E$6:$Z$6,1)))*(INDEX('Rate &amp; Vol Update'!$B$8:$B$127,MATCH(AT43,'Rate &amp; Vol Update'!$B$8:$B$127,1)+1)-INDEX('Rate &amp; Vol Update'!$B$8:$B$127,MATCH(AT43,'Rate &amp; Vol Update'!$B$8:$B$127,1))))*(INDEX('Rate &amp; Vol Update'!$E$8:$Z$127,MATCH(INDEX('Rate &amp; Vol Update'!$B$8:$B$127,MATCH(AT43,'Rate &amp; Vol Update'!$B$8:$B$127,1)),'Rate &amp; Vol Update'!$B$8:$B$127,0),MATCH(INDEX('Rate &amp; Vol Update'!$E$6:$Z$6,1,MATCH(AY43,'Rate &amp; Vol Update'!$E$6:$Z$6,1)),'Rate &amp; Vol Update'!$E$6:$Z$6,0))*(INDEX('Rate &amp; Vol Update'!$E$6:$Z$6,1,MATCH(AY43,'Rate &amp; Vol Update'!$E$6:$Z$6,1)+1)-AY43)*(INDEX('Rate &amp; Vol Update'!$B$8:$B$127,MATCH(AT43,'Rate &amp; Vol Update'!$B$8:$B$127,1)+1)-AT43)+INDEX('Rate &amp; Vol Update'!$E$8:$Z$127,MATCH(INDEX('Rate &amp; Vol Update'!$B$8:$B$127,MATCH(AT43,'Rate &amp; Vol Update'!$B$8:$B$127,1)),'Rate &amp; Vol Update'!$B$8:$B$127,0),MATCH(INDEX('Rate &amp; Vol Update'!$E$6:$Z$6,1,MATCH(AY43,'Rate &amp; Vol Update'!$E$6:$Z$6,1)+1),'Rate &amp; Vol Update'!$E$6:$Z$6,0))*(AY43-INDEX('Rate &amp; Vol Update'!$E$6:$Z$6,1,MATCH(AY43,'Rate &amp; Vol Update'!$E$6:$Z$6,1)))*(INDEX('Rate &amp; Vol Update'!$B$8:$B$127,MATCH(AT43,'Rate &amp; Vol Update'!$B$8:$B$127,1)+1)-AT43)+INDEX('Rate &amp; Vol Update'!$E$8:$Z$127,MATCH(INDEX('Rate &amp; Vol Update'!$B$8:$B$127,MATCH(AT43,'Rate &amp; Vol Update'!$B$8:$B$127,1)+1),'Rate &amp; Vol Update'!$B$8:$B$127,0),MATCH(INDEX('Rate &amp; Vol Update'!$E$6:$Z$6,1,MATCH(AY43,'Rate &amp; Vol Update'!$E$6:$Z$6,1)),'Rate &amp; Vol Update'!$E$6:$Z$6,0))*(INDEX('Rate &amp; Vol Update'!$E$6:$Z$6,1,MATCH(AY43,'Rate &amp; Vol Update'!$E$6:$Z$6,1)+1)-AY43)*(AT43-INDEX('Rate &amp; Vol Update'!$B$8:$B$127,MATCH(AT43,'Rate &amp; Vol Update'!$B$8:$B$127,1)))+INDEX('Rate &amp; Vol Update'!$E$8:$Z$127,MATCH(INDEX('Rate &amp; Vol Update'!$B$8:$B$127,MATCH(AT43,'Rate &amp; Vol Update'!$B$8:$B$127,1)+1),'Rate &amp; Vol Update'!$B$8:$B$127,0),MATCH(INDEX('Rate &amp; Vol Update'!$E$6:$Z$6,1,MATCH(AY43,'Rate &amp; Vol Update'!$E$6:$Z$6,1)+1),'Rate &amp; Vol Update'!$E$6:$Z$6,0))*(AY43-INDEX('Rate &amp; Vol Update'!$E$6:$Z$6,1,MATCH(AY43,'Rate &amp; Vol Update'!$E$6:$Z$6,1)))*(AT43-INDEX('Rate &amp; Vol Update'!$B$8:$B$127,MATCH(AT43,'Rate &amp; Vol Update'!$B$8:$B$127,1)))))*0.01%))</f>
        <v>8.5974915386331473E-3</v>
      </c>
      <c r="BB43" s="5">
        <f>IF(AS43="","",1/((1+AZ43)^((AU43-'Rate &amp; Vol Update'!$C$2)/360)))</f>
        <v>0.88936695957649059</v>
      </c>
      <c r="BD43" s="15">
        <f>IF(AS43="","",IF(AT43&lt;'Rate &amp; Vol Update'!$C$2,MAX(0,AZ43-AY43)*(AV43/360)*AX43,(((IF('Adjustment Surface'!$C$2='Data Validation'!$A$2,AZ43,IF('Adjustment Surface'!$C$2='Data Validation'!$A$3,AY43,"Unknown Option Type"))-IF('Adjustment Surface'!$C$2='Data Validation'!$A$2,AY43,IF('Adjustment Surface'!$C$2='Data Validation'!$A$3,AZ43,"Unknown Option Type")))*(NORMDIST((IF('Adjustment Surface'!$C$2='Data Validation'!$A$2,AZ43,IF('Adjustment Surface'!$C$2='Data Validation'!$A$3,AY43,"Unknown Option Type"))-IF('Adjustment Surface'!$C$2='Data Validation'!$A$2,AY43,IF('Adjustment Surface'!$C$2='Data Validation'!$A$3,AZ43,"Unknown Option Type")))/(BA43*SQRT(AW43)),0,1,TRUE)))+((BA43*SQRT(AW43))*(NORMDIST((IF('Adjustment Surface'!$C$2='Data Validation'!$A$2,AZ43,IF('Adjustment Surface'!$C$2='Data Validation'!$A$3,AY43,"Unknown Option Type"))-IF('Adjustment Surface'!$C$2='Data Validation'!$A$2,AY43,IF('Adjustment Surface'!$C$2='Data Validation'!$A$3,AZ43,"Unknown Option Type")))/(BA43*SQRT(AW43)),0,1,FALSE))))*BB43*(AV43/360)*AX43))</f>
        <v>8114.7085036434464</v>
      </c>
      <c r="BE43" s="15">
        <f>IF(AS43="","",SUM(BD$4:BD43))</f>
        <v>125009.27007859935</v>
      </c>
      <c r="BG43" s="15">
        <f>IF(AS43="","",IF(AT43&lt;'Rate &amp; Vol Update'!$C$2,0,((((((IF('Adjustment Surface'!$C$2='Data Validation'!$A$2,AZ43,IF('Adjustment Surface'!$C$2='Data Validation'!$A$3,AY43,"Unknown Option Type"))-IF('Adjustment Surface'!$C$2='Data Validation'!$A$2,AY43,IF('Adjustment Surface'!$C$2='Data Validation'!$A$3,AZ43,"Unknown Option Type")))*(NORMDIST((IF('Adjustment Surface'!$C$2='Data Validation'!$A$2,AZ43,IF('Adjustment Surface'!$C$2='Data Validation'!$A$3,AY43,"Unknown Option Type"))-IF('Adjustment Surface'!$C$2='Data Validation'!$A$2,AY43,IF('Adjustment Surface'!$C$2='Data Validation'!$A$3,AZ43,"Unknown Option Type")))/((BA43+0.01%)*SQRT(AW43)),0,1,TRUE)))+(((BA43+0.01%)*SQRT(AW43))*(NORMDIST((IF('Adjustment Surface'!$C$2='Data Validation'!$A$2,AZ43,IF('Adjustment Surface'!$C$2='Data Validation'!$A$3,AY43,"Unknown Option Type"))-IF('Adjustment Surface'!$C$2='Data Validation'!$A$2,AY43,IF('Adjustment Surface'!$C$2='Data Validation'!$A$3,AZ43,"Unknown Option Type")))/((BA43+0.01%)*SQRT(AW43)),0,1,FALSE))))*BB43*(AV43/360))-(BD43/AX43))*AX43)*BB43))</f>
        <v>119.55254584104469</v>
      </c>
      <c r="BH43" s="15">
        <f>IF(AS43="","",SUM(BG$4:BG43))</f>
        <v>2770.8518903509362</v>
      </c>
      <c r="BI43" s="15"/>
      <c r="BJ43" s="20"/>
      <c r="BK43" s="3">
        <v>40</v>
      </c>
      <c r="BL43" s="4">
        <f>IF(BM42=MAX('Adjustment Surface'!$C$14:$F$14),"",BM42)</f>
        <v>47249</v>
      </c>
      <c r="BM43" s="4">
        <f>IF(BL43="","",IF(BL43&lt;EDATE('Adjustment Surface'!$C$6,DATEDIF('Adjustment Surface'!$C$6,MAX('Adjustment Surface'!$C$14:$F$14),"M")),EDATE(BL$5,COUNT(BL$5:BL43)),IF(BL43=EDATE('Adjustment Surface'!$C$6,DATEDIF('Adjustment Surface'!$C$6,MAX('Adjustment Surface'!$C$14:$F$14),"M")),MAX('Adjustment Surface'!$C$14:$F$14),EDATE('Adjustment Surface'!$C$6,DATEDIF('Adjustment Surface'!$C$6,MAX('Adjustment Surface'!$C$14:$F$14),"M")))))</f>
        <v>47280</v>
      </c>
      <c r="BN43" s="3">
        <f t="shared" si="4"/>
        <v>31</v>
      </c>
      <c r="BO43" s="5">
        <f>IF(BK43="","",(BM43-'Rate &amp; Vol Update'!$C$2)/360)</f>
        <v>3.3777777777777778</v>
      </c>
      <c r="BP43" s="15">
        <f>IF(BK43="","",IF('Adjustment Surface'!$C$3='Data Validation'!$C$2,'Adjustment Surface'!$C$4,_xlfn.IFNA(IF(INDEX(Schedules!$E$3:$E$123,MATCH('Bachelier Model'!BL43,Schedules!$B$3:$B$123,0))="",BP42,INDEX(Schedules!$E$3:$E$123,MATCH('Bachelier Model'!BL43,Schedules!$B$3:$B$123,0))),BP42)))</f>
        <v>25000000</v>
      </c>
      <c r="BQ43" s="16">
        <f>IF(BK43="","",'Adjustment Surface'!B$17)</f>
        <v>0.05</v>
      </c>
      <c r="BR43" s="16" cm="1">
        <f t="array" ref="BR43">IF(BK43="","",FORECAST(BL43,INDEX('Rate &amp; Vol Update'!$C$6:$C$127,MATCH(INDEX('Rate &amp; Vol Update'!$B$6:$B$127,MATCH(BL43,'Rate &amp; Vol Update'!$B$6:$B$127,1)),'Rate &amp; Vol Update'!$B$6:$B$127,0)+IF('Adjustment Surface'!$C$11='Data Validation'!$E$3,-1,0)):INDEX('Rate &amp; Vol Update'!$C$6:$C$127,MATCH(INDEX('Rate &amp; Vol Update'!$B$6:$B$127,MATCH(BL43,'Rate &amp; Vol Update'!$B$6:$B$127,1)+1),'Rate &amp; Vol Update'!$B$6:$B$127,0)+IF('Adjustment Surface'!$C$11='Data Validation'!$E$3,-1,0)),INDEX('Rate &amp; Vol Update'!$B$6:$B$127,MATCH(BL43,'Rate &amp; Vol Update'!$B$6:$B$127,1)):INDEX('Rate &amp; Vol Update'!$B$6:$B$127,MATCH(BL43,'Rate &amp; Vol Update'!$B$6:$B$127,1)+1))/100)</f>
        <v>3.5320245311938336E-2</v>
      </c>
      <c r="BS43" s="16" cm="1">
        <f t="array" ref="BS43">IF(BK43="","",IF(BL43&lt;'Rate &amp; Vol Update'!$C$2,0.001%,(1/((INDEX('Rate &amp; Vol Update'!$E$6:$Z$6,1,MATCH(BQ43,'Rate &amp; Vol Update'!$E$6:$Z$6,1)+1)-INDEX('Rate &amp; Vol Update'!$E$6:$Z$6,1,MATCH(BQ43,'Rate &amp; Vol Update'!$E$6:$Z$6,1)))*(INDEX('Rate &amp; Vol Update'!$B$8:$B$127,MATCH(BL43,'Rate &amp; Vol Update'!$B$8:$B$127,1)+1)-INDEX('Rate &amp; Vol Update'!$B$8:$B$127,MATCH(BL43,'Rate &amp; Vol Update'!$B$8:$B$127,1))))*(INDEX('Rate &amp; Vol Update'!$E$8:$Z$127,MATCH(INDEX('Rate &amp; Vol Update'!$B$8:$B$127,MATCH(BL43,'Rate &amp; Vol Update'!$B$8:$B$127,1)),'Rate &amp; Vol Update'!$B$8:$B$127,0),MATCH(INDEX('Rate &amp; Vol Update'!$E$6:$Z$6,1,MATCH(BQ43,'Rate &amp; Vol Update'!$E$6:$Z$6,1)),'Rate &amp; Vol Update'!$E$6:$Z$6,0))*(INDEX('Rate &amp; Vol Update'!$E$6:$Z$6,1,MATCH(BQ43,'Rate &amp; Vol Update'!$E$6:$Z$6,1)+1)-BQ43)*(INDEX('Rate &amp; Vol Update'!$B$8:$B$127,MATCH(BL43,'Rate &amp; Vol Update'!$B$8:$B$127,1)+1)-BL43)+INDEX('Rate &amp; Vol Update'!$E$8:$Z$127,MATCH(INDEX('Rate &amp; Vol Update'!$B$8:$B$127,MATCH(BL43,'Rate &amp; Vol Update'!$B$8:$B$127,1)),'Rate &amp; Vol Update'!$B$8:$B$127,0),MATCH(INDEX('Rate &amp; Vol Update'!$E$6:$Z$6,1,MATCH(BQ43,'Rate &amp; Vol Update'!$E$6:$Z$6,1)+1),'Rate &amp; Vol Update'!$E$6:$Z$6,0))*(BQ43-INDEX('Rate &amp; Vol Update'!$E$6:$Z$6,1,MATCH(BQ43,'Rate &amp; Vol Update'!$E$6:$Z$6,1)))*(INDEX('Rate &amp; Vol Update'!$B$8:$B$127,MATCH(BL43,'Rate &amp; Vol Update'!$B$8:$B$127,1)+1)-BL43)+INDEX('Rate &amp; Vol Update'!$E$8:$Z$127,MATCH(INDEX('Rate &amp; Vol Update'!$B$8:$B$127,MATCH(BL43,'Rate &amp; Vol Update'!$B$8:$B$127,1)+1),'Rate &amp; Vol Update'!$B$8:$B$127,0),MATCH(INDEX('Rate &amp; Vol Update'!$E$6:$Z$6,1,MATCH(BQ43,'Rate &amp; Vol Update'!$E$6:$Z$6,1)),'Rate &amp; Vol Update'!$E$6:$Z$6,0))*(INDEX('Rate &amp; Vol Update'!$E$6:$Z$6,1,MATCH(BQ43,'Rate &amp; Vol Update'!$E$6:$Z$6,1)+1)-BQ43)*(BL43-INDEX('Rate &amp; Vol Update'!$B$8:$B$127,MATCH(BL43,'Rate &amp; Vol Update'!$B$8:$B$127,1)))+INDEX('Rate &amp; Vol Update'!$E$8:$Z$127,MATCH(INDEX('Rate &amp; Vol Update'!$B$8:$B$127,MATCH(BL43,'Rate &amp; Vol Update'!$B$8:$B$127,1)+1),'Rate &amp; Vol Update'!$B$8:$B$127,0),MATCH(INDEX('Rate &amp; Vol Update'!$E$6:$Z$6,1,MATCH(BQ43,'Rate &amp; Vol Update'!$E$6:$Z$6,1)+1),'Rate &amp; Vol Update'!$E$6:$Z$6,0))*(BQ43-INDEX('Rate &amp; Vol Update'!$E$6:$Z$6,1,MATCH(BQ43,'Rate &amp; Vol Update'!$E$6:$Z$6,1)))*(BL43-INDEX('Rate &amp; Vol Update'!$B$8:$B$127,MATCH(BL43,'Rate &amp; Vol Update'!$B$8:$B$127,1)))))*0.01%))</f>
        <v>9.6887133644815524E-3</v>
      </c>
      <c r="BT43" s="5">
        <f>IF(BK43="","",1/((1+BR43)^((BM43-'Rate &amp; Vol Update'!$C$2)/360)))</f>
        <v>0.88936695957649059</v>
      </c>
      <c r="BV43" s="15">
        <f>IF(BK43="","",IF(BL43&lt;'Rate &amp; Vol Update'!$C$2,MAX(0,BR43-BQ43)*(BN43/360)*BP43,(((IF('Adjustment Surface'!$C$2='Data Validation'!$A$2,BR43,IF('Adjustment Surface'!$C$2='Data Validation'!$A$3,BQ43,"Unknown Option Type"))-IF('Adjustment Surface'!$C$2='Data Validation'!$A$2,BQ43,IF('Adjustment Surface'!$C$2='Data Validation'!$A$3,BR43,"Unknown Option Type")))*(NORMDIST((IF('Adjustment Surface'!$C$2='Data Validation'!$A$2,BR43,IF('Adjustment Surface'!$C$2='Data Validation'!$A$3,BQ43,"Unknown Option Type"))-IF('Adjustment Surface'!$C$2='Data Validation'!$A$2,BQ43,IF('Adjustment Surface'!$C$2='Data Validation'!$A$3,BR43,"Unknown Option Type")))/(BS43*SQRT(BO43)),0,1,TRUE)))+((BS43*SQRT(BO43))*(NORMDIST((IF('Adjustment Surface'!$C$2='Data Validation'!$A$2,BR43,IF('Adjustment Surface'!$C$2='Data Validation'!$A$3,BQ43,"Unknown Option Type"))-IF('Adjustment Surface'!$C$2='Data Validation'!$A$2,BQ43,IF('Adjustment Surface'!$C$2='Data Validation'!$A$3,BR43,"Unknown Option Type")))/(BS43*SQRT(BO43)),0,1,FALSE))))*BT43*(BN43/360)*BP43))</f>
        <v>3924.8905328618421</v>
      </c>
      <c r="BW43" s="15">
        <f>IF(BK43="","",SUM(BV$4:BV43))</f>
        <v>48218.087698582196</v>
      </c>
      <c r="BY43" s="15">
        <f>IF(BK43="","",IF(BL43&lt;'Rate &amp; Vol Update'!$C$2,0,((((((IF('Adjustment Surface'!$C$2='Data Validation'!$A$2,BR43,IF('Adjustment Surface'!$C$2='Data Validation'!$A$3,BQ43,"Unknown Option Type"))-IF('Adjustment Surface'!$C$2='Data Validation'!$A$2,BQ43,IF('Adjustment Surface'!$C$2='Data Validation'!$A$3,BR43,"Unknown Option Type")))*(NORMDIST((IF('Adjustment Surface'!$C$2='Data Validation'!$A$2,BR43,IF('Adjustment Surface'!$C$2='Data Validation'!$A$3,BQ43,"Unknown Option Type"))-IF('Adjustment Surface'!$C$2='Data Validation'!$A$2,BQ43,IF('Adjustment Surface'!$C$2='Data Validation'!$A$3,BR43,"Unknown Option Type")))/((BS43+0.01%)*SQRT(BO43)),0,1,TRUE)))+(((BS43+0.01%)*SQRT(BO43))*(NORMDIST((IF('Adjustment Surface'!$C$2='Data Validation'!$A$2,BR43,IF('Adjustment Surface'!$C$2='Data Validation'!$A$3,BQ43,"Unknown Option Type"))-IF('Adjustment Surface'!$C$2='Data Validation'!$A$2,BQ43,IF('Adjustment Surface'!$C$2='Data Validation'!$A$3,BR43,"Unknown Option Type")))/((BS43+0.01%)*SQRT(BO43)),0,1,FALSE))))*BT43*(BN43/360))-(BV43/BP43))*BP43)*BT43))</f>
        <v>89.189746507571471</v>
      </c>
      <c r="BZ43" s="15">
        <f>IF(BK43="","",SUM(BY$4:BY43))</f>
        <v>1475.1181658761677</v>
      </c>
      <c r="CA43" s="15"/>
      <c r="CB43" s="20"/>
      <c r="CC43" s="3">
        <v>40</v>
      </c>
      <c r="CD43" s="4">
        <f>IF(CE42=MAX('Adjustment Surface'!$C$14:$F$14),"",CE42)</f>
        <v>47249</v>
      </c>
      <c r="CE43" s="4">
        <f>IF(CD43="","",IF(CD43&lt;EDATE('Adjustment Surface'!$C$6,DATEDIF('Adjustment Surface'!$C$6,MAX('Adjustment Surface'!$C$14:$F$14),"M")),EDATE(CD$5,COUNT(CD$5:CD43)),IF(CD43=EDATE('Adjustment Surface'!$C$6,DATEDIF('Adjustment Surface'!$C$6,MAX('Adjustment Surface'!$C$14:$F$14),"M")),MAX('Adjustment Surface'!$C$14:$F$14),EDATE('Adjustment Surface'!$C$6,DATEDIF('Adjustment Surface'!$C$6,MAX('Adjustment Surface'!$C$14:$F$14),"M")))))</f>
        <v>47280</v>
      </c>
      <c r="CF43" s="3">
        <f t="shared" si="5"/>
        <v>31</v>
      </c>
      <c r="CG43" s="5">
        <f>IF(CC43="","",(CE43-'Rate &amp; Vol Update'!$C$2)/360)</f>
        <v>3.3777777777777778</v>
      </c>
      <c r="CH43" s="15">
        <f>IF(CC43="","",IF('Adjustment Surface'!$C$3='Data Validation'!$C$2,'Adjustment Surface'!$C$4,_xlfn.IFNA(IF(INDEX(Schedules!$E$3:$E$123,MATCH('Bachelier Model'!CD43,Schedules!$B$3:$B$123,0))="",CH42,INDEX(Schedules!$E$3:$E$123,MATCH('Bachelier Model'!CD43,Schedules!$B$3:$B$123,0))),CH42)))</f>
        <v>25000000</v>
      </c>
      <c r="CI43" s="16">
        <f>IF(CC43="","",'Adjustment Surface'!B$18)</f>
        <v>0.06</v>
      </c>
      <c r="CJ43" s="16" cm="1">
        <f t="array" ref="CJ43">IF(CC43="","",FORECAST(CD43,INDEX('Rate &amp; Vol Update'!$C$6:$C$127,MATCH(INDEX('Rate &amp; Vol Update'!$B$6:$B$127,MATCH(CD43,'Rate &amp; Vol Update'!$B$6:$B$127,1)),'Rate &amp; Vol Update'!$B$6:$B$127,0)+IF('Adjustment Surface'!$C$11='Data Validation'!$E$3,-1,0)):INDEX('Rate &amp; Vol Update'!$C$6:$C$127,MATCH(INDEX('Rate &amp; Vol Update'!$B$6:$B$127,MATCH(CD43,'Rate &amp; Vol Update'!$B$6:$B$127,1)+1),'Rate &amp; Vol Update'!$B$6:$B$127,0)+IF('Adjustment Surface'!$C$11='Data Validation'!$E$3,-1,0)),INDEX('Rate &amp; Vol Update'!$B$6:$B$127,MATCH(CD43,'Rate &amp; Vol Update'!$B$6:$B$127,1)):INDEX('Rate &amp; Vol Update'!$B$6:$B$127,MATCH(CD43,'Rate &amp; Vol Update'!$B$6:$B$127,1)+1))/100)</f>
        <v>3.5320245311938336E-2</v>
      </c>
      <c r="CK43" s="16" cm="1">
        <f t="array" ref="CK43">IF(CC43="","",IF(CD43&lt;'Rate &amp; Vol Update'!$C$2,0.001%,(1/((INDEX('Rate &amp; Vol Update'!$E$6:$Z$6,1,MATCH(CI43,'Rate &amp; Vol Update'!$E$6:$Z$6,1)+1)-INDEX('Rate &amp; Vol Update'!$E$6:$Z$6,1,MATCH(CI43,'Rate &amp; Vol Update'!$E$6:$Z$6,1)))*(INDEX('Rate &amp; Vol Update'!$B$8:$B$127,MATCH(CD43,'Rate &amp; Vol Update'!$B$8:$B$127,1)+1)-INDEX('Rate &amp; Vol Update'!$B$8:$B$127,MATCH(CD43,'Rate &amp; Vol Update'!$B$8:$B$127,1))))*(INDEX('Rate &amp; Vol Update'!$E$8:$Z$127,MATCH(INDEX('Rate &amp; Vol Update'!$B$8:$B$127,MATCH(CD43,'Rate &amp; Vol Update'!$B$8:$B$127,1)),'Rate &amp; Vol Update'!$B$8:$B$127,0),MATCH(INDEX('Rate &amp; Vol Update'!$E$6:$Z$6,1,MATCH(CI43,'Rate &amp; Vol Update'!$E$6:$Z$6,1)),'Rate &amp; Vol Update'!$E$6:$Z$6,0))*(INDEX('Rate &amp; Vol Update'!$E$6:$Z$6,1,MATCH(CI43,'Rate &amp; Vol Update'!$E$6:$Z$6,1)+1)-CI43)*(INDEX('Rate &amp; Vol Update'!$B$8:$B$127,MATCH(CD43,'Rate &amp; Vol Update'!$B$8:$B$127,1)+1)-CD43)+INDEX('Rate &amp; Vol Update'!$E$8:$Z$127,MATCH(INDEX('Rate &amp; Vol Update'!$B$8:$B$127,MATCH(CD43,'Rate &amp; Vol Update'!$B$8:$B$127,1)),'Rate &amp; Vol Update'!$B$8:$B$127,0),MATCH(INDEX('Rate &amp; Vol Update'!$E$6:$Z$6,1,MATCH(CI43,'Rate &amp; Vol Update'!$E$6:$Z$6,1)+1),'Rate &amp; Vol Update'!$E$6:$Z$6,0))*(CI43-INDEX('Rate &amp; Vol Update'!$E$6:$Z$6,1,MATCH(CI43,'Rate &amp; Vol Update'!$E$6:$Z$6,1)))*(INDEX('Rate &amp; Vol Update'!$B$8:$B$127,MATCH(CD43,'Rate &amp; Vol Update'!$B$8:$B$127,1)+1)-CD43)+INDEX('Rate &amp; Vol Update'!$E$8:$Z$127,MATCH(INDEX('Rate &amp; Vol Update'!$B$8:$B$127,MATCH(CD43,'Rate &amp; Vol Update'!$B$8:$B$127,1)+1),'Rate &amp; Vol Update'!$B$8:$B$127,0),MATCH(INDEX('Rate &amp; Vol Update'!$E$6:$Z$6,1,MATCH(CI43,'Rate &amp; Vol Update'!$E$6:$Z$6,1)),'Rate &amp; Vol Update'!$E$6:$Z$6,0))*(INDEX('Rate &amp; Vol Update'!$E$6:$Z$6,1,MATCH(CI43,'Rate &amp; Vol Update'!$E$6:$Z$6,1)+1)-CI43)*(CD43-INDEX('Rate &amp; Vol Update'!$B$8:$B$127,MATCH(CD43,'Rate &amp; Vol Update'!$B$8:$B$127,1)))+INDEX('Rate &amp; Vol Update'!$E$8:$Z$127,MATCH(INDEX('Rate &amp; Vol Update'!$B$8:$B$127,MATCH(CD43,'Rate &amp; Vol Update'!$B$8:$B$127,1)+1),'Rate &amp; Vol Update'!$B$8:$B$127,0),MATCH(INDEX('Rate &amp; Vol Update'!$E$6:$Z$6,1,MATCH(CI43,'Rate &amp; Vol Update'!$E$6:$Z$6,1)+1),'Rate &amp; Vol Update'!$E$6:$Z$6,0))*(CI43-INDEX('Rate &amp; Vol Update'!$E$6:$Z$6,1,MATCH(CI43,'Rate &amp; Vol Update'!$E$6:$Z$6,1)))*(CD43-INDEX('Rate &amp; Vol Update'!$B$8:$B$127,MATCH(CD43,'Rate &amp; Vol Update'!$B$8:$B$127,1)))))*0.01%))</f>
        <v>1.1054480058775738E-2</v>
      </c>
      <c r="CL43" s="5">
        <f>IF(CC43="","",1/((1+CJ43)^((CE43-'Rate &amp; Vol Update'!$C$2)/360)))</f>
        <v>0.88936695957649059</v>
      </c>
      <c r="CN43" s="15">
        <f>IF(CC43="","",IF(CD43&lt;'Rate &amp; Vol Update'!$C$2,MAX(0,CJ43-CI43)*(CF43/360)*CH43,(((IF('Adjustment Surface'!$C$2='Data Validation'!$A$2,CJ43,IF('Adjustment Surface'!$C$2='Data Validation'!$A$3,CI43,"Unknown Option Type"))-IF('Adjustment Surface'!$C$2='Data Validation'!$A$2,CI43,IF('Adjustment Surface'!$C$2='Data Validation'!$A$3,CJ43,"Unknown Option Type")))*(NORMDIST((IF('Adjustment Surface'!$C$2='Data Validation'!$A$2,CJ43,IF('Adjustment Surface'!$C$2='Data Validation'!$A$3,CI43,"Unknown Option Type"))-IF('Adjustment Surface'!$C$2='Data Validation'!$A$2,CI43,IF('Adjustment Surface'!$C$2='Data Validation'!$A$3,CJ43,"Unknown Option Type")))/(CK43*SQRT(CG43)),0,1,TRUE)))+((CK43*SQRT(CG43))*(NORMDIST((IF('Adjustment Surface'!$C$2='Data Validation'!$A$2,CJ43,IF('Adjustment Surface'!$C$2='Data Validation'!$A$3,CI43,"Unknown Option Type"))-IF('Adjustment Surface'!$C$2='Data Validation'!$A$2,CI43,IF('Adjustment Surface'!$C$2='Data Validation'!$A$3,CJ43,"Unknown Option Type")))/(CK43*SQRT(CG43)),0,1,FALSE))))*CL43*(CF43/360)*CH43))</f>
        <v>2117.1014056471804</v>
      </c>
      <c r="CO43" s="15">
        <f>IF(CC43="","",SUM(CN$4:CN43))</f>
        <v>24055.345047806939</v>
      </c>
      <c r="CQ43" s="15">
        <f>IF(CC43="","",IF(CD43&lt;'Rate &amp; Vol Update'!$C$2,0,((((((IF('Adjustment Surface'!$C$2='Data Validation'!$A$2,CJ43,IF('Adjustment Surface'!$C$2='Data Validation'!$A$3,CI43,"Unknown Option Type"))-IF('Adjustment Surface'!$C$2='Data Validation'!$A$2,CI43,IF('Adjustment Surface'!$C$2='Data Validation'!$A$3,CJ43,"Unknown Option Type")))*(NORMDIST((IF('Adjustment Surface'!$C$2='Data Validation'!$A$2,CJ43,IF('Adjustment Surface'!$C$2='Data Validation'!$A$3,CI43,"Unknown Option Type"))-IF('Adjustment Surface'!$C$2='Data Validation'!$A$2,CI43,IF('Adjustment Surface'!$C$2='Data Validation'!$A$3,CJ43,"Unknown Option Type")))/((CK43+0.01%)*SQRT(CG43)),0,1,TRUE)))+(((CK43+0.01%)*SQRT(CG43))*(NORMDIST((IF('Adjustment Surface'!$C$2='Data Validation'!$A$2,CJ43,IF('Adjustment Surface'!$C$2='Data Validation'!$A$3,CI43,"Unknown Option Type"))-IF('Adjustment Surface'!$C$2='Data Validation'!$A$2,CI43,IF('Adjustment Surface'!$C$2='Data Validation'!$A$3,CJ43,"Unknown Option Type")))/((CK43+0.01%)*SQRT(CG43)),0,1,FALSE))))*CL43*(CF43/360))-(CN43/CH43))*CH43)*CL43))</f>
        <v>60.094698420686505</v>
      </c>
      <c r="CR43" s="15">
        <f>IF(CC43="","",SUM(CQ$4:CQ43))</f>
        <v>855.46079579322372</v>
      </c>
    </row>
    <row r="44" spans="7:96" x14ac:dyDescent="0.25">
      <c r="G44" s="28"/>
      <c r="J44" s="4" t="str">
        <f>IF(K43='Adjustment Surface'!C$8,"",K43)</f>
        <v/>
      </c>
      <c r="K44" s="4" t="str">
        <f>IF(J44="","",IF(J44&lt;'Adjustment Surface'!C$7,EDATE(J$5,COUNT(J$5:J44)),IF(J44='Adjustment Surface'!C$7,'Adjustment Surface'!C$8,'Adjustment Surface'!C$7)))</f>
        <v/>
      </c>
      <c r="L44" s="3" t="str">
        <f t="shared" si="1"/>
        <v/>
      </c>
      <c r="M44" s="5" t="str">
        <f>IF(I44="","",(K44-'Rate &amp; Vol Update'!$C$2)/360)</f>
        <v/>
      </c>
      <c r="N44" s="15" t="str">
        <f>IF(I44="","",IF('Adjustment Surface'!C$3='Data Validation'!$C$2,'Adjustment Surface'!C$4,IF(INDEX(Schedules!$E$3:$E$123,MATCH('Bachelier Model'!J44,Schedules!$B$3:$B$123,0))="",N43,INDEX(Schedules!$E$3:$E$123,MATCH('Bachelier Model'!J44,Schedules!$B$3:$B$123,0)))))</f>
        <v/>
      </c>
      <c r="O44" s="16" t="str">
        <f>IF(I44="","",IF('Adjustment Surface'!C$9='Data Validation'!$D$2,'Adjustment Surface'!C$10,IF(INDEX(Schedules!$H$3:$H$123,MATCH('Bachelier Model'!J44,Schedules!$B$3:$B$123,0))="",O43,INDEX(Schedules!$H$3:$H$123,MATCH('Bachelier Model'!J44,Schedules!$B$3:$B$123,0)))))</f>
        <v/>
      </c>
      <c r="P44" s="16" t="str" cm="1">
        <f t="array" ref="P44">IF(I44="","",FORECAST(J44,INDEX('Rate &amp; Vol Update'!$C$6:$C$127,MATCH(INDEX('Rate &amp; Vol Update'!$B$6:$B$127,MATCH(J44,'Rate &amp; Vol Update'!$B$6:$B$127,1)),'Rate &amp; Vol Update'!$B$6:$B$127,0)+IF('Adjustment Surface'!C$11='Data Validation'!$E$3,-1,0)):INDEX('Rate &amp; Vol Update'!$C$6:$C$127,MATCH(INDEX('Rate &amp; Vol Update'!$B$6:$B$127,MATCH(J44,'Rate &amp; Vol Update'!$B$6:$B$127,1)+1),'Rate &amp; Vol Update'!$B$6:$B$127,0)+IF('Adjustment Surface'!C$11='Data Validation'!$E$3,-1,0)),INDEX('Rate &amp; Vol Update'!$B$6:$B$127,MATCH(J44,'Rate &amp; Vol Update'!$B$6:$B$127,1)):INDEX('Rate &amp; Vol Update'!$B$6:$B$127,MATCH(J44,'Rate &amp; Vol Update'!$B$6:$B$127,1)+1))/100)</f>
        <v/>
      </c>
      <c r="Q44" s="16" t="str" cm="1">
        <f t="array" ref="Q44">IF(I44="","",IF(J44&lt;'Rate &amp; Vol Update'!$C$2,0.001%,(1/((INDEX('Rate &amp; Vol Update'!$E$6:$Z$6,1,MATCH(O44,'Rate &amp; Vol Update'!$E$6:$Z$6,1)+1)-INDEX('Rate &amp; Vol Update'!$E$6:$Z$6,1,MATCH(O44,'Rate &amp; Vol Update'!$E$6:$Z$6,1)))*(INDEX('Rate &amp; Vol Update'!$B$8:$B$127,MATCH(J44,'Rate &amp; Vol Update'!$B$8:$B$127,1)+1)-INDEX('Rate &amp; Vol Update'!$B$8:$B$127,MATCH(J44,'Rate &amp; Vol Update'!$B$8:$B$127,1))))*(INDEX('Rate &amp; Vol Update'!$E$8:$Z$127,MATCH(INDEX('Rate &amp; Vol Update'!$B$8:$B$127,MATCH(J44,'Rate &amp; Vol Update'!$B$8:$B$127,1)),'Rate &amp; Vol Update'!$B$8:$B$127,0),MATCH(INDEX('Rate &amp; Vol Update'!$E$6:$Z$6,1,MATCH(O44,'Rate &amp; Vol Update'!$E$6:$Z$6,1)),'Rate &amp; Vol Update'!$E$6:$Z$6,0))*(INDEX('Rate &amp; Vol Update'!$E$6:$Z$6,1,MATCH(O44,'Rate &amp; Vol Update'!$E$6:$Z$6,1)+1)-O44)*(INDEX('Rate &amp; Vol Update'!$B$8:$B$127,MATCH(J44,'Rate &amp; Vol Update'!$B$8:$B$127,1)+1)-J44)+INDEX('Rate &amp; Vol Update'!$E$8:$Z$127,MATCH(INDEX('Rate &amp; Vol Update'!$B$8:$B$127,MATCH(J44,'Rate &amp; Vol Update'!$B$8:$B$127,1)),'Rate &amp; Vol Update'!$B$8:$B$127,0),MATCH(INDEX('Rate &amp; Vol Update'!$E$6:$Z$6,1,MATCH(O44,'Rate &amp; Vol Update'!$E$6:$Z$6,1)+1),'Rate &amp; Vol Update'!$E$6:$Z$6,0))*(O44-INDEX('Rate &amp; Vol Update'!$E$6:$Z$6,1,MATCH(O44,'Rate &amp; Vol Update'!$E$6:$Z$6,1)))*(INDEX('Rate &amp; Vol Update'!$B$8:$B$127,MATCH(J44,'Rate &amp; Vol Update'!$B$8:$B$127,1)+1)-J44)+INDEX('Rate &amp; Vol Update'!$E$8:$Z$127,MATCH(INDEX('Rate &amp; Vol Update'!$B$8:$B$127,MATCH(J44,'Rate &amp; Vol Update'!$B$8:$B$127,1)+1),'Rate &amp; Vol Update'!$B$8:$B$127,0),MATCH(INDEX('Rate &amp; Vol Update'!$E$6:$Z$6,1,MATCH(O44,'Rate &amp; Vol Update'!$E$6:$Z$6,1)),'Rate &amp; Vol Update'!$E$6:$Z$6,0))*(INDEX('Rate &amp; Vol Update'!$E$6:$Z$6,1,MATCH(O44,'Rate &amp; Vol Update'!$E$6:$Z$6,1)+1)-O44)*(J44-INDEX('Rate &amp; Vol Update'!$B$8:$B$127,MATCH(J44,'Rate &amp; Vol Update'!$B$8:$B$127,1)))+INDEX('Rate &amp; Vol Update'!$E$8:$Z$127,MATCH(INDEX('Rate &amp; Vol Update'!$B$8:$B$127,MATCH(J44,'Rate &amp; Vol Update'!$B$8:$B$127,1)+1),'Rate &amp; Vol Update'!$B$8:$B$127,0),MATCH(INDEX('Rate &amp; Vol Update'!$E$6:$Z$6,1,MATCH(O44,'Rate &amp; Vol Update'!$E$6:$Z$6,1)+1),'Rate &amp; Vol Update'!$E$6:$Z$6,0))*(O44-INDEX('Rate &amp; Vol Update'!$E$6:$Z$6,1,MATCH(O44,'Rate &amp; Vol Update'!$E$6:$Z$6,1)))*(J44-INDEX('Rate &amp; Vol Update'!$B$8:$B$127,MATCH(J44,'Rate &amp; Vol Update'!$B$8:$B$127,1)))))*0.01%))</f>
        <v/>
      </c>
      <c r="R44" s="5" t="str">
        <f>IF(I44="","",1/((1+P44)^((K44-'Rate &amp; Vol Update'!$C$2)/360)))</f>
        <v/>
      </c>
      <c r="T44" s="15" t="str">
        <f>IF(I44="","",IF(J44&lt;'Rate &amp; Vol Update'!$C$2,MAX(0,P44-O44)*(L44/360)*N44,(((IF('Adjustment Surface'!C$2='Data Validation'!$A$2,P44,IF('Adjustment Surface'!C$2='Data Validation'!$A$3,O44,"Unknown Option Type"))-IF('Adjustment Surface'!C$2='Data Validation'!$A$2,O44,IF('Adjustment Surface'!C$2='Data Validation'!$A$3,P44,"Unknown Option Type")))*(NORMDIST((IF('Adjustment Surface'!C$2='Data Validation'!$A$2,P44,IF('Adjustment Surface'!C$2='Data Validation'!$A$3,O44,"Unknown Option Type"))-IF('Adjustment Surface'!C$2='Data Validation'!$A$2,O44,IF('Adjustment Surface'!C$2='Data Validation'!$A$3,P44,"Unknown Option Type")))/(Q44*SQRT(M44)),0,1,TRUE)))+((Q44*SQRT(M44))*(NORMDIST((IF('Adjustment Surface'!C$2='Data Validation'!$A$2,P44,IF('Adjustment Surface'!C$2='Data Validation'!$A$3,O44,"Unknown Option Type"))-IF('Adjustment Surface'!C$2='Data Validation'!$A$2,O44,IF('Adjustment Surface'!C$2='Data Validation'!$A$3,P44,"Unknown Option Type")))/(Q44*SQRT(M44)),0,1,FALSE))))*R44*(L44/360)*N44))</f>
        <v/>
      </c>
      <c r="U44" s="15" t="str">
        <f>IF(I44="","",SUM(T$4:T44))</f>
        <v/>
      </c>
      <c r="W44" s="15" t="str">
        <f>IF(I44="","",IF(J44&lt;'Rate &amp; Vol Update'!$C$2,0,((((((IF('Adjustment Surface'!C$2='Data Validation'!$A$2,P44,IF('Adjustment Surface'!C$2='Data Validation'!$A$3,O44,"Unknown Option Type"))-IF('Adjustment Surface'!C$2='Data Validation'!$A$2,O44,IF('Adjustment Surface'!C$2='Data Validation'!$A$3,P44,"Unknown Option Type")))*(NORMDIST((IF('Adjustment Surface'!C$2='Data Validation'!$A$2,P44,IF('Adjustment Surface'!C$2='Data Validation'!$A$3,O44,"Unknown Option Type"))-IF('Adjustment Surface'!C$2='Data Validation'!$A$2,O44,IF('Adjustment Surface'!C$2='Data Validation'!$A$3,P44,"Unknown Option Type")))/((Q44+0.01%)*SQRT(M44)),0,1,TRUE)))+(((Q44+0.01%)*SQRT(M44))*(NORMDIST((IF('Adjustment Surface'!C$2='Data Validation'!$A$2,P44,IF('Adjustment Surface'!C$2='Data Validation'!$A$3,O44,"Unknown Option Type"))-IF('Adjustment Surface'!C$2='Data Validation'!$A$2,O44,IF('Adjustment Surface'!C$2='Data Validation'!$A$3,P44,"Unknown Option Type")))/((Q44+0.01%)*SQRT(M44)),0,1,FALSE))))*R44*(L44/360))-(T44/N44))*N44)*R44))</f>
        <v/>
      </c>
      <c r="X44" s="15" t="str">
        <f>IF(I44="","",SUM(W$4:W44))</f>
        <v/>
      </c>
      <c r="Y44" s="15"/>
      <c r="Z44" s="20"/>
      <c r="AA44" s="3">
        <v>41</v>
      </c>
      <c r="AB44" s="4">
        <f>IF(AC43=MAX('Adjustment Surface'!$C$14:$F$14),"",AC43)</f>
        <v>47280</v>
      </c>
      <c r="AC44" s="4">
        <f>IF(AB44="","",IF(AB44&lt;EDATE('Adjustment Surface'!$C$6,DATEDIF('Adjustment Surface'!$C$6,MAX('Adjustment Surface'!$C$14:$F$14),"M")),EDATE(AB$5,COUNT(AB$5:AB44)),IF(AB44=EDATE('Adjustment Surface'!$C$6,DATEDIF('Adjustment Surface'!$C$6,MAX('Adjustment Surface'!$C$14:$F$14),"M")),MAX('Adjustment Surface'!$C$14:$F$14),EDATE('Adjustment Surface'!$C$6,DATEDIF('Adjustment Surface'!$C$6,MAX('Adjustment Surface'!$C$14:$F$14),"M")))))</f>
        <v>47310</v>
      </c>
      <c r="AD44" s="3">
        <f t="shared" si="2"/>
        <v>30</v>
      </c>
      <c r="AE44" s="5">
        <f>IF(AA44="","",(AC44-'Rate &amp; Vol Update'!$C$2)/360)</f>
        <v>3.4611111111111112</v>
      </c>
      <c r="AF44" s="15">
        <f>IF(AA44="","",IF('Adjustment Surface'!$C$3='Data Validation'!$C$2,'Adjustment Surface'!$C$4,_xlfn.IFNA(IF(INDEX(Schedules!$E$3:$E$123,MATCH('Bachelier Model'!AB44,Schedules!$B$3:$B$123,0))="",AF43,INDEX(Schedules!$E$3:$E$123,MATCH('Bachelier Model'!AB44,Schedules!$B$3:$B$123,0))),AF43)))</f>
        <v>25000000</v>
      </c>
      <c r="AG44" s="16">
        <f>IF(AA44="","",'Adjustment Surface'!B$15)</f>
        <v>0.03</v>
      </c>
      <c r="AH44" s="16" cm="1">
        <f t="array" ref="AH44">IF(AA44="","",FORECAST(AB44,INDEX('Rate &amp; Vol Update'!$C$6:$C$127,MATCH(INDEX('Rate &amp; Vol Update'!$B$6:$B$127,MATCH(AB44,'Rate &amp; Vol Update'!$B$6:$B$127,1)),'Rate &amp; Vol Update'!$B$6:$B$127,0)+IF('Adjustment Surface'!$C$11='Data Validation'!$E$3,-1,0)):INDEX('Rate &amp; Vol Update'!$C$6:$C$127,MATCH(INDEX('Rate &amp; Vol Update'!$B$6:$B$127,MATCH(AB44,'Rate &amp; Vol Update'!$B$6:$B$127,1)+1),'Rate &amp; Vol Update'!$B$6:$B$127,0)+IF('Adjustment Surface'!$C$11='Data Validation'!$E$3,-1,0)),INDEX('Rate &amp; Vol Update'!$B$6:$B$127,MATCH(AB44,'Rate &amp; Vol Update'!$B$6:$B$127,1)):INDEX('Rate &amp; Vol Update'!$B$6:$B$127,MATCH(AB44,'Rate &amp; Vol Update'!$B$6:$B$127,1)+1))/100)</f>
        <v>3.5318514456132988E-2</v>
      </c>
      <c r="AI44" s="16" cm="1">
        <f t="array" ref="AI44">IF(AA44="","",IF(AB44&lt;'Rate &amp; Vol Update'!$C$2,0.001%,(1/((INDEX('Rate &amp; Vol Update'!$E$6:$Z$6,1,MATCH(AG44,'Rate &amp; Vol Update'!$E$6:$Z$6,1)+1)-INDEX('Rate &amp; Vol Update'!$E$6:$Z$6,1,MATCH(AG44,'Rate &amp; Vol Update'!$E$6:$Z$6,1)))*(INDEX('Rate &amp; Vol Update'!$B$8:$B$127,MATCH(AB44,'Rate &amp; Vol Update'!$B$8:$B$127,1)+1)-INDEX('Rate &amp; Vol Update'!$B$8:$B$127,MATCH(AB44,'Rate &amp; Vol Update'!$B$8:$B$127,1))))*(INDEX('Rate &amp; Vol Update'!$E$8:$Z$127,MATCH(INDEX('Rate &amp; Vol Update'!$B$8:$B$127,MATCH(AB44,'Rate &amp; Vol Update'!$B$8:$B$127,1)),'Rate &amp; Vol Update'!$B$8:$B$127,0),MATCH(INDEX('Rate &amp; Vol Update'!$E$6:$Z$6,1,MATCH(AG44,'Rate &amp; Vol Update'!$E$6:$Z$6,1)),'Rate &amp; Vol Update'!$E$6:$Z$6,0))*(INDEX('Rate &amp; Vol Update'!$E$6:$Z$6,1,MATCH(AG44,'Rate &amp; Vol Update'!$E$6:$Z$6,1)+1)-AG44)*(INDEX('Rate &amp; Vol Update'!$B$8:$B$127,MATCH(AB44,'Rate &amp; Vol Update'!$B$8:$B$127,1)+1)-AB44)+INDEX('Rate &amp; Vol Update'!$E$8:$Z$127,MATCH(INDEX('Rate &amp; Vol Update'!$B$8:$B$127,MATCH(AB44,'Rate &amp; Vol Update'!$B$8:$B$127,1)),'Rate &amp; Vol Update'!$B$8:$B$127,0),MATCH(INDEX('Rate &amp; Vol Update'!$E$6:$Z$6,1,MATCH(AG44,'Rate &amp; Vol Update'!$E$6:$Z$6,1)+1),'Rate &amp; Vol Update'!$E$6:$Z$6,0))*(AG44-INDEX('Rate &amp; Vol Update'!$E$6:$Z$6,1,MATCH(AG44,'Rate &amp; Vol Update'!$E$6:$Z$6,1)))*(INDEX('Rate &amp; Vol Update'!$B$8:$B$127,MATCH(AB44,'Rate &amp; Vol Update'!$B$8:$B$127,1)+1)-AB44)+INDEX('Rate &amp; Vol Update'!$E$8:$Z$127,MATCH(INDEX('Rate &amp; Vol Update'!$B$8:$B$127,MATCH(AB44,'Rate &amp; Vol Update'!$B$8:$B$127,1)+1),'Rate &amp; Vol Update'!$B$8:$B$127,0),MATCH(INDEX('Rate &amp; Vol Update'!$E$6:$Z$6,1,MATCH(AG44,'Rate &amp; Vol Update'!$E$6:$Z$6,1)),'Rate &amp; Vol Update'!$E$6:$Z$6,0))*(INDEX('Rate &amp; Vol Update'!$E$6:$Z$6,1,MATCH(AG44,'Rate &amp; Vol Update'!$E$6:$Z$6,1)+1)-AG44)*(AB44-INDEX('Rate &amp; Vol Update'!$B$8:$B$127,MATCH(AB44,'Rate &amp; Vol Update'!$B$8:$B$127,1)))+INDEX('Rate &amp; Vol Update'!$E$8:$Z$127,MATCH(INDEX('Rate &amp; Vol Update'!$B$8:$B$127,MATCH(AB44,'Rate &amp; Vol Update'!$B$8:$B$127,1)+1),'Rate &amp; Vol Update'!$B$8:$B$127,0),MATCH(INDEX('Rate &amp; Vol Update'!$E$6:$Z$6,1,MATCH(AG44,'Rate &amp; Vol Update'!$E$6:$Z$6,1)+1),'Rate &amp; Vol Update'!$E$6:$Z$6,0))*(AG44-INDEX('Rate &amp; Vol Update'!$E$6:$Z$6,1,MATCH(AG44,'Rate &amp; Vol Update'!$E$6:$Z$6,1)))*(AB44-INDEX('Rate &amp; Vol Update'!$B$8:$B$127,MATCH(AB44,'Rate &amp; Vol Update'!$B$8:$B$127,1)))))*0.01%))</f>
        <v>8.1288916840717238E-3</v>
      </c>
      <c r="AJ44" s="5">
        <f>IF(AA44="","",1/((1+AH44)^((AC44-'Rate &amp; Vol Update'!$C$2)/360)))</f>
        <v>0.88680325511682401</v>
      </c>
      <c r="AL44" s="15">
        <f>IF(AA44="","",IF(AB44&lt;'Rate &amp; Vol Update'!$C$2,MAX(0,AH44-AG44)*(AD44/360)*AF44,(((IF('Adjustment Surface'!$C$2='Data Validation'!$A$2,AH44,IF('Adjustment Surface'!$C$2='Data Validation'!$A$3,AG44,"Unknown Option Type"))-IF('Adjustment Surface'!$C$2='Data Validation'!$A$2,AG44,IF('Adjustment Surface'!$C$2='Data Validation'!$A$3,AH44,"Unknown Option Type")))*(NORMDIST((IF('Adjustment Surface'!$C$2='Data Validation'!$A$2,AH44,IF('Adjustment Surface'!$C$2='Data Validation'!$A$3,AG44,"Unknown Option Type"))-IF('Adjustment Surface'!$C$2='Data Validation'!$A$2,AG44,IF('Adjustment Surface'!$C$2='Data Validation'!$A$3,AH44,"Unknown Option Type")))/(AI44*SQRT(AE44)),0,1,TRUE)))+((AI44*SQRT(AE44))*(NORMDIST((IF('Adjustment Surface'!$C$2='Data Validation'!$A$2,AH44,IF('Adjustment Surface'!$C$2='Data Validation'!$A$3,AG44,"Unknown Option Type"))-IF('Adjustment Surface'!$C$2='Data Validation'!$A$2,AG44,IF('Adjustment Surface'!$C$2='Data Validation'!$A$3,AH44,"Unknown Option Type")))/(AI44*SQRT(AE44)),0,1,FALSE))))*AJ44*(AD44/360)*AF44))</f>
        <v>16741.692466753389</v>
      </c>
      <c r="AM44" s="15">
        <f>IF(AA44="","",SUM(AL$4:AL44))</f>
        <v>493653.98327916092</v>
      </c>
      <c r="AO44" s="15">
        <f>IF(AA44="","",IF(AB44&lt;'Rate &amp; Vol Update'!$C$2,0,((((((IF('Adjustment Surface'!$C$2='Data Validation'!$A$2,AH44,IF('Adjustment Surface'!$C$2='Data Validation'!$A$3,AG44,"Unknown Option Type"))-IF('Adjustment Surface'!$C$2='Data Validation'!$A$2,AG44,IF('Adjustment Surface'!$C$2='Data Validation'!$A$3,AH44,"Unknown Option Type")))*(NORMDIST((IF('Adjustment Surface'!$C$2='Data Validation'!$A$2,AH44,IF('Adjustment Surface'!$C$2='Data Validation'!$A$3,AG44,"Unknown Option Type"))-IF('Adjustment Surface'!$C$2='Data Validation'!$A$2,AG44,IF('Adjustment Surface'!$C$2='Data Validation'!$A$3,AH44,"Unknown Option Type")))/((AI44+0.01%)*SQRT(AE44)),0,1,TRUE)))+(((AI44+0.01%)*SQRT(AE44))*(NORMDIST((IF('Adjustment Surface'!$C$2='Data Validation'!$A$2,AH44,IF('Adjustment Surface'!$C$2='Data Validation'!$A$3,AG44,"Unknown Option Type"))-IF('Adjustment Surface'!$C$2='Data Validation'!$A$2,AG44,IF('Adjustment Surface'!$C$2='Data Validation'!$A$3,AH44,"Unknown Option Type")))/((AI44+0.01%)*SQRT(AE44)),0,1,FALSE))))*AJ44*(AD44/360))-(AL44/AF44))*AF44)*AJ44))</f>
        <v>114.39330684097085</v>
      </c>
      <c r="AP44" s="15">
        <f>IF(AA44="","",SUM(AO$4:AO44))</f>
        <v>3490.0510114837939</v>
      </c>
      <c r="AQ44" s="15"/>
      <c r="AR44" s="20"/>
      <c r="AS44" s="3">
        <v>41</v>
      </c>
      <c r="AT44" s="4">
        <f>IF(AU43=MAX('Adjustment Surface'!$C$14:$F$14),"",AU43)</f>
        <v>47280</v>
      </c>
      <c r="AU44" s="4">
        <f>IF(AT44="","",IF(AT44&lt;EDATE('Adjustment Surface'!$C$6,DATEDIF('Adjustment Surface'!$C$6,MAX('Adjustment Surface'!$C$14:$F$14),"M")),EDATE(AT$5,COUNT(AT$5:AT44)),IF(AT44=EDATE('Adjustment Surface'!$C$6,DATEDIF('Adjustment Surface'!$C$6,MAX('Adjustment Surface'!$C$14:$F$14),"M")),MAX('Adjustment Surface'!$C$14:$F$14),EDATE('Adjustment Surface'!$C$6,DATEDIF('Adjustment Surface'!$C$6,MAX('Adjustment Surface'!$C$14:$F$14),"M")))))</f>
        <v>47310</v>
      </c>
      <c r="AV44" s="3">
        <f t="shared" si="3"/>
        <v>30</v>
      </c>
      <c r="AW44" s="5">
        <f>IF(AS44="","",(AU44-'Rate &amp; Vol Update'!$C$2)/360)</f>
        <v>3.4611111111111112</v>
      </c>
      <c r="AX44" s="15">
        <f>IF(AS44="","",IF('Adjustment Surface'!$C$3='Data Validation'!$C$2,'Adjustment Surface'!$C$4,_xlfn.IFNA(IF(INDEX(Schedules!$E$3:$E$123,MATCH('Bachelier Model'!AT44,Schedules!$B$3:$B$123,0))="",AX43,INDEX(Schedules!$E$3:$E$123,MATCH('Bachelier Model'!AT44,Schedules!$B$3:$B$123,0))),AX43)))</f>
        <v>25000000</v>
      </c>
      <c r="AY44" s="16">
        <f>IF(AS44="","",'Adjustment Surface'!B$16)</f>
        <v>0.04</v>
      </c>
      <c r="AZ44" s="16" cm="1">
        <f t="array" ref="AZ44">IF(AS44="","",FORECAST(AT44,INDEX('Rate &amp; Vol Update'!$C$6:$C$127,MATCH(INDEX('Rate &amp; Vol Update'!$B$6:$B$127,MATCH(AT44,'Rate &amp; Vol Update'!$B$6:$B$127,1)),'Rate &amp; Vol Update'!$B$6:$B$127,0)+IF('Adjustment Surface'!$C$11='Data Validation'!$E$3,-1,0)):INDEX('Rate &amp; Vol Update'!$C$6:$C$127,MATCH(INDEX('Rate &amp; Vol Update'!$B$6:$B$127,MATCH(AT44,'Rate &amp; Vol Update'!$B$6:$B$127,1)+1),'Rate &amp; Vol Update'!$B$6:$B$127,0)+IF('Adjustment Surface'!$C$11='Data Validation'!$E$3,-1,0)),INDEX('Rate &amp; Vol Update'!$B$6:$B$127,MATCH(AT44,'Rate &amp; Vol Update'!$B$6:$B$127,1)):INDEX('Rate &amp; Vol Update'!$B$6:$B$127,MATCH(AT44,'Rate &amp; Vol Update'!$B$6:$B$127,1)+1))/100)</f>
        <v>3.5318514456132988E-2</v>
      </c>
      <c r="BA44" s="16" cm="1">
        <f t="array" ref="BA44">IF(AS44="","",IF(AT44&lt;'Rate &amp; Vol Update'!$C$2,0.001%,(1/((INDEX('Rate &amp; Vol Update'!$E$6:$Z$6,1,MATCH(AY44,'Rate &amp; Vol Update'!$E$6:$Z$6,1)+1)-INDEX('Rate &amp; Vol Update'!$E$6:$Z$6,1,MATCH(AY44,'Rate &amp; Vol Update'!$E$6:$Z$6,1)))*(INDEX('Rate &amp; Vol Update'!$B$8:$B$127,MATCH(AT44,'Rate &amp; Vol Update'!$B$8:$B$127,1)+1)-INDEX('Rate &amp; Vol Update'!$B$8:$B$127,MATCH(AT44,'Rate &amp; Vol Update'!$B$8:$B$127,1))))*(INDEX('Rate &amp; Vol Update'!$E$8:$Z$127,MATCH(INDEX('Rate &amp; Vol Update'!$B$8:$B$127,MATCH(AT44,'Rate &amp; Vol Update'!$B$8:$B$127,1)),'Rate &amp; Vol Update'!$B$8:$B$127,0),MATCH(INDEX('Rate &amp; Vol Update'!$E$6:$Z$6,1,MATCH(AY44,'Rate &amp; Vol Update'!$E$6:$Z$6,1)),'Rate &amp; Vol Update'!$E$6:$Z$6,0))*(INDEX('Rate &amp; Vol Update'!$E$6:$Z$6,1,MATCH(AY44,'Rate &amp; Vol Update'!$E$6:$Z$6,1)+1)-AY44)*(INDEX('Rate &amp; Vol Update'!$B$8:$B$127,MATCH(AT44,'Rate &amp; Vol Update'!$B$8:$B$127,1)+1)-AT44)+INDEX('Rate &amp; Vol Update'!$E$8:$Z$127,MATCH(INDEX('Rate &amp; Vol Update'!$B$8:$B$127,MATCH(AT44,'Rate &amp; Vol Update'!$B$8:$B$127,1)),'Rate &amp; Vol Update'!$B$8:$B$127,0),MATCH(INDEX('Rate &amp; Vol Update'!$E$6:$Z$6,1,MATCH(AY44,'Rate &amp; Vol Update'!$E$6:$Z$6,1)+1),'Rate &amp; Vol Update'!$E$6:$Z$6,0))*(AY44-INDEX('Rate &amp; Vol Update'!$E$6:$Z$6,1,MATCH(AY44,'Rate &amp; Vol Update'!$E$6:$Z$6,1)))*(INDEX('Rate &amp; Vol Update'!$B$8:$B$127,MATCH(AT44,'Rate &amp; Vol Update'!$B$8:$B$127,1)+1)-AT44)+INDEX('Rate &amp; Vol Update'!$E$8:$Z$127,MATCH(INDEX('Rate &amp; Vol Update'!$B$8:$B$127,MATCH(AT44,'Rate &amp; Vol Update'!$B$8:$B$127,1)+1),'Rate &amp; Vol Update'!$B$8:$B$127,0),MATCH(INDEX('Rate &amp; Vol Update'!$E$6:$Z$6,1,MATCH(AY44,'Rate &amp; Vol Update'!$E$6:$Z$6,1)),'Rate &amp; Vol Update'!$E$6:$Z$6,0))*(INDEX('Rate &amp; Vol Update'!$E$6:$Z$6,1,MATCH(AY44,'Rate &amp; Vol Update'!$E$6:$Z$6,1)+1)-AY44)*(AT44-INDEX('Rate &amp; Vol Update'!$B$8:$B$127,MATCH(AT44,'Rate &amp; Vol Update'!$B$8:$B$127,1)))+INDEX('Rate &amp; Vol Update'!$E$8:$Z$127,MATCH(INDEX('Rate &amp; Vol Update'!$B$8:$B$127,MATCH(AT44,'Rate &amp; Vol Update'!$B$8:$B$127,1)+1),'Rate &amp; Vol Update'!$B$8:$B$127,0),MATCH(INDEX('Rate &amp; Vol Update'!$E$6:$Z$6,1,MATCH(AY44,'Rate &amp; Vol Update'!$E$6:$Z$6,1)+1),'Rate &amp; Vol Update'!$E$6:$Z$6,0))*(AY44-INDEX('Rate &amp; Vol Update'!$E$6:$Z$6,1,MATCH(AY44,'Rate &amp; Vol Update'!$E$6:$Z$6,1)))*(AT44-INDEX('Rate &amp; Vol Update'!$B$8:$B$127,MATCH(AT44,'Rate &amp; Vol Update'!$B$8:$B$127,1)))))*0.01%))</f>
        <v>8.5975490162362028E-3</v>
      </c>
      <c r="BB44" s="5">
        <f>IF(AS44="","",1/((1+AZ44)^((AU44-'Rate &amp; Vol Update'!$C$2)/360)))</f>
        <v>0.88680325511682401</v>
      </c>
      <c r="BD44" s="15">
        <f>IF(AS44="","",IF(AT44&lt;'Rate &amp; Vol Update'!$C$2,MAX(0,AZ44-AY44)*(AV44/360)*AX44,(((IF('Adjustment Surface'!$C$2='Data Validation'!$A$2,AZ44,IF('Adjustment Surface'!$C$2='Data Validation'!$A$3,AY44,"Unknown Option Type"))-IF('Adjustment Surface'!$C$2='Data Validation'!$A$2,AY44,IF('Adjustment Surface'!$C$2='Data Validation'!$A$3,AZ44,"Unknown Option Type")))*(NORMDIST((IF('Adjustment Surface'!$C$2='Data Validation'!$A$2,AZ44,IF('Adjustment Surface'!$C$2='Data Validation'!$A$3,AY44,"Unknown Option Type"))-IF('Adjustment Surface'!$C$2='Data Validation'!$A$2,AY44,IF('Adjustment Surface'!$C$2='Data Validation'!$A$3,AZ44,"Unknown Option Type")))/(BA44*SQRT(AW44)),0,1,TRUE)))+((BA44*SQRT(AW44))*(NORMDIST((IF('Adjustment Surface'!$C$2='Data Validation'!$A$2,AZ44,IF('Adjustment Surface'!$C$2='Data Validation'!$A$3,AY44,"Unknown Option Type"))-IF('Adjustment Surface'!$C$2='Data Validation'!$A$2,AY44,IF('Adjustment Surface'!$C$2='Data Validation'!$A$3,AZ44,"Unknown Option Type")))/(BA44*SQRT(AW44)),0,1,FALSE))))*BB44*(AV44/360)*AX44))</f>
        <v>7965.8835203246326</v>
      </c>
      <c r="BE44" s="15">
        <f>IF(AS44="","",SUM(BD$4:BD44))</f>
        <v>132975.15359892399</v>
      </c>
      <c r="BG44" s="15">
        <f>IF(AS44="","",IF(AT44&lt;'Rate &amp; Vol Update'!$C$2,0,((((((IF('Adjustment Surface'!$C$2='Data Validation'!$A$2,AZ44,IF('Adjustment Surface'!$C$2='Data Validation'!$A$3,AY44,"Unknown Option Type"))-IF('Adjustment Surface'!$C$2='Data Validation'!$A$2,AY44,IF('Adjustment Surface'!$C$2='Data Validation'!$A$3,AZ44,"Unknown Option Type")))*(NORMDIST((IF('Adjustment Surface'!$C$2='Data Validation'!$A$2,AZ44,IF('Adjustment Surface'!$C$2='Data Validation'!$A$3,AY44,"Unknown Option Type"))-IF('Adjustment Surface'!$C$2='Data Validation'!$A$2,AY44,IF('Adjustment Surface'!$C$2='Data Validation'!$A$3,AZ44,"Unknown Option Type")))/((BA44+0.01%)*SQRT(AW44)),0,1,TRUE)))+(((BA44+0.01%)*SQRT(AW44))*(NORMDIST((IF('Adjustment Surface'!$C$2='Data Validation'!$A$2,AZ44,IF('Adjustment Surface'!$C$2='Data Validation'!$A$3,AY44,"Unknown Option Type"))-IF('Adjustment Surface'!$C$2='Data Validation'!$A$2,AY44,IF('Adjustment Surface'!$C$2='Data Validation'!$A$3,AZ44,"Unknown Option Type")))/((BA44+0.01%)*SQRT(AW44)),0,1,FALSE))))*BB44*(AV44/360))-(BD44/AX44))*AX44)*BB44))</f>
        <v>116.55829049055291</v>
      </c>
      <c r="BH44" s="15">
        <f>IF(AS44="","",SUM(BG$4:BG44))</f>
        <v>2887.4101808414889</v>
      </c>
      <c r="BI44" s="15"/>
      <c r="BJ44" s="20"/>
      <c r="BK44" s="3">
        <v>41</v>
      </c>
      <c r="BL44" s="4">
        <f>IF(BM43=MAX('Adjustment Surface'!$C$14:$F$14),"",BM43)</f>
        <v>47280</v>
      </c>
      <c r="BM44" s="4">
        <f>IF(BL44="","",IF(BL44&lt;EDATE('Adjustment Surface'!$C$6,DATEDIF('Adjustment Surface'!$C$6,MAX('Adjustment Surface'!$C$14:$F$14),"M")),EDATE(BL$5,COUNT(BL$5:BL44)),IF(BL44=EDATE('Adjustment Surface'!$C$6,DATEDIF('Adjustment Surface'!$C$6,MAX('Adjustment Surface'!$C$14:$F$14),"M")),MAX('Adjustment Surface'!$C$14:$F$14),EDATE('Adjustment Surface'!$C$6,DATEDIF('Adjustment Surface'!$C$6,MAX('Adjustment Surface'!$C$14:$F$14),"M")))))</f>
        <v>47310</v>
      </c>
      <c r="BN44" s="3">
        <f t="shared" si="4"/>
        <v>30</v>
      </c>
      <c r="BO44" s="5">
        <f>IF(BK44="","",(BM44-'Rate &amp; Vol Update'!$C$2)/360)</f>
        <v>3.4611111111111112</v>
      </c>
      <c r="BP44" s="15">
        <f>IF(BK44="","",IF('Adjustment Surface'!$C$3='Data Validation'!$C$2,'Adjustment Surface'!$C$4,_xlfn.IFNA(IF(INDEX(Schedules!$E$3:$E$123,MATCH('Bachelier Model'!BL44,Schedules!$B$3:$B$123,0))="",BP43,INDEX(Schedules!$E$3:$E$123,MATCH('Bachelier Model'!BL44,Schedules!$B$3:$B$123,0))),BP43)))</f>
        <v>25000000</v>
      </c>
      <c r="BQ44" s="16">
        <f>IF(BK44="","",'Adjustment Surface'!B$17)</f>
        <v>0.05</v>
      </c>
      <c r="BR44" s="16" cm="1">
        <f t="array" ref="BR44">IF(BK44="","",FORECAST(BL44,INDEX('Rate &amp; Vol Update'!$C$6:$C$127,MATCH(INDEX('Rate &amp; Vol Update'!$B$6:$B$127,MATCH(BL44,'Rate &amp; Vol Update'!$B$6:$B$127,1)),'Rate &amp; Vol Update'!$B$6:$B$127,0)+IF('Adjustment Surface'!$C$11='Data Validation'!$E$3,-1,0)):INDEX('Rate &amp; Vol Update'!$C$6:$C$127,MATCH(INDEX('Rate &amp; Vol Update'!$B$6:$B$127,MATCH(BL44,'Rate &amp; Vol Update'!$B$6:$B$127,1)+1),'Rate &amp; Vol Update'!$B$6:$B$127,0)+IF('Adjustment Surface'!$C$11='Data Validation'!$E$3,-1,0)),INDEX('Rate &amp; Vol Update'!$B$6:$B$127,MATCH(BL44,'Rate &amp; Vol Update'!$B$6:$B$127,1)):INDEX('Rate &amp; Vol Update'!$B$6:$B$127,MATCH(BL44,'Rate &amp; Vol Update'!$B$6:$B$127,1)+1))/100)</f>
        <v>3.5318514456132988E-2</v>
      </c>
      <c r="BS44" s="16" cm="1">
        <f t="array" ref="BS44">IF(BK44="","",IF(BL44&lt;'Rate &amp; Vol Update'!$C$2,0.001%,(1/((INDEX('Rate &amp; Vol Update'!$E$6:$Z$6,1,MATCH(BQ44,'Rate &amp; Vol Update'!$E$6:$Z$6,1)+1)-INDEX('Rate &amp; Vol Update'!$E$6:$Z$6,1,MATCH(BQ44,'Rate &amp; Vol Update'!$E$6:$Z$6,1)))*(INDEX('Rate &amp; Vol Update'!$B$8:$B$127,MATCH(BL44,'Rate &amp; Vol Update'!$B$8:$B$127,1)+1)-INDEX('Rate &amp; Vol Update'!$B$8:$B$127,MATCH(BL44,'Rate &amp; Vol Update'!$B$8:$B$127,1))))*(INDEX('Rate &amp; Vol Update'!$E$8:$Z$127,MATCH(INDEX('Rate &amp; Vol Update'!$B$8:$B$127,MATCH(BL44,'Rate &amp; Vol Update'!$B$8:$B$127,1)),'Rate &amp; Vol Update'!$B$8:$B$127,0),MATCH(INDEX('Rate &amp; Vol Update'!$E$6:$Z$6,1,MATCH(BQ44,'Rate &amp; Vol Update'!$E$6:$Z$6,1)),'Rate &amp; Vol Update'!$E$6:$Z$6,0))*(INDEX('Rate &amp; Vol Update'!$E$6:$Z$6,1,MATCH(BQ44,'Rate &amp; Vol Update'!$E$6:$Z$6,1)+1)-BQ44)*(INDEX('Rate &amp; Vol Update'!$B$8:$B$127,MATCH(BL44,'Rate &amp; Vol Update'!$B$8:$B$127,1)+1)-BL44)+INDEX('Rate &amp; Vol Update'!$E$8:$Z$127,MATCH(INDEX('Rate &amp; Vol Update'!$B$8:$B$127,MATCH(BL44,'Rate &amp; Vol Update'!$B$8:$B$127,1)),'Rate &amp; Vol Update'!$B$8:$B$127,0),MATCH(INDEX('Rate &amp; Vol Update'!$E$6:$Z$6,1,MATCH(BQ44,'Rate &amp; Vol Update'!$E$6:$Z$6,1)+1),'Rate &amp; Vol Update'!$E$6:$Z$6,0))*(BQ44-INDEX('Rate &amp; Vol Update'!$E$6:$Z$6,1,MATCH(BQ44,'Rate &amp; Vol Update'!$E$6:$Z$6,1)))*(INDEX('Rate &amp; Vol Update'!$B$8:$B$127,MATCH(BL44,'Rate &amp; Vol Update'!$B$8:$B$127,1)+1)-BL44)+INDEX('Rate &amp; Vol Update'!$E$8:$Z$127,MATCH(INDEX('Rate &amp; Vol Update'!$B$8:$B$127,MATCH(BL44,'Rate &amp; Vol Update'!$B$8:$B$127,1)+1),'Rate &amp; Vol Update'!$B$8:$B$127,0),MATCH(INDEX('Rate &amp; Vol Update'!$E$6:$Z$6,1,MATCH(BQ44,'Rate &amp; Vol Update'!$E$6:$Z$6,1)),'Rate &amp; Vol Update'!$E$6:$Z$6,0))*(INDEX('Rate &amp; Vol Update'!$E$6:$Z$6,1,MATCH(BQ44,'Rate &amp; Vol Update'!$E$6:$Z$6,1)+1)-BQ44)*(BL44-INDEX('Rate &amp; Vol Update'!$B$8:$B$127,MATCH(BL44,'Rate &amp; Vol Update'!$B$8:$B$127,1)))+INDEX('Rate &amp; Vol Update'!$E$8:$Z$127,MATCH(INDEX('Rate &amp; Vol Update'!$B$8:$B$127,MATCH(BL44,'Rate &amp; Vol Update'!$B$8:$B$127,1)+1),'Rate &amp; Vol Update'!$B$8:$B$127,0),MATCH(INDEX('Rate &amp; Vol Update'!$E$6:$Z$6,1,MATCH(BQ44,'Rate &amp; Vol Update'!$E$6:$Z$6,1)+1),'Rate &amp; Vol Update'!$E$6:$Z$6,0))*(BQ44-INDEX('Rate &amp; Vol Update'!$E$6:$Z$6,1,MATCH(BQ44,'Rate &amp; Vol Update'!$E$6:$Z$6,1)))*(BL44-INDEX('Rate &amp; Vol Update'!$B$8:$B$127,MATCH(BL44,'Rate &amp; Vol Update'!$B$8:$B$127,1)))))*0.01%))</f>
        <v>9.6888111454966046E-3</v>
      </c>
      <c r="BT44" s="5">
        <f>IF(BK44="","",1/((1+BR44)^((BM44-'Rate &amp; Vol Update'!$C$2)/360)))</f>
        <v>0.88680325511682401</v>
      </c>
      <c r="BV44" s="15">
        <f>IF(BK44="","",IF(BL44&lt;'Rate &amp; Vol Update'!$C$2,MAX(0,BR44-BQ44)*(BN44/360)*BP44,(((IF('Adjustment Surface'!$C$2='Data Validation'!$A$2,BR44,IF('Adjustment Surface'!$C$2='Data Validation'!$A$3,BQ44,"Unknown Option Type"))-IF('Adjustment Surface'!$C$2='Data Validation'!$A$2,BQ44,IF('Adjustment Surface'!$C$2='Data Validation'!$A$3,BR44,"Unknown Option Type")))*(NORMDIST((IF('Adjustment Surface'!$C$2='Data Validation'!$A$2,BR44,IF('Adjustment Surface'!$C$2='Data Validation'!$A$3,BQ44,"Unknown Option Type"))-IF('Adjustment Surface'!$C$2='Data Validation'!$A$2,BQ44,IF('Adjustment Surface'!$C$2='Data Validation'!$A$3,BR44,"Unknown Option Type")))/(BS44*SQRT(BO44)),0,1,TRUE)))+((BS44*SQRT(BO44))*(NORMDIST((IF('Adjustment Surface'!$C$2='Data Validation'!$A$2,BR44,IF('Adjustment Surface'!$C$2='Data Validation'!$A$3,BQ44,"Unknown Option Type"))-IF('Adjustment Surface'!$C$2='Data Validation'!$A$2,BQ44,IF('Adjustment Surface'!$C$2='Data Validation'!$A$3,BR44,"Unknown Option Type")))/(BS44*SQRT(BO44)),0,1,FALSE))))*BT44*(BN44/360)*BP44))</f>
        <v>3901.7885431977393</v>
      </c>
      <c r="BW44" s="15">
        <f>IF(BK44="","",SUM(BV$4:BV44))</f>
        <v>52119.876241779937</v>
      </c>
      <c r="BY44" s="15">
        <f>IF(BK44="","",IF(BL44&lt;'Rate &amp; Vol Update'!$C$2,0,((((((IF('Adjustment Surface'!$C$2='Data Validation'!$A$2,BR44,IF('Adjustment Surface'!$C$2='Data Validation'!$A$3,BQ44,"Unknown Option Type"))-IF('Adjustment Surface'!$C$2='Data Validation'!$A$2,BQ44,IF('Adjustment Surface'!$C$2='Data Validation'!$A$3,BR44,"Unknown Option Type")))*(NORMDIST((IF('Adjustment Surface'!$C$2='Data Validation'!$A$2,BR44,IF('Adjustment Surface'!$C$2='Data Validation'!$A$3,BQ44,"Unknown Option Type"))-IF('Adjustment Surface'!$C$2='Data Validation'!$A$2,BQ44,IF('Adjustment Surface'!$C$2='Data Validation'!$A$3,BR44,"Unknown Option Type")))/((BS44+0.01%)*SQRT(BO44)),0,1,TRUE)))+(((BS44+0.01%)*SQRT(BO44))*(NORMDIST((IF('Adjustment Surface'!$C$2='Data Validation'!$A$2,BR44,IF('Adjustment Surface'!$C$2='Data Validation'!$A$3,BQ44,"Unknown Option Type"))-IF('Adjustment Surface'!$C$2='Data Validation'!$A$2,BQ44,IF('Adjustment Surface'!$C$2='Data Validation'!$A$3,BR44,"Unknown Option Type")))/((BS44+0.01%)*SQRT(BO44)),0,1,FALSE))))*BT44*(BN44/360))-(BV44/BP44))*BP44)*BT44))</f>
        <v>87.568014458376879</v>
      </c>
      <c r="BZ44" s="15">
        <f>IF(BK44="","",SUM(BY$4:BY44))</f>
        <v>1562.6861803345446</v>
      </c>
      <c r="CA44" s="15"/>
      <c r="CB44" s="20"/>
      <c r="CC44" s="3">
        <v>41</v>
      </c>
      <c r="CD44" s="4">
        <f>IF(CE43=MAX('Adjustment Surface'!$C$14:$F$14),"",CE43)</f>
        <v>47280</v>
      </c>
      <c r="CE44" s="4">
        <f>IF(CD44="","",IF(CD44&lt;EDATE('Adjustment Surface'!$C$6,DATEDIF('Adjustment Surface'!$C$6,MAX('Adjustment Surface'!$C$14:$F$14),"M")),EDATE(CD$5,COUNT(CD$5:CD44)),IF(CD44=EDATE('Adjustment Surface'!$C$6,DATEDIF('Adjustment Surface'!$C$6,MAX('Adjustment Surface'!$C$14:$F$14),"M")),MAX('Adjustment Surface'!$C$14:$F$14),EDATE('Adjustment Surface'!$C$6,DATEDIF('Adjustment Surface'!$C$6,MAX('Adjustment Surface'!$C$14:$F$14),"M")))))</f>
        <v>47310</v>
      </c>
      <c r="CF44" s="3">
        <f t="shared" si="5"/>
        <v>30</v>
      </c>
      <c r="CG44" s="5">
        <f>IF(CC44="","",(CE44-'Rate &amp; Vol Update'!$C$2)/360)</f>
        <v>3.4611111111111112</v>
      </c>
      <c r="CH44" s="15">
        <f>IF(CC44="","",IF('Adjustment Surface'!$C$3='Data Validation'!$C$2,'Adjustment Surface'!$C$4,_xlfn.IFNA(IF(INDEX(Schedules!$E$3:$E$123,MATCH('Bachelier Model'!CD44,Schedules!$B$3:$B$123,0))="",CH43,INDEX(Schedules!$E$3:$E$123,MATCH('Bachelier Model'!CD44,Schedules!$B$3:$B$123,0))),CH43)))</f>
        <v>25000000</v>
      </c>
      <c r="CI44" s="16">
        <f>IF(CC44="","",'Adjustment Surface'!B$18)</f>
        <v>0.06</v>
      </c>
      <c r="CJ44" s="16" cm="1">
        <f t="array" ref="CJ44">IF(CC44="","",FORECAST(CD44,INDEX('Rate &amp; Vol Update'!$C$6:$C$127,MATCH(INDEX('Rate &amp; Vol Update'!$B$6:$B$127,MATCH(CD44,'Rate &amp; Vol Update'!$B$6:$B$127,1)),'Rate &amp; Vol Update'!$B$6:$B$127,0)+IF('Adjustment Surface'!$C$11='Data Validation'!$E$3,-1,0)):INDEX('Rate &amp; Vol Update'!$C$6:$C$127,MATCH(INDEX('Rate &amp; Vol Update'!$B$6:$B$127,MATCH(CD44,'Rate &amp; Vol Update'!$B$6:$B$127,1)+1),'Rate &amp; Vol Update'!$B$6:$B$127,0)+IF('Adjustment Surface'!$C$11='Data Validation'!$E$3,-1,0)),INDEX('Rate &amp; Vol Update'!$B$6:$B$127,MATCH(CD44,'Rate &amp; Vol Update'!$B$6:$B$127,1)):INDEX('Rate &amp; Vol Update'!$B$6:$B$127,MATCH(CD44,'Rate &amp; Vol Update'!$B$6:$B$127,1)+1))/100)</f>
        <v>3.5318514456132988E-2</v>
      </c>
      <c r="CK44" s="16" cm="1">
        <f t="array" ref="CK44">IF(CC44="","",IF(CD44&lt;'Rate &amp; Vol Update'!$C$2,0.001%,(1/((INDEX('Rate &amp; Vol Update'!$E$6:$Z$6,1,MATCH(CI44,'Rate &amp; Vol Update'!$E$6:$Z$6,1)+1)-INDEX('Rate &amp; Vol Update'!$E$6:$Z$6,1,MATCH(CI44,'Rate &amp; Vol Update'!$E$6:$Z$6,1)))*(INDEX('Rate &amp; Vol Update'!$B$8:$B$127,MATCH(CD44,'Rate &amp; Vol Update'!$B$8:$B$127,1)+1)-INDEX('Rate &amp; Vol Update'!$B$8:$B$127,MATCH(CD44,'Rate &amp; Vol Update'!$B$8:$B$127,1))))*(INDEX('Rate &amp; Vol Update'!$E$8:$Z$127,MATCH(INDEX('Rate &amp; Vol Update'!$B$8:$B$127,MATCH(CD44,'Rate &amp; Vol Update'!$B$8:$B$127,1)),'Rate &amp; Vol Update'!$B$8:$B$127,0),MATCH(INDEX('Rate &amp; Vol Update'!$E$6:$Z$6,1,MATCH(CI44,'Rate &amp; Vol Update'!$E$6:$Z$6,1)),'Rate &amp; Vol Update'!$E$6:$Z$6,0))*(INDEX('Rate &amp; Vol Update'!$E$6:$Z$6,1,MATCH(CI44,'Rate &amp; Vol Update'!$E$6:$Z$6,1)+1)-CI44)*(INDEX('Rate &amp; Vol Update'!$B$8:$B$127,MATCH(CD44,'Rate &amp; Vol Update'!$B$8:$B$127,1)+1)-CD44)+INDEX('Rate &amp; Vol Update'!$E$8:$Z$127,MATCH(INDEX('Rate &amp; Vol Update'!$B$8:$B$127,MATCH(CD44,'Rate &amp; Vol Update'!$B$8:$B$127,1)),'Rate &amp; Vol Update'!$B$8:$B$127,0),MATCH(INDEX('Rate &amp; Vol Update'!$E$6:$Z$6,1,MATCH(CI44,'Rate &amp; Vol Update'!$E$6:$Z$6,1)+1),'Rate &amp; Vol Update'!$E$6:$Z$6,0))*(CI44-INDEX('Rate &amp; Vol Update'!$E$6:$Z$6,1,MATCH(CI44,'Rate &amp; Vol Update'!$E$6:$Z$6,1)))*(INDEX('Rate &amp; Vol Update'!$B$8:$B$127,MATCH(CD44,'Rate &amp; Vol Update'!$B$8:$B$127,1)+1)-CD44)+INDEX('Rate &amp; Vol Update'!$E$8:$Z$127,MATCH(INDEX('Rate &amp; Vol Update'!$B$8:$B$127,MATCH(CD44,'Rate &amp; Vol Update'!$B$8:$B$127,1)+1),'Rate &amp; Vol Update'!$B$8:$B$127,0),MATCH(INDEX('Rate &amp; Vol Update'!$E$6:$Z$6,1,MATCH(CI44,'Rate &amp; Vol Update'!$E$6:$Z$6,1)),'Rate &amp; Vol Update'!$E$6:$Z$6,0))*(INDEX('Rate &amp; Vol Update'!$E$6:$Z$6,1,MATCH(CI44,'Rate &amp; Vol Update'!$E$6:$Z$6,1)+1)-CI44)*(CD44-INDEX('Rate &amp; Vol Update'!$B$8:$B$127,MATCH(CD44,'Rate &amp; Vol Update'!$B$8:$B$127,1)))+INDEX('Rate &amp; Vol Update'!$E$8:$Z$127,MATCH(INDEX('Rate &amp; Vol Update'!$B$8:$B$127,MATCH(CD44,'Rate &amp; Vol Update'!$B$8:$B$127,1)+1),'Rate &amp; Vol Update'!$B$8:$B$127,0),MATCH(INDEX('Rate &amp; Vol Update'!$E$6:$Z$6,1,MATCH(CI44,'Rate &amp; Vol Update'!$E$6:$Z$6,1)+1),'Rate &amp; Vol Update'!$E$6:$Z$6,0))*(CI44-INDEX('Rate &amp; Vol Update'!$E$6:$Z$6,1,MATCH(CI44,'Rate &amp; Vol Update'!$E$6:$Z$6,1)))*(CD44-INDEX('Rate &amp; Vol Update'!$B$8:$B$127,MATCH(CD44,'Rate &amp; Vol Update'!$B$8:$B$127,1)))))*0.01%))</f>
        <v>1.105459996063966E-2</v>
      </c>
      <c r="CL44" s="5">
        <f>IF(CC44="","",1/((1+CJ44)^((CE44-'Rate &amp; Vol Update'!$C$2)/360)))</f>
        <v>0.88680325511682401</v>
      </c>
      <c r="CN44" s="15">
        <f>IF(CC44="","",IF(CD44&lt;'Rate &amp; Vol Update'!$C$2,MAX(0,CJ44-CI44)*(CF44/360)*CH44,(((IF('Adjustment Surface'!$C$2='Data Validation'!$A$2,CJ44,IF('Adjustment Surface'!$C$2='Data Validation'!$A$3,CI44,"Unknown Option Type"))-IF('Adjustment Surface'!$C$2='Data Validation'!$A$2,CI44,IF('Adjustment Surface'!$C$2='Data Validation'!$A$3,CJ44,"Unknown Option Type")))*(NORMDIST((IF('Adjustment Surface'!$C$2='Data Validation'!$A$2,CJ44,IF('Adjustment Surface'!$C$2='Data Validation'!$A$3,CI44,"Unknown Option Type"))-IF('Adjustment Surface'!$C$2='Data Validation'!$A$2,CI44,IF('Adjustment Surface'!$C$2='Data Validation'!$A$3,CJ44,"Unknown Option Type")))/(CK44*SQRT(CG44)),0,1,TRUE)))+((CK44*SQRT(CG44))*(NORMDIST((IF('Adjustment Surface'!$C$2='Data Validation'!$A$2,CJ44,IF('Adjustment Surface'!$C$2='Data Validation'!$A$3,CI44,"Unknown Option Type"))-IF('Adjustment Surface'!$C$2='Data Validation'!$A$2,CI44,IF('Adjustment Surface'!$C$2='Data Validation'!$A$3,CJ44,"Unknown Option Type")))/(CK44*SQRT(CG44)),0,1,FALSE))))*CL44*(CF44/360)*CH44))</f>
        <v>2131.1895115755328</v>
      </c>
      <c r="CO44" s="15">
        <f>IF(CC44="","",SUM(CN$4:CN44))</f>
        <v>26186.534559382471</v>
      </c>
      <c r="CQ44" s="15">
        <f>IF(CC44="","",IF(CD44&lt;'Rate &amp; Vol Update'!$C$2,0,((((((IF('Adjustment Surface'!$C$2='Data Validation'!$A$2,CJ44,IF('Adjustment Surface'!$C$2='Data Validation'!$A$3,CI44,"Unknown Option Type"))-IF('Adjustment Surface'!$C$2='Data Validation'!$A$2,CI44,IF('Adjustment Surface'!$C$2='Data Validation'!$A$3,CJ44,"Unknown Option Type")))*(NORMDIST((IF('Adjustment Surface'!$C$2='Data Validation'!$A$2,CJ44,IF('Adjustment Surface'!$C$2='Data Validation'!$A$3,CI44,"Unknown Option Type"))-IF('Adjustment Surface'!$C$2='Data Validation'!$A$2,CI44,IF('Adjustment Surface'!$C$2='Data Validation'!$A$3,CJ44,"Unknown Option Type")))/((CK44+0.01%)*SQRT(CG44)),0,1,TRUE)))+(((CK44+0.01%)*SQRT(CG44))*(NORMDIST((IF('Adjustment Surface'!$C$2='Data Validation'!$A$2,CJ44,IF('Adjustment Surface'!$C$2='Data Validation'!$A$3,CI44,"Unknown Option Type"))-IF('Adjustment Surface'!$C$2='Data Validation'!$A$2,CI44,IF('Adjustment Surface'!$C$2='Data Validation'!$A$3,CJ44,"Unknown Option Type")))/((CK44+0.01%)*SQRT(CG44)),0,1,FALSE))))*CL44*(CF44/360))-(CN44/CH44))*CH44)*CL44))</f>
        <v>59.564755062164139</v>
      </c>
      <c r="CR44" s="15">
        <f>IF(CC44="","",SUM(CQ$4:CQ44))</f>
        <v>915.02555085538791</v>
      </c>
    </row>
    <row r="45" spans="7:96" x14ac:dyDescent="0.25">
      <c r="G45" s="28"/>
      <c r="J45" s="4" t="str">
        <f>IF(K44='Adjustment Surface'!C$8,"",K44)</f>
        <v/>
      </c>
      <c r="K45" s="4" t="str">
        <f>IF(J45="","",IF(J45&lt;'Adjustment Surface'!C$7,EDATE(J$5,COUNT(J$5:J45)),IF(J45='Adjustment Surface'!C$7,'Adjustment Surface'!C$8,'Adjustment Surface'!C$7)))</f>
        <v/>
      </c>
      <c r="L45" s="3" t="str">
        <f t="shared" si="1"/>
        <v/>
      </c>
      <c r="M45" s="5" t="str">
        <f>IF(I45="","",(K45-'Rate &amp; Vol Update'!$C$2)/360)</f>
        <v/>
      </c>
      <c r="N45" s="15" t="str">
        <f>IF(I45="","",IF('Adjustment Surface'!C$3='Data Validation'!$C$2,'Adjustment Surface'!C$4,IF(INDEX(Schedules!$E$3:$E$123,MATCH('Bachelier Model'!J45,Schedules!$B$3:$B$123,0))="",N44,INDEX(Schedules!$E$3:$E$123,MATCH('Bachelier Model'!J45,Schedules!$B$3:$B$123,0)))))</f>
        <v/>
      </c>
      <c r="O45" s="16" t="str">
        <f>IF(I45="","",IF('Adjustment Surface'!C$9='Data Validation'!$D$2,'Adjustment Surface'!C$10,IF(INDEX(Schedules!$H$3:$H$123,MATCH('Bachelier Model'!J45,Schedules!$B$3:$B$123,0))="",O44,INDEX(Schedules!$H$3:$H$123,MATCH('Bachelier Model'!J45,Schedules!$B$3:$B$123,0)))))</f>
        <v/>
      </c>
      <c r="P45" s="16" t="str" cm="1">
        <f t="array" ref="P45">IF(I45="","",FORECAST(J45,INDEX('Rate &amp; Vol Update'!$C$6:$C$127,MATCH(INDEX('Rate &amp; Vol Update'!$B$6:$B$127,MATCH(J45,'Rate &amp; Vol Update'!$B$6:$B$127,1)),'Rate &amp; Vol Update'!$B$6:$B$127,0)+IF('Adjustment Surface'!C$11='Data Validation'!$E$3,-1,0)):INDEX('Rate &amp; Vol Update'!$C$6:$C$127,MATCH(INDEX('Rate &amp; Vol Update'!$B$6:$B$127,MATCH(J45,'Rate &amp; Vol Update'!$B$6:$B$127,1)+1),'Rate &amp; Vol Update'!$B$6:$B$127,0)+IF('Adjustment Surface'!C$11='Data Validation'!$E$3,-1,0)),INDEX('Rate &amp; Vol Update'!$B$6:$B$127,MATCH(J45,'Rate &amp; Vol Update'!$B$6:$B$127,1)):INDEX('Rate &amp; Vol Update'!$B$6:$B$127,MATCH(J45,'Rate &amp; Vol Update'!$B$6:$B$127,1)+1))/100)</f>
        <v/>
      </c>
      <c r="Q45" s="16" t="str" cm="1">
        <f t="array" ref="Q45">IF(I45="","",IF(J45&lt;'Rate &amp; Vol Update'!$C$2,0.001%,(1/((INDEX('Rate &amp; Vol Update'!$E$6:$Z$6,1,MATCH(O45,'Rate &amp; Vol Update'!$E$6:$Z$6,1)+1)-INDEX('Rate &amp; Vol Update'!$E$6:$Z$6,1,MATCH(O45,'Rate &amp; Vol Update'!$E$6:$Z$6,1)))*(INDEX('Rate &amp; Vol Update'!$B$8:$B$127,MATCH(J45,'Rate &amp; Vol Update'!$B$8:$B$127,1)+1)-INDEX('Rate &amp; Vol Update'!$B$8:$B$127,MATCH(J45,'Rate &amp; Vol Update'!$B$8:$B$127,1))))*(INDEX('Rate &amp; Vol Update'!$E$8:$Z$127,MATCH(INDEX('Rate &amp; Vol Update'!$B$8:$B$127,MATCH(J45,'Rate &amp; Vol Update'!$B$8:$B$127,1)),'Rate &amp; Vol Update'!$B$8:$B$127,0),MATCH(INDEX('Rate &amp; Vol Update'!$E$6:$Z$6,1,MATCH(O45,'Rate &amp; Vol Update'!$E$6:$Z$6,1)),'Rate &amp; Vol Update'!$E$6:$Z$6,0))*(INDEX('Rate &amp; Vol Update'!$E$6:$Z$6,1,MATCH(O45,'Rate &amp; Vol Update'!$E$6:$Z$6,1)+1)-O45)*(INDEX('Rate &amp; Vol Update'!$B$8:$B$127,MATCH(J45,'Rate &amp; Vol Update'!$B$8:$B$127,1)+1)-J45)+INDEX('Rate &amp; Vol Update'!$E$8:$Z$127,MATCH(INDEX('Rate &amp; Vol Update'!$B$8:$B$127,MATCH(J45,'Rate &amp; Vol Update'!$B$8:$B$127,1)),'Rate &amp; Vol Update'!$B$8:$B$127,0),MATCH(INDEX('Rate &amp; Vol Update'!$E$6:$Z$6,1,MATCH(O45,'Rate &amp; Vol Update'!$E$6:$Z$6,1)+1),'Rate &amp; Vol Update'!$E$6:$Z$6,0))*(O45-INDEX('Rate &amp; Vol Update'!$E$6:$Z$6,1,MATCH(O45,'Rate &amp; Vol Update'!$E$6:$Z$6,1)))*(INDEX('Rate &amp; Vol Update'!$B$8:$B$127,MATCH(J45,'Rate &amp; Vol Update'!$B$8:$B$127,1)+1)-J45)+INDEX('Rate &amp; Vol Update'!$E$8:$Z$127,MATCH(INDEX('Rate &amp; Vol Update'!$B$8:$B$127,MATCH(J45,'Rate &amp; Vol Update'!$B$8:$B$127,1)+1),'Rate &amp; Vol Update'!$B$8:$B$127,0),MATCH(INDEX('Rate &amp; Vol Update'!$E$6:$Z$6,1,MATCH(O45,'Rate &amp; Vol Update'!$E$6:$Z$6,1)),'Rate &amp; Vol Update'!$E$6:$Z$6,0))*(INDEX('Rate &amp; Vol Update'!$E$6:$Z$6,1,MATCH(O45,'Rate &amp; Vol Update'!$E$6:$Z$6,1)+1)-O45)*(J45-INDEX('Rate &amp; Vol Update'!$B$8:$B$127,MATCH(J45,'Rate &amp; Vol Update'!$B$8:$B$127,1)))+INDEX('Rate &amp; Vol Update'!$E$8:$Z$127,MATCH(INDEX('Rate &amp; Vol Update'!$B$8:$B$127,MATCH(J45,'Rate &amp; Vol Update'!$B$8:$B$127,1)+1),'Rate &amp; Vol Update'!$B$8:$B$127,0),MATCH(INDEX('Rate &amp; Vol Update'!$E$6:$Z$6,1,MATCH(O45,'Rate &amp; Vol Update'!$E$6:$Z$6,1)+1),'Rate &amp; Vol Update'!$E$6:$Z$6,0))*(O45-INDEX('Rate &amp; Vol Update'!$E$6:$Z$6,1,MATCH(O45,'Rate &amp; Vol Update'!$E$6:$Z$6,1)))*(J45-INDEX('Rate &amp; Vol Update'!$B$8:$B$127,MATCH(J45,'Rate &amp; Vol Update'!$B$8:$B$127,1)))))*0.01%))</f>
        <v/>
      </c>
      <c r="R45" s="5" t="str">
        <f>IF(I45="","",1/((1+P45)^((K45-'Rate &amp; Vol Update'!$C$2)/360)))</f>
        <v/>
      </c>
      <c r="T45" s="15" t="str">
        <f>IF(I45="","",IF(J45&lt;'Rate &amp; Vol Update'!$C$2,MAX(0,P45-O45)*(L45/360)*N45,(((IF('Adjustment Surface'!C$2='Data Validation'!$A$2,P45,IF('Adjustment Surface'!C$2='Data Validation'!$A$3,O45,"Unknown Option Type"))-IF('Adjustment Surface'!C$2='Data Validation'!$A$2,O45,IF('Adjustment Surface'!C$2='Data Validation'!$A$3,P45,"Unknown Option Type")))*(NORMDIST((IF('Adjustment Surface'!C$2='Data Validation'!$A$2,P45,IF('Adjustment Surface'!C$2='Data Validation'!$A$3,O45,"Unknown Option Type"))-IF('Adjustment Surface'!C$2='Data Validation'!$A$2,O45,IF('Adjustment Surface'!C$2='Data Validation'!$A$3,P45,"Unknown Option Type")))/(Q45*SQRT(M45)),0,1,TRUE)))+((Q45*SQRT(M45))*(NORMDIST((IF('Adjustment Surface'!C$2='Data Validation'!$A$2,P45,IF('Adjustment Surface'!C$2='Data Validation'!$A$3,O45,"Unknown Option Type"))-IF('Adjustment Surface'!C$2='Data Validation'!$A$2,O45,IF('Adjustment Surface'!C$2='Data Validation'!$A$3,P45,"Unknown Option Type")))/(Q45*SQRT(M45)),0,1,FALSE))))*R45*(L45/360)*N45))</f>
        <v/>
      </c>
      <c r="U45" s="15" t="str">
        <f>IF(I45="","",SUM(T$4:T45))</f>
        <v/>
      </c>
      <c r="W45" s="15" t="str">
        <f>IF(I45="","",IF(J45&lt;'Rate &amp; Vol Update'!$C$2,0,((((((IF('Adjustment Surface'!C$2='Data Validation'!$A$2,P45,IF('Adjustment Surface'!C$2='Data Validation'!$A$3,O45,"Unknown Option Type"))-IF('Adjustment Surface'!C$2='Data Validation'!$A$2,O45,IF('Adjustment Surface'!C$2='Data Validation'!$A$3,P45,"Unknown Option Type")))*(NORMDIST((IF('Adjustment Surface'!C$2='Data Validation'!$A$2,P45,IF('Adjustment Surface'!C$2='Data Validation'!$A$3,O45,"Unknown Option Type"))-IF('Adjustment Surface'!C$2='Data Validation'!$A$2,O45,IF('Adjustment Surface'!C$2='Data Validation'!$A$3,P45,"Unknown Option Type")))/((Q45+0.01%)*SQRT(M45)),0,1,TRUE)))+(((Q45+0.01%)*SQRT(M45))*(NORMDIST((IF('Adjustment Surface'!C$2='Data Validation'!$A$2,P45,IF('Adjustment Surface'!C$2='Data Validation'!$A$3,O45,"Unknown Option Type"))-IF('Adjustment Surface'!C$2='Data Validation'!$A$2,O45,IF('Adjustment Surface'!C$2='Data Validation'!$A$3,P45,"Unknown Option Type")))/((Q45+0.01%)*SQRT(M45)),0,1,FALSE))))*R45*(L45/360))-(T45/N45))*N45)*R45))</f>
        <v/>
      </c>
      <c r="X45" s="15" t="str">
        <f>IF(I45="","",SUM(W$4:W45))</f>
        <v/>
      </c>
      <c r="Y45" s="15"/>
      <c r="Z45" s="20"/>
      <c r="AA45" s="3">
        <v>42</v>
      </c>
      <c r="AB45" s="4">
        <f>IF(AC44=MAX('Adjustment Surface'!$C$14:$F$14),"",AC44)</f>
        <v>47310</v>
      </c>
      <c r="AC45" s="4">
        <f>IF(AB45="","",IF(AB45&lt;EDATE('Adjustment Surface'!$C$6,DATEDIF('Adjustment Surface'!$C$6,MAX('Adjustment Surface'!$C$14:$F$14),"M")),EDATE(AB$5,COUNT(AB$5:AB45)),IF(AB45=EDATE('Adjustment Surface'!$C$6,DATEDIF('Adjustment Surface'!$C$6,MAX('Adjustment Surface'!$C$14:$F$14),"M")),MAX('Adjustment Surface'!$C$14:$F$14),EDATE('Adjustment Surface'!$C$6,DATEDIF('Adjustment Surface'!$C$6,MAX('Adjustment Surface'!$C$14:$F$14),"M")))))</f>
        <v>47341</v>
      </c>
      <c r="AD45" s="3">
        <f t="shared" si="2"/>
        <v>31</v>
      </c>
      <c r="AE45" s="5">
        <f>IF(AA45="","",(AC45-'Rate &amp; Vol Update'!$C$2)/360)</f>
        <v>3.5472222222222221</v>
      </c>
      <c r="AF45" s="15">
        <f>IF(AA45="","",IF('Adjustment Surface'!$C$3='Data Validation'!$C$2,'Adjustment Surface'!$C$4,_xlfn.IFNA(IF(INDEX(Schedules!$E$3:$E$123,MATCH('Bachelier Model'!AB45,Schedules!$B$3:$B$123,0))="",AF44,INDEX(Schedules!$E$3:$E$123,MATCH('Bachelier Model'!AB45,Schedules!$B$3:$B$123,0))),AF44)))</f>
        <v>25000000</v>
      </c>
      <c r="AG45" s="16">
        <f>IF(AA45="","",'Adjustment Surface'!B$15)</f>
        <v>0.03</v>
      </c>
      <c r="AH45" s="16" cm="1">
        <f t="array" ref="AH45">IF(AA45="","",FORECAST(AB45,INDEX('Rate &amp; Vol Update'!$C$6:$C$127,MATCH(INDEX('Rate &amp; Vol Update'!$B$6:$B$127,MATCH(AB45,'Rate &amp; Vol Update'!$B$6:$B$127,1)),'Rate &amp; Vol Update'!$B$6:$B$127,0)+IF('Adjustment Surface'!$C$11='Data Validation'!$E$3,-1,0)):INDEX('Rate &amp; Vol Update'!$C$6:$C$127,MATCH(INDEX('Rate &amp; Vol Update'!$B$6:$B$127,MATCH(AB45,'Rate &amp; Vol Update'!$B$6:$B$127,1)+1),'Rate &amp; Vol Update'!$B$6:$B$127,0)+IF('Adjustment Surface'!$C$11='Data Validation'!$E$3,-1,0)),INDEX('Rate &amp; Vol Update'!$B$6:$B$127,MATCH(AB45,'Rate &amp; Vol Update'!$B$6:$B$127,1)):INDEX('Rate &amp; Vol Update'!$B$6:$B$127,MATCH(AB45,'Rate &amp; Vol Update'!$B$6:$B$127,1)+1))/100)</f>
        <v>3.5320245311943485E-2</v>
      </c>
      <c r="AI45" s="16" cm="1">
        <f t="array" ref="AI45">IF(AA45="","",IF(AB45&lt;'Rate &amp; Vol Update'!$C$2,0.001%,(1/((INDEX('Rate &amp; Vol Update'!$E$6:$Z$6,1,MATCH(AG45,'Rate &amp; Vol Update'!$E$6:$Z$6,1)+1)-INDEX('Rate &amp; Vol Update'!$E$6:$Z$6,1,MATCH(AG45,'Rate &amp; Vol Update'!$E$6:$Z$6,1)))*(INDEX('Rate &amp; Vol Update'!$B$8:$B$127,MATCH(AB45,'Rate &amp; Vol Update'!$B$8:$B$127,1)+1)-INDEX('Rate &amp; Vol Update'!$B$8:$B$127,MATCH(AB45,'Rate &amp; Vol Update'!$B$8:$B$127,1))))*(INDEX('Rate &amp; Vol Update'!$E$8:$Z$127,MATCH(INDEX('Rate &amp; Vol Update'!$B$8:$B$127,MATCH(AB45,'Rate &amp; Vol Update'!$B$8:$B$127,1)),'Rate &amp; Vol Update'!$B$8:$B$127,0),MATCH(INDEX('Rate &amp; Vol Update'!$E$6:$Z$6,1,MATCH(AG45,'Rate &amp; Vol Update'!$E$6:$Z$6,1)),'Rate &amp; Vol Update'!$E$6:$Z$6,0))*(INDEX('Rate &amp; Vol Update'!$E$6:$Z$6,1,MATCH(AG45,'Rate &amp; Vol Update'!$E$6:$Z$6,1)+1)-AG45)*(INDEX('Rate &amp; Vol Update'!$B$8:$B$127,MATCH(AB45,'Rate &amp; Vol Update'!$B$8:$B$127,1)+1)-AB45)+INDEX('Rate &amp; Vol Update'!$E$8:$Z$127,MATCH(INDEX('Rate &amp; Vol Update'!$B$8:$B$127,MATCH(AB45,'Rate &amp; Vol Update'!$B$8:$B$127,1)),'Rate &amp; Vol Update'!$B$8:$B$127,0),MATCH(INDEX('Rate &amp; Vol Update'!$E$6:$Z$6,1,MATCH(AG45,'Rate &amp; Vol Update'!$E$6:$Z$6,1)+1),'Rate &amp; Vol Update'!$E$6:$Z$6,0))*(AG45-INDEX('Rate &amp; Vol Update'!$E$6:$Z$6,1,MATCH(AG45,'Rate &amp; Vol Update'!$E$6:$Z$6,1)))*(INDEX('Rate &amp; Vol Update'!$B$8:$B$127,MATCH(AB45,'Rate &amp; Vol Update'!$B$8:$B$127,1)+1)-AB45)+INDEX('Rate &amp; Vol Update'!$E$8:$Z$127,MATCH(INDEX('Rate &amp; Vol Update'!$B$8:$B$127,MATCH(AB45,'Rate &amp; Vol Update'!$B$8:$B$127,1)+1),'Rate &amp; Vol Update'!$B$8:$B$127,0),MATCH(INDEX('Rate &amp; Vol Update'!$E$6:$Z$6,1,MATCH(AG45,'Rate &amp; Vol Update'!$E$6:$Z$6,1)),'Rate &amp; Vol Update'!$E$6:$Z$6,0))*(INDEX('Rate &amp; Vol Update'!$E$6:$Z$6,1,MATCH(AG45,'Rate &amp; Vol Update'!$E$6:$Z$6,1)+1)-AG45)*(AB45-INDEX('Rate &amp; Vol Update'!$B$8:$B$127,MATCH(AB45,'Rate &amp; Vol Update'!$B$8:$B$127,1)))+INDEX('Rate &amp; Vol Update'!$E$8:$Z$127,MATCH(INDEX('Rate &amp; Vol Update'!$B$8:$B$127,MATCH(AB45,'Rate &amp; Vol Update'!$B$8:$B$127,1)+1),'Rate &amp; Vol Update'!$B$8:$B$127,0),MATCH(INDEX('Rate &amp; Vol Update'!$E$6:$Z$6,1,MATCH(AG45,'Rate &amp; Vol Update'!$E$6:$Z$6,1)+1),'Rate &amp; Vol Update'!$E$6:$Z$6,0))*(AG45-INDEX('Rate &amp; Vol Update'!$E$6:$Z$6,1,MATCH(AG45,'Rate &amp; Vol Update'!$E$6:$Z$6,1)))*(AB45-INDEX('Rate &amp; Vol Update'!$B$8:$B$127,MATCH(AB45,'Rate &amp; Vol Update'!$B$8:$B$127,1)))))*0.01%))</f>
        <v>8.1289055550202941E-3</v>
      </c>
      <c r="AJ45" s="5">
        <f>IF(AA45="","",1/((1+AH45)^((AC45-'Rate &amp; Vol Update'!$C$2)/360)))</f>
        <v>0.88415145483420277</v>
      </c>
      <c r="AL45" s="15">
        <f>IF(AA45="","",IF(AB45&lt;'Rate &amp; Vol Update'!$C$2,MAX(0,AH45-AG45)*(AD45/360)*AF45,(((IF('Adjustment Surface'!$C$2='Data Validation'!$A$2,AH45,IF('Adjustment Surface'!$C$2='Data Validation'!$A$3,AG45,"Unknown Option Type"))-IF('Adjustment Surface'!$C$2='Data Validation'!$A$2,AG45,IF('Adjustment Surface'!$C$2='Data Validation'!$A$3,AH45,"Unknown Option Type")))*(NORMDIST((IF('Adjustment Surface'!$C$2='Data Validation'!$A$2,AH45,IF('Adjustment Surface'!$C$2='Data Validation'!$A$3,AG45,"Unknown Option Type"))-IF('Adjustment Surface'!$C$2='Data Validation'!$A$2,AG45,IF('Adjustment Surface'!$C$2='Data Validation'!$A$3,AH45,"Unknown Option Type")))/(AI45*SQRT(AE45)),0,1,TRUE)))+((AI45*SQRT(AE45))*(NORMDIST((IF('Adjustment Surface'!$C$2='Data Validation'!$A$2,AH45,IF('Adjustment Surface'!$C$2='Data Validation'!$A$3,AG45,"Unknown Option Type"))-IF('Adjustment Surface'!$C$2='Data Validation'!$A$2,AG45,IF('Adjustment Surface'!$C$2='Data Validation'!$A$3,AH45,"Unknown Option Type")))/(AI45*SQRT(AE45)),0,1,FALSE))))*AJ45*(AD45/360)*AF45))</f>
        <v>17383.69326622376</v>
      </c>
      <c r="AM45" s="15">
        <f>IF(AA45="","",SUM(AL$4:AL45))</f>
        <v>511037.67654538469</v>
      </c>
      <c r="AO45" s="15">
        <f>IF(AA45="","",IF(AB45&lt;'Rate &amp; Vol Update'!$C$2,0,((((((IF('Adjustment Surface'!$C$2='Data Validation'!$A$2,AH45,IF('Adjustment Surface'!$C$2='Data Validation'!$A$3,AG45,"Unknown Option Type"))-IF('Adjustment Surface'!$C$2='Data Validation'!$A$2,AG45,IF('Adjustment Surface'!$C$2='Data Validation'!$A$3,AH45,"Unknown Option Type")))*(NORMDIST((IF('Adjustment Surface'!$C$2='Data Validation'!$A$2,AH45,IF('Adjustment Surface'!$C$2='Data Validation'!$A$3,AG45,"Unknown Option Type"))-IF('Adjustment Surface'!$C$2='Data Validation'!$A$2,AG45,IF('Adjustment Surface'!$C$2='Data Validation'!$A$3,AH45,"Unknown Option Type")))/((AI45+0.01%)*SQRT(AE45)),0,1,TRUE)))+(((AI45+0.01%)*SQRT(AE45))*(NORMDIST((IF('Adjustment Surface'!$C$2='Data Validation'!$A$2,AH45,IF('Adjustment Surface'!$C$2='Data Validation'!$A$3,AG45,"Unknown Option Type"))-IF('Adjustment Surface'!$C$2='Data Validation'!$A$2,AG45,IF('Adjustment Surface'!$C$2='Data Validation'!$A$3,AH45,"Unknown Option Type")))/((AI45+0.01%)*SQRT(AE45)),0,1,FALSE))))*AJ45*(AD45/360))-(AL45/AF45))*AF45)*AJ45))</f>
        <v>119.1251709942953</v>
      </c>
      <c r="AP45" s="15">
        <f>IF(AA45="","",SUM(AO$4:AO45))</f>
        <v>3609.1761824780892</v>
      </c>
      <c r="AQ45" s="15"/>
      <c r="AR45" s="20"/>
      <c r="AS45" s="3">
        <v>42</v>
      </c>
      <c r="AT45" s="4">
        <f>IF(AU44=MAX('Adjustment Surface'!$C$14:$F$14),"",AU44)</f>
        <v>47310</v>
      </c>
      <c r="AU45" s="4">
        <f>IF(AT45="","",IF(AT45&lt;EDATE('Adjustment Surface'!$C$6,DATEDIF('Adjustment Surface'!$C$6,MAX('Adjustment Surface'!$C$14:$F$14),"M")),EDATE(AT$5,COUNT(AT$5:AT45)),IF(AT45=EDATE('Adjustment Surface'!$C$6,DATEDIF('Adjustment Surface'!$C$6,MAX('Adjustment Surface'!$C$14:$F$14),"M")),MAX('Adjustment Surface'!$C$14:$F$14),EDATE('Adjustment Surface'!$C$6,DATEDIF('Adjustment Surface'!$C$6,MAX('Adjustment Surface'!$C$14:$F$14),"M")))))</f>
        <v>47341</v>
      </c>
      <c r="AV45" s="3">
        <f t="shared" si="3"/>
        <v>31</v>
      </c>
      <c r="AW45" s="5">
        <f>IF(AS45="","",(AU45-'Rate &amp; Vol Update'!$C$2)/360)</f>
        <v>3.5472222222222221</v>
      </c>
      <c r="AX45" s="15">
        <f>IF(AS45="","",IF('Adjustment Surface'!$C$3='Data Validation'!$C$2,'Adjustment Surface'!$C$4,_xlfn.IFNA(IF(INDEX(Schedules!$E$3:$E$123,MATCH('Bachelier Model'!AT45,Schedules!$B$3:$B$123,0))="",AX44,INDEX(Schedules!$E$3:$E$123,MATCH('Bachelier Model'!AT45,Schedules!$B$3:$B$123,0))),AX44)))</f>
        <v>25000000</v>
      </c>
      <c r="AY45" s="16">
        <f>IF(AS45="","",'Adjustment Surface'!B$16)</f>
        <v>0.04</v>
      </c>
      <c r="AZ45" s="16" cm="1">
        <f t="array" ref="AZ45">IF(AS45="","",FORECAST(AT45,INDEX('Rate &amp; Vol Update'!$C$6:$C$127,MATCH(INDEX('Rate &amp; Vol Update'!$B$6:$B$127,MATCH(AT45,'Rate &amp; Vol Update'!$B$6:$B$127,1)),'Rate &amp; Vol Update'!$B$6:$B$127,0)+IF('Adjustment Surface'!$C$11='Data Validation'!$E$3,-1,0)):INDEX('Rate &amp; Vol Update'!$C$6:$C$127,MATCH(INDEX('Rate &amp; Vol Update'!$B$6:$B$127,MATCH(AT45,'Rate &amp; Vol Update'!$B$6:$B$127,1)+1),'Rate &amp; Vol Update'!$B$6:$B$127,0)+IF('Adjustment Surface'!$C$11='Data Validation'!$E$3,-1,0)),INDEX('Rate &amp; Vol Update'!$B$6:$B$127,MATCH(AT45,'Rate &amp; Vol Update'!$B$6:$B$127,1)):INDEX('Rate &amp; Vol Update'!$B$6:$B$127,MATCH(AT45,'Rate &amp; Vol Update'!$B$6:$B$127,1)+1))/100)</f>
        <v>3.5320245311943485E-2</v>
      </c>
      <c r="BA45" s="16" cm="1">
        <f t="array" ref="BA45">IF(AS45="","",IF(AT45&lt;'Rate &amp; Vol Update'!$C$2,0.001%,(1/((INDEX('Rate &amp; Vol Update'!$E$6:$Z$6,1,MATCH(AY45,'Rate &amp; Vol Update'!$E$6:$Z$6,1)+1)-INDEX('Rate &amp; Vol Update'!$E$6:$Z$6,1,MATCH(AY45,'Rate &amp; Vol Update'!$E$6:$Z$6,1)))*(INDEX('Rate &amp; Vol Update'!$B$8:$B$127,MATCH(AT45,'Rate &amp; Vol Update'!$B$8:$B$127,1)+1)-INDEX('Rate &amp; Vol Update'!$B$8:$B$127,MATCH(AT45,'Rate &amp; Vol Update'!$B$8:$B$127,1))))*(INDEX('Rate &amp; Vol Update'!$E$8:$Z$127,MATCH(INDEX('Rate &amp; Vol Update'!$B$8:$B$127,MATCH(AT45,'Rate &amp; Vol Update'!$B$8:$B$127,1)),'Rate &amp; Vol Update'!$B$8:$B$127,0),MATCH(INDEX('Rate &amp; Vol Update'!$E$6:$Z$6,1,MATCH(AY45,'Rate &amp; Vol Update'!$E$6:$Z$6,1)),'Rate &amp; Vol Update'!$E$6:$Z$6,0))*(INDEX('Rate &amp; Vol Update'!$E$6:$Z$6,1,MATCH(AY45,'Rate &amp; Vol Update'!$E$6:$Z$6,1)+1)-AY45)*(INDEX('Rate &amp; Vol Update'!$B$8:$B$127,MATCH(AT45,'Rate &amp; Vol Update'!$B$8:$B$127,1)+1)-AT45)+INDEX('Rate &amp; Vol Update'!$E$8:$Z$127,MATCH(INDEX('Rate &amp; Vol Update'!$B$8:$B$127,MATCH(AT45,'Rate &amp; Vol Update'!$B$8:$B$127,1)),'Rate &amp; Vol Update'!$B$8:$B$127,0),MATCH(INDEX('Rate &amp; Vol Update'!$E$6:$Z$6,1,MATCH(AY45,'Rate &amp; Vol Update'!$E$6:$Z$6,1)+1),'Rate &amp; Vol Update'!$E$6:$Z$6,0))*(AY45-INDEX('Rate &amp; Vol Update'!$E$6:$Z$6,1,MATCH(AY45,'Rate &amp; Vol Update'!$E$6:$Z$6,1)))*(INDEX('Rate &amp; Vol Update'!$B$8:$B$127,MATCH(AT45,'Rate &amp; Vol Update'!$B$8:$B$127,1)+1)-AT45)+INDEX('Rate &amp; Vol Update'!$E$8:$Z$127,MATCH(INDEX('Rate &amp; Vol Update'!$B$8:$B$127,MATCH(AT45,'Rate &amp; Vol Update'!$B$8:$B$127,1)+1),'Rate &amp; Vol Update'!$B$8:$B$127,0),MATCH(INDEX('Rate &amp; Vol Update'!$E$6:$Z$6,1,MATCH(AY45,'Rate &amp; Vol Update'!$E$6:$Z$6,1)),'Rate &amp; Vol Update'!$E$6:$Z$6,0))*(INDEX('Rate &amp; Vol Update'!$E$6:$Z$6,1,MATCH(AY45,'Rate &amp; Vol Update'!$E$6:$Z$6,1)+1)-AY45)*(AT45-INDEX('Rate &amp; Vol Update'!$B$8:$B$127,MATCH(AT45,'Rate &amp; Vol Update'!$B$8:$B$127,1)))+INDEX('Rate &amp; Vol Update'!$E$8:$Z$127,MATCH(INDEX('Rate &amp; Vol Update'!$B$8:$B$127,MATCH(AT45,'Rate &amp; Vol Update'!$B$8:$B$127,1)+1),'Rate &amp; Vol Update'!$B$8:$B$127,0),MATCH(INDEX('Rate &amp; Vol Update'!$E$6:$Z$6,1,MATCH(AY45,'Rate &amp; Vol Update'!$E$6:$Z$6,1)+1),'Rate &amp; Vol Update'!$E$6:$Z$6,0))*(AY45-INDEX('Rate &amp; Vol Update'!$E$6:$Z$6,1,MATCH(AY45,'Rate &amp; Vol Update'!$E$6:$Z$6,1)))*(AT45-INDEX('Rate &amp; Vol Update'!$B$8:$B$127,MATCH(AT45,'Rate &amp; Vol Update'!$B$8:$B$127,1)))))*0.01%))</f>
        <v>8.5974438556738909E-3</v>
      </c>
      <c r="BB45" s="5">
        <f>IF(AS45="","",1/((1+AZ45)^((AU45-'Rate &amp; Vol Update'!$C$2)/360)))</f>
        <v>0.88415145483420277</v>
      </c>
      <c r="BD45" s="15">
        <f>IF(AS45="","",IF(AT45&lt;'Rate &amp; Vol Update'!$C$2,MAX(0,AZ45-AY45)*(AV45/360)*AX45,(((IF('Adjustment Surface'!$C$2='Data Validation'!$A$2,AZ45,IF('Adjustment Surface'!$C$2='Data Validation'!$A$3,AY45,"Unknown Option Type"))-IF('Adjustment Surface'!$C$2='Data Validation'!$A$2,AY45,IF('Adjustment Surface'!$C$2='Data Validation'!$A$3,AZ45,"Unknown Option Type")))*(NORMDIST((IF('Adjustment Surface'!$C$2='Data Validation'!$A$2,AZ45,IF('Adjustment Surface'!$C$2='Data Validation'!$A$3,AY45,"Unknown Option Type"))-IF('Adjustment Surface'!$C$2='Data Validation'!$A$2,AY45,IF('Adjustment Surface'!$C$2='Data Validation'!$A$3,AZ45,"Unknown Option Type")))/(BA45*SQRT(AW45)),0,1,TRUE)))+((BA45*SQRT(AW45))*(NORMDIST((IF('Adjustment Surface'!$C$2='Data Validation'!$A$2,AZ45,IF('Adjustment Surface'!$C$2='Data Validation'!$A$3,AY45,"Unknown Option Type"))-IF('Adjustment Surface'!$C$2='Data Validation'!$A$2,AY45,IF('Adjustment Surface'!$C$2='Data Validation'!$A$3,AZ45,"Unknown Option Type")))/(BA45*SQRT(AW45)),0,1,FALSE))))*BB45*(AV45/360)*AX45))</f>
        <v>8351.866766445788</v>
      </c>
      <c r="BE45" s="15">
        <f>IF(AS45="","",SUM(BD$4:BD45))</f>
        <v>141327.02036536977</v>
      </c>
      <c r="BG45" s="15">
        <f>IF(AS45="","",IF(AT45&lt;'Rate &amp; Vol Update'!$C$2,0,((((((IF('Adjustment Surface'!$C$2='Data Validation'!$A$2,AZ45,IF('Adjustment Surface'!$C$2='Data Validation'!$A$3,AY45,"Unknown Option Type"))-IF('Adjustment Surface'!$C$2='Data Validation'!$A$2,AY45,IF('Adjustment Surface'!$C$2='Data Validation'!$A$3,AZ45,"Unknown Option Type")))*(NORMDIST((IF('Adjustment Surface'!$C$2='Data Validation'!$A$2,AZ45,IF('Adjustment Surface'!$C$2='Data Validation'!$A$3,AY45,"Unknown Option Type"))-IF('Adjustment Surface'!$C$2='Data Validation'!$A$2,AY45,IF('Adjustment Surface'!$C$2='Data Validation'!$A$3,AZ45,"Unknown Option Type")))/((BA45+0.01%)*SQRT(AW45)),0,1,TRUE)))+(((BA45+0.01%)*SQRT(AW45))*(NORMDIST((IF('Adjustment Surface'!$C$2='Data Validation'!$A$2,AZ45,IF('Adjustment Surface'!$C$2='Data Validation'!$A$3,AY45,"Unknown Option Type"))-IF('Adjustment Surface'!$C$2='Data Validation'!$A$2,AY45,IF('Adjustment Surface'!$C$2='Data Validation'!$A$3,AZ45,"Unknown Option Type")))/((BA45+0.01%)*SQRT(AW45)),0,1,FALSE))))*BB45*(AV45/360))-(BD45/AX45))*AX45)*BB45))</f>
        <v>121.33274374796267</v>
      </c>
      <c r="BH45" s="15">
        <f>IF(AS45="","",SUM(BG$4:BG45))</f>
        <v>3008.7429245894514</v>
      </c>
      <c r="BI45" s="15"/>
      <c r="BJ45" s="20"/>
      <c r="BK45" s="3">
        <v>42</v>
      </c>
      <c r="BL45" s="4">
        <f>IF(BM44=MAX('Adjustment Surface'!$C$14:$F$14),"",BM44)</f>
        <v>47310</v>
      </c>
      <c r="BM45" s="4">
        <f>IF(BL45="","",IF(BL45&lt;EDATE('Adjustment Surface'!$C$6,DATEDIF('Adjustment Surface'!$C$6,MAX('Adjustment Surface'!$C$14:$F$14),"M")),EDATE(BL$5,COUNT(BL$5:BL45)),IF(BL45=EDATE('Adjustment Surface'!$C$6,DATEDIF('Adjustment Surface'!$C$6,MAX('Adjustment Surface'!$C$14:$F$14),"M")),MAX('Adjustment Surface'!$C$14:$F$14),EDATE('Adjustment Surface'!$C$6,DATEDIF('Adjustment Surface'!$C$6,MAX('Adjustment Surface'!$C$14:$F$14),"M")))))</f>
        <v>47341</v>
      </c>
      <c r="BN45" s="3">
        <f t="shared" si="4"/>
        <v>31</v>
      </c>
      <c r="BO45" s="5">
        <f>IF(BK45="","",(BM45-'Rate &amp; Vol Update'!$C$2)/360)</f>
        <v>3.5472222222222221</v>
      </c>
      <c r="BP45" s="15">
        <f>IF(BK45="","",IF('Adjustment Surface'!$C$3='Data Validation'!$C$2,'Adjustment Surface'!$C$4,_xlfn.IFNA(IF(INDEX(Schedules!$E$3:$E$123,MATCH('Bachelier Model'!BL45,Schedules!$B$3:$B$123,0))="",BP44,INDEX(Schedules!$E$3:$E$123,MATCH('Bachelier Model'!BL45,Schedules!$B$3:$B$123,0))),BP44)))</f>
        <v>25000000</v>
      </c>
      <c r="BQ45" s="16">
        <f>IF(BK45="","",'Adjustment Surface'!B$17)</f>
        <v>0.05</v>
      </c>
      <c r="BR45" s="16" cm="1">
        <f t="array" ref="BR45">IF(BK45="","",FORECAST(BL45,INDEX('Rate &amp; Vol Update'!$C$6:$C$127,MATCH(INDEX('Rate &amp; Vol Update'!$B$6:$B$127,MATCH(BL45,'Rate &amp; Vol Update'!$B$6:$B$127,1)),'Rate &amp; Vol Update'!$B$6:$B$127,0)+IF('Adjustment Surface'!$C$11='Data Validation'!$E$3,-1,0)):INDEX('Rate &amp; Vol Update'!$C$6:$C$127,MATCH(INDEX('Rate &amp; Vol Update'!$B$6:$B$127,MATCH(BL45,'Rate &amp; Vol Update'!$B$6:$B$127,1)+1),'Rate &amp; Vol Update'!$B$6:$B$127,0)+IF('Adjustment Surface'!$C$11='Data Validation'!$E$3,-1,0)),INDEX('Rate &amp; Vol Update'!$B$6:$B$127,MATCH(BL45,'Rate &amp; Vol Update'!$B$6:$B$127,1)):INDEX('Rate &amp; Vol Update'!$B$6:$B$127,MATCH(BL45,'Rate &amp; Vol Update'!$B$6:$B$127,1)+1))/100)</f>
        <v>3.5320245311943485E-2</v>
      </c>
      <c r="BS45" s="16" cm="1">
        <f t="array" ref="BS45">IF(BK45="","",IF(BL45&lt;'Rate &amp; Vol Update'!$C$2,0.001%,(1/((INDEX('Rate &amp; Vol Update'!$E$6:$Z$6,1,MATCH(BQ45,'Rate &amp; Vol Update'!$E$6:$Z$6,1)+1)-INDEX('Rate &amp; Vol Update'!$E$6:$Z$6,1,MATCH(BQ45,'Rate &amp; Vol Update'!$E$6:$Z$6,1)))*(INDEX('Rate &amp; Vol Update'!$B$8:$B$127,MATCH(BL45,'Rate &amp; Vol Update'!$B$8:$B$127,1)+1)-INDEX('Rate &amp; Vol Update'!$B$8:$B$127,MATCH(BL45,'Rate &amp; Vol Update'!$B$8:$B$127,1))))*(INDEX('Rate &amp; Vol Update'!$E$8:$Z$127,MATCH(INDEX('Rate &amp; Vol Update'!$B$8:$B$127,MATCH(BL45,'Rate &amp; Vol Update'!$B$8:$B$127,1)),'Rate &amp; Vol Update'!$B$8:$B$127,0),MATCH(INDEX('Rate &amp; Vol Update'!$E$6:$Z$6,1,MATCH(BQ45,'Rate &amp; Vol Update'!$E$6:$Z$6,1)),'Rate &amp; Vol Update'!$E$6:$Z$6,0))*(INDEX('Rate &amp; Vol Update'!$E$6:$Z$6,1,MATCH(BQ45,'Rate &amp; Vol Update'!$E$6:$Z$6,1)+1)-BQ45)*(INDEX('Rate &amp; Vol Update'!$B$8:$B$127,MATCH(BL45,'Rate &amp; Vol Update'!$B$8:$B$127,1)+1)-BL45)+INDEX('Rate &amp; Vol Update'!$E$8:$Z$127,MATCH(INDEX('Rate &amp; Vol Update'!$B$8:$B$127,MATCH(BL45,'Rate &amp; Vol Update'!$B$8:$B$127,1)),'Rate &amp; Vol Update'!$B$8:$B$127,0),MATCH(INDEX('Rate &amp; Vol Update'!$E$6:$Z$6,1,MATCH(BQ45,'Rate &amp; Vol Update'!$E$6:$Z$6,1)+1),'Rate &amp; Vol Update'!$E$6:$Z$6,0))*(BQ45-INDEX('Rate &amp; Vol Update'!$E$6:$Z$6,1,MATCH(BQ45,'Rate &amp; Vol Update'!$E$6:$Z$6,1)))*(INDEX('Rate &amp; Vol Update'!$B$8:$B$127,MATCH(BL45,'Rate &amp; Vol Update'!$B$8:$B$127,1)+1)-BL45)+INDEX('Rate &amp; Vol Update'!$E$8:$Z$127,MATCH(INDEX('Rate &amp; Vol Update'!$B$8:$B$127,MATCH(BL45,'Rate &amp; Vol Update'!$B$8:$B$127,1)+1),'Rate &amp; Vol Update'!$B$8:$B$127,0),MATCH(INDEX('Rate &amp; Vol Update'!$E$6:$Z$6,1,MATCH(BQ45,'Rate &amp; Vol Update'!$E$6:$Z$6,1)),'Rate &amp; Vol Update'!$E$6:$Z$6,0))*(INDEX('Rate &amp; Vol Update'!$E$6:$Z$6,1,MATCH(BQ45,'Rate &amp; Vol Update'!$E$6:$Z$6,1)+1)-BQ45)*(BL45-INDEX('Rate &amp; Vol Update'!$B$8:$B$127,MATCH(BL45,'Rate &amp; Vol Update'!$B$8:$B$127,1)))+INDEX('Rate &amp; Vol Update'!$E$8:$Z$127,MATCH(INDEX('Rate &amp; Vol Update'!$B$8:$B$127,MATCH(BL45,'Rate &amp; Vol Update'!$B$8:$B$127,1)+1),'Rate &amp; Vol Update'!$B$8:$B$127,0),MATCH(INDEX('Rate &amp; Vol Update'!$E$6:$Z$6,1,MATCH(BQ45,'Rate &amp; Vol Update'!$E$6:$Z$6,1)+1),'Rate &amp; Vol Update'!$E$6:$Z$6,0))*(BQ45-INDEX('Rate &amp; Vol Update'!$E$6:$Z$6,1,MATCH(BQ45,'Rate &amp; Vol Update'!$E$6:$Z$6,1)))*(BL45-INDEX('Rate &amp; Vol Update'!$B$8:$B$127,MATCH(BL45,'Rate &amp; Vol Update'!$B$8:$B$127,1)))))*0.01%))</f>
        <v>9.688662570398035E-3</v>
      </c>
      <c r="BT45" s="5">
        <f>IF(BK45="","",1/((1+BR45)^((BM45-'Rate &amp; Vol Update'!$C$2)/360)))</f>
        <v>0.88415145483420277</v>
      </c>
      <c r="BV45" s="15">
        <f>IF(BK45="","",IF(BL45&lt;'Rate &amp; Vol Update'!$C$2,MAX(0,BR45-BQ45)*(BN45/360)*BP45,(((IF('Adjustment Surface'!$C$2='Data Validation'!$A$2,BR45,IF('Adjustment Surface'!$C$2='Data Validation'!$A$3,BQ45,"Unknown Option Type"))-IF('Adjustment Surface'!$C$2='Data Validation'!$A$2,BQ45,IF('Adjustment Surface'!$C$2='Data Validation'!$A$3,BR45,"Unknown Option Type")))*(NORMDIST((IF('Adjustment Surface'!$C$2='Data Validation'!$A$2,BR45,IF('Adjustment Surface'!$C$2='Data Validation'!$A$3,BQ45,"Unknown Option Type"))-IF('Adjustment Surface'!$C$2='Data Validation'!$A$2,BQ45,IF('Adjustment Surface'!$C$2='Data Validation'!$A$3,BR45,"Unknown Option Type")))/(BS45*SQRT(BO45)),0,1,TRUE)))+((BS45*SQRT(BO45))*(NORMDIST((IF('Adjustment Surface'!$C$2='Data Validation'!$A$2,BR45,IF('Adjustment Surface'!$C$2='Data Validation'!$A$3,BQ45,"Unknown Option Type"))-IF('Adjustment Surface'!$C$2='Data Validation'!$A$2,BQ45,IF('Adjustment Surface'!$C$2='Data Validation'!$A$3,BR45,"Unknown Option Type")))/(BS45*SQRT(BO45)),0,1,FALSE))))*BT45*(BN45/360)*BP45))</f>
        <v>4142.2738046618661</v>
      </c>
      <c r="BW45" s="15">
        <f>IF(BK45="","",SUM(BV$4:BV45))</f>
        <v>56262.150046441806</v>
      </c>
      <c r="BY45" s="15">
        <f>IF(BK45="","",IF(BL45&lt;'Rate &amp; Vol Update'!$C$2,0,((((((IF('Adjustment Surface'!$C$2='Data Validation'!$A$2,BR45,IF('Adjustment Surface'!$C$2='Data Validation'!$A$3,BQ45,"Unknown Option Type"))-IF('Adjustment Surface'!$C$2='Data Validation'!$A$2,BQ45,IF('Adjustment Surface'!$C$2='Data Validation'!$A$3,BR45,"Unknown Option Type")))*(NORMDIST((IF('Adjustment Surface'!$C$2='Data Validation'!$A$2,BR45,IF('Adjustment Surface'!$C$2='Data Validation'!$A$3,BQ45,"Unknown Option Type"))-IF('Adjustment Surface'!$C$2='Data Validation'!$A$2,BQ45,IF('Adjustment Surface'!$C$2='Data Validation'!$A$3,BR45,"Unknown Option Type")))/((BS45+0.01%)*SQRT(BO45)),0,1,TRUE)))+(((BS45+0.01%)*SQRT(BO45))*(NORMDIST((IF('Adjustment Surface'!$C$2='Data Validation'!$A$2,BR45,IF('Adjustment Surface'!$C$2='Data Validation'!$A$3,BQ45,"Unknown Option Type"))-IF('Adjustment Surface'!$C$2='Data Validation'!$A$2,BQ45,IF('Adjustment Surface'!$C$2='Data Validation'!$A$3,BR45,"Unknown Option Type")))/((BS45+0.01%)*SQRT(BO45)),0,1,FALSE))))*BT45*(BN45/360))-(BV45/BP45))*BP45)*BT45))</f>
        <v>91.793312143355791</v>
      </c>
      <c r="BZ45" s="15">
        <f>IF(BK45="","",SUM(BY$4:BY45))</f>
        <v>1654.4794924779003</v>
      </c>
      <c r="CA45" s="15"/>
      <c r="CB45" s="20"/>
      <c r="CC45" s="3">
        <v>42</v>
      </c>
      <c r="CD45" s="4">
        <f>IF(CE44=MAX('Adjustment Surface'!$C$14:$F$14),"",CE44)</f>
        <v>47310</v>
      </c>
      <c r="CE45" s="4">
        <f>IF(CD45="","",IF(CD45&lt;EDATE('Adjustment Surface'!$C$6,DATEDIF('Adjustment Surface'!$C$6,MAX('Adjustment Surface'!$C$14:$F$14),"M")),EDATE(CD$5,COUNT(CD$5:CD45)),IF(CD45=EDATE('Adjustment Surface'!$C$6,DATEDIF('Adjustment Surface'!$C$6,MAX('Adjustment Surface'!$C$14:$F$14),"M")),MAX('Adjustment Surface'!$C$14:$F$14),EDATE('Adjustment Surface'!$C$6,DATEDIF('Adjustment Surface'!$C$6,MAX('Adjustment Surface'!$C$14:$F$14),"M")))))</f>
        <v>47341</v>
      </c>
      <c r="CF45" s="3">
        <f t="shared" si="5"/>
        <v>31</v>
      </c>
      <c r="CG45" s="5">
        <f>IF(CC45="","",(CE45-'Rate &amp; Vol Update'!$C$2)/360)</f>
        <v>3.5472222222222221</v>
      </c>
      <c r="CH45" s="15">
        <f>IF(CC45="","",IF('Adjustment Surface'!$C$3='Data Validation'!$C$2,'Adjustment Surface'!$C$4,_xlfn.IFNA(IF(INDEX(Schedules!$E$3:$E$123,MATCH('Bachelier Model'!CD45,Schedules!$B$3:$B$123,0))="",CH44,INDEX(Schedules!$E$3:$E$123,MATCH('Bachelier Model'!CD45,Schedules!$B$3:$B$123,0))),CH44)))</f>
        <v>25000000</v>
      </c>
      <c r="CI45" s="16">
        <f>IF(CC45="","",'Adjustment Surface'!B$18)</f>
        <v>0.06</v>
      </c>
      <c r="CJ45" s="16" cm="1">
        <f t="array" ref="CJ45">IF(CC45="","",FORECAST(CD45,INDEX('Rate &amp; Vol Update'!$C$6:$C$127,MATCH(INDEX('Rate &amp; Vol Update'!$B$6:$B$127,MATCH(CD45,'Rate &amp; Vol Update'!$B$6:$B$127,1)),'Rate &amp; Vol Update'!$B$6:$B$127,0)+IF('Adjustment Surface'!$C$11='Data Validation'!$E$3,-1,0)):INDEX('Rate &amp; Vol Update'!$C$6:$C$127,MATCH(INDEX('Rate &amp; Vol Update'!$B$6:$B$127,MATCH(CD45,'Rate &amp; Vol Update'!$B$6:$B$127,1)+1),'Rate &amp; Vol Update'!$B$6:$B$127,0)+IF('Adjustment Surface'!$C$11='Data Validation'!$E$3,-1,0)),INDEX('Rate &amp; Vol Update'!$B$6:$B$127,MATCH(CD45,'Rate &amp; Vol Update'!$B$6:$B$127,1)):INDEX('Rate &amp; Vol Update'!$B$6:$B$127,MATCH(CD45,'Rate &amp; Vol Update'!$B$6:$B$127,1)+1))/100)</f>
        <v>3.5320245311943485E-2</v>
      </c>
      <c r="CK45" s="16" cm="1">
        <f t="array" ref="CK45">IF(CC45="","",IF(CD45&lt;'Rate &amp; Vol Update'!$C$2,0.001%,(1/((INDEX('Rate &amp; Vol Update'!$E$6:$Z$6,1,MATCH(CI45,'Rate &amp; Vol Update'!$E$6:$Z$6,1)+1)-INDEX('Rate &amp; Vol Update'!$E$6:$Z$6,1,MATCH(CI45,'Rate &amp; Vol Update'!$E$6:$Z$6,1)))*(INDEX('Rate &amp; Vol Update'!$B$8:$B$127,MATCH(CD45,'Rate &amp; Vol Update'!$B$8:$B$127,1)+1)-INDEX('Rate &amp; Vol Update'!$B$8:$B$127,MATCH(CD45,'Rate &amp; Vol Update'!$B$8:$B$127,1))))*(INDEX('Rate &amp; Vol Update'!$E$8:$Z$127,MATCH(INDEX('Rate &amp; Vol Update'!$B$8:$B$127,MATCH(CD45,'Rate &amp; Vol Update'!$B$8:$B$127,1)),'Rate &amp; Vol Update'!$B$8:$B$127,0),MATCH(INDEX('Rate &amp; Vol Update'!$E$6:$Z$6,1,MATCH(CI45,'Rate &amp; Vol Update'!$E$6:$Z$6,1)),'Rate &amp; Vol Update'!$E$6:$Z$6,0))*(INDEX('Rate &amp; Vol Update'!$E$6:$Z$6,1,MATCH(CI45,'Rate &amp; Vol Update'!$E$6:$Z$6,1)+1)-CI45)*(INDEX('Rate &amp; Vol Update'!$B$8:$B$127,MATCH(CD45,'Rate &amp; Vol Update'!$B$8:$B$127,1)+1)-CD45)+INDEX('Rate &amp; Vol Update'!$E$8:$Z$127,MATCH(INDEX('Rate &amp; Vol Update'!$B$8:$B$127,MATCH(CD45,'Rate &amp; Vol Update'!$B$8:$B$127,1)),'Rate &amp; Vol Update'!$B$8:$B$127,0),MATCH(INDEX('Rate &amp; Vol Update'!$E$6:$Z$6,1,MATCH(CI45,'Rate &amp; Vol Update'!$E$6:$Z$6,1)+1),'Rate &amp; Vol Update'!$E$6:$Z$6,0))*(CI45-INDEX('Rate &amp; Vol Update'!$E$6:$Z$6,1,MATCH(CI45,'Rate &amp; Vol Update'!$E$6:$Z$6,1)))*(INDEX('Rate &amp; Vol Update'!$B$8:$B$127,MATCH(CD45,'Rate &amp; Vol Update'!$B$8:$B$127,1)+1)-CD45)+INDEX('Rate &amp; Vol Update'!$E$8:$Z$127,MATCH(INDEX('Rate &amp; Vol Update'!$B$8:$B$127,MATCH(CD45,'Rate &amp; Vol Update'!$B$8:$B$127,1)+1),'Rate &amp; Vol Update'!$B$8:$B$127,0),MATCH(INDEX('Rate &amp; Vol Update'!$E$6:$Z$6,1,MATCH(CI45,'Rate &amp; Vol Update'!$E$6:$Z$6,1)),'Rate &amp; Vol Update'!$E$6:$Z$6,0))*(INDEX('Rate &amp; Vol Update'!$E$6:$Z$6,1,MATCH(CI45,'Rate &amp; Vol Update'!$E$6:$Z$6,1)+1)-CI45)*(CD45-INDEX('Rate &amp; Vol Update'!$B$8:$B$127,MATCH(CD45,'Rate &amp; Vol Update'!$B$8:$B$127,1)))+INDEX('Rate &amp; Vol Update'!$E$8:$Z$127,MATCH(INDEX('Rate &amp; Vol Update'!$B$8:$B$127,MATCH(CD45,'Rate &amp; Vol Update'!$B$8:$B$127,1)+1),'Rate &amp; Vol Update'!$B$8:$B$127,0),MATCH(INDEX('Rate &amp; Vol Update'!$E$6:$Z$6,1,MATCH(CI45,'Rate &amp; Vol Update'!$E$6:$Z$6,1)+1),'Rate &amp; Vol Update'!$E$6:$Z$6,0))*(CI45-INDEX('Rate &amp; Vol Update'!$E$6:$Z$6,1,MATCH(CI45,'Rate &amp; Vol Update'!$E$6:$Z$6,1)))*(CD45-INDEX('Rate &amp; Vol Update'!$B$8:$B$127,MATCH(CD45,'Rate &amp; Vol Update'!$B$8:$B$127,1)))))*0.01%))</f>
        <v>1.1054444140003953E-2</v>
      </c>
      <c r="CL45" s="5">
        <f>IF(CC45="","",1/((1+CJ45)^((CE45-'Rate &amp; Vol Update'!$C$2)/360)))</f>
        <v>0.88415145483420277</v>
      </c>
      <c r="CN45" s="15">
        <f>IF(CC45="","",IF(CD45&lt;'Rate &amp; Vol Update'!$C$2,MAX(0,CJ45-CI45)*(CF45/360)*CH45,(((IF('Adjustment Surface'!$C$2='Data Validation'!$A$2,CJ45,IF('Adjustment Surface'!$C$2='Data Validation'!$A$3,CI45,"Unknown Option Type"))-IF('Adjustment Surface'!$C$2='Data Validation'!$A$2,CI45,IF('Adjustment Surface'!$C$2='Data Validation'!$A$3,CJ45,"Unknown Option Type")))*(NORMDIST((IF('Adjustment Surface'!$C$2='Data Validation'!$A$2,CJ45,IF('Adjustment Surface'!$C$2='Data Validation'!$A$3,CI45,"Unknown Option Type"))-IF('Adjustment Surface'!$C$2='Data Validation'!$A$2,CI45,IF('Adjustment Surface'!$C$2='Data Validation'!$A$3,CJ45,"Unknown Option Type")))/(CK45*SQRT(CG45)),0,1,TRUE)))+((CK45*SQRT(CG45))*(NORMDIST((IF('Adjustment Surface'!$C$2='Data Validation'!$A$2,CJ45,IF('Adjustment Surface'!$C$2='Data Validation'!$A$3,CI45,"Unknown Option Type"))-IF('Adjustment Surface'!$C$2='Data Validation'!$A$2,CI45,IF('Adjustment Surface'!$C$2='Data Validation'!$A$3,CJ45,"Unknown Option Type")))/(CK45*SQRT(CG45)),0,1,FALSE))))*CL45*(CF45/360)*CH45))</f>
        <v>2290.720246360358</v>
      </c>
      <c r="CO45" s="15">
        <f>IF(CC45="","",SUM(CN$4:CN45))</f>
        <v>28477.254805742828</v>
      </c>
      <c r="CQ45" s="15">
        <f>IF(CC45="","",IF(CD45&lt;'Rate &amp; Vol Update'!$C$2,0,((((((IF('Adjustment Surface'!$C$2='Data Validation'!$A$2,CJ45,IF('Adjustment Surface'!$C$2='Data Validation'!$A$3,CI45,"Unknown Option Type"))-IF('Adjustment Surface'!$C$2='Data Validation'!$A$2,CI45,IF('Adjustment Surface'!$C$2='Data Validation'!$A$3,CJ45,"Unknown Option Type")))*(NORMDIST((IF('Adjustment Surface'!$C$2='Data Validation'!$A$2,CJ45,IF('Adjustment Surface'!$C$2='Data Validation'!$A$3,CI45,"Unknown Option Type"))-IF('Adjustment Surface'!$C$2='Data Validation'!$A$2,CI45,IF('Adjustment Surface'!$C$2='Data Validation'!$A$3,CJ45,"Unknown Option Type")))/((CK45+0.01%)*SQRT(CG45)),0,1,TRUE)))+(((CK45+0.01%)*SQRT(CG45))*(NORMDIST((IF('Adjustment Surface'!$C$2='Data Validation'!$A$2,CJ45,IF('Adjustment Surface'!$C$2='Data Validation'!$A$3,CI45,"Unknown Option Type"))-IF('Adjustment Surface'!$C$2='Data Validation'!$A$2,CI45,IF('Adjustment Surface'!$C$2='Data Validation'!$A$3,CJ45,"Unknown Option Type")))/((CK45+0.01%)*SQRT(CG45)),0,1,FALSE))))*CL45*(CF45/360))-(CN45/CH45))*CH45)*CL45))</f>
        <v>63.026457223120282</v>
      </c>
      <c r="CR45" s="15">
        <f>IF(CC45="","",SUM(CQ$4:CQ45))</f>
        <v>978.05200807850815</v>
      </c>
    </row>
    <row r="46" spans="7:96" x14ac:dyDescent="0.25">
      <c r="G46" s="28"/>
      <c r="J46" s="4" t="str">
        <f>IF(K45='Adjustment Surface'!C$8,"",K45)</f>
        <v/>
      </c>
      <c r="K46" s="4" t="str">
        <f>IF(J46="","",IF(J46&lt;'Adjustment Surface'!C$7,EDATE(J$5,COUNT(J$5:J46)),IF(J46='Adjustment Surface'!C$7,'Adjustment Surface'!C$8,'Adjustment Surface'!C$7)))</f>
        <v/>
      </c>
      <c r="L46" s="3" t="str">
        <f t="shared" si="1"/>
        <v/>
      </c>
      <c r="M46" s="5" t="str">
        <f>IF(I46="","",(K46-'Rate &amp; Vol Update'!$C$2)/360)</f>
        <v/>
      </c>
      <c r="N46" s="15" t="str">
        <f>IF(I46="","",IF('Adjustment Surface'!C$3='Data Validation'!$C$2,'Adjustment Surface'!C$4,IF(INDEX(Schedules!$E$3:$E$123,MATCH('Bachelier Model'!J46,Schedules!$B$3:$B$123,0))="",N45,INDEX(Schedules!$E$3:$E$123,MATCH('Bachelier Model'!J46,Schedules!$B$3:$B$123,0)))))</f>
        <v/>
      </c>
      <c r="O46" s="16" t="str">
        <f>IF(I46="","",IF('Adjustment Surface'!C$9='Data Validation'!$D$2,'Adjustment Surface'!C$10,IF(INDEX(Schedules!$H$3:$H$123,MATCH('Bachelier Model'!J46,Schedules!$B$3:$B$123,0))="",O45,INDEX(Schedules!$H$3:$H$123,MATCH('Bachelier Model'!J46,Schedules!$B$3:$B$123,0)))))</f>
        <v/>
      </c>
      <c r="P46" s="16" t="str" cm="1">
        <f t="array" ref="P46">IF(I46="","",FORECAST(J46,INDEX('Rate &amp; Vol Update'!$C$6:$C$127,MATCH(INDEX('Rate &amp; Vol Update'!$B$6:$B$127,MATCH(J46,'Rate &amp; Vol Update'!$B$6:$B$127,1)),'Rate &amp; Vol Update'!$B$6:$B$127,0)+IF('Adjustment Surface'!C$11='Data Validation'!$E$3,-1,0)):INDEX('Rate &amp; Vol Update'!$C$6:$C$127,MATCH(INDEX('Rate &amp; Vol Update'!$B$6:$B$127,MATCH(J46,'Rate &amp; Vol Update'!$B$6:$B$127,1)+1),'Rate &amp; Vol Update'!$B$6:$B$127,0)+IF('Adjustment Surface'!C$11='Data Validation'!$E$3,-1,0)),INDEX('Rate &amp; Vol Update'!$B$6:$B$127,MATCH(J46,'Rate &amp; Vol Update'!$B$6:$B$127,1)):INDEX('Rate &amp; Vol Update'!$B$6:$B$127,MATCH(J46,'Rate &amp; Vol Update'!$B$6:$B$127,1)+1))/100)</f>
        <v/>
      </c>
      <c r="Q46" s="16" t="str" cm="1">
        <f t="array" ref="Q46">IF(I46="","",IF(J46&lt;'Rate &amp; Vol Update'!$C$2,0.001%,(1/((INDEX('Rate &amp; Vol Update'!$E$6:$Z$6,1,MATCH(O46,'Rate &amp; Vol Update'!$E$6:$Z$6,1)+1)-INDEX('Rate &amp; Vol Update'!$E$6:$Z$6,1,MATCH(O46,'Rate &amp; Vol Update'!$E$6:$Z$6,1)))*(INDEX('Rate &amp; Vol Update'!$B$8:$B$127,MATCH(J46,'Rate &amp; Vol Update'!$B$8:$B$127,1)+1)-INDEX('Rate &amp; Vol Update'!$B$8:$B$127,MATCH(J46,'Rate &amp; Vol Update'!$B$8:$B$127,1))))*(INDEX('Rate &amp; Vol Update'!$E$8:$Z$127,MATCH(INDEX('Rate &amp; Vol Update'!$B$8:$B$127,MATCH(J46,'Rate &amp; Vol Update'!$B$8:$B$127,1)),'Rate &amp; Vol Update'!$B$8:$B$127,0),MATCH(INDEX('Rate &amp; Vol Update'!$E$6:$Z$6,1,MATCH(O46,'Rate &amp; Vol Update'!$E$6:$Z$6,1)),'Rate &amp; Vol Update'!$E$6:$Z$6,0))*(INDEX('Rate &amp; Vol Update'!$E$6:$Z$6,1,MATCH(O46,'Rate &amp; Vol Update'!$E$6:$Z$6,1)+1)-O46)*(INDEX('Rate &amp; Vol Update'!$B$8:$B$127,MATCH(J46,'Rate &amp; Vol Update'!$B$8:$B$127,1)+1)-J46)+INDEX('Rate &amp; Vol Update'!$E$8:$Z$127,MATCH(INDEX('Rate &amp; Vol Update'!$B$8:$B$127,MATCH(J46,'Rate &amp; Vol Update'!$B$8:$B$127,1)),'Rate &amp; Vol Update'!$B$8:$B$127,0),MATCH(INDEX('Rate &amp; Vol Update'!$E$6:$Z$6,1,MATCH(O46,'Rate &amp; Vol Update'!$E$6:$Z$6,1)+1),'Rate &amp; Vol Update'!$E$6:$Z$6,0))*(O46-INDEX('Rate &amp; Vol Update'!$E$6:$Z$6,1,MATCH(O46,'Rate &amp; Vol Update'!$E$6:$Z$6,1)))*(INDEX('Rate &amp; Vol Update'!$B$8:$B$127,MATCH(J46,'Rate &amp; Vol Update'!$B$8:$B$127,1)+1)-J46)+INDEX('Rate &amp; Vol Update'!$E$8:$Z$127,MATCH(INDEX('Rate &amp; Vol Update'!$B$8:$B$127,MATCH(J46,'Rate &amp; Vol Update'!$B$8:$B$127,1)+1),'Rate &amp; Vol Update'!$B$8:$B$127,0),MATCH(INDEX('Rate &amp; Vol Update'!$E$6:$Z$6,1,MATCH(O46,'Rate &amp; Vol Update'!$E$6:$Z$6,1)),'Rate &amp; Vol Update'!$E$6:$Z$6,0))*(INDEX('Rate &amp; Vol Update'!$E$6:$Z$6,1,MATCH(O46,'Rate &amp; Vol Update'!$E$6:$Z$6,1)+1)-O46)*(J46-INDEX('Rate &amp; Vol Update'!$B$8:$B$127,MATCH(J46,'Rate &amp; Vol Update'!$B$8:$B$127,1)))+INDEX('Rate &amp; Vol Update'!$E$8:$Z$127,MATCH(INDEX('Rate &amp; Vol Update'!$B$8:$B$127,MATCH(J46,'Rate &amp; Vol Update'!$B$8:$B$127,1)+1),'Rate &amp; Vol Update'!$B$8:$B$127,0),MATCH(INDEX('Rate &amp; Vol Update'!$E$6:$Z$6,1,MATCH(O46,'Rate &amp; Vol Update'!$E$6:$Z$6,1)+1),'Rate &amp; Vol Update'!$E$6:$Z$6,0))*(O46-INDEX('Rate &amp; Vol Update'!$E$6:$Z$6,1,MATCH(O46,'Rate &amp; Vol Update'!$E$6:$Z$6,1)))*(J46-INDEX('Rate &amp; Vol Update'!$B$8:$B$127,MATCH(J46,'Rate &amp; Vol Update'!$B$8:$B$127,1)))))*0.01%))</f>
        <v/>
      </c>
      <c r="R46" s="5" t="str">
        <f>IF(I46="","",1/((1+P46)^((K46-'Rate &amp; Vol Update'!$C$2)/360)))</f>
        <v/>
      </c>
      <c r="T46" s="15" t="str">
        <f>IF(I46="","",IF(J46&lt;'Rate &amp; Vol Update'!$C$2,MAX(0,P46-O46)*(L46/360)*N46,(((IF('Adjustment Surface'!C$2='Data Validation'!$A$2,P46,IF('Adjustment Surface'!C$2='Data Validation'!$A$3,O46,"Unknown Option Type"))-IF('Adjustment Surface'!C$2='Data Validation'!$A$2,O46,IF('Adjustment Surface'!C$2='Data Validation'!$A$3,P46,"Unknown Option Type")))*(NORMDIST((IF('Adjustment Surface'!C$2='Data Validation'!$A$2,P46,IF('Adjustment Surface'!C$2='Data Validation'!$A$3,O46,"Unknown Option Type"))-IF('Adjustment Surface'!C$2='Data Validation'!$A$2,O46,IF('Adjustment Surface'!C$2='Data Validation'!$A$3,P46,"Unknown Option Type")))/(Q46*SQRT(M46)),0,1,TRUE)))+((Q46*SQRT(M46))*(NORMDIST((IF('Adjustment Surface'!C$2='Data Validation'!$A$2,P46,IF('Adjustment Surface'!C$2='Data Validation'!$A$3,O46,"Unknown Option Type"))-IF('Adjustment Surface'!C$2='Data Validation'!$A$2,O46,IF('Adjustment Surface'!C$2='Data Validation'!$A$3,P46,"Unknown Option Type")))/(Q46*SQRT(M46)),0,1,FALSE))))*R46*(L46/360)*N46))</f>
        <v/>
      </c>
      <c r="U46" s="15" t="str">
        <f>IF(I46="","",SUM(T$4:T46))</f>
        <v/>
      </c>
      <c r="W46" s="15" t="str">
        <f>IF(I46="","",IF(J46&lt;'Rate &amp; Vol Update'!$C$2,0,((((((IF('Adjustment Surface'!C$2='Data Validation'!$A$2,P46,IF('Adjustment Surface'!C$2='Data Validation'!$A$3,O46,"Unknown Option Type"))-IF('Adjustment Surface'!C$2='Data Validation'!$A$2,O46,IF('Adjustment Surface'!C$2='Data Validation'!$A$3,P46,"Unknown Option Type")))*(NORMDIST((IF('Adjustment Surface'!C$2='Data Validation'!$A$2,P46,IF('Adjustment Surface'!C$2='Data Validation'!$A$3,O46,"Unknown Option Type"))-IF('Adjustment Surface'!C$2='Data Validation'!$A$2,O46,IF('Adjustment Surface'!C$2='Data Validation'!$A$3,P46,"Unknown Option Type")))/((Q46+0.01%)*SQRT(M46)),0,1,TRUE)))+(((Q46+0.01%)*SQRT(M46))*(NORMDIST((IF('Adjustment Surface'!C$2='Data Validation'!$A$2,P46,IF('Adjustment Surface'!C$2='Data Validation'!$A$3,O46,"Unknown Option Type"))-IF('Adjustment Surface'!C$2='Data Validation'!$A$2,O46,IF('Adjustment Surface'!C$2='Data Validation'!$A$3,P46,"Unknown Option Type")))/((Q46+0.01%)*SQRT(M46)),0,1,FALSE))))*R46*(L46/360))-(T46/N46))*N46)*R46))</f>
        <v/>
      </c>
      <c r="X46" s="15" t="str">
        <f>IF(I46="","",SUM(W$4:W46))</f>
        <v/>
      </c>
      <c r="Y46" s="15"/>
      <c r="Z46" s="20"/>
      <c r="AA46" s="3">
        <v>43</v>
      </c>
      <c r="AB46" s="4">
        <f>IF(AC45=MAX('Adjustment Surface'!$C$14:$F$14),"",AC45)</f>
        <v>47341</v>
      </c>
      <c r="AC46" s="4">
        <f>IF(AB46="","",IF(AB46&lt;EDATE('Adjustment Surface'!$C$6,DATEDIF('Adjustment Surface'!$C$6,MAX('Adjustment Surface'!$C$14:$F$14),"M")),EDATE(AB$5,COUNT(AB$5:AB46)),IF(AB46=EDATE('Adjustment Surface'!$C$6,DATEDIF('Adjustment Surface'!$C$6,MAX('Adjustment Surface'!$C$14:$F$14),"M")),MAX('Adjustment Surface'!$C$14:$F$14),EDATE('Adjustment Surface'!$C$6,DATEDIF('Adjustment Surface'!$C$6,MAX('Adjustment Surface'!$C$14:$F$14),"M")))))</f>
        <v>47372</v>
      </c>
      <c r="AD46" s="3">
        <f t="shared" si="2"/>
        <v>31</v>
      </c>
      <c r="AE46" s="5">
        <f>IF(AA46="","",(AC46-'Rate &amp; Vol Update'!$C$2)/360)</f>
        <v>3.6333333333333333</v>
      </c>
      <c r="AF46" s="15">
        <f>IF(AA46="","",IF('Adjustment Surface'!$C$3='Data Validation'!$C$2,'Adjustment Surface'!$C$4,_xlfn.IFNA(IF(INDEX(Schedules!$E$3:$E$123,MATCH('Bachelier Model'!AB46,Schedules!$B$3:$B$123,0))="",AF45,INDEX(Schedules!$E$3:$E$123,MATCH('Bachelier Model'!AB46,Schedules!$B$3:$B$123,0))),AF45)))</f>
        <v>25000000</v>
      </c>
      <c r="AG46" s="16">
        <f>IF(AA46="","",'Adjustment Surface'!B$15)</f>
        <v>0.03</v>
      </c>
      <c r="AH46" s="16" cm="1">
        <f t="array" ref="AH46">IF(AA46="","",FORECAST(AB46,INDEX('Rate &amp; Vol Update'!$C$6:$C$127,MATCH(INDEX('Rate &amp; Vol Update'!$B$6:$B$127,MATCH(AB46,'Rate &amp; Vol Update'!$B$6:$B$127,1)),'Rate &amp; Vol Update'!$B$6:$B$127,0)+IF('Adjustment Surface'!$C$11='Data Validation'!$E$3,-1,0)):INDEX('Rate &amp; Vol Update'!$C$6:$C$127,MATCH(INDEX('Rate &amp; Vol Update'!$B$6:$B$127,MATCH(AB46,'Rate &amp; Vol Update'!$B$6:$B$127,1)+1),'Rate &amp; Vol Update'!$B$6:$B$127,0)+IF('Adjustment Surface'!$C$11='Data Validation'!$E$3,-1,0)),INDEX('Rate &amp; Vol Update'!$B$6:$B$127,MATCH(AB46,'Rate &amp; Vol Update'!$B$6:$B$127,1)):INDEX('Rate &amp; Vol Update'!$B$6:$B$127,MATCH(AB46,'Rate &amp; Vol Update'!$B$6:$B$127,1)+1))/100)</f>
        <v>3.5323707362780704E-2</v>
      </c>
      <c r="AI46" s="16" cm="1">
        <f t="array" ref="AI46">IF(AA46="","",IF(AB46&lt;'Rate &amp; Vol Update'!$C$2,0.001%,(1/((INDEX('Rate &amp; Vol Update'!$E$6:$Z$6,1,MATCH(AG46,'Rate &amp; Vol Update'!$E$6:$Z$6,1)+1)-INDEX('Rate &amp; Vol Update'!$E$6:$Z$6,1,MATCH(AG46,'Rate &amp; Vol Update'!$E$6:$Z$6,1)))*(INDEX('Rate &amp; Vol Update'!$B$8:$B$127,MATCH(AB46,'Rate &amp; Vol Update'!$B$8:$B$127,1)+1)-INDEX('Rate &amp; Vol Update'!$B$8:$B$127,MATCH(AB46,'Rate &amp; Vol Update'!$B$8:$B$127,1))))*(INDEX('Rate &amp; Vol Update'!$E$8:$Z$127,MATCH(INDEX('Rate &amp; Vol Update'!$B$8:$B$127,MATCH(AB46,'Rate &amp; Vol Update'!$B$8:$B$127,1)),'Rate &amp; Vol Update'!$B$8:$B$127,0),MATCH(INDEX('Rate &amp; Vol Update'!$E$6:$Z$6,1,MATCH(AG46,'Rate &amp; Vol Update'!$E$6:$Z$6,1)),'Rate &amp; Vol Update'!$E$6:$Z$6,0))*(INDEX('Rate &amp; Vol Update'!$E$6:$Z$6,1,MATCH(AG46,'Rate &amp; Vol Update'!$E$6:$Z$6,1)+1)-AG46)*(INDEX('Rate &amp; Vol Update'!$B$8:$B$127,MATCH(AB46,'Rate &amp; Vol Update'!$B$8:$B$127,1)+1)-AB46)+INDEX('Rate &amp; Vol Update'!$E$8:$Z$127,MATCH(INDEX('Rate &amp; Vol Update'!$B$8:$B$127,MATCH(AB46,'Rate &amp; Vol Update'!$B$8:$B$127,1)),'Rate &amp; Vol Update'!$B$8:$B$127,0),MATCH(INDEX('Rate &amp; Vol Update'!$E$6:$Z$6,1,MATCH(AG46,'Rate &amp; Vol Update'!$E$6:$Z$6,1)+1),'Rate &amp; Vol Update'!$E$6:$Z$6,0))*(AG46-INDEX('Rate &amp; Vol Update'!$E$6:$Z$6,1,MATCH(AG46,'Rate &amp; Vol Update'!$E$6:$Z$6,1)))*(INDEX('Rate &amp; Vol Update'!$B$8:$B$127,MATCH(AB46,'Rate &amp; Vol Update'!$B$8:$B$127,1)+1)-AB46)+INDEX('Rate &amp; Vol Update'!$E$8:$Z$127,MATCH(INDEX('Rate &amp; Vol Update'!$B$8:$B$127,MATCH(AB46,'Rate &amp; Vol Update'!$B$8:$B$127,1)+1),'Rate &amp; Vol Update'!$B$8:$B$127,0),MATCH(INDEX('Rate &amp; Vol Update'!$E$6:$Z$6,1,MATCH(AG46,'Rate &amp; Vol Update'!$E$6:$Z$6,1)),'Rate &amp; Vol Update'!$E$6:$Z$6,0))*(INDEX('Rate &amp; Vol Update'!$E$6:$Z$6,1,MATCH(AG46,'Rate &amp; Vol Update'!$E$6:$Z$6,1)+1)-AG46)*(AB46-INDEX('Rate &amp; Vol Update'!$B$8:$B$127,MATCH(AB46,'Rate &amp; Vol Update'!$B$8:$B$127,1)))+INDEX('Rate &amp; Vol Update'!$E$8:$Z$127,MATCH(INDEX('Rate &amp; Vol Update'!$B$8:$B$127,MATCH(AB46,'Rate &amp; Vol Update'!$B$8:$B$127,1)+1),'Rate &amp; Vol Update'!$B$8:$B$127,0),MATCH(INDEX('Rate &amp; Vol Update'!$E$6:$Z$6,1,MATCH(AG46,'Rate &amp; Vol Update'!$E$6:$Z$6,1)+1),'Rate &amp; Vol Update'!$E$6:$Z$6,0))*(AG46-INDEX('Rate &amp; Vol Update'!$E$6:$Z$6,1,MATCH(AG46,'Rate &amp; Vol Update'!$E$6:$Z$6,1)))*(AB46-INDEX('Rate &amp; Vol Update'!$B$8:$B$127,MATCH(AB46,'Rate &amp; Vol Update'!$B$8:$B$127,1)))))*0.01%))</f>
        <v>8.1289333096191824E-3</v>
      </c>
      <c r="AJ46" s="5">
        <f>IF(AA46="","",1/((1+AH46)^((AC46-'Rate &amp; Vol Update'!$C$2)/360)))</f>
        <v>0.8815019749102575</v>
      </c>
      <c r="AL46" s="15">
        <f>IF(AA46="","",IF(AB46&lt;'Rate &amp; Vol Update'!$C$2,MAX(0,AH46-AG46)*(AD46/360)*AF46,(((IF('Adjustment Surface'!$C$2='Data Validation'!$A$2,AH46,IF('Adjustment Surface'!$C$2='Data Validation'!$A$3,AG46,"Unknown Option Type"))-IF('Adjustment Surface'!$C$2='Data Validation'!$A$2,AG46,IF('Adjustment Surface'!$C$2='Data Validation'!$A$3,AH46,"Unknown Option Type")))*(NORMDIST((IF('Adjustment Surface'!$C$2='Data Validation'!$A$2,AH46,IF('Adjustment Surface'!$C$2='Data Validation'!$A$3,AG46,"Unknown Option Type"))-IF('Adjustment Surface'!$C$2='Data Validation'!$A$2,AG46,IF('Adjustment Surface'!$C$2='Data Validation'!$A$3,AH46,"Unknown Option Type")))/(AI46*SQRT(AE46)),0,1,TRUE)))+((AI46*SQRT(AE46))*(NORMDIST((IF('Adjustment Surface'!$C$2='Data Validation'!$A$2,AH46,IF('Adjustment Surface'!$C$2='Data Validation'!$A$3,AG46,"Unknown Option Type"))-IF('Adjustment Surface'!$C$2='Data Validation'!$A$2,AG46,IF('Adjustment Surface'!$C$2='Data Validation'!$A$3,AH46,"Unknown Option Type")))/(AI46*SQRT(AE46)),0,1,FALSE))))*AJ46*(AD46/360)*AF46))</f>
        <v>17467.549418907543</v>
      </c>
      <c r="AM46" s="15">
        <f>IF(AA46="","",SUM(AL$4:AL46))</f>
        <v>528505.22596429219</v>
      </c>
      <c r="AO46" s="15">
        <f>IF(AA46="","",IF(AB46&lt;'Rate &amp; Vol Update'!$C$2,0,((((((IF('Adjustment Surface'!$C$2='Data Validation'!$A$2,AH46,IF('Adjustment Surface'!$C$2='Data Validation'!$A$3,AG46,"Unknown Option Type"))-IF('Adjustment Surface'!$C$2='Data Validation'!$A$2,AG46,IF('Adjustment Surface'!$C$2='Data Validation'!$A$3,AH46,"Unknown Option Type")))*(NORMDIST((IF('Adjustment Surface'!$C$2='Data Validation'!$A$2,AH46,IF('Adjustment Surface'!$C$2='Data Validation'!$A$3,AG46,"Unknown Option Type"))-IF('Adjustment Surface'!$C$2='Data Validation'!$A$2,AG46,IF('Adjustment Surface'!$C$2='Data Validation'!$A$3,AH46,"Unknown Option Type")))/((AI46+0.01%)*SQRT(AE46)),0,1,TRUE)))+(((AI46+0.01%)*SQRT(AE46))*(NORMDIST((IF('Adjustment Surface'!$C$2='Data Validation'!$A$2,AH46,IF('Adjustment Surface'!$C$2='Data Validation'!$A$3,AG46,"Unknown Option Type"))-IF('Adjustment Surface'!$C$2='Data Validation'!$A$2,AG46,IF('Adjustment Surface'!$C$2='Data Validation'!$A$3,AH46,"Unknown Option Type")))/((AI46+0.01%)*SQRT(AE46)),0,1,FALSE))))*AJ46*(AD46/360))-(AL46/AF46))*AF46)*AJ46))</f>
        <v>120.00141588138837</v>
      </c>
      <c r="AP46" s="15">
        <f>IF(AA46="","",SUM(AO$4:AO46))</f>
        <v>3729.1775983594775</v>
      </c>
      <c r="AQ46" s="15"/>
      <c r="AR46" s="20"/>
      <c r="AS46" s="3">
        <v>43</v>
      </c>
      <c r="AT46" s="4">
        <f>IF(AU45=MAX('Adjustment Surface'!$C$14:$F$14),"",AU45)</f>
        <v>47341</v>
      </c>
      <c r="AU46" s="4">
        <f>IF(AT46="","",IF(AT46&lt;EDATE('Adjustment Surface'!$C$6,DATEDIF('Adjustment Surface'!$C$6,MAX('Adjustment Surface'!$C$14:$F$14),"M")),EDATE(AT$5,COUNT(AT$5:AT46)),IF(AT46=EDATE('Adjustment Surface'!$C$6,DATEDIF('Adjustment Surface'!$C$6,MAX('Adjustment Surface'!$C$14:$F$14),"M")),MAX('Adjustment Surface'!$C$14:$F$14),EDATE('Adjustment Surface'!$C$6,DATEDIF('Adjustment Surface'!$C$6,MAX('Adjustment Surface'!$C$14:$F$14),"M")))))</f>
        <v>47372</v>
      </c>
      <c r="AV46" s="3">
        <f t="shared" si="3"/>
        <v>31</v>
      </c>
      <c r="AW46" s="5">
        <f>IF(AS46="","",(AU46-'Rate &amp; Vol Update'!$C$2)/360)</f>
        <v>3.6333333333333333</v>
      </c>
      <c r="AX46" s="15">
        <f>IF(AS46="","",IF('Adjustment Surface'!$C$3='Data Validation'!$C$2,'Adjustment Surface'!$C$4,_xlfn.IFNA(IF(INDEX(Schedules!$E$3:$E$123,MATCH('Bachelier Model'!AT46,Schedules!$B$3:$B$123,0))="",AX45,INDEX(Schedules!$E$3:$E$123,MATCH('Bachelier Model'!AT46,Schedules!$B$3:$B$123,0))),AX45)))</f>
        <v>25000000</v>
      </c>
      <c r="AY46" s="16">
        <f>IF(AS46="","",'Adjustment Surface'!B$16)</f>
        <v>0.04</v>
      </c>
      <c r="AZ46" s="16" cm="1">
        <f t="array" ref="AZ46">IF(AS46="","",FORECAST(AT46,INDEX('Rate &amp; Vol Update'!$C$6:$C$127,MATCH(INDEX('Rate &amp; Vol Update'!$B$6:$B$127,MATCH(AT46,'Rate &amp; Vol Update'!$B$6:$B$127,1)),'Rate &amp; Vol Update'!$B$6:$B$127,0)+IF('Adjustment Surface'!$C$11='Data Validation'!$E$3,-1,0)):INDEX('Rate &amp; Vol Update'!$C$6:$C$127,MATCH(INDEX('Rate &amp; Vol Update'!$B$6:$B$127,MATCH(AT46,'Rate &amp; Vol Update'!$B$6:$B$127,1)+1),'Rate &amp; Vol Update'!$B$6:$B$127,0)+IF('Adjustment Surface'!$C$11='Data Validation'!$E$3,-1,0)),INDEX('Rate &amp; Vol Update'!$B$6:$B$127,MATCH(AT46,'Rate &amp; Vol Update'!$B$6:$B$127,1)):INDEX('Rate &amp; Vol Update'!$B$6:$B$127,MATCH(AT46,'Rate &amp; Vol Update'!$B$6:$B$127,1)+1))/100)</f>
        <v>3.5323707362780704E-2</v>
      </c>
      <c r="BA46" s="16" cm="1">
        <f t="array" ref="BA46">IF(AS46="","",IF(AT46&lt;'Rate &amp; Vol Update'!$C$2,0.001%,(1/((INDEX('Rate &amp; Vol Update'!$E$6:$Z$6,1,MATCH(AY46,'Rate &amp; Vol Update'!$E$6:$Z$6,1)+1)-INDEX('Rate &amp; Vol Update'!$E$6:$Z$6,1,MATCH(AY46,'Rate &amp; Vol Update'!$E$6:$Z$6,1)))*(INDEX('Rate &amp; Vol Update'!$B$8:$B$127,MATCH(AT46,'Rate &amp; Vol Update'!$B$8:$B$127,1)+1)-INDEX('Rate &amp; Vol Update'!$B$8:$B$127,MATCH(AT46,'Rate &amp; Vol Update'!$B$8:$B$127,1))))*(INDEX('Rate &amp; Vol Update'!$E$8:$Z$127,MATCH(INDEX('Rate &amp; Vol Update'!$B$8:$B$127,MATCH(AT46,'Rate &amp; Vol Update'!$B$8:$B$127,1)),'Rate &amp; Vol Update'!$B$8:$B$127,0),MATCH(INDEX('Rate &amp; Vol Update'!$E$6:$Z$6,1,MATCH(AY46,'Rate &amp; Vol Update'!$E$6:$Z$6,1)),'Rate &amp; Vol Update'!$E$6:$Z$6,0))*(INDEX('Rate &amp; Vol Update'!$E$6:$Z$6,1,MATCH(AY46,'Rate &amp; Vol Update'!$E$6:$Z$6,1)+1)-AY46)*(INDEX('Rate &amp; Vol Update'!$B$8:$B$127,MATCH(AT46,'Rate &amp; Vol Update'!$B$8:$B$127,1)+1)-AT46)+INDEX('Rate &amp; Vol Update'!$E$8:$Z$127,MATCH(INDEX('Rate &amp; Vol Update'!$B$8:$B$127,MATCH(AT46,'Rate &amp; Vol Update'!$B$8:$B$127,1)),'Rate &amp; Vol Update'!$B$8:$B$127,0),MATCH(INDEX('Rate &amp; Vol Update'!$E$6:$Z$6,1,MATCH(AY46,'Rate &amp; Vol Update'!$E$6:$Z$6,1)+1),'Rate &amp; Vol Update'!$E$6:$Z$6,0))*(AY46-INDEX('Rate &amp; Vol Update'!$E$6:$Z$6,1,MATCH(AY46,'Rate &amp; Vol Update'!$E$6:$Z$6,1)))*(INDEX('Rate &amp; Vol Update'!$B$8:$B$127,MATCH(AT46,'Rate &amp; Vol Update'!$B$8:$B$127,1)+1)-AT46)+INDEX('Rate &amp; Vol Update'!$E$8:$Z$127,MATCH(INDEX('Rate &amp; Vol Update'!$B$8:$B$127,MATCH(AT46,'Rate &amp; Vol Update'!$B$8:$B$127,1)+1),'Rate &amp; Vol Update'!$B$8:$B$127,0),MATCH(INDEX('Rate &amp; Vol Update'!$E$6:$Z$6,1,MATCH(AY46,'Rate &amp; Vol Update'!$E$6:$Z$6,1)),'Rate &amp; Vol Update'!$E$6:$Z$6,0))*(INDEX('Rate &amp; Vol Update'!$E$6:$Z$6,1,MATCH(AY46,'Rate &amp; Vol Update'!$E$6:$Z$6,1)+1)-AY46)*(AT46-INDEX('Rate &amp; Vol Update'!$B$8:$B$127,MATCH(AT46,'Rate &amp; Vol Update'!$B$8:$B$127,1)))+INDEX('Rate &amp; Vol Update'!$E$8:$Z$127,MATCH(INDEX('Rate &amp; Vol Update'!$B$8:$B$127,MATCH(AT46,'Rate &amp; Vol Update'!$B$8:$B$127,1)+1),'Rate &amp; Vol Update'!$B$8:$B$127,0),MATCH(INDEX('Rate &amp; Vol Update'!$E$6:$Z$6,1,MATCH(AY46,'Rate &amp; Vol Update'!$E$6:$Z$6,1)+1),'Rate &amp; Vol Update'!$E$6:$Z$6,0))*(AY46-INDEX('Rate &amp; Vol Update'!$E$6:$Z$6,1,MATCH(AY46,'Rate &amp; Vol Update'!$E$6:$Z$6,1)))*(AT46-INDEX('Rate &amp; Vol Update'!$B$8:$B$127,MATCH(AT46,'Rate &amp; Vol Update'!$B$8:$B$127,1)))))*0.01%))</f>
        <v>8.5974858812475647E-3</v>
      </c>
      <c r="BB46" s="5">
        <f>IF(AS46="","",1/((1+AZ46)^((AU46-'Rate &amp; Vol Update'!$C$2)/360)))</f>
        <v>0.8815019749102575</v>
      </c>
      <c r="BD46" s="15">
        <f>IF(AS46="","",IF(AT46&lt;'Rate &amp; Vol Update'!$C$2,MAX(0,AZ46-AY46)*(AV46/360)*AX46,(((IF('Adjustment Surface'!$C$2='Data Validation'!$A$2,AZ46,IF('Adjustment Surface'!$C$2='Data Validation'!$A$3,AY46,"Unknown Option Type"))-IF('Adjustment Surface'!$C$2='Data Validation'!$A$2,AY46,IF('Adjustment Surface'!$C$2='Data Validation'!$A$3,AZ46,"Unknown Option Type")))*(NORMDIST((IF('Adjustment Surface'!$C$2='Data Validation'!$A$2,AZ46,IF('Adjustment Surface'!$C$2='Data Validation'!$A$3,AY46,"Unknown Option Type"))-IF('Adjustment Surface'!$C$2='Data Validation'!$A$2,AY46,IF('Adjustment Surface'!$C$2='Data Validation'!$A$3,AZ46,"Unknown Option Type")))/(BA46*SQRT(AW46)),0,1,TRUE)))+((BA46*SQRT(AW46))*(NORMDIST((IF('Adjustment Surface'!$C$2='Data Validation'!$A$2,AZ46,IF('Adjustment Surface'!$C$2='Data Validation'!$A$3,AY46,"Unknown Option Type"))-IF('Adjustment Surface'!$C$2='Data Validation'!$A$2,AY46,IF('Adjustment Surface'!$C$2='Data Validation'!$A$3,AZ46,"Unknown Option Type")))/(BA46*SQRT(AW46)),0,1,FALSE))))*BB46*(AV46/360)*AX46))</f>
        <v>8471.3676045361972</v>
      </c>
      <c r="BE46" s="15">
        <f>IF(AS46="","",SUM(BD$4:BD46))</f>
        <v>149798.38796990598</v>
      </c>
      <c r="BG46" s="15">
        <f>IF(AS46="","",IF(AT46&lt;'Rate &amp; Vol Update'!$C$2,0,((((((IF('Adjustment Surface'!$C$2='Data Validation'!$A$2,AZ46,IF('Adjustment Surface'!$C$2='Data Validation'!$A$3,AY46,"Unknown Option Type"))-IF('Adjustment Surface'!$C$2='Data Validation'!$A$2,AY46,IF('Adjustment Surface'!$C$2='Data Validation'!$A$3,AZ46,"Unknown Option Type")))*(NORMDIST((IF('Adjustment Surface'!$C$2='Data Validation'!$A$2,AZ46,IF('Adjustment Surface'!$C$2='Data Validation'!$A$3,AY46,"Unknown Option Type"))-IF('Adjustment Surface'!$C$2='Data Validation'!$A$2,AY46,IF('Adjustment Surface'!$C$2='Data Validation'!$A$3,AZ46,"Unknown Option Type")))/((BA46+0.01%)*SQRT(AW46)),0,1,TRUE)))+(((BA46+0.01%)*SQRT(AW46))*(NORMDIST((IF('Adjustment Surface'!$C$2='Data Validation'!$A$2,AZ46,IF('Adjustment Surface'!$C$2='Data Validation'!$A$3,AY46,"Unknown Option Type"))-IF('Adjustment Surface'!$C$2='Data Validation'!$A$2,AY46,IF('Adjustment Surface'!$C$2='Data Validation'!$A$3,AZ46,"Unknown Option Type")))/((BA46+0.01%)*SQRT(AW46)),0,1,FALSE))))*BB46*(AV46/360))-(BD46/AX46))*AX46)*BB46))</f>
        <v>122.18859340349451</v>
      </c>
      <c r="BH46" s="15">
        <f>IF(AS46="","",SUM(BG$4:BG46))</f>
        <v>3130.9315179929458</v>
      </c>
      <c r="BI46" s="15"/>
      <c r="BJ46" s="20"/>
      <c r="BK46" s="3">
        <v>43</v>
      </c>
      <c r="BL46" s="4">
        <f>IF(BM45=MAX('Adjustment Surface'!$C$14:$F$14),"",BM45)</f>
        <v>47341</v>
      </c>
      <c r="BM46" s="4">
        <f>IF(BL46="","",IF(BL46&lt;EDATE('Adjustment Surface'!$C$6,DATEDIF('Adjustment Surface'!$C$6,MAX('Adjustment Surface'!$C$14:$F$14),"M")),EDATE(BL$5,COUNT(BL$5:BL46)),IF(BL46=EDATE('Adjustment Surface'!$C$6,DATEDIF('Adjustment Surface'!$C$6,MAX('Adjustment Surface'!$C$14:$F$14),"M")),MAX('Adjustment Surface'!$C$14:$F$14),EDATE('Adjustment Surface'!$C$6,DATEDIF('Adjustment Surface'!$C$6,MAX('Adjustment Surface'!$C$14:$F$14),"M")))))</f>
        <v>47372</v>
      </c>
      <c r="BN46" s="3">
        <f t="shared" si="4"/>
        <v>31</v>
      </c>
      <c r="BO46" s="5">
        <f>IF(BK46="","",(BM46-'Rate &amp; Vol Update'!$C$2)/360)</f>
        <v>3.6333333333333333</v>
      </c>
      <c r="BP46" s="15">
        <f>IF(BK46="","",IF('Adjustment Surface'!$C$3='Data Validation'!$C$2,'Adjustment Surface'!$C$4,_xlfn.IFNA(IF(INDEX(Schedules!$E$3:$E$123,MATCH('Bachelier Model'!BL46,Schedules!$B$3:$B$123,0))="",BP45,INDEX(Schedules!$E$3:$E$123,MATCH('Bachelier Model'!BL46,Schedules!$B$3:$B$123,0))),BP45)))</f>
        <v>25000000</v>
      </c>
      <c r="BQ46" s="16">
        <f>IF(BK46="","",'Adjustment Surface'!B$17)</f>
        <v>0.05</v>
      </c>
      <c r="BR46" s="16" cm="1">
        <f t="array" ref="BR46">IF(BK46="","",FORECAST(BL46,INDEX('Rate &amp; Vol Update'!$C$6:$C$127,MATCH(INDEX('Rate &amp; Vol Update'!$B$6:$B$127,MATCH(BL46,'Rate &amp; Vol Update'!$B$6:$B$127,1)),'Rate &amp; Vol Update'!$B$6:$B$127,0)+IF('Adjustment Surface'!$C$11='Data Validation'!$E$3,-1,0)):INDEX('Rate &amp; Vol Update'!$C$6:$C$127,MATCH(INDEX('Rate &amp; Vol Update'!$B$6:$B$127,MATCH(BL46,'Rate &amp; Vol Update'!$B$6:$B$127,1)+1),'Rate &amp; Vol Update'!$B$6:$B$127,0)+IF('Adjustment Surface'!$C$11='Data Validation'!$E$3,-1,0)),INDEX('Rate &amp; Vol Update'!$B$6:$B$127,MATCH(BL46,'Rate &amp; Vol Update'!$B$6:$B$127,1)):INDEX('Rate &amp; Vol Update'!$B$6:$B$127,MATCH(BL46,'Rate &amp; Vol Update'!$B$6:$B$127,1)+1))/100)</f>
        <v>3.5323707362780704E-2</v>
      </c>
      <c r="BS46" s="16" cm="1">
        <f t="array" ref="BS46">IF(BK46="","",IF(BL46&lt;'Rate &amp; Vol Update'!$C$2,0.001%,(1/((INDEX('Rate &amp; Vol Update'!$E$6:$Z$6,1,MATCH(BQ46,'Rate &amp; Vol Update'!$E$6:$Z$6,1)+1)-INDEX('Rate &amp; Vol Update'!$E$6:$Z$6,1,MATCH(BQ46,'Rate &amp; Vol Update'!$E$6:$Z$6,1)))*(INDEX('Rate &amp; Vol Update'!$B$8:$B$127,MATCH(BL46,'Rate &amp; Vol Update'!$B$8:$B$127,1)+1)-INDEX('Rate &amp; Vol Update'!$B$8:$B$127,MATCH(BL46,'Rate &amp; Vol Update'!$B$8:$B$127,1))))*(INDEX('Rate &amp; Vol Update'!$E$8:$Z$127,MATCH(INDEX('Rate &amp; Vol Update'!$B$8:$B$127,MATCH(BL46,'Rate &amp; Vol Update'!$B$8:$B$127,1)),'Rate &amp; Vol Update'!$B$8:$B$127,0),MATCH(INDEX('Rate &amp; Vol Update'!$E$6:$Z$6,1,MATCH(BQ46,'Rate &amp; Vol Update'!$E$6:$Z$6,1)),'Rate &amp; Vol Update'!$E$6:$Z$6,0))*(INDEX('Rate &amp; Vol Update'!$E$6:$Z$6,1,MATCH(BQ46,'Rate &amp; Vol Update'!$E$6:$Z$6,1)+1)-BQ46)*(INDEX('Rate &amp; Vol Update'!$B$8:$B$127,MATCH(BL46,'Rate &amp; Vol Update'!$B$8:$B$127,1)+1)-BL46)+INDEX('Rate &amp; Vol Update'!$E$8:$Z$127,MATCH(INDEX('Rate &amp; Vol Update'!$B$8:$B$127,MATCH(BL46,'Rate &amp; Vol Update'!$B$8:$B$127,1)),'Rate &amp; Vol Update'!$B$8:$B$127,0),MATCH(INDEX('Rate &amp; Vol Update'!$E$6:$Z$6,1,MATCH(BQ46,'Rate &amp; Vol Update'!$E$6:$Z$6,1)+1),'Rate &amp; Vol Update'!$E$6:$Z$6,0))*(BQ46-INDEX('Rate &amp; Vol Update'!$E$6:$Z$6,1,MATCH(BQ46,'Rate &amp; Vol Update'!$E$6:$Z$6,1)))*(INDEX('Rate &amp; Vol Update'!$B$8:$B$127,MATCH(BL46,'Rate &amp; Vol Update'!$B$8:$B$127,1)+1)-BL46)+INDEX('Rate &amp; Vol Update'!$E$8:$Z$127,MATCH(INDEX('Rate &amp; Vol Update'!$B$8:$B$127,MATCH(BL46,'Rate &amp; Vol Update'!$B$8:$B$127,1)+1),'Rate &amp; Vol Update'!$B$8:$B$127,0),MATCH(INDEX('Rate &amp; Vol Update'!$E$6:$Z$6,1,MATCH(BQ46,'Rate &amp; Vol Update'!$E$6:$Z$6,1)),'Rate &amp; Vol Update'!$E$6:$Z$6,0))*(INDEX('Rate &amp; Vol Update'!$E$6:$Z$6,1,MATCH(BQ46,'Rate &amp; Vol Update'!$E$6:$Z$6,1)+1)-BQ46)*(BL46-INDEX('Rate &amp; Vol Update'!$B$8:$B$127,MATCH(BL46,'Rate &amp; Vol Update'!$B$8:$B$127,1)))+INDEX('Rate &amp; Vol Update'!$E$8:$Z$127,MATCH(INDEX('Rate &amp; Vol Update'!$B$8:$B$127,MATCH(BL46,'Rate &amp; Vol Update'!$B$8:$B$127,1)+1),'Rate &amp; Vol Update'!$B$8:$B$127,0),MATCH(INDEX('Rate &amp; Vol Update'!$E$6:$Z$6,1,MATCH(BQ46,'Rate &amp; Vol Update'!$E$6:$Z$6,1)+1),'Rate &amp; Vol Update'!$E$6:$Z$6,0))*(BQ46-INDEX('Rate &amp; Vol Update'!$E$6:$Z$6,1,MATCH(BQ46,'Rate &amp; Vol Update'!$E$6:$Z$6,1)))*(BL46-INDEX('Rate &amp; Vol Update'!$B$8:$B$127,MATCH(BL46,'Rate &amp; Vol Update'!$B$8:$B$127,1)))))*0.01%))</f>
        <v>9.6887376889627889E-3</v>
      </c>
      <c r="BT46" s="5">
        <f>IF(BK46="","",1/((1+BR46)^((BM46-'Rate &amp; Vol Update'!$C$2)/360)))</f>
        <v>0.8815019749102575</v>
      </c>
      <c r="BV46" s="15">
        <f>IF(BK46="","",IF(BL46&lt;'Rate &amp; Vol Update'!$C$2,MAX(0,BR46-BQ46)*(BN46/360)*BP46,(((IF('Adjustment Surface'!$C$2='Data Validation'!$A$2,BR46,IF('Adjustment Surface'!$C$2='Data Validation'!$A$3,BQ46,"Unknown Option Type"))-IF('Adjustment Surface'!$C$2='Data Validation'!$A$2,BQ46,IF('Adjustment Surface'!$C$2='Data Validation'!$A$3,BR46,"Unknown Option Type")))*(NORMDIST((IF('Adjustment Surface'!$C$2='Data Validation'!$A$2,BR46,IF('Adjustment Surface'!$C$2='Data Validation'!$A$3,BQ46,"Unknown Option Type"))-IF('Adjustment Surface'!$C$2='Data Validation'!$A$2,BQ46,IF('Adjustment Surface'!$C$2='Data Validation'!$A$3,BR46,"Unknown Option Type")))/(BS46*SQRT(BO46)),0,1,TRUE)))+((BS46*SQRT(BO46))*(NORMDIST((IF('Adjustment Surface'!$C$2='Data Validation'!$A$2,BR46,IF('Adjustment Surface'!$C$2='Data Validation'!$A$3,BQ46,"Unknown Option Type"))-IF('Adjustment Surface'!$C$2='Data Validation'!$A$2,BQ46,IF('Adjustment Surface'!$C$2='Data Validation'!$A$3,BR46,"Unknown Option Type")))/(BS46*SQRT(BO46)),0,1,FALSE))))*BT46*(BN46/360)*BP46))</f>
        <v>4252.405356813606</v>
      </c>
      <c r="BW46" s="15">
        <f>IF(BK46="","",SUM(BV$4:BV46))</f>
        <v>60514.555403255414</v>
      </c>
      <c r="BY46" s="15">
        <f>IF(BK46="","",IF(BL46&lt;'Rate &amp; Vol Update'!$C$2,0,((((((IF('Adjustment Surface'!$C$2='Data Validation'!$A$2,BR46,IF('Adjustment Surface'!$C$2='Data Validation'!$A$3,BQ46,"Unknown Option Type"))-IF('Adjustment Surface'!$C$2='Data Validation'!$A$2,BQ46,IF('Adjustment Surface'!$C$2='Data Validation'!$A$3,BR46,"Unknown Option Type")))*(NORMDIST((IF('Adjustment Surface'!$C$2='Data Validation'!$A$2,BR46,IF('Adjustment Surface'!$C$2='Data Validation'!$A$3,BQ46,"Unknown Option Type"))-IF('Adjustment Surface'!$C$2='Data Validation'!$A$2,BQ46,IF('Adjustment Surface'!$C$2='Data Validation'!$A$3,BR46,"Unknown Option Type")))/((BS46+0.01%)*SQRT(BO46)),0,1,TRUE)))+(((BS46+0.01%)*SQRT(BO46))*(NORMDIST((IF('Adjustment Surface'!$C$2='Data Validation'!$A$2,BR46,IF('Adjustment Surface'!$C$2='Data Validation'!$A$3,BQ46,"Unknown Option Type"))-IF('Adjustment Surface'!$C$2='Data Validation'!$A$2,BQ46,IF('Adjustment Surface'!$C$2='Data Validation'!$A$3,BR46,"Unknown Option Type")))/((BS46+0.01%)*SQRT(BO46)),0,1,FALSE))))*BT46*(BN46/360))-(BV46/BP46))*BP46)*BT46))</f>
        <v>93.062656353140767</v>
      </c>
      <c r="BZ46" s="15">
        <f>IF(BK46="","",SUM(BY$4:BY46))</f>
        <v>1747.542148831041</v>
      </c>
      <c r="CA46" s="15"/>
      <c r="CB46" s="20"/>
      <c r="CC46" s="3">
        <v>43</v>
      </c>
      <c r="CD46" s="4">
        <f>IF(CE45=MAX('Adjustment Surface'!$C$14:$F$14),"",CE45)</f>
        <v>47341</v>
      </c>
      <c r="CE46" s="4">
        <f>IF(CD46="","",IF(CD46&lt;EDATE('Adjustment Surface'!$C$6,DATEDIF('Adjustment Surface'!$C$6,MAX('Adjustment Surface'!$C$14:$F$14),"M")),EDATE(CD$5,COUNT(CD$5:CD46)),IF(CD46=EDATE('Adjustment Surface'!$C$6,DATEDIF('Adjustment Surface'!$C$6,MAX('Adjustment Surface'!$C$14:$F$14),"M")),MAX('Adjustment Surface'!$C$14:$F$14),EDATE('Adjustment Surface'!$C$6,DATEDIF('Adjustment Surface'!$C$6,MAX('Adjustment Surface'!$C$14:$F$14),"M")))))</f>
        <v>47372</v>
      </c>
      <c r="CF46" s="3">
        <f t="shared" si="5"/>
        <v>31</v>
      </c>
      <c r="CG46" s="5">
        <f>IF(CC46="","",(CE46-'Rate &amp; Vol Update'!$C$2)/360)</f>
        <v>3.6333333333333333</v>
      </c>
      <c r="CH46" s="15">
        <f>IF(CC46="","",IF('Adjustment Surface'!$C$3='Data Validation'!$C$2,'Adjustment Surface'!$C$4,_xlfn.IFNA(IF(INDEX(Schedules!$E$3:$E$123,MATCH('Bachelier Model'!CD46,Schedules!$B$3:$B$123,0))="",CH45,INDEX(Schedules!$E$3:$E$123,MATCH('Bachelier Model'!CD46,Schedules!$B$3:$B$123,0))),CH45)))</f>
        <v>25000000</v>
      </c>
      <c r="CI46" s="16">
        <f>IF(CC46="","",'Adjustment Surface'!B$18)</f>
        <v>0.06</v>
      </c>
      <c r="CJ46" s="16" cm="1">
        <f t="array" ref="CJ46">IF(CC46="","",FORECAST(CD46,INDEX('Rate &amp; Vol Update'!$C$6:$C$127,MATCH(INDEX('Rate &amp; Vol Update'!$B$6:$B$127,MATCH(CD46,'Rate &amp; Vol Update'!$B$6:$B$127,1)),'Rate &amp; Vol Update'!$B$6:$B$127,0)+IF('Adjustment Surface'!$C$11='Data Validation'!$E$3,-1,0)):INDEX('Rate &amp; Vol Update'!$C$6:$C$127,MATCH(INDEX('Rate &amp; Vol Update'!$B$6:$B$127,MATCH(CD46,'Rate &amp; Vol Update'!$B$6:$B$127,1)+1),'Rate &amp; Vol Update'!$B$6:$B$127,0)+IF('Adjustment Surface'!$C$11='Data Validation'!$E$3,-1,0)),INDEX('Rate &amp; Vol Update'!$B$6:$B$127,MATCH(CD46,'Rate &amp; Vol Update'!$B$6:$B$127,1)):INDEX('Rate &amp; Vol Update'!$B$6:$B$127,MATCH(CD46,'Rate &amp; Vol Update'!$B$6:$B$127,1)+1))/100)</f>
        <v>3.5323707362780704E-2</v>
      </c>
      <c r="CK46" s="16" cm="1">
        <f t="array" ref="CK46">IF(CC46="","",IF(CD46&lt;'Rate &amp; Vol Update'!$C$2,0.001%,(1/((INDEX('Rate &amp; Vol Update'!$E$6:$Z$6,1,MATCH(CI46,'Rate &amp; Vol Update'!$E$6:$Z$6,1)+1)-INDEX('Rate &amp; Vol Update'!$E$6:$Z$6,1,MATCH(CI46,'Rate &amp; Vol Update'!$E$6:$Z$6,1)))*(INDEX('Rate &amp; Vol Update'!$B$8:$B$127,MATCH(CD46,'Rate &amp; Vol Update'!$B$8:$B$127,1)+1)-INDEX('Rate &amp; Vol Update'!$B$8:$B$127,MATCH(CD46,'Rate &amp; Vol Update'!$B$8:$B$127,1))))*(INDEX('Rate &amp; Vol Update'!$E$8:$Z$127,MATCH(INDEX('Rate &amp; Vol Update'!$B$8:$B$127,MATCH(CD46,'Rate &amp; Vol Update'!$B$8:$B$127,1)),'Rate &amp; Vol Update'!$B$8:$B$127,0),MATCH(INDEX('Rate &amp; Vol Update'!$E$6:$Z$6,1,MATCH(CI46,'Rate &amp; Vol Update'!$E$6:$Z$6,1)),'Rate &amp; Vol Update'!$E$6:$Z$6,0))*(INDEX('Rate &amp; Vol Update'!$E$6:$Z$6,1,MATCH(CI46,'Rate &amp; Vol Update'!$E$6:$Z$6,1)+1)-CI46)*(INDEX('Rate &amp; Vol Update'!$B$8:$B$127,MATCH(CD46,'Rate &amp; Vol Update'!$B$8:$B$127,1)+1)-CD46)+INDEX('Rate &amp; Vol Update'!$E$8:$Z$127,MATCH(INDEX('Rate &amp; Vol Update'!$B$8:$B$127,MATCH(CD46,'Rate &amp; Vol Update'!$B$8:$B$127,1)),'Rate &amp; Vol Update'!$B$8:$B$127,0),MATCH(INDEX('Rate &amp; Vol Update'!$E$6:$Z$6,1,MATCH(CI46,'Rate &amp; Vol Update'!$E$6:$Z$6,1)+1),'Rate &amp; Vol Update'!$E$6:$Z$6,0))*(CI46-INDEX('Rate &amp; Vol Update'!$E$6:$Z$6,1,MATCH(CI46,'Rate &amp; Vol Update'!$E$6:$Z$6,1)))*(INDEX('Rate &amp; Vol Update'!$B$8:$B$127,MATCH(CD46,'Rate &amp; Vol Update'!$B$8:$B$127,1)+1)-CD46)+INDEX('Rate &amp; Vol Update'!$E$8:$Z$127,MATCH(INDEX('Rate &amp; Vol Update'!$B$8:$B$127,MATCH(CD46,'Rate &amp; Vol Update'!$B$8:$B$127,1)+1),'Rate &amp; Vol Update'!$B$8:$B$127,0),MATCH(INDEX('Rate &amp; Vol Update'!$E$6:$Z$6,1,MATCH(CI46,'Rate &amp; Vol Update'!$E$6:$Z$6,1)),'Rate &amp; Vol Update'!$E$6:$Z$6,0))*(INDEX('Rate &amp; Vol Update'!$E$6:$Z$6,1,MATCH(CI46,'Rate &amp; Vol Update'!$E$6:$Z$6,1)+1)-CI46)*(CD46-INDEX('Rate &amp; Vol Update'!$B$8:$B$127,MATCH(CD46,'Rate &amp; Vol Update'!$B$8:$B$127,1)))+INDEX('Rate &amp; Vol Update'!$E$8:$Z$127,MATCH(INDEX('Rate &amp; Vol Update'!$B$8:$B$127,MATCH(CD46,'Rate &amp; Vol Update'!$B$8:$B$127,1)+1),'Rate &amp; Vol Update'!$B$8:$B$127,0),MATCH(INDEX('Rate &amp; Vol Update'!$E$6:$Z$6,1,MATCH(CI46,'Rate &amp; Vol Update'!$E$6:$Z$6,1)+1),'Rate &amp; Vol Update'!$E$6:$Z$6,0))*(CI46-INDEX('Rate &amp; Vol Update'!$E$6:$Z$6,1,MATCH(CI46,'Rate &amp; Vol Update'!$E$6:$Z$6,1)))*(CD46-INDEX('Rate &amp; Vol Update'!$B$8:$B$127,MATCH(CD46,'Rate &amp; Vol Update'!$B$8:$B$127,1)))))*0.01%))</f>
        <v>1.1054539394305318E-2</v>
      </c>
      <c r="CL46" s="5">
        <f>IF(CC46="","",1/((1+CJ46)^((CE46-'Rate &amp; Vol Update'!$C$2)/360)))</f>
        <v>0.8815019749102575</v>
      </c>
      <c r="CN46" s="15">
        <f>IF(CC46="","",IF(CD46&lt;'Rate &amp; Vol Update'!$C$2,MAX(0,CJ46-CI46)*(CF46/360)*CH46,(((IF('Adjustment Surface'!$C$2='Data Validation'!$A$2,CJ46,IF('Adjustment Surface'!$C$2='Data Validation'!$A$3,CI46,"Unknown Option Type"))-IF('Adjustment Surface'!$C$2='Data Validation'!$A$2,CI46,IF('Adjustment Surface'!$C$2='Data Validation'!$A$3,CJ46,"Unknown Option Type")))*(NORMDIST((IF('Adjustment Surface'!$C$2='Data Validation'!$A$2,CJ46,IF('Adjustment Surface'!$C$2='Data Validation'!$A$3,CI46,"Unknown Option Type"))-IF('Adjustment Surface'!$C$2='Data Validation'!$A$2,CI46,IF('Adjustment Surface'!$C$2='Data Validation'!$A$3,CJ46,"Unknown Option Type")))/(CK46*SQRT(CG46)),0,1,TRUE)))+((CK46*SQRT(CG46))*(NORMDIST((IF('Adjustment Surface'!$C$2='Data Validation'!$A$2,CJ46,IF('Adjustment Surface'!$C$2='Data Validation'!$A$3,CI46,"Unknown Option Type"))-IF('Adjustment Surface'!$C$2='Data Validation'!$A$2,CI46,IF('Adjustment Surface'!$C$2='Data Validation'!$A$3,CJ46,"Unknown Option Type")))/(CK46*SQRT(CG46)),0,1,FALSE))))*CL46*(CF46/360)*CH46))</f>
        <v>2379.7051206670317</v>
      </c>
      <c r="CO46" s="15">
        <f>IF(CC46="","",SUM(CN$4:CN46))</f>
        <v>30856.959926409862</v>
      </c>
      <c r="CQ46" s="15">
        <f>IF(CC46="","",IF(CD46&lt;'Rate &amp; Vol Update'!$C$2,0,((((((IF('Adjustment Surface'!$C$2='Data Validation'!$A$2,CJ46,IF('Adjustment Surface'!$C$2='Data Validation'!$A$3,CI46,"Unknown Option Type"))-IF('Adjustment Surface'!$C$2='Data Validation'!$A$2,CI46,IF('Adjustment Surface'!$C$2='Data Validation'!$A$3,CJ46,"Unknown Option Type")))*(NORMDIST((IF('Adjustment Surface'!$C$2='Data Validation'!$A$2,CJ46,IF('Adjustment Surface'!$C$2='Data Validation'!$A$3,CI46,"Unknown Option Type"))-IF('Adjustment Surface'!$C$2='Data Validation'!$A$2,CI46,IF('Adjustment Surface'!$C$2='Data Validation'!$A$3,CJ46,"Unknown Option Type")))/((CK46+0.01%)*SQRT(CG46)),0,1,TRUE)))+(((CK46+0.01%)*SQRT(CG46))*(NORMDIST((IF('Adjustment Surface'!$C$2='Data Validation'!$A$2,CJ46,IF('Adjustment Surface'!$C$2='Data Validation'!$A$3,CI46,"Unknown Option Type"))-IF('Adjustment Surface'!$C$2='Data Validation'!$A$2,CI46,IF('Adjustment Surface'!$C$2='Data Validation'!$A$3,CJ46,"Unknown Option Type")))/((CK46+0.01%)*SQRT(CG46)),0,1,FALSE))))*CL46*(CF46/360))-(CN46/CH46))*CH46)*CL46))</f>
        <v>64.473162571474305</v>
      </c>
      <c r="CR46" s="15">
        <f>IF(CC46="","",SUM(CQ$4:CQ46))</f>
        <v>1042.5251706499826</v>
      </c>
    </row>
    <row r="47" spans="7:96" x14ac:dyDescent="0.25">
      <c r="G47" s="28"/>
      <c r="J47" s="4" t="str">
        <f>IF(K46='Adjustment Surface'!C$8,"",K46)</f>
        <v/>
      </c>
      <c r="K47" s="4" t="str">
        <f>IF(J47="","",IF(J47&lt;'Adjustment Surface'!C$7,EDATE(J$5,COUNT(J$5:J47)),IF(J47='Adjustment Surface'!C$7,'Adjustment Surface'!C$8,'Adjustment Surface'!C$7)))</f>
        <v/>
      </c>
      <c r="L47" s="3" t="str">
        <f t="shared" si="1"/>
        <v/>
      </c>
      <c r="M47" s="5" t="str">
        <f>IF(I47="","",(K47-'Rate &amp; Vol Update'!$C$2)/360)</f>
        <v/>
      </c>
      <c r="N47" s="15" t="str">
        <f>IF(I47="","",IF('Adjustment Surface'!C$3='Data Validation'!$C$2,'Adjustment Surface'!C$4,IF(INDEX(Schedules!$E$3:$E$123,MATCH('Bachelier Model'!J47,Schedules!$B$3:$B$123,0))="",N46,INDEX(Schedules!$E$3:$E$123,MATCH('Bachelier Model'!J47,Schedules!$B$3:$B$123,0)))))</f>
        <v/>
      </c>
      <c r="O47" s="16" t="str">
        <f>IF(I47="","",IF('Adjustment Surface'!C$9='Data Validation'!$D$2,'Adjustment Surface'!C$10,IF(INDEX(Schedules!$H$3:$H$123,MATCH('Bachelier Model'!J47,Schedules!$B$3:$B$123,0))="",O46,INDEX(Schedules!$H$3:$H$123,MATCH('Bachelier Model'!J47,Schedules!$B$3:$B$123,0)))))</f>
        <v/>
      </c>
      <c r="P47" s="16" t="str" cm="1">
        <f t="array" ref="P47">IF(I47="","",FORECAST(J47,INDEX('Rate &amp; Vol Update'!$C$6:$C$127,MATCH(INDEX('Rate &amp; Vol Update'!$B$6:$B$127,MATCH(J47,'Rate &amp; Vol Update'!$B$6:$B$127,1)),'Rate &amp; Vol Update'!$B$6:$B$127,0)+IF('Adjustment Surface'!C$11='Data Validation'!$E$3,-1,0)):INDEX('Rate &amp; Vol Update'!$C$6:$C$127,MATCH(INDEX('Rate &amp; Vol Update'!$B$6:$B$127,MATCH(J47,'Rate &amp; Vol Update'!$B$6:$B$127,1)+1),'Rate &amp; Vol Update'!$B$6:$B$127,0)+IF('Adjustment Surface'!C$11='Data Validation'!$E$3,-1,0)),INDEX('Rate &amp; Vol Update'!$B$6:$B$127,MATCH(J47,'Rate &amp; Vol Update'!$B$6:$B$127,1)):INDEX('Rate &amp; Vol Update'!$B$6:$B$127,MATCH(J47,'Rate &amp; Vol Update'!$B$6:$B$127,1)+1))/100)</f>
        <v/>
      </c>
      <c r="Q47" s="16" t="str" cm="1">
        <f t="array" ref="Q47">IF(I47="","",IF(J47&lt;'Rate &amp; Vol Update'!$C$2,0.001%,(1/((INDEX('Rate &amp; Vol Update'!$E$6:$Z$6,1,MATCH(O47,'Rate &amp; Vol Update'!$E$6:$Z$6,1)+1)-INDEX('Rate &amp; Vol Update'!$E$6:$Z$6,1,MATCH(O47,'Rate &amp; Vol Update'!$E$6:$Z$6,1)))*(INDEX('Rate &amp; Vol Update'!$B$8:$B$127,MATCH(J47,'Rate &amp; Vol Update'!$B$8:$B$127,1)+1)-INDEX('Rate &amp; Vol Update'!$B$8:$B$127,MATCH(J47,'Rate &amp; Vol Update'!$B$8:$B$127,1))))*(INDEX('Rate &amp; Vol Update'!$E$8:$Z$127,MATCH(INDEX('Rate &amp; Vol Update'!$B$8:$B$127,MATCH(J47,'Rate &amp; Vol Update'!$B$8:$B$127,1)),'Rate &amp; Vol Update'!$B$8:$B$127,0),MATCH(INDEX('Rate &amp; Vol Update'!$E$6:$Z$6,1,MATCH(O47,'Rate &amp; Vol Update'!$E$6:$Z$6,1)),'Rate &amp; Vol Update'!$E$6:$Z$6,0))*(INDEX('Rate &amp; Vol Update'!$E$6:$Z$6,1,MATCH(O47,'Rate &amp; Vol Update'!$E$6:$Z$6,1)+1)-O47)*(INDEX('Rate &amp; Vol Update'!$B$8:$B$127,MATCH(J47,'Rate &amp; Vol Update'!$B$8:$B$127,1)+1)-J47)+INDEX('Rate &amp; Vol Update'!$E$8:$Z$127,MATCH(INDEX('Rate &amp; Vol Update'!$B$8:$B$127,MATCH(J47,'Rate &amp; Vol Update'!$B$8:$B$127,1)),'Rate &amp; Vol Update'!$B$8:$B$127,0),MATCH(INDEX('Rate &amp; Vol Update'!$E$6:$Z$6,1,MATCH(O47,'Rate &amp; Vol Update'!$E$6:$Z$6,1)+1),'Rate &amp; Vol Update'!$E$6:$Z$6,0))*(O47-INDEX('Rate &amp; Vol Update'!$E$6:$Z$6,1,MATCH(O47,'Rate &amp; Vol Update'!$E$6:$Z$6,1)))*(INDEX('Rate &amp; Vol Update'!$B$8:$B$127,MATCH(J47,'Rate &amp; Vol Update'!$B$8:$B$127,1)+1)-J47)+INDEX('Rate &amp; Vol Update'!$E$8:$Z$127,MATCH(INDEX('Rate &amp; Vol Update'!$B$8:$B$127,MATCH(J47,'Rate &amp; Vol Update'!$B$8:$B$127,1)+1),'Rate &amp; Vol Update'!$B$8:$B$127,0),MATCH(INDEX('Rate &amp; Vol Update'!$E$6:$Z$6,1,MATCH(O47,'Rate &amp; Vol Update'!$E$6:$Z$6,1)),'Rate &amp; Vol Update'!$E$6:$Z$6,0))*(INDEX('Rate &amp; Vol Update'!$E$6:$Z$6,1,MATCH(O47,'Rate &amp; Vol Update'!$E$6:$Z$6,1)+1)-O47)*(J47-INDEX('Rate &amp; Vol Update'!$B$8:$B$127,MATCH(J47,'Rate &amp; Vol Update'!$B$8:$B$127,1)))+INDEX('Rate &amp; Vol Update'!$E$8:$Z$127,MATCH(INDEX('Rate &amp; Vol Update'!$B$8:$B$127,MATCH(J47,'Rate &amp; Vol Update'!$B$8:$B$127,1)+1),'Rate &amp; Vol Update'!$B$8:$B$127,0),MATCH(INDEX('Rate &amp; Vol Update'!$E$6:$Z$6,1,MATCH(O47,'Rate &amp; Vol Update'!$E$6:$Z$6,1)+1),'Rate &amp; Vol Update'!$E$6:$Z$6,0))*(O47-INDEX('Rate &amp; Vol Update'!$E$6:$Z$6,1,MATCH(O47,'Rate &amp; Vol Update'!$E$6:$Z$6,1)))*(J47-INDEX('Rate &amp; Vol Update'!$B$8:$B$127,MATCH(J47,'Rate &amp; Vol Update'!$B$8:$B$127,1)))))*0.01%))</f>
        <v/>
      </c>
      <c r="R47" s="5" t="str">
        <f>IF(I47="","",1/((1+P47)^((K47-'Rate &amp; Vol Update'!$C$2)/360)))</f>
        <v/>
      </c>
      <c r="T47" s="15" t="str">
        <f>IF(I47="","",IF(J47&lt;'Rate &amp; Vol Update'!$C$2,MAX(0,P47-O47)*(L47/360)*N47,(((IF('Adjustment Surface'!C$2='Data Validation'!$A$2,P47,IF('Adjustment Surface'!C$2='Data Validation'!$A$3,O47,"Unknown Option Type"))-IF('Adjustment Surface'!C$2='Data Validation'!$A$2,O47,IF('Adjustment Surface'!C$2='Data Validation'!$A$3,P47,"Unknown Option Type")))*(NORMDIST((IF('Adjustment Surface'!C$2='Data Validation'!$A$2,P47,IF('Adjustment Surface'!C$2='Data Validation'!$A$3,O47,"Unknown Option Type"))-IF('Adjustment Surface'!C$2='Data Validation'!$A$2,O47,IF('Adjustment Surface'!C$2='Data Validation'!$A$3,P47,"Unknown Option Type")))/(Q47*SQRT(M47)),0,1,TRUE)))+((Q47*SQRT(M47))*(NORMDIST((IF('Adjustment Surface'!C$2='Data Validation'!$A$2,P47,IF('Adjustment Surface'!C$2='Data Validation'!$A$3,O47,"Unknown Option Type"))-IF('Adjustment Surface'!C$2='Data Validation'!$A$2,O47,IF('Adjustment Surface'!C$2='Data Validation'!$A$3,P47,"Unknown Option Type")))/(Q47*SQRT(M47)),0,1,FALSE))))*R47*(L47/360)*N47))</f>
        <v/>
      </c>
      <c r="U47" s="15" t="str">
        <f>IF(I47="","",SUM(T$4:T47))</f>
        <v/>
      </c>
      <c r="W47" s="15" t="str">
        <f>IF(I47="","",IF(J47&lt;'Rate &amp; Vol Update'!$C$2,0,((((((IF('Adjustment Surface'!C$2='Data Validation'!$A$2,P47,IF('Adjustment Surface'!C$2='Data Validation'!$A$3,O47,"Unknown Option Type"))-IF('Adjustment Surface'!C$2='Data Validation'!$A$2,O47,IF('Adjustment Surface'!C$2='Data Validation'!$A$3,P47,"Unknown Option Type")))*(NORMDIST((IF('Adjustment Surface'!C$2='Data Validation'!$A$2,P47,IF('Adjustment Surface'!C$2='Data Validation'!$A$3,O47,"Unknown Option Type"))-IF('Adjustment Surface'!C$2='Data Validation'!$A$2,O47,IF('Adjustment Surface'!C$2='Data Validation'!$A$3,P47,"Unknown Option Type")))/((Q47+0.01%)*SQRT(M47)),0,1,TRUE)))+(((Q47+0.01%)*SQRT(M47))*(NORMDIST((IF('Adjustment Surface'!C$2='Data Validation'!$A$2,P47,IF('Adjustment Surface'!C$2='Data Validation'!$A$3,O47,"Unknown Option Type"))-IF('Adjustment Surface'!C$2='Data Validation'!$A$2,O47,IF('Adjustment Surface'!C$2='Data Validation'!$A$3,P47,"Unknown Option Type")))/((Q47+0.01%)*SQRT(M47)),0,1,FALSE))))*R47*(L47/360))-(T47/N47))*N47)*R47))</f>
        <v/>
      </c>
      <c r="X47" s="15" t="str">
        <f>IF(I47="","",SUM(W$4:W47))</f>
        <v/>
      </c>
      <c r="Y47" s="15"/>
      <c r="Z47" s="20"/>
      <c r="AA47" s="3">
        <v>44</v>
      </c>
      <c r="AB47" s="4">
        <f>IF(AC46=MAX('Adjustment Surface'!$C$14:$F$14),"",AC46)</f>
        <v>47372</v>
      </c>
      <c r="AC47" s="4">
        <f>IF(AB47="","",IF(AB47&lt;EDATE('Adjustment Surface'!$C$6,DATEDIF('Adjustment Surface'!$C$6,MAX('Adjustment Surface'!$C$14:$F$14),"M")),EDATE(AB$5,COUNT(AB$5:AB47)),IF(AB47=EDATE('Adjustment Surface'!$C$6,DATEDIF('Adjustment Surface'!$C$6,MAX('Adjustment Surface'!$C$14:$F$14),"M")),MAX('Adjustment Surface'!$C$14:$F$14),EDATE('Adjustment Surface'!$C$6,DATEDIF('Adjustment Surface'!$C$6,MAX('Adjustment Surface'!$C$14:$F$14),"M")))))</f>
        <v>47402</v>
      </c>
      <c r="AD47" s="3">
        <f t="shared" si="2"/>
        <v>30</v>
      </c>
      <c r="AE47" s="5">
        <f>IF(AA47="","",(AC47-'Rate &amp; Vol Update'!$C$2)/360)</f>
        <v>3.7166666666666668</v>
      </c>
      <c r="AF47" s="15">
        <f>IF(AA47="","",IF('Adjustment Surface'!$C$3='Data Validation'!$C$2,'Adjustment Surface'!$C$4,_xlfn.IFNA(IF(INDEX(Schedules!$E$3:$E$123,MATCH('Bachelier Model'!AB47,Schedules!$B$3:$B$123,0))="",AF46,INDEX(Schedules!$E$3:$E$123,MATCH('Bachelier Model'!AB47,Schedules!$B$3:$B$123,0))),AF46)))</f>
        <v>25000000</v>
      </c>
      <c r="AG47" s="16">
        <f>IF(AA47="","",'Adjustment Surface'!B$15)</f>
        <v>0.03</v>
      </c>
      <c r="AH47" s="16" cm="1">
        <f t="array" ref="AH47">IF(AA47="","",FORECAST(AB47,INDEX('Rate &amp; Vol Update'!$C$6:$C$127,MATCH(INDEX('Rate &amp; Vol Update'!$B$6:$B$127,MATCH(AB47,'Rate &amp; Vol Update'!$B$6:$B$127,1)),'Rate &amp; Vol Update'!$B$6:$B$127,0)+IF('Adjustment Surface'!$C$11='Data Validation'!$E$3,-1,0)):INDEX('Rate &amp; Vol Update'!$C$6:$C$127,MATCH(INDEX('Rate &amp; Vol Update'!$B$6:$B$127,MATCH(AB47,'Rate &amp; Vol Update'!$B$6:$B$127,1)+1),'Rate &amp; Vol Update'!$B$6:$B$127,0)+IF('Adjustment Surface'!$C$11='Data Validation'!$E$3,-1,0)),INDEX('Rate &amp; Vol Update'!$B$6:$B$127,MATCH(AB47,'Rate &amp; Vol Update'!$B$6:$B$127,1)):INDEX('Rate &amp; Vol Update'!$B$6:$B$127,MATCH(AB47,'Rate &amp; Vol Update'!$B$6:$B$127,1)+1))/100)</f>
        <v>3.5321976280824063E-2</v>
      </c>
      <c r="AI47" s="16" cm="1">
        <f t="array" ref="AI47">IF(AA47="","",IF(AB47&lt;'Rate &amp; Vol Update'!$C$2,0.001%,(1/((INDEX('Rate &amp; Vol Update'!$E$6:$Z$6,1,MATCH(AG47,'Rate &amp; Vol Update'!$E$6:$Z$6,1)+1)-INDEX('Rate &amp; Vol Update'!$E$6:$Z$6,1,MATCH(AG47,'Rate &amp; Vol Update'!$E$6:$Z$6,1)))*(INDEX('Rate &amp; Vol Update'!$B$8:$B$127,MATCH(AB47,'Rate &amp; Vol Update'!$B$8:$B$127,1)+1)-INDEX('Rate &amp; Vol Update'!$B$8:$B$127,MATCH(AB47,'Rate &amp; Vol Update'!$B$8:$B$127,1))))*(INDEX('Rate &amp; Vol Update'!$E$8:$Z$127,MATCH(INDEX('Rate &amp; Vol Update'!$B$8:$B$127,MATCH(AB47,'Rate &amp; Vol Update'!$B$8:$B$127,1)),'Rate &amp; Vol Update'!$B$8:$B$127,0),MATCH(INDEX('Rate &amp; Vol Update'!$E$6:$Z$6,1,MATCH(AG47,'Rate &amp; Vol Update'!$E$6:$Z$6,1)),'Rate &amp; Vol Update'!$E$6:$Z$6,0))*(INDEX('Rate &amp; Vol Update'!$E$6:$Z$6,1,MATCH(AG47,'Rate &amp; Vol Update'!$E$6:$Z$6,1)+1)-AG47)*(INDEX('Rate &amp; Vol Update'!$B$8:$B$127,MATCH(AB47,'Rate &amp; Vol Update'!$B$8:$B$127,1)+1)-AB47)+INDEX('Rate &amp; Vol Update'!$E$8:$Z$127,MATCH(INDEX('Rate &amp; Vol Update'!$B$8:$B$127,MATCH(AB47,'Rate &amp; Vol Update'!$B$8:$B$127,1)),'Rate &amp; Vol Update'!$B$8:$B$127,0),MATCH(INDEX('Rate &amp; Vol Update'!$E$6:$Z$6,1,MATCH(AG47,'Rate &amp; Vol Update'!$E$6:$Z$6,1)+1),'Rate &amp; Vol Update'!$E$6:$Z$6,0))*(AG47-INDEX('Rate &amp; Vol Update'!$E$6:$Z$6,1,MATCH(AG47,'Rate &amp; Vol Update'!$E$6:$Z$6,1)))*(INDEX('Rate &amp; Vol Update'!$B$8:$B$127,MATCH(AB47,'Rate &amp; Vol Update'!$B$8:$B$127,1)+1)-AB47)+INDEX('Rate &amp; Vol Update'!$E$8:$Z$127,MATCH(INDEX('Rate &amp; Vol Update'!$B$8:$B$127,MATCH(AB47,'Rate &amp; Vol Update'!$B$8:$B$127,1)+1),'Rate &amp; Vol Update'!$B$8:$B$127,0),MATCH(INDEX('Rate &amp; Vol Update'!$E$6:$Z$6,1,MATCH(AG47,'Rate &amp; Vol Update'!$E$6:$Z$6,1)),'Rate &amp; Vol Update'!$E$6:$Z$6,0))*(INDEX('Rate &amp; Vol Update'!$E$6:$Z$6,1,MATCH(AG47,'Rate &amp; Vol Update'!$E$6:$Z$6,1)+1)-AG47)*(AB47-INDEX('Rate &amp; Vol Update'!$B$8:$B$127,MATCH(AB47,'Rate &amp; Vol Update'!$B$8:$B$127,1)))+INDEX('Rate &amp; Vol Update'!$E$8:$Z$127,MATCH(INDEX('Rate &amp; Vol Update'!$B$8:$B$127,MATCH(AB47,'Rate &amp; Vol Update'!$B$8:$B$127,1)+1),'Rate &amp; Vol Update'!$B$8:$B$127,0),MATCH(INDEX('Rate &amp; Vol Update'!$E$6:$Z$6,1,MATCH(AG47,'Rate &amp; Vol Update'!$E$6:$Z$6,1)+1),'Rate &amp; Vol Update'!$E$6:$Z$6,0))*(AG47-INDEX('Rate &amp; Vol Update'!$E$6:$Z$6,1,MATCH(AG47,'Rate &amp; Vol Update'!$E$6:$Z$6,1)))*(AB47-INDEX('Rate &amp; Vol Update'!$B$8:$B$127,MATCH(AB47,'Rate &amp; Vol Update'!$B$8:$B$127,1)))))*0.01%))</f>
        <v>8.1289428484454702E-3</v>
      </c>
      <c r="AJ47" s="5">
        <f>IF(AA47="","",1/((1+AH47)^((AC47-'Rate &amp; Vol Update'!$C$2)/360)))</f>
        <v>0.87896107348047703</v>
      </c>
      <c r="AL47" s="15">
        <f>IF(AA47="","",IF(AB47&lt;'Rate &amp; Vol Update'!$C$2,MAX(0,AH47-AG47)*(AD47/360)*AF47,(((IF('Adjustment Surface'!$C$2='Data Validation'!$A$2,AH47,IF('Adjustment Surface'!$C$2='Data Validation'!$A$3,AG47,"Unknown Option Type"))-IF('Adjustment Surface'!$C$2='Data Validation'!$A$2,AG47,IF('Adjustment Surface'!$C$2='Data Validation'!$A$3,AH47,"Unknown Option Type")))*(NORMDIST((IF('Adjustment Surface'!$C$2='Data Validation'!$A$2,AH47,IF('Adjustment Surface'!$C$2='Data Validation'!$A$3,AG47,"Unknown Option Type"))-IF('Adjustment Surface'!$C$2='Data Validation'!$A$2,AG47,IF('Adjustment Surface'!$C$2='Data Validation'!$A$3,AH47,"Unknown Option Type")))/(AI47*SQRT(AE47)),0,1,TRUE)))+((AI47*SQRT(AE47))*(NORMDIST((IF('Adjustment Surface'!$C$2='Data Validation'!$A$2,AH47,IF('Adjustment Surface'!$C$2='Data Validation'!$A$3,AG47,"Unknown Option Type"))-IF('Adjustment Surface'!$C$2='Data Validation'!$A$2,AG47,IF('Adjustment Surface'!$C$2='Data Validation'!$A$3,AH47,"Unknown Option Type")))/(AI47*SQRT(AE47)),0,1,FALSE))))*AJ47*(AD47/360)*AF47))</f>
        <v>16975.118084723035</v>
      </c>
      <c r="AM47" s="15">
        <f>IF(AA47="","",SUM(AL$4:AL47))</f>
        <v>545480.3440490152</v>
      </c>
      <c r="AO47" s="15">
        <f>IF(AA47="","",IF(AB47&lt;'Rate &amp; Vol Update'!$C$2,0,((((((IF('Adjustment Surface'!$C$2='Data Validation'!$A$2,AH47,IF('Adjustment Surface'!$C$2='Data Validation'!$A$3,AG47,"Unknown Option Type"))-IF('Adjustment Surface'!$C$2='Data Validation'!$A$2,AG47,IF('Adjustment Surface'!$C$2='Data Validation'!$A$3,AH47,"Unknown Option Type")))*(NORMDIST((IF('Adjustment Surface'!$C$2='Data Validation'!$A$2,AH47,IF('Adjustment Surface'!$C$2='Data Validation'!$A$3,AG47,"Unknown Option Type"))-IF('Adjustment Surface'!$C$2='Data Validation'!$A$2,AG47,IF('Adjustment Surface'!$C$2='Data Validation'!$A$3,AH47,"Unknown Option Type")))/((AI47+0.01%)*SQRT(AE47)),0,1,TRUE)))+(((AI47+0.01%)*SQRT(AE47))*(NORMDIST((IF('Adjustment Surface'!$C$2='Data Validation'!$A$2,AH47,IF('Adjustment Surface'!$C$2='Data Validation'!$A$3,AG47,"Unknown Option Type"))-IF('Adjustment Surface'!$C$2='Data Validation'!$A$2,AG47,IF('Adjustment Surface'!$C$2='Data Validation'!$A$3,AH47,"Unknown Option Type")))/((AI47+0.01%)*SQRT(AE47)),0,1,FALSE))))*AJ47*(AD47/360))-(AL47/AF47))*AF47)*AJ47))</f>
        <v>116.93559592290691</v>
      </c>
      <c r="AP47" s="15">
        <f>IF(AA47="","",SUM(AO$4:AO47))</f>
        <v>3846.1131942823845</v>
      </c>
      <c r="AQ47" s="15"/>
      <c r="AR47" s="20"/>
      <c r="AS47" s="3">
        <v>44</v>
      </c>
      <c r="AT47" s="4">
        <f>IF(AU46=MAX('Adjustment Surface'!$C$14:$F$14),"",AU46)</f>
        <v>47372</v>
      </c>
      <c r="AU47" s="4">
        <f>IF(AT47="","",IF(AT47&lt;EDATE('Adjustment Surface'!$C$6,DATEDIF('Adjustment Surface'!$C$6,MAX('Adjustment Surface'!$C$14:$F$14),"M")),EDATE(AT$5,COUNT(AT$5:AT47)),IF(AT47=EDATE('Adjustment Surface'!$C$6,DATEDIF('Adjustment Surface'!$C$6,MAX('Adjustment Surface'!$C$14:$F$14),"M")),MAX('Adjustment Surface'!$C$14:$F$14),EDATE('Adjustment Surface'!$C$6,DATEDIF('Adjustment Surface'!$C$6,MAX('Adjustment Surface'!$C$14:$F$14),"M")))))</f>
        <v>47402</v>
      </c>
      <c r="AV47" s="3">
        <f t="shared" si="3"/>
        <v>30</v>
      </c>
      <c r="AW47" s="5">
        <f>IF(AS47="","",(AU47-'Rate &amp; Vol Update'!$C$2)/360)</f>
        <v>3.7166666666666668</v>
      </c>
      <c r="AX47" s="15">
        <f>IF(AS47="","",IF('Adjustment Surface'!$C$3='Data Validation'!$C$2,'Adjustment Surface'!$C$4,_xlfn.IFNA(IF(INDEX(Schedules!$E$3:$E$123,MATCH('Bachelier Model'!AT47,Schedules!$B$3:$B$123,0))="",AX46,INDEX(Schedules!$E$3:$E$123,MATCH('Bachelier Model'!AT47,Schedules!$B$3:$B$123,0))),AX46)))</f>
        <v>25000000</v>
      </c>
      <c r="AY47" s="16">
        <f>IF(AS47="","",'Adjustment Surface'!B$16)</f>
        <v>0.04</v>
      </c>
      <c r="AZ47" s="16" cm="1">
        <f t="array" ref="AZ47">IF(AS47="","",FORECAST(AT47,INDEX('Rate &amp; Vol Update'!$C$6:$C$127,MATCH(INDEX('Rate &amp; Vol Update'!$B$6:$B$127,MATCH(AT47,'Rate &amp; Vol Update'!$B$6:$B$127,1)),'Rate &amp; Vol Update'!$B$6:$B$127,0)+IF('Adjustment Surface'!$C$11='Data Validation'!$E$3,-1,0)):INDEX('Rate &amp; Vol Update'!$C$6:$C$127,MATCH(INDEX('Rate &amp; Vol Update'!$B$6:$B$127,MATCH(AT47,'Rate &amp; Vol Update'!$B$6:$B$127,1)+1),'Rate &amp; Vol Update'!$B$6:$B$127,0)+IF('Adjustment Surface'!$C$11='Data Validation'!$E$3,-1,0)),INDEX('Rate &amp; Vol Update'!$B$6:$B$127,MATCH(AT47,'Rate &amp; Vol Update'!$B$6:$B$127,1)):INDEX('Rate &amp; Vol Update'!$B$6:$B$127,MATCH(AT47,'Rate &amp; Vol Update'!$B$6:$B$127,1)+1))/100)</f>
        <v>3.5321976280824063E-2</v>
      </c>
      <c r="BA47" s="16" cm="1">
        <f t="array" ref="BA47">IF(AS47="","",IF(AT47&lt;'Rate &amp; Vol Update'!$C$2,0.001%,(1/((INDEX('Rate &amp; Vol Update'!$E$6:$Z$6,1,MATCH(AY47,'Rate &amp; Vol Update'!$E$6:$Z$6,1)+1)-INDEX('Rate &amp; Vol Update'!$E$6:$Z$6,1,MATCH(AY47,'Rate &amp; Vol Update'!$E$6:$Z$6,1)))*(INDEX('Rate &amp; Vol Update'!$B$8:$B$127,MATCH(AT47,'Rate &amp; Vol Update'!$B$8:$B$127,1)+1)-INDEX('Rate &amp; Vol Update'!$B$8:$B$127,MATCH(AT47,'Rate &amp; Vol Update'!$B$8:$B$127,1))))*(INDEX('Rate &amp; Vol Update'!$E$8:$Z$127,MATCH(INDEX('Rate &amp; Vol Update'!$B$8:$B$127,MATCH(AT47,'Rate &amp; Vol Update'!$B$8:$B$127,1)),'Rate &amp; Vol Update'!$B$8:$B$127,0),MATCH(INDEX('Rate &amp; Vol Update'!$E$6:$Z$6,1,MATCH(AY47,'Rate &amp; Vol Update'!$E$6:$Z$6,1)),'Rate &amp; Vol Update'!$E$6:$Z$6,0))*(INDEX('Rate &amp; Vol Update'!$E$6:$Z$6,1,MATCH(AY47,'Rate &amp; Vol Update'!$E$6:$Z$6,1)+1)-AY47)*(INDEX('Rate &amp; Vol Update'!$B$8:$B$127,MATCH(AT47,'Rate &amp; Vol Update'!$B$8:$B$127,1)+1)-AT47)+INDEX('Rate &amp; Vol Update'!$E$8:$Z$127,MATCH(INDEX('Rate &amp; Vol Update'!$B$8:$B$127,MATCH(AT47,'Rate &amp; Vol Update'!$B$8:$B$127,1)),'Rate &amp; Vol Update'!$B$8:$B$127,0),MATCH(INDEX('Rate &amp; Vol Update'!$E$6:$Z$6,1,MATCH(AY47,'Rate &amp; Vol Update'!$E$6:$Z$6,1)+1),'Rate &amp; Vol Update'!$E$6:$Z$6,0))*(AY47-INDEX('Rate &amp; Vol Update'!$E$6:$Z$6,1,MATCH(AY47,'Rate &amp; Vol Update'!$E$6:$Z$6,1)))*(INDEX('Rate &amp; Vol Update'!$B$8:$B$127,MATCH(AT47,'Rate &amp; Vol Update'!$B$8:$B$127,1)+1)-AT47)+INDEX('Rate &amp; Vol Update'!$E$8:$Z$127,MATCH(INDEX('Rate &amp; Vol Update'!$B$8:$B$127,MATCH(AT47,'Rate &amp; Vol Update'!$B$8:$B$127,1)+1),'Rate &amp; Vol Update'!$B$8:$B$127,0),MATCH(INDEX('Rate &amp; Vol Update'!$E$6:$Z$6,1,MATCH(AY47,'Rate &amp; Vol Update'!$E$6:$Z$6,1)),'Rate &amp; Vol Update'!$E$6:$Z$6,0))*(INDEX('Rate &amp; Vol Update'!$E$6:$Z$6,1,MATCH(AY47,'Rate &amp; Vol Update'!$E$6:$Z$6,1)+1)-AY47)*(AT47-INDEX('Rate &amp; Vol Update'!$B$8:$B$127,MATCH(AT47,'Rate &amp; Vol Update'!$B$8:$B$127,1)))+INDEX('Rate &amp; Vol Update'!$E$8:$Z$127,MATCH(INDEX('Rate &amp; Vol Update'!$B$8:$B$127,MATCH(AT47,'Rate &amp; Vol Update'!$B$8:$B$127,1)+1),'Rate &amp; Vol Update'!$B$8:$B$127,0),MATCH(INDEX('Rate &amp; Vol Update'!$E$6:$Z$6,1,MATCH(AY47,'Rate &amp; Vol Update'!$E$6:$Z$6,1)+1),'Rate &amp; Vol Update'!$E$6:$Z$6,0))*(AY47-INDEX('Rate &amp; Vol Update'!$E$6:$Z$6,1,MATCH(AY47,'Rate &amp; Vol Update'!$E$6:$Z$6,1)))*(AT47-INDEX('Rate &amp; Vol Update'!$B$8:$B$127,MATCH(AT47,'Rate &amp; Vol Update'!$B$8:$B$127,1)))))*0.01%))</f>
        <v>8.5973351195092768E-3</v>
      </c>
      <c r="BB47" s="5">
        <f>IF(AS47="","",1/((1+AZ47)^((AU47-'Rate &amp; Vol Update'!$C$2)/360)))</f>
        <v>0.87896107348047703</v>
      </c>
      <c r="BD47" s="15">
        <f>IF(AS47="","",IF(AT47&lt;'Rate &amp; Vol Update'!$C$2,MAX(0,AZ47-AY47)*(AV47/360)*AX47,(((IF('Adjustment Surface'!$C$2='Data Validation'!$A$2,AZ47,IF('Adjustment Surface'!$C$2='Data Validation'!$A$3,AY47,"Unknown Option Type"))-IF('Adjustment Surface'!$C$2='Data Validation'!$A$2,AY47,IF('Adjustment Surface'!$C$2='Data Validation'!$A$3,AZ47,"Unknown Option Type")))*(NORMDIST((IF('Adjustment Surface'!$C$2='Data Validation'!$A$2,AZ47,IF('Adjustment Surface'!$C$2='Data Validation'!$A$3,AY47,"Unknown Option Type"))-IF('Adjustment Surface'!$C$2='Data Validation'!$A$2,AY47,IF('Adjustment Surface'!$C$2='Data Validation'!$A$3,AZ47,"Unknown Option Type")))/(BA47*SQRT(AW47)),0,1,TRUE)))+((BA47*SQRT(AW47))*(NORMDIST((IF('Adjustment Surface'!$C$2='Data Validation'!$A$2,AZ47,IF('Adjustment Surface'!$C$2='Data Validation'!$A$3,AY47,"Unknown Option Type"))-IF('Adjustment Surface'!$C$2='Data Validation'!$A$2,AY47,IF('Adjustment Surface'!$C$2='Data Validation'!$A$3,AZ47,"Unknown Option Type")))/(BA47*SQRT(AW47)),0,1,FALSE))))*BB47*(AV47/360)*AX47))</f>
        <v>8304.1580559402046</v>
      </c>
      <c r="BE47" s="15">
        <f>IF(AS47="","",SUM(BD$4:BD47))</f>
        <v>158102.54602584618</v>
      </c>
      <c r="BG47" s="15">
        <f>IF(AS47="","",IF(AT47&lt;'Rate &amp; Vol Update'!$C$2,0,((((((IF('Adjustment Surface'!$C$2='Data Validation'!$A$2,AZ47,IF('Adjustment Surface'!$C$2='Data Validation'!$A$3,AY47,"Unknown Option Type"))-IF('Adjustment Surface'!$C$2='Data Validation'!$A$2,AY47,IF('Adjustment Surface'!$C$2='Data Validation'!$A$3,AZ47,"Unknown Option Type")))*(NORMDIST((IF('Adjustment Surface'!$C$2='Data Validation'!$A$2,AZ47,IF('Adjustment Surface'!$C$2='Data Validation'!$A$3,AY47,"Unknown Option Type"))-IF('Adjustment Surface'!$C$2='Data Validation'!$A$2,AY47,IF('Adjustment Surface'!$C$2='Data Validation'!$A$3,AZ47,"Unknown Option Type")))/((BA47+0.01%)*SQRT(AW47)),0,1,TRUE)))+(((BA47+0.01%)*SQRT(AW47))*(NORMDIST((IF('Adjustment Surface'!$C$2='Data Validation'!$A$2,AZ47,IF('Adjustment Surface'!$C$2='Data Validation'!$A$3,AY47,"Unknown Option Type"))-IF('Adjustment Surface'!$C$2='Data Validation'!$A$2,AY47,IF('Adjustment Surface'!$C$2='Data Validation'!$A$3,AZ47,"Unknown Option Type")))/((BA47+0.01%)*SQRT(AW47)),0,1,FALSE))))*BB47*(AV47/360))-(BD47/AX47))*AX47)*BB47))</f>
        <v>119.01062770325632</v>
      </c>
      <c r="BH47" s="15">
        <f>IF(AS47="","",SUM(BG$4:BG47))</f>
        <v>3249.9421456962023</v>
      </c>
      <c r="BI47" s="15"/>
      <c r="BJ47" s="20"/>
      <c r="BK47" s="3">
        <v>44</v>
      </c>
      <c r="BL47" s="4">
        <f>IF(BM46=MAX('Adjustment Surface'!$C$14:$F$14),"",BM46)</f>
        <v>47372</v>
      </c>
      <c r="BM47" s="4">
        <f>IF(BL47="","",IF(BL47&lt;EDATE('Adjustment Surface'!$C$6,DATEDIF('Adjustment Surface'!$C$6,MAX('Adjustment Surface'!$C$14:$F$14),"M")),EDATE(BL$5,COUNT(BL$5:BL47)),IF(BL47=EDATE('Adjustment Surface'!$C$6,DATEDIF('Adjustment Surface'!$C$6,MAX('Adjustment Surface'!$C$14:$F$14),"M")),MAX('Adjustment Surface'!$C$14:$F$14),EDATE('Adjustment Surface'!$C$6,DATEDIF('Adjustment Surface'!$C$6,MAX('Adjustment Surface'!$C$14:$F$14),"M")))))</f>
        <v>47402</v>
      </c>
      <c r="BN47" s="3">
        <f t="shared" si="4"/>
        <v>30</v>
      </c>
      <c r="BO47" s="5">
        <f>IF(BK47="","",(BM47-'Rate &amp; Vol Update'!$C$2)/360)</f>
        <v>3.7166666666666668</v>
      </c>
      <c r="BP47" s="15">
        <f>IF(BK47="","",IF('Adjustment Surface'!$C$3='Data Validation'!$C$2,'Adjustment Surface'!$C$4,_xlfn.IFNA(IF(INDEX(Schedules!$E$3:$E$123,MATCH('Bachelier Model'!BL47,Schedules!$B$3:$B$123,0))="",BP46,INDEX(Schedules!$E$3:$E$123,MATCH('Bachelier Model'!BL47,Schedules!$B$3:$B$123,0))),BP46)))</f>
        <v>25000000</v>
      </c>
      <c r="BQ47" s="16">
        <f>IF(BK47="","",'Adjustment Surface'!B$17)</f>
        <v>0.05</v>
      </c>
      <c r="BR47" s="16" cm="1">
        <f t="array" ref="BR47">IF(BK47="","",FORECAST(BL47,INDEX('Rate &amp; Vol Update'!$C$6:$C$127,MATCH(INDEX('Rate &amp; Vol Update'!$B$6:$B$127,MATCH(BL47,'Rate &amp; Vol Update'!$B$6:$B$127,1)),'Rate &amp; Vol Update'!$B$6:$B$127,0)+IF('Adjustment Surface'!$C$11='Data Validation'!$E$3,-1,0)):INDEX('Rate &amp; Vol Update'!$C$6:$C$127,MATCH(INDEX('Rate &amp; Vol Update'!$B$6:$B$127,MATCH(BL47,'Rate &amp; Vol Update'!$B$6:$B$127,1)+1),'Rate &amp; Vol Update'!$B$6:$B$127,0)+IF('Adjustment Surface'!$C$11='Data Validation'!$E$3,-1,0)),INDEX('Rate &amp; Vol Update'!$B$6:$B$127,MATCH(BL47,'Rate &amp; Vol Update'!$B$6:$B$127,1)):INDEX('Rate &amp; Vol Update'!$B$6:$B$127,MATCH(BL47,'Rate &amp; Vol Update'!$B$6:$B$127,1)+1))/100)</f>
        <v>3.5321976280824063E-2</v>
      </c>
      <c r="BS47" s="16" cm="1">
        <f t="array" ref="BS47">IF(BK47="","",IF(BL47&lt;'Rate &amp; Vol Update'!$C$2,0.001%,(1/((INDEX('Rate &amp; Vol Update'!$E$6:$Z$6,1,MATCH(BQ47,'Rate &amp; Vol Update'!$E$6:$Z$6,1)+1)-INDEX('Rate &amp; Vol Update'!$E$6:$Z$6,1,MATCH(BQ47,'Rate &amp; Vol Update'!$E$6:$Z$6,1)))*(INDEX('Rate &amp; Vol Update'!$B$8:$B$127,MATCH(BL47,'Rate &amp; Vol Update'!$B$8:$B$127,1)+1)-INDEX('Rate &amp; Vol Update'!$B$8:$B$127,MATCH(BL47,'Rate &amp; Vol Update'!$B$8:$B$127,1))))*(INDEX('Rate &amp; Vol Update'!$E$8:$Z$127,MATCH(INDEX('Rate &amp; Vol Update'!$B$8:$B$127,MATCH(BL47,'Rate &amp; Vol Update'!$B$8:$B$127,1)),'Rate &amp; Vol Update'!$B$8:$B$127,0),MATCH(INDEX('Rate &amp; Vol Update'!$E$6:$Z$6,1,MATCH(BQ47,'Rate &amp; Vol Update'!$E$6:$Z$6,1)),'Rate &amp; Vol Update'!$E$6:$Z$6,0))*(INDEX('Rate &amp; Vol Update'!$E$6:$Z$6,1,MATCH(BQ47,'Rate &amp; Vol Update'!$E$6:$Z$6,1)+1)-BQ47)*(INDEX('Rate &amp; Vol Update'!$B$8:$B$127,MATCH(BL47,'Rate &amp; Vol Update'!$B$8:$B$127,1)+1)-BL47)+INDEX('Rate &amp; Vol Update'!$E$8:$Z$127,MATCH(INDEX('Rate &amp; Vol Update'!$B$8:$B$127,MATCH(BL47,'Rate &amp; Vol Update'!$B$8:$B$127,1)),'Rate &amp; Vol Update'!$B$8:$B$127,0),MATCH(INDEX('Rate &amp; Vol Update'!$E$6:$Z$6,1,MATCH(BQ47,'Rate &amp; Vol Update'!$E$6:$Z$6,1)+1),'Rate &amp; Vol Update'!$E$6:$Z$6,0))*(BQ47-INDEX('Rate &amp; Vol Update'!$E$6:$Z$6,1,MATCH(BQ47,'Rate &amp; Vol Update'!$E$6:$Z$6,1)))*(INDEX('Rate &amp; Vol Update'!$B$8:$B$127,MATCH(BL47,'Rate &amp; Vol Update'!$B$8:$B$127,1)+1)-BL47)+INDEX('Rate &amp; Vol Update'!$E$8:$Z$127,MATCH(INDEX('Rate &amp; Vol Update'!$B$8:$B$127,MATCH(BL47,'Rate &amp; Vol Update'!$B$8:$B$127,1)+1),'Rate &amp; Vol Update'!$B$8:$B$127,0),MATCH(INDEX('Rate &amp; Vol Update'!$E$6:$Z$6,1,MATCH(BQ47,'Rate &amp; Vol Update'!$E$6:$Z$6,1)),'Rate &amp; Vol Update'!$E$6:$Z$6,0))*(INDEX('Rate &amp; Vol Update'!$E$6:$Z$6,1,MATCH(BQ47,'Rate &amp; Vol Update'!$E$6:$Z$6,1)+1)-BQ47)*(BL47-INDEX('Rate &amp; Vol Update'!$B$8:$B$127,MATCH(BL47,'Rate &amp; Vol Update'!$B$8:$B$127,1)))+INDEX('Rate &amp; Vol Update'!$E$8:$Z$127,MATCH(INDEX('Rate &amp; Vol Update'!$B$8:$B$127,MATCH(BL47,'Rate &amp; Vol Update'!$B$8:$B$127,1)+1),'Rate &amp; Vol Update'!$B$8:$B$127,0),MATCH(INDEX('Rate &amp; Vol Update'!$E$6:$Z$6,1,MATCH(BQ47,'Rate &amp; Vol Update'!$E$6:$Z$6,1)+1),'Rate &amp; Vol Update'!$E$6:$Z$6,0))*(BQ47-INDEX('Rate &amp; Vol Update'!$E$6:$Z$6,1,MATCH(BQ47,'Rate &amp; Vol Update'!$E$6:$Z$6,1)))*(BL47-INDEX('Rate &amp; Vol Update'!$B$8:$B$127,MATCH(BL47,'Rate &amp; Vol Update'!$B$8:$B$127,1)))))*0.01%))</f>
        <v>9.6885198360791673E-3</v>
      </c>
      <c r="BT47" s="5">
        <f>IF(BK47="","",1/((1+BR47)^((BM47-'Rate &amp; Vol Update'!$C$2)/360)))</f>
        <v>0.87896107348047703</v>
      </c>
      <c r="BV47" s="15">
        <f>IF(BK47="","",IF(BL47&lt;'Rate &amp; Vol Update'!$C$2,MAX(0,BR47-BQ47)*(BN47/360)*BP47,(((IF('Adjustment Surface'!$C$2='Data Validation'!$A$2,BR47,IF('Adjustment Surface'!$C$2='Data Validation'!$A$3,BQ47,"Unknown Option Type"))-IF('Adjustment Surface'!$C$2='Data Validation'!$A$2,BQ47,IF('Adjustment Surface'!$C$2='Data Validation'!$A$3,BR47,"Unknown Option Type")))*(NORMDIST((IF('Adjustment Surface'!$C$2='Data Validation'!$A$2,BR47,IF('Adjustment Surface'!$C$2='Data Validation'!$A$3,BQ47,"Unknown Option Type"))-IF('Adjustment Surface'!$C$2='Data Validation'!$A$2,BQ47,IF('Adjustment Surface'!$C$2='Data Validation'!$A$3,BR47,"Unknown Option Type")))/(BS47*SQRT(BO47)),0,1,TRUE)))+((BS47*SQRT(BO47))*(NORMDIST((IF('Adjustment Surface'!$C$2='Data Validation'!$A$2,BR47,IF('Adjustment Surface'!$C$2='Data Validation'!$A$3,BQ47,"Unknown Option Type"))-IF('Adjustment Surface'!$C$2='Data Validation'!$A$2,BQ47,IF('Adjustment Surface'!$C$2='Data Validation'!$A$3,BR47,"Unknown Option Type")))/(BS47*SQRT(BO47)),0,1,FALSE))))*BT47*(BN47/360)*BP47))</f>
        <v>4215.0451231350899</v>
      </c>
      <c r="BW47" s="15">
        <f>IF(BK47="","",SUM(BV$4:BV47))</f>
        <v>64729.600526390503</v>
      </c>
      <c r="BY47" s="15">
        <f>IF(BK47="","",IF(BL47&lt;'Rate &amp; Vol Update'!$C$2,0,((((((IF('Adjustment Surface'!$C$2='Data Validation'!$A$2,BR47,IF('Adjustment Surface'!$C$2='Data Validation'!$A$3,BQ47,"Unknown Option Type"))-IF('Adjustment Surface'!$C$2='Data Validation'!$A$2,BQ47,IF('Adjustment Surface'!$C$2='Data Validation'!$A$3,BR47,"Unknown Option Type")))*(NORMDIST((IF('Adjustment Surface'!$C$2='Data Validation'!$A$2,BR47,IF('Adjustment Surface'!$C$2='Data Validation'!$A$3,BQ47,"Unknown Option Type"))-IF('Adjustment Surface'!$C$2='Data Validation'!$A$2,BQ47,IF('Adjustment Surface'!$C$2='Data Validation'!$A$3,BR47,"Unknown Option Type")))/((BS47+0.01%)*SQRT(BO47)),0,1,TRUE)))+(((BS47+0.01%)*SQRT(BO47))*(NORMDIST((IF('Adjustment Surface'!$C$2='Data Validation'!$A$2,BR47,IF('Adjustment Surface'!$C$2='Data Validation'!$A$3,BQ47,"Unknown Option Type"))-IF('Adjustment Surface'!$C$2='Data Validation'!$A$2,BQ47,IF('Adjustment Surface'!$C$2='Data Validation'!$A$3,BR47,"Unknown Option Type")))/((BS47+0.01%)*SQRT(BO47)),0,1,FALSE))))*BT47*(BN47/360))-(BV47/BP47))*BP47)*BT47))</f>
        <v>91.192259890450174</v>
      </c>
      <c r="BZ47" s="15">
        <f>IF(BK47="","",SUM(BY$4:BY47))</f>
        <v>1838.7344087214913</v>
      </c>
      <c r="CA47" s="15"/>
      <c r="CB47" s="20"/>
      <c r="CC47" s="3">
        <v>44</v>
      </c>
      <c r="CD47" s="4">
        <f>IF(CE46=MAX('Adjustment Surface'!$C$14:$F$14),"",CE46)</f>
        <v>47372</v>
      </c>
      <c r="CE47" s="4">
        <f>IF(CD47="","",IF(CD47&lt;EDATE('Adjustment Surface'!$C$6,DATEDIF('Adjustment Surface'!$C$6,MAX('Adjustment Surface'!$C$14:$F$14),"M")),EDATE(CD$5,COUNT(CD$5:CD47)),IF(CD47=EDATE('Adjustment Surface'!$C$6,DATEDIF('Adjustment Surface'!$C$6,MAX('Adjustment Surface'!$C$14:$F$14),"M")),MAX('Adjustment Surface'!$C$14:$F$14),EDATE('Adjustment Surface'!$C$6,DATEDIF('Adjustment Surface'!$C$6,MAX('Adjustment Surface'!$C$14:$F$14),"M")))))</f>
        <v>47402</v>
      </c>
      <c r="CF47" s="3">
        <f t="shared" si="5"/>
        <v>30</v>
      </c>
      <c r="CG47" s="5">
        <f>IF(CC47="","",(CE47-'Rate &amp; Vol Update'!$C$2)/360)</f>
        <v>3.7166666666666668</v>
      </c>
      <c r="CH47" s="15">
        <f>IF(CC47="","",IF('Adjustment Surface'!$C$3='Data Validation'!$C$2,'Adjustment Surface'!$C$4,_xlfn.IFNA(IF(INDEX(Schedules!$E$3:$E$123,MATCH('Bachelier Model'!CD47,Schedules!$B$3:$B$123,0))="",CH46,INDEX(Schedules!$E$3:$E$123,MATCH('Bachelier Model'!CD47,Schedules!$B$3:$B$123,0))),CH46)))</f>
        <v>25000000</v>
      </c>
      <c r="CI47" s="16">
        <f>IF(CC47="","",'Adjustment Surface'!B$18)</f>
        <v>0.06</v>
      </c>
      <c r="CJ47" s="16" cm="1">
        <f t="array" ref="CJ47">IF(CC47="","",FORECAST(CD47,INDEX('Rate &amp; Vol Update'!$C$6:$C$127,MATCH(INDEX('Rate &amp; Vol Update'!$B$6:$B$127,MATCH(CD47,'Rate &amp; Vol Update'!$B$6:$B$127,1)),'Rate &amp; Vol Update'!$B$6:$B$127,0)+IF('Adjustment Surface'!$C$11='Data Validation'!$E$3,-1,0)):INDEX('Rate &amp; Vol Update'!$C$6:$C$127,MATCH(INDEX('Rate &amp; Vol Update'!$B$6:$B$127,MATCH(CD47,'Rate &amp; Vol Update'!$B$6:$B$127,1)+1),'Rate &amp; Vol Update'!$B$6:$B$127,0)+IF('Adjustment Surface'!$C$11='Data Validation'!$E$3,-1,0)),INDEX('Rate &amp; Vol Update'!$B$6:$B$127,MATCH(CD47,'Rate &amp; Vol Update'!$B$6:$B$127,1)):INDEX('Rate &amp; Vol Update'!$B$6:$B$127,MATCH(CD47,'Rate &amp; Vol Update'!$B$6:$B$127,1)+1))/100)</f>
        <v>3.5321976280824063E-2</v>
      </c>
      <c r="CK47" s="16" cm="1">
        <f t="array" ref="CK47">IF(CC47="","",IF(CD47&lt;'Rate &amp; Vol Update'!$C$2,0.001%,(1/((INDEX('Rate &amp; Vol Update'!$E$6:$Z$6,1,MATCH(CI47,'Rate &amp; Vol Update'!$E$6:$Z$6,1)+1)-INDEX('Rate &amp; Vol Update'!$E$6:$Z$6,1,MATCH(CI47,'Rate &amp; Vol Update'!$E$6:$Z$6,1)))*(INDEX('Rate &amp; Vol Update'!$B$8:$B$127,MATCH(CD47,'Rate &amp; Vol Update'!$B$8:$B$127,1)+1)-INDEX('Rate &amp; Vol Update'!$B$8:$B$127,MATCH(CD47,'Rate &amp; Vol Update'!$B$8:$B$127,1))))*(INDEX('Rate &amp; Vol Update'!$E$8:$Z$127,MATCH(INDEX('Rate &amp; Vol Update'!$B$8:$B$127,MATCH(CD47,'Rate &amp; Vol Update'!$B$8:$B$127,1)),'Rate &amp; Vol Update'!$B$8:$B$127,0),MATCH(INDEX('Rate &amp; Vol Update'!$E$6:$Z$6,1,MATCH(CI47,'Rate &amp; Vol Update'!$E$6:$Z$6,1)),'Rate &amp; Vol Update'!$E$6:$Z$6,0))*(INDEX('Rate &amp; Vol Update'!$E$6:$Z$6,1,MATCH(CI47,'Rate &amp; Vol Update'!$E$6:$Z$6,1)+1)-CI47)*(INDEX('Rate &amp; Vol Update'!$B$8:$B$127,MATCH(CD47,'Rate &amp; Vol Update'!$B$8:$B$127,1)+1)-CD47)+INDEX('Rate &amp; Vol Update'!$E$8:$Z$127,MATCH(INDEX('Rate &amp; Vol Update'!$B$8:$B$127,MATCH(CD47,'Rate &amp; Vol Update'!$B$8:$B$127,1)),'Rate &amp; Vol Update'!$B$8:$B$127,0),MATCH(INDEX('Rate &amp; Vol Update'!$E$6:$Z$6,1,MATCH(CI47,'Rate &amp; Vol Update'!$E$6:$Z$6,1)+1),'Rate &amp; Vol Update'!$E$6:$Z$6,0))*(CI47-INDEX('Rate &amp; Vol Update'!$E$6:$Z$6,1,MATCH(CI47,'Rate &amp; Vol Update'!$E$6:$Z$6,1)))*(INDEX('Rate &amp; Vol Update'!$B$8:$B$127,MATCH(CD47,'Rate &amp; Vol Update'!$B$8:$B$127,1)+1)-CD47)+INDEX('Rate &amp; Vol Update'!$E$8:$Z$127,MATCH(INDEX('Rate &amp; Vol Update'!$B$8:$B$127,MATCH(CD47,'Rate &amp; Vol Update'!$B$8:$B$127,1)+1),'Rate &amp; Vol Update'!$B$8:$B$127,0),MATCH(INDEX('Rate &amp; Vol Update'!$E$6:$Z$6,1,MATCH(CI47,'Rate &amp; Vol Update'!$E$6:$Z$6,1)),'Rate &amp; Vol Update'!$E$6:$Z$6,0))*(INDEX('Rate &amp; Vol Update'!$E$6:$Z$6,1,MATCH(CI47,'Rate &amp; Vol Update'!$E$6:$Z$6,1)+1)-CI47)*(CD47-INDEX('Rate &amp; Vol Update'!$B$8:$B$127,MATCH(CD47,'Rate &amp; Vol Update'!$B$8:$B$127,1)))+INDEX('Rate &amp; Vol Update'!$E$8:$Z$127,MATCH(INDEX('Rate &amp; Vol Update'!$B$8:$B$127,MATCH(CD47,'Rate &amp; Vol Update'!$B$8:$B$127,1)+1),'Rate &amp; Vol Update'!$B$8:$B$127,0),MATCH(INDEX('Rate &amp; Vol Update'!$E$6:$Z$6,1,MATCH(CI47,'Rate &amp; Vol Update'!$E$6:$Z$6,1)+1),'Rate &amp; Vol Update'!$E$6:$Z$6,0))*(CI47-INDEX('Rate &amp; Vol Update'!$E$6:$Z$6,1,MATCH(CI47,'Rate &amp; Vol Update'!$E$6:$Z$6,1)))*(CD47-INDEX('Rate &amp; Vol Update'!$B$8:$B$127,MATCH(CD47,'Rate &amp; Vol Update'!$B$8:$B$127,1)))))*0.01%))</f>
        <v>1.1054305787101501E-2</v>
      </c>
      <c r="CL47" s="5">
        <f>IF(CC47="","",1/((1+CJ47)^((CE47-'Rate &amp; Vol Update'!$C$2)/360)))</f>
        <v>0.87896107348047703</v>
      </c>
      <c r="CN47" s="15">
        <f>IF(CC47="","",IF(CD47&lt;'Rate &amp; Vol Update'!$C$2,MAX(0,CJ47-CI47)*(CF47/360)*CH47,(((IF('Adjustment Surface'!$C$2='Data Validation'!$A$2,CJ47,IF('Adjustment Surface'!$C$2='Data Validation'!$A$3,CI47,"Unknown Option Type"))-IF('Adjustment Surface'!$C$2='Data Validation'!$A$2,CI47,IF('Adjustment Surface'!$C$2='Data Validation'!$A$3,CJ47,"Unknown Option Type")))*(NORMDIST((IF('Adjustment Surface'!$C$2='Data Validation'!$A$2,CJ47,IF('Adjustment Surface'!$C$2='Data Validation'!$A$3,CI47,"Unknown Option Type"))-IF('Adjustment Surface'!$C$2='Data Validation'!$A$2,CI47,IF('Adjustment Surface'!$C$2='Data Validation'!$A$3,CJ47,"Unknown Option Type")))/(CK47*SQRT(CG47)),0,1,TRUE)))+((CK47*SQRT(CG47))*(NORMDIST((IF('Adjustment Surface'!$C$2='Data Validation'!$A$2,CJ47,IF('Adjustment Surface'!$C$2='Data Validation'!$A$3,CI47,"Unknown Option Type"))-IF('Adjustment Surface'!$C$2='Data Validation'!$A$2,CI47,IF('Adjustment Surface'!$C$2='Data Validation'!$A$3,CJ47,"Unknown Option Type")))/(CK47*SQRT(CG47)),0,1,FALSE))))*CL47*(CF47/360)*CH47))</f>
        <v>2384.8484904627012</v>
      </c>
      <c r="CO47" s="15">
        <f>IF(CC47="","",SUM(CN$4:CN47))</f>
        <v>33241.808416872562</v>
      </c>
      <c r="CQ47" s="15">
        <f>IF(CC47="","",IF(CD47&lt;'Rate &amp; Vol Update'!$C$2,0,((((((IF('Adjustment Surface'!$C$2='Data Validation'!$A$2,CJ47,IF('Adjustment Surface'!$C$2='Data Validation'!$A$3,CI47,"Unknown Option Type"))-IF('Adjustment Surface'!$C$2='Data Validation'!$A$2,CI47,IF('Adjustment Surface'!$C$2='Data Validation'!$A$3,CJ47,"Unknown Option Type")))*(NORMDIST((IF('Adjustment Surface'!$C$2='Data Validation'!$A$2,CJ47,IF('Adjustment Surface'!$C$2='Data Validation'!$A$3,CI47,"Unknown Option Type"))-IF('Adjustment Surface'!$C$2='Data Validation'!$A$2,CI47,IF('Adjustment Surface'!$C$2='Data Validation'!$A$3,CJ47,"Unknown Option Type")))/((CK47+0.01%)*SQRT(CG47)),0,1,TRUE)))+(((CK47+0.01%)*SQRT(CG47))*(NORMDIST((IF('Adjustment Surface'!$C$2='Data Validation'!$A$2,CJ47,IF('Adjustment Surface'!$C$2='Data Validation'!$A$3,CI47,"Unknown Option Type"))-IF('Adjustment Surface'!$C$2='Data Validation'!$A$2,CI47,IF('Adjustment Surface'!$C$2='Data Validation'!$A$3,CJ47,"Unknown Option Type")))/((CK47+0.01%)*SQRT(CG47)),0,1,FALSE))))*CL47*(CF47/360))-(CN47/CH47))*CH47)*CL47))</f>
        <v>63.697149345229654</v>
      </c>
      <c r="CR47" s="15">
        <f>IF(CC47="","",SUM(CQ$4:CQ47))</f>
        <v>1106.2223199952123</v>
      </c>
    </row>
    <row r="48" spans="7:96" x14ac:dyDescent="0.25">
      <c r="G48" s="28"/>
      <c r="J48" s="4" t="str">
        <f>IF(K47='Adjustment Surface'!C$8,"",K47)</f>
        <v/>
      </c>
      <c r="K48" s="4" t="str">
        <f>IF(J48="","",IF(J48&lt;'Adjustment Surface'!C$7,EDATE(J$5,COUNT(J$5:J48)),IF(J48='Adjustment Surface'!C$7,'Adjustment Surface'!C$8,'Adjustment Surface'!C$7)))</f>
        <v/>
      </c>
      <c r="L48" s="3" t="str">
        <f t="shared" si="1"/>
        <v/>
      </c>
      <c r="M48" s="5" t="str">
        <f>IF(I48="","",(K48-'Rate &amp; Vol Update'!$C$2)/360)</f>
        <v/>
      </c>
      <c r="N48" s="15" t="str">
        <f>IF(I48="","",IF('Adjustment Surface'!C$3='Data Validation'!$C$2,'Adjustment Surface'!C$4,IF(INDEX(Schedules!$E$3:$E$123,MATCH('Bachelier Model'!J48,Schedules!$B$3:$B$123,0))="",N47,INDEX(Schedules!$E$3:$E$123,MATCH('Bachelier Model'!J48,Schedules!$B$3:$B$123,0)))))</f>
        <v/>
      </c>
      <c r="O48" s="16" t="str">
        <f>IF(I48="","",IF('Adjustment Surface'!C$9='Data Validation'!$D$2,'Adjustment Surface'!C$10,IF(INDEX(Schedules!$H$3:$H$123,MATCH('Bachelier Model'!J48,Schedules!$B$3:$B$123,0))="",O47,INDEX(Schedules!$H$3:$H$123,MATCH('Bachelier Model'!J48,Schedules!$B$3:$B$123,0)))))</f>
        <v/>
      </c>
      <c r="P48" s="16" t="str" cm="1">
        <f t="array" ref="P48">IF(I48="","",FORECAST(J48,INDEX('Rate &amp; Vol Update'!$C$6:$C$127,MATCH(INDEX('Rate &amp; Vol Update'!$B$6:$B$127,MATCH(J48,'Rate &amp; Vol Update'!$B$6:$B$127,1)),'Rate &amp; Vol Update'!$B$6:$B$127,0)+IF('Adjustment Surface'!C$11='Data Validation'!$E$3,-1,0)):INDEX('Rate &amp; Vol Update'!$C$6:$C$127,MATCH(INDEX('Rate &amp; Vol Update'!$B$6:$B$127,MATCH(J48,'Rate &amp; Vol Update'!$B$6:$B$127,1)+1),'Rate &amp; Vol Update'!$B$6:$B$127,0)+IF('Adjustment Surface'!C$11='Data Validation'!$E$3,-1,0)),INDEX('Rate &amp; Vol Update'!$B$6:$B$127,MATCH(J48,'Rate &amp; Vol Update'!$B$6:$B$127,1)):INDEX('Rate &amp; Vol Update'!$B$6:$B$127,MATCH(J48,'Rate &amp; Vol Update'!$B$6:$B$127,1)+1))/100)</f>
        <v/>
      </c>
      <c r="Q48" s="16" t="str" cm="1">
        <f t="array" ref="Q48">IF(I48="","",IF(J48&lt;'Rate &amp; Vol Update'!$C$2,0.001%,(1/((INDEX('Rate &amp; Vol Update'!$E$6:$Z$6,1,MATCH(O48,'Rate &amp; Vol Update'!$E$6:$Z$6,1)+1)-INDEX('Rate &amp; Vol Update'!$E$6:$Z$6,1,MATCH(O48,'Rate &amp; Vol Update'!$E$6:$Z$6,1)))*(INDEX('Rate &amp; Vol Update'!$B$8:$B$127,MATCH(J48,'Rate &amp; Vol Update'!$B$8:$B$127,1)+1)-INDEX('Rate &amp; Vol Update'!$B$8:$B$127,MATCH(J48,'Rate &amp; Vol Update'!$B$8:$B$127,1))))*(INDEX('Rate &amp; Vol Update'!$E$8:$Z$127,MATCH(INDEX('Rate &amp; Vol Update'!$B$8:$B$127,MATCH(J48,'Rate &amp; Vol Update'!$B$8:$B$127,1)),'Rate &amp; Vol Update'!$B$8:$B$127,0),MATCH(INDEX('Rate &amp; Vol Update'!$E$6:$Z$6,1,MATCH(O48,'Rate &amp; Vol Update'!$E$6:$Z$6,1)),'Rate &amp; Vol Update'!$E$6:$Z$6,0))*(INDEX('Rate &amp; Vol Update'!$E$6:$Z$6,1,MATCH(O48,'Rate &amp; Vol Update'!$E$6:$Z$6,1)+1)-O48)*(INDEX('Rate &amp; Vol Update'!$B$8:$B$127,MATCH(J48,'Rate &amp; Vol Update'!$B$8:$B$127,1)+1)-J48)+INDEX('Rate &amp; Vol Update'!$E$8:$Z$127,MATCH(INDEX('Rate &amp; Vol Update'!$B$8:$B$127,MATCH(J48,'Rate &amp; Vol Update'!$B$8:$B$127,1)),'Rate &amp; Vol Update'!$B$8:$B$127,0),MATCH(INDEX('Rate &amp; Vol Update'!$E$6:$Z$6,1,MATCH(O48,'Rate &amp; Vol Update'!$E$6:$Z$6,1)+1),'Rate &amp; Vol Update'!$E$6:$Z$6,0))*(O48-INDEX('Rate &amp; Vol Update'!$E$6:$Z$6,1,MATCH(O48,'Rate &amp; Vol Update'!$E$6:$Z$6,1)))*(INDEX('Rate &amp; Vol Update'!$B$8:$B$127,MATCH(J48,'Rate &amp; Vol Update'!$B$8:$B$127,1)+1)-J48)+INDEX('Rate &amp; Vol Update'!$E$8:$Z$127,MATCH(INDEX('Rate &amp; Vol Update'!$B$8:$B$127,MATCH(J48,'Rate &amp; Vol Update'!$B$8:$B$127,1)+1),'Rate &amp; Vol Update'!$B$8:$B$127,0),MATCH(INDEX('Rate &amp; Vol Update'!$E$6:$Z$6,1,MATCH(O48,'Rate &amp; Vol Update'!$E$6:$Z$6,1)),'Rate &amp; Vol Update'!$E$6:$Z$6,0))*(INDEX('Rate &amp; Vol Update'!$E$6:$Z$6,1,MATCH(O48,'Rate &amp; Vol Update'!$E$6:$Z$6,1)+1)-O48)*(J48-INDEX('Rate &amp; Vol Update'!$B$8:$B$127,MATCH(J48,'Rate &amp; Vol Update'!$B$8:$B$127,1)))+INDEX('Rate &amp; Vol Update'!$E$8:$Z$127,MATCH(INDEX('Rate &amp; Vol Update'!$B$8:$B$127,MATCH(J48,'Rate &amp; Vol Update'!$B$8:$B$127,1)+1),'Rate &amp; Vol Update'!$B$8:$B$127,0),MATCH(INDEX('Rate &amp; Vol Update'!$E$6:$Z$6,1,MATCH(O48,'Rate &amp; Vol Update'!$E$6:$Z$6,1)+1),'Rate &amp; Vol Update'!$E$6:$Z$6,0))*(O48-INDEX('Rate &amp; Vol Update'!$E$6:$Z$6,1,MATCH(O48,'Rate &amp; Vol Update'!$E$6:$Z$6,1)))*(J48-INDEX('Rate &amp; Vol Update'!$B$8:$B$127,MATCH(J48,'Rate &amp; Vol Update'!$B$8:$B$127,1)))))*0.01%))</f>
        <v/>
      </c>
      <c r="R48" s="5" t="str">
        <f>IF(I48="","",1/((1+P48)^((K48-'Rate &amp; Vol Update'!$C$2)/360)))</f>
        <v/>
      </c>
      <c r="T48" s="15" t="str">
        <f>IF(I48="","",IF(J48&lt;'Rate &amp; Vol Update'!$C$2,MAX(0,P48-O48)*(L48/360)*N48,(((IF('Adjustment Surface'!C$2='Data Validation'!$A$2,P48,IF('Adjustment Surface'!C$2='Data Validation'!$A$3,O48,"Unknown Option Type"))-IF('Adjustment Surface'!C$2='Data Validation'!$A$2,O48,IF('Adjustment Surface'!C$2='Data Validation'!$A$3,P48,"Unknown Option Type")))*(NORMDIST((IF('Adjustment Surface'!C$2='Data Validation'!$A$2,P48,IF('Adjustment Surface'!C$2='Data Validation'!$A$3,O48,"Unknown Option Type"))-IF('Adjustment Surface'!C$2='Data Validation'!$A$2,O48,IF('Adjustment Surface'!C$2='Data Validation'!$A$3,P48,"Unknown Option Type")))/(Q48*SQRT(M48)),0,1,TRUE)))+((Q48*SQRT(M48))*(NORMDIST((IF('Adjustment Surface'!C$2='Data Validation'!$A$2,P48,IF('Adjustment Surface'!C$2='Data Validation'!$A$3,O48,"Unknown Option Type"))-IF('Adjustment Surface'!C$2='Data Validation'!$A$2,O48,IF('Adjustment Surface'!C$2='Data Validation'!$A$3,P48,"Unknown Option Type")))/(Q48*SQRT(M48)),0,1,FALSE))))*R48*(L48/360)*N48))</f>
        <v/>
      </c>
      <c r="U48" s="15" t="str">
        <f>IF(I48="","",SUM(T$4:T48))</f>
        <v/>
      </c>
      <c r="W48" s="15" t="str">
        <f>IF(I48="","",IF(J48&lt;'Rate &amp; Vol Update'!$C$2,0,((((((IF('Adjustment Surface'!C$2='Data Validation'!$A$2,P48,IF('Adjustment Surface'!C$2='Data Validation'!$A$3,O48,"Unknown Option Type"))-IF('Adjustment Surface'!C$2='Data Validation'!$A$2,O48,IF('Adjustment Surface'!C$2='Data Validation'!$A$3,P48,"Unknown Option Type")))*(NORMDIST((IF('Adjustment Surface'!C$2='Data Validation'!$A$2,P48,IF('Adjustment Surface'!C$2='Data Validation'!$A$3,O48,"Unknown Option Type"))-IF('Adjustment Surface'!C$2='Data Validation'!$A$2,O48,IF('Adjustment Surface'!C$2='Data Validation'!$A$3,P48,"Unknown Option Type")))/((Q48+0.01%)*SQRT(M48)),0,1,TRUE)))+(((Q48+0.01%)*SQRT(M48))*(NORMDIST((IF('Adjustment Surface'!C$2='Data Validation'!$A$2,P48,IF('Adjustment Surface'!C$2='Data Validation'!$A$3,O48,"Unknown Option Type"))-IF('Adjustment Surface'!C$2='Data Validation'!$A$2,O48,IF('Adjustment Surface'!C$2='Data Validation'!$A$3,P48,"Unknown Option Type")))/((Q48+0.01%)*SQRT(M48)),0,1,FALSE))))*R48*(L48/360))-(T48/N48))*N48)*R48))</f>
        <v/>
      </c>
      <c r="X48" s="15" t="str">
        <f>IF(I48="","",SUM(W$4:W48))</f>
        <v/>
      </c>
      <c r="Y48" s="15"/>
      <c r="Z48" s="20"/>
      <c r="AA48" s="3">
        <v>45</v>
      </c>
      <c r="AB48" s="4">
        <f>IF(AC47=MAX('Adjustment Surface'!$C$14:$F$14),"",AC47)</f>
        <v>47402</v>
      </c>
      <c r="AC48" s="4">
        <f>IF(AB48="","",IF(AB48&lt;EDATE('Adjustment Surface'!$C$6,DATEDIF('Adjustment Surface'!$C$6,MAX('Adjustment Surface'!$C$14:$F$14),"M")),EDATE(AB$5,COUNT(AB$5:AB48)),IF(AB48=EDATE('Adjustment Surface'!$C$6,DATEDIF('Adjustment Surface'!$C$6,MAX('Adjustment Surface'!$C$14:$F$14),"M")),MAX('Adjustment Surface'!$C$14:$F$14),EDATE('Adjustment Surface'!$C$6,DATEDIF('Adjustment Surface'!$C$6,MAX('Adjustment Surface'!$C$14:$F$14),"M")))))</f>
        <v>47433</v>
      </c>
      <c r="AD48" s="3">
        <f t="shared" si="2"/>
        <v>31</v>
      </c>
      <c r="AE48" s="5">
        <f>IF(AA48="","",(AC48-'Rate &amp; Vol Update'!$C$2)/360)</f>
        <v>3.8027777777777776</v>
      </c>
      <c r="AF48" s="15">
        <f>IF(AA48="","",IF('Adjustment Surface'!$C$3='Data Validation'!$C$2,'Adjustment Surface'!$C$4,_xlfn.IFNA(IF(INDEX(Schedules!$E$3:$E$123,MATCH('Bachelier Model'!AB48,Schedules!$B$3:$B$123,0))="",AF47,INDEX(Schedules!$E$3:$E$123,MATCH('Bachelier Model'!AB48,Schedules!$B$3:$B$123,0))),AF47)))</f>
        <v>25000000</v>
      </c>
      <c r="AG48" s="16">
        <f>IF(AA48="","",'Adjustment Surface'!B$15)</f>
        <v>0.03</v>
      </c>
      <c r="AH48" s="16" cm="1">
        <f t="array" ref="AH48">IF(AA48="","",FORECAST(AB48,INDEX('Rate &amp; Vol Update'!$C$6:$C$127,MATCH(INDEX('Rate &amp; Vol Update'!$B$6:$B$127,MATCH(AB48,'Rate &amp; Vol Update'!$B$6:$B$127,1)),'Rate &amp; Vol Update'!$B$6:$B$127,0)+IF('Adjustment Surface'!$C$11='Data Validation'!$E$3,-1,0)):INDEX('Rate &amp; Vol Update'!$C$6:$C$127,MATCH(INDEX('Rate &amp; Vol Update'!$B$6:$B$127,MATCH(AB48,'Rate &amp; Vol Update'!$B$6:$B$127,1)+1),'Rate &amp; Vol Update'!$B$6:$B$127,0)+IF('Adjustment Surface'!$C$11='Data Validation'!$E$3,-1,0)),INDEX('Rate &amp; Vol Update'!$B$6:$B$127,MATCH(AB48,'Rate &amp; Vol Update'!$B$6:$B$127,1)):INDEX('Rate &amp; Vol Update'!$B$6:$B$127,MATCH(AB48,'Rate &amp; Vol Update'!$B$6:$B$127,1)+1))/100)</f>
        <v>3.5320245311940918E-2</v>
      </c>
      <c r="AI48" s="16" cm="1">
        <f t="array" ref="AI48">IF(AA48="","",IF(AB48&lt;'Rate &amp; Vol Update'!$C$2,0.001%,(1/((INDEX('Rate &amp; Vol Update'!$E$6:$Z$6,1,MATCH(AG48,'Rate &amp; Vol Update'!$E$6:$Z$6,1)+1)-INDEX('Rate &amp; Vol Update'!$E$6:$Z$6,1,MATCH(AG48,'Rate &amp; Vol Update'!$E$6:$Z$6,1)))*(INDEX('Rate &amp; Vol Update'!$B$8:$B$127,MATCH(AB48,'Rate &amp; Vol Update'!$B$8:$B$127,1)+1)-INDEX('Rate &amp; Vol Update'!$B$8:$B$127,MATCH(AB48,'Rate &amp; Vol Update'!$B$8:$B$127,1))))*(INDEX('Rate &amp; Vol Update'!$E$8:$Z$127,MATCH(INDEX('Rate &amp; Vol Update'!$B$8:$B$127,MATCH(AB48,'Rate &amp; Vol Update'!$B$8:$B$127,1)),'Rate &amp; Vol Update'!$B$8:$B$127,0),MATCH(INDEX('Rate &amp; Vol Update'!$E$6:$Z$6,1,MATCH(AG48,'Rate &amp; Vol Update'!$E$6:$Z$6,1)),'Rate &amp; Vol Update'!$E$6:$Z$6,0))*(INDEX('Rate &amp; Vol Update'!$E$6:$Z$6,1,MATCH(AG48,'Rate &amp; Vol Update'!$E$6:$Z$6,1)+1)-AG48)*(INDEX('Rate &amp; Vol Update'!$B$8:$B$127,MATCH(AB48,'Rate &amp; Vol Update'!$B$8:$B$127,1)+1)-AB48)+INDEX('Rate &amp; Vol Update'!$E$8:$Z$127,MATCH(INDEX('Rate &amp; Vol Update'!$B$8:$B$127,MATCH(AB48,'Rate &amp; Vol Update'!$B$8:$B$127,1)),'Rate &amp; Vol Update'!$B$8:$B$127,0),MATCH(INDEX('Rate &amp; Vol Update'!$E$6:$Z$6,1,MATCH(AG48,'Rate &amp; Vol Update'!$E$6:$Z$6,1)+1),'Rate &amp; Vol Update'!$E$6:$Z$6,0))*(AG48-INDEX('Rate &amp; Vol Update'!$E$6:$Z$6,1,MATCH(AG48,'Rate &amp; Vol Update'!$E$6:$Z$6,1)))*(INDEX('Rate &amp; Vol Update'!$B$8:$B$127,MATCH(AB48,'Rate &amp; Vol Update'!$B$8:$B$127,1)+1)-AB48)+INDEX('Rate &amp; Vol Update'!$E$8:$Z$127,MATCH(INDEX('Rate &amp; Vol Update'!$B$8:$B$127,MATCH(AB48,'Rate &amp; Vol Update'!$B$8:$B$127,1)+1),'Rate &amp; Vol Update'!$B$8:$B$127,0),MATCH(INDEX('Rate &amp; Vol Update'!$E$6:$Z$6,1,MATCH(AG48,'Rate &amp; Vol Update'!$E$6:$Z$6,1)),'Rate &amp; Vol Update'!$E$6:$Z$6,0))*(INDEX('Rate &amp; Vol Update'!$E$6:$Z$6,1,MATCH(AG48,'Rate &amp; Vol Update'!$E$6:$Z$6,1)+1)-AG48)*(AB48-INDEX('Rate &amp; Vol Update'!$B$8:$B$127,MATCH(AB48,'Rate &amp; Vol Update'!$B$8:$B$127,1)))+INDEX('Rate &amp; Vol Update'!$E$8:$Z$127,MATCH(INDEX('Rate &amp; Vol Update'!$B$8:$B$127,MATCH(AB48,'Rate &amp; Vol Update'!$B$8:$B$127,1)+1),'Rate &amp; Vol Update'!$B$8:$B$127,0),MATCH(INDEX('Rate &amp; Vol Update'!$E$6:$Z$6,1,MATCH(AG48,'Rate &amp; Vol Update'!$E$6:$Z$6,1)+1),'Rate &amp; Vol Update'!$E$6:$Z$6,0))*(AG48-INDEX('Rate &amp; Vol Update'!$E$6:$Z$6,1,MATCH(AG48,'Rate &amp; Vol Update'!$E$6:$Z$6,1)))*(AB48-INDEX('Rate &amp; Vol Update'!$B$8:$B$127,MATCH(AB48,'Rate &amp; Vol Update'!$B$8:$B$127,1)))))*0.01%))</f>
        <v>8.1289993874319351E-3</v>
      </c>
      <c r="AJ48" s="5">
        <f>IF(AA48="","",1/((1+AH48)^((AC48-'Rate &amp; Vol Update'!$C$2)/360)))</f>
        <v>0.87634323989617369</v>
      </c>
      <c r="AL48" s="15">
        <f>IF(AA48="","",IF(AB48&lt;'Rate &amp; Vol Update'!$C$2,MAX(0,AH48-AG48)*(AD48/360)*AF48,(((IF('Adjustment Surface'!$C$2='Data Validation'!$A$2,AH48,IF('Adjustment Surface'!$C$2='Data Validation'!$A$3,AG48,"Unknown Option Type"))-IF('Adjustment Surface'!$C$2='Data Validation'!$A$2,AG48,IF('Adjustment Surface'!$C$2='Data Validation'!$A$3,AH48,"Unknown Option Type")))*(NORMDIST((IF('Adjustment Surface'!$C$2='Data Validation'!$A$2,AH48,IF('Adjustment Surface'!$C$2='Data Validation'!$A$3,AG48,"Unknown Option Type"))-IF('Adjustment Surface'!$C$2='Data Validation'!$A$2,AG48,IF('Adjustment Surface'!$C$2='Data Validation'!$A$3,AH48,"Unknown Option Type")))/(AI48*SQRT(AE48)),0,1,TRUE)))+((AI48*SQRT(AE48))*(NORMDIST((IF('Adjustment Surface'!$C$2='Data Validation'!$A$2,AH48,IF('Adjustment Surface'!$C$2='Data Validation'!$A$3,AG48,"Unknown Option Type"))-IF('Adjustment Surface'!$C$2='Data Validation'!$A$2,AG48,IF('Adjustment Surface'!$C$2='Data Validation'!$A$3,AH48,"Unknown Option Type")))/(AI48*SQRT(AE48)),0,1,FALSE))))*AJ48*(AD48/360)*AF48))</f>
        <v>17615.056237712797</v>
      </c>
      <c r="AM48" s="15">
        <f>IF(AA48="","",SUM(AL$4:AL48))</f>
        <v>563095.40028672805</v>
      </c>
      <c r="AO48" s="15">
        <f>IF(AA48="","",IF(AB48&lt;'Rate &amp; Vol Update'!$C$2,0,((((((IF('Adjustment Surface'!$C$2='Data Validation'!$A$2,AH48,IF('Adjustment Surface'!$C$2='Data Validation'!$A$3,AG48,"Unknown Option Type"))-IF('Adjustment Surface'!$C$2='Data Validation'!$A$2,AG48,IF('Adjustment Surface'!$C$2='Data Validation'!$A$3,AH48,"Unknown Option Type")))*(NORMDIST((IF('Adjustment Surface'!$C$2='Data Validation'!$A$2,AH48,IF('Adjustment Surface'!$C$2='Data Validation'!$A$3,AG48,"Unknown Option Type"))-IF('Adjustment Surface'!$C$2='Data Validation'!$A$2,AG48,IF('Adjustment Surface'!$C$2='Data Validation'!$A$3,AH48,"Unknown Option Type")))/((AI48+0.01%)*SQRT(AE48)),0,1,TRUE)))+(((AI48+0.01%)*SQRT(AE48))*(NORMDIST((IF('Adjustment Surface'!$C$2='Data Validation'!$A$2,AH48,IF('Adjustment Surface'!$C$2='Data Validation'!$A$3,AG48,"Unknown Option Type"))-IF('Adjustment Surface'!$C$2='Data Validation'!$A$2,AG48,IF('Adjustment Surface'!$C$2='Data Validation'!$A$3,AH48,"Unknown Option Type")))/((AI48+0.01%)*SQRT(AE48)),0,1,FALSE))))*AJ48*(AD48/360))-(AL48/AF48))*AF48)*AJ48))</f>
        <v>121.6595691532647</v>
      </c>
      <c r="AP48" s="15">
        <f>IF(AA48="","",SUM(AO$4:AO48))</f>
        <v>3967.7727634356493</v>
      </c>
      <c r="AQ48" s="15"/>
      <c r="AR48" s="20"/>
      <c r="AS48" s="3">
        <v>45</v>
      </c>
      <c r="AT48" s="4">
        <f>IF(AU47=MAX('Adjustment Surface'!$C$14:$F$14),"",AU47)</f>
        <v>47402</v>
      </c>
      <c r="AU48" s="4">
        <f>IF(AT48="","",IF(AT48&lt;EDATE('Adjustment Surface'!$C$6,DATEDIF('Adjustment Surface'!$C$6,MAX('Adjustment Surface'!$C$14:$F$14),"M")),EDATE(AT$5,COUNT(AT$5:AT48)),IF(AT48=EDATE('Adjustment Surface'!$C$6,DATEDIF('Adjustment Surface'!$C$6,MAX('Adjustment Surface'!$C$14:$F$14),"M")),MAX('Adjustment Surface'!$C$14:$F$14),EDATE('Adjustment Surface'!$C$6,DATEDIF('Adjustment Surface'!$C$6,MAX('Adjustment Surface'!$C$14:$F$14),"M")))))</f>
        <v>47433</v>
      </c>
      <c r="AV48" s="3">
        <f t="shared" si="3"/>
        <v>31</v>
      </c>
      <c r="AW48" s="5">
        <f>IF(AS48="","",(AU48-'Rate &amp; Vol Update'!$C$2)/360)</f>
        <v>3.8027777777777776</v>
      </c>
      <c r="AX48" s="15">
        <f>IF(AS48="","",IF('Adjustment Surface'!$C$3='Data Validation'!$C$2,'Adjustment Surface'!$C$4,_xlfn.IFNA(IF(INDEX(Schedules!$E$3:$E$123,MATCH('Bachelier Model'!AT48,Schedules!$B$3:$B$123,0))="",AX47,INDEX(Schedules!$E$3:$E$123,MATCH('Bachelier Model'!AT48,Schedules!$B$3:$B$123,0))),AX47)))</f>
        <v>25000000</v>
      </c>
      <c r="AY48" s="16">
        <f>IF(AS48="","",'Adjustment Surface'!B$16)</f>
        <v>0.04</v>
      </c>
      <c r="AZ48" s="16" cm="1">
        <f t="array" ref="AZ48">IF(AS48="","",FORECAST(AT48,INDEX('Rate &amp; Vol Update'!$C$6:$C$127,MATCH(INDEX('Rate &amp; Vol Update'!$B$6:$B$127,MATCH(AT48,'Rate &amp; Vol Update'!$B$6:$B$127,1)),'Rate &amp; Vol Update'!$B$6:$B$127,0)+IF('Adjustment Surface'!$C$11='Data Validation'!$E$3,-1,0)):INDEX('Rate &amp; Vol Update'!$C$6:$C$127,MATCH(INDEX('Rate &amp; Vol Update'!$B$6:$B$127,MATCH(AT48,'Rate &amp; Vol Update'!$B$6:$B$127,1)+1),'Rate &amp; Vol Update'!$B$6:$B$127,0)+IF('Adjustment Surface'!$C$11='Data Validation'!$E$3,-1,0)),INDEX('Rate &amp; Vol Update'!$B$6:$B$127,MATCH(AT48,'Rate &amp; Vol Update'!$B$6:$B$127,1)):INDEX('Rate &amp; Vol Update'!$B$6:$B$127,MATCH(AT48,'Rate &amp; Vol Update'!$B$6:$B$127,1)+1))/100)</f>
        <v>3.5320245311940918E-2</v>
      </c>
      <c r="BA48" s="16" cm="1">
        <f t="array" ref="BA48">IF(AS48="","",IF(AT48&lt;'Rate &amp; Vol Update'!$C$2,0.001%,(1/((INDEX('Rate &amp; Vol Update'!$E$6:$Z$6,1,MATCH(AY48,'Rate &amp; Vol Update'!$E$6:$Z$6,1)+1)-INDEX('Rate &amp; Vol Update'!$E$6:$Z$6,1,MATCH(AY48,'Rate &amp; Vol Update'!$E$6:$Z$6,1)))*(INDEX('Rate &amp; Vol Update'!$B$8:$B$127,MATCH(AT48,'Rate &amp; Vol Update'!$B$8:$B$127,1)+1)-INDEX('Rate &amp; Vol Update'!$B$8:$B$127,MATCH(AT48,'Rate &amp; Vol Update'!$B$8:$B$127,1))))*(INDEX('Rate &amp; Vol Update'!$E$8:$Z$127,MATCH(INDEX('Rate &amp; Vol Update'!$B$8:$B$127,MATCH(AT48,'Rate &amp; Vol Update'!$B$8:$B$127,1)),'Rate &amp; Vol Update'!$B$8:$B$127,0),MATCH(INDEX('Rate &amp; Vol Update'!$E$6:$Z$6,1,MATCH(AY48,'Rate &amp; Vol Update'!$E$6:$Z$6,1)),'Rate &amp; Vol Update'!$E$6:$Z$6,0))*(INDEX('Rate &amp; Vol Update'!$E$6:$Z$6,1,MATCH(AY48,'Rate &amp; Vol Update'!$E$6:$Z$6,1)+1)-AY48)*(INDEX('Rate &amp; Vol Update'!$B$8:$B$127,MATCH(AT48,'Rate &amp; Vol Update'!$B$8:$B$127,1)+1)-AT48)+INDEX('Rate &amp; Vol Update'!$E$8:$Z$127,MATCH(INDEX('Rate &amp; Vol Update'!$B$8:$B$127,MATCH(AT48,'Rate &amp; Vol Update'!$B$8:$B$127,1)),'Rate &amp; Vol Update'!$B$8:$B$127,0),MATCH(INDEX('Rate &amp; Vol Update'!$E$6:$Z$6,1,MATCH(AY48,'Rate &amp; Vol Update'!$E$6:$Z$6,1)+1),'Rate &amp; Vol Update'!$E$6:$Z$6,0))*(AY48-INDEX('Rate &amp; Vol Update'!$E$6:$Z$6,1,MATCH(AY48,'Rate &amp; Vol Update'!$E$6:$Z$6,1)))*(INDEX('Rate &amp; Vol Update'!$B$8:$B$127,MATCH(AT48,'Rate &amp; Vol Update'!$B$8:$B$127,1)+1)-AT48)+INDEX('Rate &amp; Vol Update'!$E$8:$Z$127,MATCH(INDEX('Rate &amp; Vol Update'!$B$8:$B$127,MATCH(AT48,'Rate &amp; Vol Update'!$B$8:$B$127,1)+1),'Rate &amp; Vol Update'!$B$8:$B$127,0),MATCH(INDEX('Rate &amp; Vol Update'!$E$6:$Z$6,1,MATCH(AY48,'Rate &amp; Vol Update'!$E$6:$Z$6,1)),'Rate &amp; Vol Update'!$E$6:$Z$6,0))*(INDEX('Rate &amp; Vol Update'!$E$6:$Z$6,1,MATCH(AY48,'Rate &amp; Vol Update'!$E$6:$Z$6,1)+1)-AY48)*(AT48-INDEX('Rate &amp; Vol Update'!$B$8:$B$127,MATCH(AT48,'Rate &amp; Vol Update'!$B$8:$B$127,1)))+INDEX('Rate &amp; Vol Update'!$E$8:$Z$127,MATCH(INDEX('Rate &amp; Vol Update'!$B$8:$B$127,MATCH(AT48,'Rate &amp; Vol Update'!$B$8:$B$127,1)+1),'Rate &amp; Vol Update'!$B$8:$B$127,0),MATCH(INDEX('Rate &amp; Vol Update'!$E$6:$Z$6,1,MATCH(AY48,'Rate &amp; Vol Update'!$E$6:$Z$6,1)+1),'Rate &amp; Vol Update'!$E$6:$Z$6,0))*(AY48-INDEX('Rate &amp; Vol Update'!$E$6:$Z$6,1,MATCH(AY48,'Rate &amp; Vol Update'!$E$6:$Z$6,1)))*(AT48-INDEX('Rate &amp; Vol Update'!$B$8:$B$127,MATCH(AT48,'Rate &amp; Vol Update'!$B$8:$B$127,1)))))*0.01%))</f>
        <v>8.5977684626086029E-3</v>
      </c>
      <c r="BB48" s="5">
        <f>IF(AS48="","",1/((1+AZ48)^((AU48-'Rate &amp; Vol Update'!$C$2)/360)))</f>
        <v>0.87634323989617369</v>
      </c>
      <c r="BD48" s="15">
        <f>IF(AS48="","",IF(AT48&lt;'Rate &amp; Vol Update'!$C$2,MAX(0,AZ48-AY48)*(AV48/360)*AX48,(((IF('Adjustment Surface'!$C$2='Data Validation'!$A$2,AZ48,IF('Adjustment Surface'!$C$2='Data Validation'!$A$3,AY48,"Unknown Option Type"))-IF('Adjustment Surface'!$C$2='Data Validation'!$A$2,AY48,IF('Adjustment Surface'!$C$2='Data Validation'!$A$3,AZ48,"Unknown Option Type")))*(NORMDIST((IF('Adjustment Surface'!$C$2='Data Validation'!$A$2,AZ48,IF('Adjustment Surface'!$C$2='Data Validation'!$A$3,AY48,"Unknown Option Type"))-IF('Adjustment Surface'!$C$2='Data Validation'!$A$2,AY48,IF('Adjustment Surface'!$C$2='Data Validation'!$A$3,AZ48,"Unknown Option Type")))/(BA48*SQRT(AW48)),0,1,TRUE)))+((BA48*SQRT(AW48))*(NORMDIST((IF('Adjustment Surface'!$C$2='Data Validation'!$A$2,AZ48,IF('Adjustment Surface'!$C$2='Data Validation'!$A$3,AY48,"Unknown Option Type"))-IF('Adjustment Surface'!$C$2='Data Validation'!$A$2,AY48,IF('Adjustment Surface'!$C$2='Data Validation'!$A$3,AZ48,"Unknown Option Type")))/(BA48*SQRT(AW48)),0,1,FALSE))))*BB48*(AV48/360)*AX48))</f>
        <v>8692.8795507149407</v>
      </c>
      <c r="BE48" s="15">
        <f>IF(AS48="","",SUM(BD$4:BD48))</f>
        <v>166795.42557656113</v>
      </c>
      <c r="BG48" s="15">
        <f>IF(AS48="","",IF(AT48&lt;'Rate &amp; Vol Update'!$C$2,0,((((((IF('Adjustment Surface'!$C$2='Data Validation'!$A$2,AZ48,IF('Adjustment Surface'!$C$2='Data Validation'!$A$3,AY48,"Unknown Option Type"))-IF('Adjustment Surface'!$C$2='Data Validation'!$A$2,AY48,IF('Adjustment Surface'!$C$2='Data Validation'!$A$3,AZ48,"Unknown Option Type")))*(NORMDIST((IF('Adjustment Surface'!$C$2='Data Validation'!$A$2,AZ48,IF('Adjustment Surface'!$C$2='Data Validation'!$A$3,AY48,"Unknown Option Type"))-IF('Adjustment Surface'!$C$2='Data Validation'!$A$2,AY48,IF('Adjustment Surface'!$C$2='Data Validation'!$A$3,AZ48,"Unknown Option Type")))/((BA48+0.01%)*SQRT(AW48)),0,1,TRUE)))+(((BA48+0.01%)*SQRT(AW48))*(NORMDIST((IF('Adjustment Surface'!$C$2='Data Validation'!$A$2,AZ48,IF('Adjustment Surface'!$C$2='Data Validation'!$A$3,AY48,"Unknown Option Type"))-IF('Adjustment Surface'!$C$2='Data Validation'!$A$2,AY48,IF('Adjustment Surface'!$C$2='Data Validation'!$A$3,AZ48,"Unknown Option Type")))/((BA48+0.01%)*SQRT(AW48)),0,1,FALSE))))*BB48*(AV48/360))-(BD48/AX48))*AX48)*BB48))</f>
        <v>123.76149713529048</v>
      </c>
      <c r="BH48" s="15">
        <f>IF(AS48="","",SUM(BG$4:BG48))</f>
        <v>3373.7036428314927</v>
      </c>
      <c r="BI48" s="15"/>
      <c r="BJ48" s="20"/>
      <c r="BK48" s="3">
        <v>45</v>
      </c>
      <c r="BL48" s="4">
        <f>IF(BM47=MAX('Adjustment Surface'!$C$14:$F$14),"",BM47)</f>
        <v>47402</v>
      </c>
      <c r="BM48" s="4">
        <f>IF(BL48="","",IF(BL48&lt;EDATE('Adjustment Surface'!$C$6,DATEDIF('Adjustment Surface'!$C$6,MAX('Adjustment Surface'!$C$14:$F$14),"M")),EDATE(BL$5,COUNT(BL$5:BL48)),IF(BL48=EDATE('Adjustment Surface'!$C$6,DATEDIF('Adjustment Surface'!$C$6,MAX('Adjustment Surface'!$C$14:$F$14),"M")),MAX('Adjustment Surface'!$C$14:$F$14),EDATE('Adjustment Surface'!$C$6,DATEDIF('Adjustment Surface'!$C$6,MAX('Adjustment Surface'!$C$14:$F$14),"M")))))</f>
        <v>47433</v>
      </c>
      <c r="BN48" s="3">
        <f t="shared" si="4"/>
        <v>31</v>
      </c>
      <c r="BO48" s="5">
        <f>IF(BK48="","",(BM48-'Rate &amp; Vol Update'!$C$2)/360)</f>
        <v>3.8027777777777776</v>
      </c>
      <c r="BP48" s="15">
        <f>IF(BK48="","",IF('Adjustment Surface'!$C$3='Data Validation'!$C$2,'Adjustment Surface'!$C$4,_xlfn.IFNA(IF(INDEX(Schedules!$E$3:$E$123,MATCH('Bachelier Model'!BL48,Schedules!$B$3:$B$123,0))="",BP47,INDEX(Schedules!$E$3:$E$123,MATCH('Bachelier Model'!BL48,Schedules!$B$3:$B$123,0))),BP47)))</f>
        <v>25000000</v>
      </c>
      <c r="BQ48" s="16">
        <f>IF(BK48="","",'Adjustment Surface'!B$17)</f>
        <v>0.05</v>
      </c>
      <c r="BR48" s="16" cm="1">
        <f t="array" ref="BR48">IF(BK48="","",FORECAST(BL48,INDEX('Rate &amp; Vol Update'!$C$6:$C$127,MATCH(INDEX('Rate &amp; Vol Update'!$B$6:$B$127,MATCH(BL48,'Rate &amp; Vol Update'!$B$6:$B$127,1)),'Rate &amp; Vol Update'!$B$6:$B$127,0)+IF('Adjustment Surface'!$C$11='Data Validation'!$E$3,-1,0)):INDEX('Rate &amp; Vol Update'!$C$6:$C$127,MATCH(INDEX('Rate &amp; Vol Update'!$B$6:$B$127,MATCH(BL48,'Rate &amp; Vol Update'!$B$6:$B$127,1)+1),'Rate &amp; Vol Update'!$B$6:$B$127,0)+IF('Adjustment Surface'!$C$11='Data Validation'!$E$3,-1,0)),INDEX('Rate &amp; Vol Update'!$B$6:$B$127,MATCH(BL48,'Rate &amp; Vol Update'!$B$6:$B$127,1)):INDEX('Rate &amp; Vol Update'!$B$6:$B$127,MATCH(BL48,'Rate &amp; Vol Update'!$B$6:$B$127,1)+1))/100)</f>
        <v>3.5320245311940918E-2</v>
      </c>
      <c r="BS48" s="16" cm="1">
        <f t="array" ref="BS48">IF(BK48="","",IF(BL48&lt;'Rate &amp; Vol Update'!$C$2,0.001%,(1/((INDEX('Rate &amp; Vol Update'!$E$6:$Z$6,1,MATCH(BQ48,'Rate &amp; Vol Update'!$E$6:$Z$6,1)+1)-INDEX('Rate &amp; Vol Update'!$E$6:$Z$6,1,MATCH(BQ48,'Rate &amp; Vol Update'!$E$6:$Z$6,1)))*(INDEX('Rate &amp; Vol Update'!$B$8:$B$127,MATCH(BL48,'Rate &amp; Vol Update'!$B$8:$B$127,1)+1)-INDEX('Rate &amp; Vol Update'!$B$8:$B$127,MATCH(BL48,'Rate &amp; Vol Update'!$B$8:$B$127,1))))*(INDEX('Rate &amp; Vol Update'!$E$8:$Z$127,MATCH(INDEX('Rate &amp; Vol Update'!$B$8:$B$127,MATCH(BL48,'Rate &amp; Vol Update'!$B$8:$B$127,1)),'Rate &amp; Vol Update'!$B$8:$B$127,0),MATCH(INDEX('Rate &amp; Vol Update'!$E$6:$Z$6,1,MATCH(BQ48,'Rate &amp; Vol Update'!$E$6:$Z$6,1)),'Rate &amp; Vol Update'!$E$6:$Z$6,0))*(INDEX('Rate &amp; Vol Update'!$E$6:$Z$6,1,MATCH(BQ48,'Rate &amp; Vol Update'!$E$6:$Z$6,1)+1)-BQ48)*(INDEX('Rate &amp; Vol Update'!$B$8:$B$127,MATCH(BL48,'Rate &amp; Vol Update'!$B$8:$B$127,1)+1)-BL48)+INDEX('Rate &amp; Vol Update'!$E$8:$Z$127,MATCH(INDEX('Rate &amp; Vol Update'!$B$8:$B$127,MATCH(BL48,'Rate &amp; Vol Update'!$B$8:$B$127,1)),'Rate &amp; Vol Update'!$B$8:$B$127,0),MATCH(INDEX('Rate &amp; Vol Update'!$E$6:$Z$6,1,MATCH(BQ48,'Rate &amp; Vol Update'!$E$6:$Z$6,1)+1),'Rate &amp; Vol Update'!$E$6:$Z$6,0))*(BQ48-INDEX('Rate &amp; Vol Update'!$E$6:$Z$6,1,MATCH(BQ48,'Rate &amp; Vol Update'!$E$6:$Z$6,1)))*(INDEX('Rate &amp; Vol Update'!$B$8:$B$127,MATCH(BL48,'Rate &amp; Vol Update'!$B$8:$B$127,1)+1)-BL48)+INDEX('Rate &amp; Vol Update'!$E$8:$Z$127,MATCH(INDEX('Rate &amp; Vol Update'!$B$8:$B$127,MATCH(BL48,'Rate &amp; Vol Update'!$B$8:$B$127,1)+1),'Rate &amp; Vol Update'!$B$8:$B$127,0),MATCH(INDEX('Rate &amp; Vol Update'!$E$6:$Z$6,1,MATCH(BQ48,'Rate &amp; Vol Update'!$E$6:$Z$6,1)),'Rate &amp; Vol Update'!$E$6:$Z$6,0))*(INDEX('Rate &amp; Vol Update'!$E$6:$Z$6,1,MATCH(BQ48,'Rate &amp; Vol Update'!$E$6:$Z$6,1)+1)-BQ48)*(BL48-INDEX('Rate &amp; Vol Update'!$B$8:$B$127,MATCH(BL48,'Rate &amp; Vol Update'!$B$8:$B$127,1)))+INDEX('Rate &amp; Vol Update'!$E$8:$Z$127,MATCH(INDEX('Rate &amp; Vol Update'!$B$8:$B$127,MATCH(BL48,'Rate &amp; Vol Update'!$B$8:$B$127,1)+1),'Rate &amp; Vol Update'!$B$8:$B$127,0),MATCH(INDEX('Rate &amp; Vol Update'!$E$6:$Z$6,1,MATCH(BQ48,'Rate &amp; Vol Update'!$E$6:$Z$6,1)+1),'Rate &amp; Vol Update'!$E$6:$Z$6,0))*(BQ48-INDEX('Rate &amp; Vol Update'!$E$6:$Z$6,1,MATCH(BQ48,'Rate &amp; Vol Update'!$E$6:$Z$6,1)))*(BL48-INDEX('Rate &amp; Vol Update'!$B$8:$B$127,MATCH(BL48,'Rate &amp; Vol Update'!$B$8:$B$127,1)))))*0.01%))</f>
        <v>9.6891859309614688E-3</v>
      </c>
      <c r="BT48" s="5">
        <f>IF(BK48="","",1/((1+BR48)^((BM48-'Rate &amp; Vol Update'!$C$2)/360)))</f>
        <v>0.87634323989617369</v>
      </c>
      <c r="BV48" s="15">
        <f>IF(BK48="","",IF(BL48&lt;'Rate &amp; Vol Update'!$C$2,MAX(0,BR48-BQ48)*(BN48/360)*BP48,(((IF('Adjustment Surface'!$C$2='Data Validation'!$A$2,BR48,IF('Adjustment Surface'!$C$2='Data Validation'!$A$3,BQ48,"Unknown Option Type"))-IF('Adjustment Surface'!$C$2='Data Validation'!$A$2,BQ48,IF('Adjustment Surface'!$C$2='Data Validation'!$A$3,BR48,"Unknown Option Type")))*(NORMDIST((IF('Adjustment Surface'!$C$2='Data Validation'!$A$2,BR48,IF('Adjustment Surface'!$C$2='Data Validation'!$A$3,BQ48,"Unknown Option Type"))-IF('Adjustment Surface'!$C$2='Data Validation'!$A$2,BQ48,IF('Adjustment Surface'!$C$2='Data Validation'!$A$3,BR48,"Unknown Option Type")))/(BS48*SQRT(BO48)),0,1,TRUE)))+((BS48*SQRT(BO48))*(NORMDIST((IF('Adjustment Surface'!$C$2='Data Validation'!$A$2,BR48,IF('Adjustment Surface'!$C$2='Data Validation'!$A$3,BQ48,"Unknown Option Type"))-IF('Adjustment Surface'!$C$2='Data Validation'!$A$2,BQ48,IF('Adjustment Surface'!$C$2='Data Validation'!$A$3,BR48,"Unknown Option Type")))/(BS48*SQRT(BO48)),0,1,FALSE))))*BT48*(BN48/360)*BP48))</f>
        <v>4461.9079465784707</v>
      </c>
      <c r="BW48" s="15">
        <f>IF(BK48="","",SUM(BV$4:BV48))</f>
        <v>69191.50847296897</v>
      </c>
      <c r="BY48" s="15">
        <f>IF(BK48="","",IF(BL48&lt;'Rate &amp; Vol Update'!$C$2,0,((((((IF('Adjustment Surface'!$C$2='Data Validation'!$A$2,BR48,IF('Adjustment Surface'!$C$2='Data Validation'!$A$3,BQ48,"Unknown Option Type"))-IF('Adjustment Surface'!$C$2='Data Validation'!$A$2,BQ48,IF('Adjustment Surface'!$C$2='Data Validation'!$A$3,BR48,"Unknown Option Type")))*(NORMDIST((IF('Adjustment Surface'!$C$2='Data Validation'!$A$2,BR48,IF('Adjustment Surface'!$C$2='Data Validation'!$A$3,BQ48,"Unknown Option Type"))-IF('Adjustment Surface'!$C$2='Data Validation'!$A$2,BQ48,IF('Adjustment Surface'!$C$2='Data Validation'!$A$3,BR48,"Unknown Option Type")))/((BS48+0.01%)*SQRT(BO48)),0,1,TRUE)))+(((BS48+0.01%)*SQRT(BO48))*(NORMDIST((IF('Adjustment Surface'!$C$2='Data Validation'!$A$2,BR48,IF('Adjustment Surface'!$C$2='Data Validation'!$A$3,BQ48,"Unknown Option Type"))-IF('Adjustment Surface'!$C$2='Data Validation'!$A$2,BQ48,IF('Adjustment Surface'!$C$2='Data Validation'!$A$3,BR48,"Unknown Option Type")))/((BS48+0.01%)*SQRT(BO48)),0,1,FALSE))))*BT48*(BN48/360))-(BV48/BP48))*BP48)*BT48))</f>
        <v>95.405611949043106</v>
      </c>
      <c r="BZ48" s="15">
        <f>IF(BK48="","",SUM(BY$4:BY48))</f>
        <v>1934.1400206705343</v>
      </c>
      <c r="CA48" s="15"/>
      <c r="CB48" s="20"/>
      <c r="CC48" s="3">
        <v>45</v>
      </c>
      <c r="CD48" s="4">
        <f>IF(CE47=MAX('Adjustment Surface'!$C$14:$F$14),"",CE47)</f>
        <v>47402</v>
      </c>
      <c r="CE48" s="4">
        <f>IF(CD48="","",IF(CD48&lt;EDATE('Adjustment Surface'!$C$6,DATEDIF('Adjustment Surface'!$C$6,MAX('Adjustment Surface'!$C$14:$F$14),"M")),EDATE(CD$5,COUNT(CD$5:CD48)),IF(CD48=EDATE('Adjustment Surface'!$C$6,DATEDIF('Adjustment Surface'!$C$6,MAX('Adjustment Surface'!$C$14:$F$14),"M")),MAX('Adjustment Surface'!$C$14:$F$14),EDATE('Adjustment Surface'!$C$6,DATEDIF('Adjustment Surface'!$C$6,MAX('Adjustment Surface'!$C$14:$F$14),"M")))))</f>
        <v>47433</v>
      </c>
      <c r="CF48" s="3">
        <f t="shared" si="5"/>
        <v>31</v>
      </c>
      <c r="CG48" s="5">
        <f>IF(CC48="","",(CE48-'Rate &amp; Vol Update'!$C$2)/360)</f>
        <v>3.8027777777777776</v>
      </c>
      <c r="CH48" s="15">
        <f>IF(CC48="","",IF('Adjustment Surface'!$C$3='Data Validation'!$C$2,'Adjustment Surface'!$C$4,_xlfn.IFNA(IF(INDEX(Schedules!$E$3:$E$123,MATCH('Bachelier Model'!CD48,Schedules!$B$3:$B$123,0))="",CH47,INDEX(Schedules!$E$3:$E$123,MATCH('Bachelier Model'!CD48,Schedules!$B$3:$B$123,0))),CH47)))</f>
        <v>25000000</v>
      </c>
      <c r="CI48" s="16">
        <f>IF(CC48="","",'Adjustment Surface'!B$18)</f>
        <v>0.06</v>
      </c>
      <c r="CJ48" s="16" cm="1">
        <f t="array" ref="CJ48">IF(CC48="","",FORECAST(CD48,INDEX('Rate &amp; Vol Update'!$C$6:$C$127,MATCH(INDEX('Rate &amp; Vol Update'!$B$6:$B$127,MATCH(CD48,'Rate &amp; Vol Update'!$B$6:$B$127,1)),'Rate &amp; Vol Update'!$B$6:$B$127,0)+IF('Adjustment Surface'!$C$11='Data Validation'!$E$3,-1,0)):INDEX('Rate &amp; Vol Update'!$C$6:$C$127,MATCH(INDEX('Rate &amp; Vol Update'!$B$6:$B$127,MATCH(CD48,'Rate &amp; Vol Update'!$B$6:$B$127,1)+1),'Rate &amp; Vol Update'!$B$6:$B$127,0)+IF('Adjustment Surface'!$C$11='Data Validation'!$E$3,-1,0)),INDEX('Rate &amp; Vol Update'!$B$6:$B$127,MATCH(CD48,'Rate &amp; Vol Update'!$B$6:$B$127,1)):INDEX('Rate &amp; Vol Update'!$B$6:$B$127,MATCH(CD48,'Rate &amp; Vol Update'!$B$6:$B$127,1)+1))/100)</f>
        <v>3.5320245311940918E-2</v>
      </c>
      <c r="CK48" s="16" cm="1">
        <f t="array" ref="CK48">IF(CC48="","",IF(CD48&lt;'Rate &amp; Vol Update'!$C$2,0.001%,(1/((INDEX('Rate &amp; Vol Update'!$E$6:$Z$6,1,MATCH(CI48,'Rate &amp; Vol Update'!$E$6:$Z$6,1)+1)-INDEX('Rate &amp; Vol Update'!$E$6:$Z$6,1,MATCH(CI48,'Rate &amp; Vol Update'!$E$6:$Z$6,1)))*(INDEX('Rate &amp; Vol Update'!$B$8:$B$127,MATCH(CD48,'Rate &amp; Vol Update'!$B$8:$B$127,1)+1)-INDEX('Rate &amp; Vol Update'!$B$8:$B$127,MATCH(CD48,'Rate &amp; Vol Update'!$B$8:$B$127,1))))*(INDEX('Rate &amp; Vol Update'!$E$8:$Z$127,MATCH(INDEX('Rate &amp; Vol Update'!$B$8:$B$127,MATCH(CD48,'Rate &amp; Vol Update'!$B$8:$B$127,1)),'Rate &amp; Vol Update'!$B$8:$B$127,0),MATCH(INDEX('Rate &amp; Vol Update'!$E$6:$Z$6,1,MATCH(CI48,'Rate &amp; Vol Update'!$E$6:$Z$6,1)),'Rate &amp; Vol Update'!$E$6:$Z$6,0))*(INDEX('Rate &amp; Vol Update'!$E$6:$Z$6,1,MATCH(CI48,'Rate &amp; Vol Update'!$E$6:$Z$6,1)+1)-CI48)*(INDEX('Rate &amp; Vol Update'!$B$8:$B$127,MATCH(CD48,'Rate &amp; Vol Update'!$B$8:$B$127,1)+1)-CD48)+INDEX('Rate &amp; Vol Update'!$E$8:$Z$127,MATCH(INDEX('Rate &amp; Vol Update'!$B$8:$B$127,MATCH(CD48,'Rate &amp; Vol Update'!$B$8:$B$127,1)),'Rate &amp; Vol Update'!$B$8:$B$127,0),MATCH(INDEX('Rate &amp; Vol Update'!$E$6:$Z$6,1,MATCH(CI48,'Rate &amp; Vol Update'!$E$6:$Z$6,1)+1),'Rate &amp; Vol Update'!$E$6:$Z$6,0))*(CI48-INDEX('Rate &amp; Vol Update'!$E$6:$Z$6,1,MATCH(CI48,'Rate &amp; Vol Update'!$E$6:$Z$6,1)))*(INDEX('Rate &amp; Vol Update'!$B$8:$B$127,MATCH(CD48,'Rate &amp; Vol Update'!$B$8:$B$127,1)+1)-CD48)+INDEX('Rate &amp; Vol Update'!$E$8:$Z$127,MATCH(INDEX('Rate &amp; Vol Update'!$B$8:$B$127,MATCH(CD48,'Rate &amp; Vol Update'!$B$8:$B$127,1)+1),'Rate &amp; Vol Update'!$B$8:$B$127,0),MATCH(INDEX('Rate &amp; Vol Update'!$E$6:$Z$6,1,MATCH(CI48,'Rate &amp; Vol Update'!$E$6:$Z$6,1)),'Rate &amp; Vol Update'!$E$6:$Z$6,0))*(INDEX('Rate &amp; Vol Update'!$E$6:$Z$6,1,MATCH(CI48,'Rate &amp; Vol Update'!$E$6:$Z$6,1)+1)-CI48)*(CD48-INDEX('Rate &amp; Vol Update'!$B$8:$B$127,MATCH(CD48,'Rate &amp; Vol Update'!$B$8:$B$127,1)))+INDEX('Rate &amp; Vol Update'!$E$8:$Z$127,MATCH(INDEX('Rate &amp; Vol Update'!$B$8:$B$127,MATCH(CD48,'Rate &amp; Vol Update'!$B$8:$B$127,1)+1),'Rate &amp; Vol Update'!$B$8:$B$127,0),MATCH(INDEX('Rate &amp; Vol Update'!$E$6:$Z$6,1,MATCH(CI48,'Rate &amp; Vol Update'!$E$6:$Z$6,1)+1),'Rate &amp; Vol Update'!$E$6:$Z$6,0))*(CI48-INDEX('Rate &amp; Vol Update'!$E$6:$Z$6,1,MATCH(CI48,'Rate &amp; Vol Update'!$E$6:$Z$6,1)))*(CD48-INDEX('Rate &amp; Vol Update'!$B$8:$B$127,MATCH(CD48,'Rate &amp; Vol Update'!$B$8:$B$127,1)))))*0.01%))</f>
        <v>1.1055060614969841E-2</v>
      </c>
      <c r="CL48" s="5">
        <f>IF(CC48="","",1/((1+CJ48)^((CE48-'Rate &amp; Vol Update'!$C$2)/360)))</f>
        <v>0.87634323989617369</v>
      </c>
      <c r="CN48" s="15">
        <f>IF(CC48="","",IF(CD48&lt;'Rate &amp; Vol Update'!$C$2,MAX(0,CJ48-CI48)*(CF48/360)*CH48,(((IF('Adjustment Surface'!$C$2='Data Validation'!$A$2,CJ48,IF('Adjustment Surface'!$C$2='Data Validation'!$A$3,CI48,"Unknown Option Type"))-IF('Adjustment Surface'!$C$2='Data Validation'!$A$2,CI48,IF('Adjustment Surface'!$C$2='Data Validation'!$A$3,CJ48,"Unknown Option Type")))*(NORMDIST((IF('Adjustment Surface'!$C$2='Data Validation'!$A$2,CJ48,IF('Adjustment Surface'!$C$2='Data Validation'!$A$3,CI48,"Unknown Option Type"))-IF('Adjustment Surface'!$C$2='Data Validation'!$A$2,CI48,IF('Adjustment Surface'!$C$2='Data Validation'!$A$3,CJ48,"Unknown Option Type")))/(CK48*SQRT(CG48)),0,1,TRUE)))+((CK48*SQRT(CG48))*(NORMDIST((IF('Adjustment Surface'!$C$2='Data Validation'!$A$2,CJ48,IF('Adjustment Surface'!$C$2='Data Validation'!$A$3,CI48,"Unknown Option Type"))-IF('Adjustment Surface'!$C$2='Data Validation'!$A$2,CI48,IF('Adjustment Surface'!$C$2='Data Validation'!$A$3,CJ48,"Unknown Option Type")))/(CK48*SQRT(CG48)),0,1,FALSE))))*CL48*(CF48/360)*CH48))</f>
        <v>2552.3843463330368</v>
      </c>
      <c r="CO48" s="15">
        <f>IF(CC48="","",SUM(CN$4:CN48))</f>
        <v>35794.192763205596</v>
      </c>
      <c r="CQ48" s="15">
        <f>IF(CC48="","",IF(CD48&lt;'Rate &amp; Vol Update'!$C$2,0,((((((IF('Adjustment Surface'!$C$2='Data Validation'!$A$2,CJ48,IF('Adjustment Surface'!$C$2='Data Validation'!$A$3,CI48,"Unknown Option Type"))-IF('Adjustment Surface'!$C$2='Data Validation'!$A$2,CI48,IF('Adjustment Surface'!$C$2='Data Validation'!$A$3,CJ48,"Unknown Option Type")))*(NORMDIST((IF('Adjustment Surface'!$C$2='Data Validation'!$A$2,CJ48,IF('Adjustment Surface'!$C$2='Data Validation'!$A$3,CI48,"Unknown Option Type"))-IF('Adjustment Surface'!$C$2='Data Validation'!$A$2,CI48,IF('Adjustment Surface'!$C$2='Data Validation'!$A$3,CJ48,"Unknown Option Type")))/((CK48+0.01%)*SQRT(CG48)),0,1,TRUE)))+(((CK48+0.01%)*SQRT(CG48))*(NORMDIST((IF('Adjustment Surface'!$C$2='Data Validation'!$A$2,CJ48,IF('Adjustment Surface'!$C$2='Data Validation'!$A$3,CI48,"Unknown Option Type"))-IF('Adjustment Surface'!$C$2='Data Validation'!$A$2,CI48,IF('Adjustment Surface'!$C$2='Data Validation'!$A$3,CJ48,"Unknown Option Type")))/((CK48+0.01%)*SQRT(CG48)),0,1,FALSE))))*CL48*(CF48/360))-(CN48/CH48))*CH48)*CL48))</f>
        <v>67.185625265948957</v>
      </c>
      <c r="CR48" s="15">
        <f>IF(CC48="","",SUM(CQ$4:CQ48))</f>
        <v>1173.4079452611613</v>
      </c>
    </row>
    <row r="49" spans="7:96" x14ac:dyDescent="0.25">
      <c r="G49" s="28"/>
      <c r="J49" s="4" t="str">
        <f>IF(K48='Adjustment Surface'!C$8,"",K48)</f>
        <v/>
      </c>
      <c r="K49" s="4" t="str">
        <f>IF(J49="","",IF(J49&lt;'Adjustment Surface'!C$7,EDATE(J$5,COUNT(J$5:J49)),IF(J49='Adjustment Surface'!C$7,'Adjustment Surface'!C$8,'Adjustment Surface'!C$7)))</f>
        <v/>
      </c>
      <c r="L49" s="3" t="str">
        <f t="shared" si="1"/>
        <v/>
      </c>
      <c r="M49" s="5" t="str">
        <f>IF(I49="","",(K49-'Rate &amp; Vol Update'!$C$2)/360)</f>
        <v/>
      </c>
      <c r="N49" s="15" t="str">
        <f>IF(I49="","",IF('Adjustment Surface'!C$3='Data Validation'!$C$2,'Adjustment Surface'!C$4,IF(INDEX(Schedules!$E$3:$E$123,MATCH('Bachelier Model'!J49,Schedules!$B$3:$B$123,0))="",N48,INDEX(Schedules!$E$3:$E$123,MATCH('Bachelier Model'!J49,Schedules!$B$3:$B$123,0)))))</f>
        <v/>
      </c>
      <c r="O49" s="16" t="str">
        <f>IF(I49="","",IF('Adjustment Surface'!C$9='Data Validation'!$D$2,'Adjustment Surface'!C$10,IF(INDEX(Schedules!$H$3:$H$123,MATCH('Bachelier Model'!J49,Schedules!$B$3:$B$123,0))="",O48,INDEX(Schedules!$H$3:$H$123,MATCH('Bachelier Model'!J49,Schedules!$B$3:$B$123,0)))))</f>
        <v/>
      </c>
      <c r="P49" s="16" t="str" cm="1">
        <f t="array" ref="P49">IF(I49="","",FORECAST(J49,INDEX('Rate &amp; Vol Update'!$C$6:$C$127,MATCH(INDEX('Rate &amp; Vol Update'!$B$6:$B$127,MATCH(J49,'Rate &amp; Vol Update'!$B$6:$B$127,1)),'Rate &amp; Vol Update'!$B$6:$B$127,0)+IF('Adjustment Surface'!C$11='Data Validation'!$E$3,-1,0)):INDEX('Rate &amp; Vol Update'!$C$6:$C$127,MATCH(INDEX('Rate &amp; Vol Update'!$B$6:$B$127,MATCH(J49,'Rate &amp; Vol Update'!$B$6:$B$127,1)+1),'Rate &amp; Vol Update'!$B$6:$B$127,0)+IF('Adjustment Surface'!C$11='Data Validation'!$E$3,-1,0)),INDEX('Rate &amp; Vol Update'!$B$6:$B$127,MATCH(J49,'Rate &amp; Vol Update'!$B$6:$B$127,1)):INDEX('Rate &amp; Vol Update'!$B$6:$B$127,MATCH(J49,'Rate &amp; Vol Update'!$B$6:$B$127,1)+1))/100)</f>
        <v/>
      </c>
      <c r="Q49" s="16" t="str" cm="1">
        <f t="array" ref="Q49">IF(I49="","",IF(J49&lt;'Rate &amp; Vol Update'!$C$2,0.001%,(1/((INDEX('Rate &amp; Vol Update'!$E$6:$Z$6,1,MATCH(O49,'Rate &amp; Vol Update'!$E$6:$Z$6,1)+1)-INDEX('Rate &amp; Vol Update'!$E$6:$Z$6,1,MATCH(O49,'Rate &amp; Vol Update'!$E$6:$Z$6,1)))*(INDEX('Rate &amp; Vol Update'!$B$8:$B$127,MATCH(J49,'Rate &amp; Vol Update'!$B$8:$B$127,1)+1)-INDEX('Rate &amp; Vol Update'!$B$8:$B$127,MATCH(J49,'Rate &amp; Vol Update'!$B$8:$B$127,1))))*(INDEX('Rate &amp; Vol Update'!$E$8:$Z$127,MATCH(INDEX('Rate &amp; Vol Update'!$B$8:$B$127,MATCH(J49,'Rate &amp; Vol Update'!$B$8:$B$127,1)),'Rate &amp; Vol Update'!$B$8:$B$127,0),MATCH(INDEX('Rate &amp; Vol Update'!$E$6:$Z$6,1,MATCH(O49,'Rate &amp; Vol Update'!$E$6:$Z$6,1)),'Rate &amp; Vol Update'!$E$6:$Z$6,0))*(INDEX('Rate &amp; Vol Update'!$E$6:$Z$6,1,MATCH(O49,'Rate &amp; Vol Update'!$E$6:$Z$6,1)+1)-O49)*(INDEX('Rate &amp; Vol Update'!$B$8:$B$127,MATCH(J49,'Rate &amp; Vol Update'!$B$8:$B$127,1)+1)-J49)+INDEX('Rate &amp; Vol Update'!$E$8:$Z$127,MATCH(INDEX('Rate &amp; Vol Update'!$B$8:$B$127,MATCH(J49,'Rate &amp; Vol Update'!$B$8:$B$127,1)),'Rate &amp; Vol Update'!$B$8:$B$127,0),MATCH(INDEX('Rate &amp; Vol Update'!$E$6:$Z$6,1,MATCH(O49,'Rate &amp; Vol Update'!$E$6:$Z$6,1)+1),'Rate &amp; Vol Update'!$E$6:$Z$6,0))*(O49-INDEX('Rate &amp; Vol Update'!$E$6:$Z$6,1,MATCH(O49,'Rate &amp; Vol Update'!$E$6:$Z$6,1)))*(INDEX('Rate &amp; Vol Update'!$B$8:$B$127,MATCH(J49,'Rate &amp; Vol Update'!$B$8:$B$127,1)+1)-J49)+INDEX('Rate &amp; Vol Update'!$E$8:$Z$127,MATCH(INDEX('Rate &amp; Vol Update'!$B$8:$B$127,MATCH(J49,'Rate &amp; Vol Update'!$B$8:$B$127,1)+1),'Rate &amp; Vol Update'!$B$8:$B$127,0),MATCH(INDEX('Rate &amp; Vol Update'!$E$6:$Z$6,1,MATCH(O49,'Rate &amp; Vol Update'!$E$6:$Z$6,1)),'Rate &amp; Vol Update'!$E$6:$Z$6,0))*(INDEX('Rate &amp; Vol Update'!$E$6:$Z$6,1,MATCH(O49,'Rate &amp; Vol Update'!$E$6:$Z$6,1)+1)-O49)*(J49-INDEX('Rate &amp; Vol Update'!$B$8:$B$127,MATCH(J49,'Rate &amp; Vol Update'!$B$8:$B$127,1)))+INDEX('Rate &amp; Vol Update'!$E$8:$Z$127,MATCH(INDEX('Rate &amp; Vol Update'!$B$8:$B$127,MATCH(J49,'Rate &amp; Vol Update'!$B$8:$B$127,1)+1),'Rate &amp; Vol Update'!$B$8:$B$127,0),MATCH(INDEX('Rate &amp; Vol Update'!$E$6:$Z$6,1,MATCH(O49,'Rate &amp; Vol Update'!$E$6:$Z$6,1)+1),'Rate &amp; Vol Update'!$E$6:$Z$6,0))*(O49-INDEX('Rate &amp; Vol Update'!$E$6:$Z$6,1,MATCH(O49,'Rate &amp; Vol Update'!$E$6:$Z$6,1)))*(J49-INDEX('Rate &amp; Vol Update'!$B$8:$B$127,MATCH(J49,'Rate &amp; Vol Update'!$B$8:$B$127,1)))))*0.01%))</f>
        <v/>
      </c>
      <c r="R49" s="5" t="str">
        <f>IF(I49="","",1/((1+P49)^((K49-'Rate &amp; Vol Update'!$C$2)/360)))</f>
        <v/>
      </c>
      <c r="T49" s="15" t="str">
        <f>IF(I49="","",IF(J49&lt;'Rate &amp; Vol Update'!$C$2,MAX(0,P49-O49)*(L49/360)*N49,(((IF('Adjustment Surface'!C$2='Data Validation'!$A$2,P49,IF('Adjustment Surface'!C$2='Data Validation'!$A$3,O49,"Unknown Option Type"))-IF('Adjustment Surface'!C$2='Data Validation'!$A$2,O49,IF('Adjustment Surface'!C$2='Data Validation'!$A$3,P49,"Unknown Option Type")))*(NORMDIST((IF('Adjustment Surface'!C$2='Data Validation'!$A$2,P49,IF('Adjustment Surface'!C$2='Data Validation'!$A$3,O49,"Unknown Option Type"))-IF('Adjustment Surface'!C$2='Data Validation'!$A$2,O49,IF('Adjustment Surface'!C$2='Data Validation'!$A$3,P49,"Unknown Option Type")))/(Q49*SQRT(M49)),0,1,TRUE)))+((Q49*SQRT(M49))*(NORMDIST((IF('Adjustment Surface'!C$2='Data Validation'!$A$2,P49,IF('Adjustment Surface'!C$2='Data Validation'!$A$3,O49,"Unknown Option Type"))-IF('Adjustment Surface'!C$2='Data Validation'!$A$2,O49,IF('Adjustment Surface'!C$2='Data Validation'!$A$3,P49,"Unknown Option Type")))/(Q49*SQRT(M49)),0,1,FALSE))))*R49*(L49/360)*N49))</f>
        <v/>
      </c>
      <c r="U49" s="15" t="str">
        <f>IF(I49="","",SUM(T$4:T49))</f>
        <v/>
      </c>
      <c r="W49" s="15" t="str">
        <f>IF(I49="","",IF(J49&lt;'Rate &amp; Vol Update'!$C$2,0,((((((IF('Adjustment Surface'!C$2='Data Validation'!$A$2,P49,IF('Adjustment Surface'!C$2='Data Validation'!$A$3,O49,"Unknown Option Type"))-IF('Adjustment Surface'!C$2='Data Validation'!$A$2,O49,IF('Adjustment Surface'!C$2='Data Validation'!$A$3,P49,"Unknown Option Type")))*(NORMDIST((IF('Adjustment Surface'!C$2='Data Validation'!$A$2,P49,IF('Adjustment Surface'!C$2='Data Validation'!$A$3,O49,"Unknown Option Type"))-IF('Adjustment Surface'!C$2='Data Validation'!$A$2,O49,IF('Adjustment Surface'!C$2='Data Validation'!$A$3,P49,"Unknown Option Type")))/((Q49+0.01%)*SQRT(M49)),0,1,TRUE)))+(((Q49+0.01%)*SQRT(M49))*(NORMDIST((IF('Adjustment Surface'!C$2='Data Validation'!$A$2,P49,IF('Adjustment Surface'!C$2='Data Validation'!$A$3,O49,"Unknown Option Type"))-IF('Adjustment Surface'!C$2='Data Validation'!$A$2,O49,IF('Adjustment Surface'!C$2='Data Validation'!$A$3,P49,"Unknown Option Type")))/((Q49+0.01%)*SQRT(M49)),0,1,FALSE))))*R49*(L49/360))-(T49/N49))*N49)*R49))</f>
        <v/>
      </c>
      <c r="X49" s="15" t="str">
        <f>IF(I49="","",SUM(W$4:W49))</f>
        <v/>
      </c>
      <c r="Y49" s="15"/>
      <c r="Z49" s="20"/>
      <c r="AA49" s="3">
        <v>46</v>
      </c>
      <c r="AB49" s="4">
        <f>IF(AC48=MAX('Adjustment Surface'!$C$14:$F$14),"",AC48)</f>
        <v>47433</v>
      </c>
      <c r="AC49" s="4">
        <f>IF(AB49="","",IF(AB49&lt;EDATE('Adjustment Surface'!$C$6,DATEDIF('Adjustment Surface'!$C$6,MAX('Adjustment Surface'!$C$14:$F$14),"M")),EDATE(AB$5,COUNT(AB$5:AB49)),IF(AB49=EDATE('Adjustment Surface'!$C$6,DATEDIF('Adjustment Surface'!$C$6,MAX('Adjustment Surface'!$C$14:$F$14),"M")),MAX('Adjustment Surface'!$C$14:$F$14),EDATE('Adjustment Surface'!$C$6,DATEDIF('Adjustment Surface'!$C$6,MAX('Adjustment Surface'!$C$14:$F$14),"M")))))</f>
        <v>47463</v>
      </c>
      <c r="AD49" s="3">
        <f t="shared" si="2"/>
        <v>30</v>
      </c>
      <c r="AE49" s="5">
        <f>IF(AA49="","",(AC49-'Rate &amp; Vol Update'!$C$2)/360)</f>
        <v>3.8861111111111111</v>
      </c>
      <c r="AF49" s="15">
        <f>IF(AA49="","",IF('Adjustment Surface'!$C$3='Data Validation'!$C$2,'Adjustment Surface'!$C$4,_xlfn.IFNA(IF(INDEX(Schedules!$E$3:$E$123,MATCH('Bachelier Model'!AB49,Schedules!$B$3:$B$123,0))="",AF48,INDEX(Schedules!$E$3:$E$123,MATCH('Bachelier Model'!AB49,Schedules!$B$3:$B$123,0))),AF48)))</f>
        <v>25000000</v>
      </c>
      <c r="AG49" s="16">
        <f>IF(AA49="","",'Adjustment Surface'!B$15)</f>
        <v>0.03</v>
      </c>
      <c r="AH49" s="16" cm="1">
        <f t="array" ref="AH49">IF(AA49="","",FORECAST(AB49,INDEX('Rate &amp; Vol Update'!$C$6:$C$127,MATCH(INDEX('Rate &amp; Vol Update'!$B$6:$B$127,MATCH(AB49,'Rate &amp; Vol Update'!$B$6:$B$127,1)),'Rate &amp; Vol Update'!$B$6:$B$127,0)+IF('Adjustment Surface'!$C$11='Data Validation'!$E$3,-1,0)):INDEX('Rate &amp; Vol Update'!$C$6:$C$127,MATCH(INDEX('Rate &amp; Vol Update'!$B$6:$B$127,MATCH(AB49,'Rate &amp; Vol Update'!$B$6:$B$127,1)+1),'Rate &amp; Vol Update'!$B$6:$B$127,0)+IF('Adjustment Surface'!$C$11='Data Validation'!$E$3,-1,0)),INDEX('Rate &amp; Vol Update'!$B$6:$B$127,MATCH(AB49,'Rate &amp; Vol Update'!$B$6:$B$127,1)):INDEX('Rate &amp; Vol Update'!$B$6:$B$127,MATCH(AB49,'Rate &amp; Vol Update'!$B$6:$B$127,1)+1))/100)</f>
        <v>3.5321976280821572E-2</v>
      </c>
      <c r="AI49" s="16" cm="1">
        <f t="array" ref="AI49">IF(AA49="","",IF(AB49&lt;'Rate &amp; Vol Update'!$C$2,0.001%,(1/((INDEX('Rate &amp; Vol Update'!$E$6:$Z$6,1,MATCH(AG49,'Rate &amp; Vol Update'!$E$6:$Z$6,1)+1)-INDEX('Rate &amp; Vol Update'!$E$6:$Z$6,1,MATCH(AG49,'Rate &amp; Vol Update'!$E$6:$Z$6,1)))*(INDEX('Rate &amp; Vol Update'!$B$8:$B$127,MATCH(AB49,'Rate &amp; Vol Update'!$B$8:$B$127,1)+1)-INDEX('Rate &amp; Vol Update'!$B$8:$B$127,MATCH(AB49,'Rate &amp; Vol Update'!$B$8:$B$127,1))))*(INDEX('Rate &amp; Vol Update'!$E$8:$Z$127,MATCH(INDEX('Rate &amp; Vol Update'!$B$8:$B$127,MATCH(AB49,'Rate &amp; Vol Update'!$B$8:$B$127,1)),'Rate &amp; Vol Update'!$B$8:$B$127,0),MATCH(INDEX('Rate &amp; Vol Update'!$E$6:$Z$6,1,MATCH(AG49,'Rate &amp; Vol Update'!$E$6:$Z$6,1)),'Rate &amp; Vol Update'!$E$6:$Z$6,0))*(INDEX('Rate &amp; Vol Update'!$E$6:$Z$6,1,MATCH(AG49,'Rate &amp; Vol Update'!$E$6:$Z$6,1)+1)-AG49)*(INDEX('Rate &amp; Vol Update'!$B$8:$B$127,MATCH(AB49,'Rate &amp; Vol Update'!$B$8:$B$127,1)+1)-AB49)+INDEX('Rate &amp; Vol Update'!$E$8:$Z$127,MATCH(INDEX('Rate &amp; Vol Update'!$B$8:$B$127,MATCH(AB49,'Rate &amp; Vol Update'!$B$8:$B$127,1)),'Rate &amp; Vol Update'!$B$8:$B$127,0),MATCH(INDEX('Rate &amp; Vol Update'!$E$6:$Z$6,1,MATCH(AG49,'Rate &amp; Vol Update'!$E$6:$Z$6,1)+1),'Rate &amp; Vol Update'!$E$6:$Z$6,0))*(AG49-INDEX('Rate &amp; Vol Update'!$E$6:$Z$6,1,MATCH(AG49,'Rate &amp; Vol Update'!$E$6:$Z$6,1)))*(INDEX('Rate &amp; Vol Update'!$B$8:$B$127,MATCH(AB49,'Rate &amp; Vol Update'!$B$8:$B$127,1)+1)-AB49)+INDEX('Rate &amp; Vol Update'!$E$8:$Z$127,MATCH(INDEX('Rate &amp; Vol Update'!$B$8:$B$127,MATCH(AB49,'Rate &amp; Vol Update'!$B$8:$B$127,1)+1),'Rate &amp; Vol Update'!$B$8:$B$127,0),MATCH(INDEX('Rate &amp; Vol Update'!$E$6:$Z$6,1,MATCH(AG49,'Rate &amp; Vol Update'!$E$6:$Z$6,1)),'Rate &amp; Vol Update'!$E$6:$Z$6,0))*(INDEX('Rate &amp; Vol Update'!$E$6:$Z$6,1,MATCH(AG49,'Rate &amp; Vol Update'!$E$6:$Z$6,1)+1)-AG49)*(AB49-INDEX('Rate &amp; Vol Update'!$B$8:$B$127,MATCH(AB49,'Rate &amp; Vol Update'!$B$8:$B$127,1)))+INDEX('Rate &amp; Vol Update'!$E$8:$Z$127,MATCH(INDEX('Rate &amp; Vol Update'!$B$8:$B$127,MATCH(AB49,'Rate &amp; Vol Update'!$B$8:$B$127,1)+1),'Rate &amp; Vol Update'!$B$8:$B$127,0),MATCH(INDEX('Rate &amp; Vol Update'!$E$6:$Z$6,1,MATCH(AG49,'Rate &amp; Vol Update'!$E$6:$Z$6,1)+1),'Rate &amp; Vol Update'!$E$6:$Z$6,0))*(AG49-INDEX('Rate &amp; Vol Update'!$E$6:$Z$6,1,MATCH(AG49,'Rate &amp; Vol Update'!$E$6:$Z$6,1)))*(AB49-INDEX('Rate &amp; Vol Update'!$B$8:$B$127,MATCH(AB49,'Rate &amp; Vol Update'!$B$8:$B$127,1)))))*0.01%))</f>
        <v>8.1284820241644441E-3</v>
      </c>
      <c r="AJ49" s="5">
        <f>IF(AA49="","",1/((1+AH49)^((AC49-'Rate &amp; Vol Update'!$C$2)/360)))</f>
        <v>0.87380634431349791</v>
      </c>
      <c r="AL49" s="15">
        <f>IF(AA49="","",IF(AB49&lt;'Rate &amp; Vol Update'!$C$2,MAX(0,AH49-AG49)*(AD49/360)*AF49,(((IF('Adjustment Surface'!$C$2='Data Validation'!$A$2,AH49,IF('Adjustment Surface'!$C$2='Data Validation'!$A$3,AG49,"Unknown Option Type"))-IF('Adjustment Surface'!$C$2='Data Validation'!$A$2,AG49,IF('Adjustment Surface'!$C$2='Data Validation'!$A$3,AH49,"Unknown Option Type")))*(NORMDIST((IF('Adjustment Surface'!$C$2='Data Validation'!$A$2,AH49,IF('Adjustment Surface'!$C$2='Data Validation'!$A$3,AG49,"Unknown Option Type"))-IF('Adjustment Surface'!$C$2='Data Validation'!$A$2,AG49,IF('Adjustment Surface'!$C$2='Data Validation'!$A$3,AH49,"Unknown Option Type")))/(AI49*SQRT(AE49)),0,1,TRUE)))+((AI49*SQRT(AE49))*(NORMDIST((IF('Adjustment Surface'!$C$2='Data Validation'!$A$2,AH49,IF('Adjustment Surface'!$C$2='Data Validation'!$A$3,AG49,"Unknown Option Type"))-IF('Adjustment Surface'!$C$2='Data Validation'!$A$2,AG49,IF('Adjustment Surface'!$C$2='Data Validation'!$A$3,AH49,"Unknown Option Type")))/(AI49*SQRT(AE49)),0,1,FALSE))))*AJ49*(AD49/360)*AF49))</f>
        <v>17117.424722459808</v>
      </c>
      <c r="AM49" s="15">
        <f>IF(AA49="","",SUM(AL$4:AL49))</f>
        <v>580212.82500918792</v>
      </c>
      <c r="AO49" s="15">
        <f>IF(AA49="","",IF(AB49&lt;'Rate &amp; Vol Update'!$C$2,0,((((((IF('Adjustment Surface'!$C$2='Data Validation'!$A$2,AH49,IF('Adjustment Surface'!$C$2='Data Validation'!$A$3,AG49,"Unknown Option Type"))-IF('Adjustment Surface'!$C$2='Data Validation'!$A$2,AG49,IF('Adjustment Surface'!$C$2='Data Validation'!$A$3,AH49,"Unknown Option Type")))*(NORMDIST((IF('Adjustment Surface'!$C$2='Data Validation'!$A$2,AH49,IF('Adjustment Surface'!$C$2='Data Validation'!$A$3,AG49,"Unknown Option Type"))-IF('Adjustment Surface'!$C$2='Data Validation'!$A$2,AG49,IF('Adjustment Surface'!$C$2='Data Validation'!$A$3,AH49,"Unknown Option Type")))/((AI49+0.01%)*SQRT(AE49)),0,1,TRUE)))+(((AI49+0.01%)*SQRT(AE49))*(NORMDIST((IF('Adjustment Surface'!$C$2='Data Validation'!$A$2,AH49,IF('Adjustment Surface'!$C$2='Data Validation'!$A$3,AG49,"Unknown Option Type"))-IF('Adjustment Surface'!$C$2='Data Validation'!$A$2,AG49,IF('Adjustment Surface'!$C$2='Data Validation'!$A$3,AH49,"Unknown Option Type")))/((AI49+0.01%)*SQRT(AE49)),0,1,FALSE))))*AJ49*(AD49/360))-(AL49/AF49))*AF49)*AJ49))</f>
        <v>118.46624360108854</v>
      </c>
      <c r="AP49" s="15">
        <f>IF(AA49="","",SUM(AO$4:AO49))</f>
        <v>4086.2390070367378</v>
      </c>
      <c r="AQ49" s="15"/>
      <c r="AR49" s="20"/>
      <c r="AS49" s="3">
        <v>46</v>
      </c>
      <c r="AT49" s="4">
        <f>IF(AU48=MAX('Adjustment Surface'!$C$14:$F$14),"",AU48)</f>
        <v>47433</v>
      </c>
      <c r="AU49" s="4">
        <f>IF(AT49="","",IF(AT49&lt;EDATE('Adjustment Surface'!$C$6,DATEDIF('Adjustment Surface'!$C$6,MAX('Adjustment Surface'!$C$14:$F$14),"M")),EDATE(AT$5,COUNT(AT$5:AT49)),IF(AT49=EDATE('Adjustment Surface'!$C$6,DATEDIF('Adjustment Surface'!$C$6,MAX('Adjustment Surface'!$C$14:$F$14),"M")),MAX('Adjustment Surface'!$C$14:$F$14),EDATE('Adjustment Surface'!$C$6,DATEDIF('Adjustment Surface'!$C$6,MAX('Adjustment Surface'!$C$14:$F$14),"M")))))</f>
        <v>47463</v>
      </c>
      <c r="AV49" s="3">
        <f t="shared" si="3"/>
        <v>30</v>
      </c>
      <c r="AW49" s="5">
        <f>IF(AS49="","",(AU49-'Rate &amp; Vol Update'!$C$2)/360)</f>
        <v>3.8861111111111111</v>
      </c>
      <c r="AX49" s="15">
        <f>IF(AS49="","",IF('Adjustment Surface'!$C$3='Data Validation'!$C$2,'Adjustment Surface'!$C$4,_xlfn.IFNA(IF(INDEX(Schedules!$E$3:$E$123,MATCH('Bachelier Model'!AT49,Schedules!$B$3:$B$123,0))="",AX48,INDEX(Schedules!$E$3:$E$123,MATCH('Bachelier Model'!AT49,Schedules!$B$3:$B$123,0))),AX48)))</f>
        <v>25000000</v>
      </c>
      <c r="AY49" s="16">
        <f>IF(AS49="","",'Adjustment Surface'!B$16)</f>
        <v>0.04</v>
      </c>
      <c r="AZ49" s="16" cm="1">
        <f t="array" ref="AZ49">IF(AS49="","",FORECAST(AT49,INDEX('Rate &amp; Vol Update'!$C$6:$C$127,MATCH(INDEX('Rate &amp; Vol Update'!$B$6:$B$127,MATCH(AT49,'Rate &amp; Vol Update'!$B$6:$B$127,1)),'Rate &amp; Vol Update'!$B$6:$B$127,0)+IF('Adjustment Surface'!$C$11='Data Validation'!$E$3,-1,0)):INDEX('Rate &amp; Vol Update'!$C$6:$C$127,MATCH(INDEX('Rate &amp; Vol Update'!$B$6:$B$127,MATCH(AT49,'Rate &amp; Vol Update'!$B$6:$B$127,1)+1),'Rate &amp; Vol Update'!$B$6:$B$127,0)+IF('Adjustment Surface'!$C$11='Data Validation'!$E$3,-1,0)),INDEX('Rate &amp; Vol Update'!$B$6:$B$127,MATCH(AT49,'Rate &amp; Vol Update'!$B$6:$B$127,1)):INDEX('Rate &amp; Vol Update'!$B$6:$B$127,MATCH(AT49,'Rate &amp; Vol Update'!$B$6:$B$127,1)+1))/100)</f>
        <v>3.5321976280821572E-2</v>
      </c>
      <c r="BA49" s="16" cm="1">
        <f t="array" ref="BA49">IF(AS49="","",IF(AT49&lt;'Rate &amp; Vol Update'!$C$2,0.001%,(1/((INDEX('Rate &amp; Vol Update'!$E$6:$Z$6,1,MATCH(AY49,'Rate &amp; Vol Update'!$E$6:$Z$6,1)+1)-INDEX('Rate &amp; Vol Update'!$E$6:$Z$6,1,MATCH(AY49,'Rate &amp; Vol Update'!$E$6:$Z$6,1)))*(INDEX('Rate &amp; Vol Update'!$B$8:$B$127,MATCH(AT49,'Rate &amp; Vol Update'!$B$8:$B$127,1)+1)-INDEX('Rate &amp; Vol Update'!$B$8:$B$127,MATCH(AT49,'Rate &amp; Vol Update'!$B$8:$B$127,1))))*(INDEX('Rate &amp; Vol Update'!$E$8:$Z$127,MATCH(INDEX('Rate &amp; Vol Update'!$B$8:$B$127,MATCH(AT49,'Rate &amp; Vol Update'!$B$8:$B$127,1)),'Rate &amp; Vol Update'!$B$8:$B$127,0),MATCH(INDEX('Rate &amp; Vol Update'!$E$6:$Z$6,1,MATCH(AY49,'Rate &amp; Vol Update'!$E$6:$Z$6,1)),'Rate &amp; Vol Update'!$E$6:$Z$6,0))*(INDEX('Rate &amp; Vol Update'!$E$6:$Z$6,1,MATCH(AY49,'Rate &amp; Vol Update'!$E$6:$Z$6,1)+1)-AY49)*(INDEX('Rate &amp; Vol Update'!$B$8:$B$127,MATCH(AT49,'Rate &amp; Vol Update'!$B$8:$B$127,1)+1)-AT49)+INDEX('Rate &amp; Vol Update'!$E$8:$Z$127,MATCH(INDEX('Rate &amp; Vol Update'!$B$8:$B$127,MATCH(AT49,'Rate &amp; Vol Update'!$B$8:$B$127,1)),'Rate &amp; Vol Update'!$B$8:$B$127,0),MATCH(INDEX('Rate &amp; Vol Update'!$E$6:$Z$6,1,MATCH(AY49,'Rate &amp; Vol Update'!$E$6:$Z$6,1)+1),'Rate &amp; Vol Update'!$E$6:$Z$6,0))*(AY49-INDEX('Rate &amp; Vol Update'!$E$6:$Z$6,1,MATCH(AY49,'Rate &amp; Vol Update'!$E$6:$Z$6,1)))*(INDEX('Rate &amp; Vol Update'!$B$8:$B$127,MATCH(AT49,'Rate &amp; Vol Update'!$B$8:$B$127,1)+1)-AT49)+INDEX('Rate &amp; Vol Update'!$E$8:$Z$127,MATCH(INDEX('Rate &amp; Vol Update'!$B$8:$B$127,MATCH(AT49,'Rate &amp; Vol Update'!$B$8:$B$127,1)+1),'Rate &amp; Vol Update'!$B$8:$B$127,0),MATCH(INDEX('Rate &amp; Vol Update'!$E$6:$Z$6,1,MATCH(AY49,'Rate &amp; Vol Update'!$E$6:$Z$6,1)),'Rate &amp; Vol Update'!$E$6:$Z$6,0))*(INDEX('Rate &amp; Vol Update'!$E$6:$Z$6,1,MATCH(AY49,'Rate &amp; Vol Update'!$E$6:$Z$6,1)+1)-AY49)*(AT49-INDEX('Rate &amp; Vol Update'!$B$8:$B$127,MATCH(AT49,'Rate &amp; Vol Update'!$B$8:$B$127,1)))+INDEX('Rate &amp; Vol Update'!$E$8:$Z$127,MATCH(INDEX('Rate &amp; Vol Update'!$B$8:$B$127,MATCH(AT49,'Rate &amp; Vol Update'!$B$8:$B$127,1)+1),'Rate &amp; Vol Update'!$B$8:$B$127,0),MATCH(INDEX('Rate &amp; Vol Update'!$E$6:$Z$6,1,MATCH(AY49,'Rate &amp; Vol Update'!$E$6:$Z$6,1)+1),'Rate &amp; Vol Update'!$E$6:$Z$6,0))*(AY49-INDEX('Rate &amp; Vol Update'!$E$6:$Z$6,1,MATCH(AY49,'Rate &amp; Vol Update'!$E$6:$Z$6,1)))*(AT49-INDEX('Rate &amp; Vol Update'!$B$8:$B$127,MATCH(AT49,'Rate &amp; Vol Update'!$B$8:$B$127,1)))))*0.01%))</f>
        <v>8.5997750082707977E-3</v>
      </c>
      <c r="BB49" s="5">
        <f>IF(AS49="","",1/((1+AZ49)^((AU49-'Rate &amp; Vol Update'!$C$2)/360)))</f>
        <v>0.87380634431349791</v>
      </c>
      <c r="BD49" s="15">
        <f>IF(AS49="","",IF(AT49&lt;'Rate &amp; Vol Update'!$C$2,MAX(0,AZ49-AY49)*(AV49/360)*AX49,(((IF('Adjustment Surface'!$C$2='Data Validation'!$A$2,AZ49,IF('Adjustment Surface'!$C$2='Data Validation'!$A$3,AY49,"Unknown Option Type"))-IF('Adjustment Surface'!$C$2='Data Validation'!$A$2,AY49,IF('Adjustment Surface'!$C$2='Data Validation'!$A$3,AZ49,"Unknown Option Type")))*(NORMDIST((IF('Adjustment Surface'!$C$2='Data Validation'!$A$2,AZ49,IF('Adjustment Surface'!$C$2='Data Validation'!$A$3,AY49,"Unknown Option Type"))-IF('Adjustment Surface'!$C$2='Data Validation'!$A$2,AY49,IF('Adjustment Surface'!$C$2='Data Validation'!$A$3,AZ49,"Unknown Option Type")))/(BA49*SQRT(AW49)),0,1,TRUE)))+((BA49*SQRT(AW49))*(NORMDIST((IF('Adjustment Surface'!$C$2='Data Validation'!$A$2,AZ49,IF('Adjustment Surface'!$C$2='Data Validation'!$A$3,AY49,"Unknown Option Type"))-IF('Adjustment Surface'!$C$2='Data Validation'!$A$2,AY49,IF('Adjustment Surface'!$C$2='Data Validation'!$A$3,AZ49,"Unknown Option Type")))/(BA49*SQRT(AW49)),0,1,FALSE))))*BB49*(AV49/360)*AX49))</f>
        <v>8519.786559932465</v>
      </c>
      <c r="BE49" s="15">
        <f>IF(AS49="","",SUM(BD$4:BD49))</f>
        <v>175315.21213649359</v>
      </c>
      <c r="BG49" s="15">
        <f>IF(AS49="","",IF(AT49&lt;'Rate &amp; Vol Update'!$C$2,0,((((((IF('Adjustment Surface'!$C$2='Data Validation'!$A$2,AZ49,IF('Adjustment Surface'!$C$2='Data Validation'!$A$3,AY49,"Unknown Option Type"))-IF('Adjustment Surface'!$C$2='Data Validation'!$A$2,AY49,IF('Adjustment Surface'!$C$2='Data Validation'!$A$3,AZ49,"Unknown Option Type")))*(NORMDIST((IF('Adjustment Surface'!$C$2='Data Validation'!$A$2,AZ49,IF('Adjustment Surface'!$C$2='Data Validation'!$A$3,AY49,"Unknown Option Type"))-IF('Adjustment Surface'!$C$2='Data Validation'!$A$2,AY49,IF('Adjustment Surface'!$C$2='Data Validation'!$A$3,AZ49,"Unknown Option Type")))/((BA49+0.01%)*SQRT(AW49)),0,1,TRUE)))+(((BA49+0.01%)*SQRT(AW49))*(NORMDIST((IF('Adjustment Surface'!$C$2='Data Validation'!$A$2,AZ49,IF('Adjustment Surface'!$C$2='Data Validation'!$A$3,AY49,"Unknown Option Type"))-IF('Adjustment Surface'!$C$2='Data Validation'!$A$2,AY49,IF('Adjustment Surface'!$C$2='Data Validation'!$A$3,AZ49,"Unknown Option Type")))/((BA49+0.01%)*SQRT(AW49)),0,1,FALSE))))*BB49*(AV49/360))-(BD49/AX49))*AX49)*BB49))</f>
        <v>120.47930176558638</v>
      </c>
      <c r="BH49" s="15">
        <f>IF(AS49="","",SUM(BG$4:BG49))</f>
        <v>3494.1829445970793</v>
      </c>
      <c r="BI49" s="15"/>
      <c r="BJ49" s="20"/>
      <c r="BK49" s="3">
        <v>46</v>
      </c>
      <c r="BL49" s="4">
        <f>IF(BM48=MAX('Adjustment Surface'!$C$14:$F$14),"",BM48)</f>
        <v>47433</v>
      </c>
      <c r="BM49" s="4">
        <f>IF(BL49="","",IF(BL49&lt;EDATE('Adjustment Surface'!$C$6,DATEDIF('Adjustment Surface'!$C$6,MAX('Adjustment Surface'!$C$14:$F$14),"M")),EDATE(BL$5,COUNT(BL$5:BL49)),IF(BL49=EDATE('Adjustment Surface'!$C$6,DATEDIF('Adjustment Surface'!$C$6,MAX('Adjustment Surface'!$C$14:$F$14),"M")),MAX('Adjustment Surface'!$C$14:$F$14),EDATE('Adjustment Surface'!$C$6,DATEDIF('Adjustment Surface'!$C$6,MAX('Adjustment Surface'!$C$14:$F$14),"M")))))</f>
        <v>47463</v>
      </c>
      <c r="BN49" s="3">
        <f t="shared" si="4"/>
        <v>30</v>
      </c>
      <c r="BO49" s="5">
        <f>IF(BK49="","",(BM49-'Rate &amp; Vol Update'!$C$2)/360)</f>
        <v>3.8861111111111111</v>
      </c>
      <c r="BP49" s="15">
        <f>IF(BK49="","",IF('Adjustment Surface'!$C$3='Data Validation'!$C$2,'Adjustment Surface'!$C$4,_xlfn.IFNA(IF(INDEX(Schedules!$E$3:$E$123,MATCH('Bachelier Model'!BL49,Schedules!$B$3:$B$123,0))="",BP48,INDEX(Schedules!$E$3:$E$123,MATCH('Bachelier Model'!BL49,Schedules!$B$3:$B$123,0))),BP48)))</f>
        <v>25000000</v>
      </c>
      <c r="BQ49" s="16">
        <f>IF(BK49="","",'Adjustment Surface'!B$17)</f>
        <v>0.05</v>
      </c>
      <c r="BR49" s="16" cm="1">
        <f t="array" ref="BR49">IF(BK49="","",FORECAST(BL49,INDEX('Rate &amp; Vol Update'!$C$6:$C$127,MATCH(INDEX('Rate &amp; Vol Update'!$B$6:$B$127,MATCH(BL49,'Rate &amp; Vol Update'!$B$6:$B$127,1)),'Rate &amp; Vol Update'!$B$6:$B$127,0)+IF('Adjustment Surface'!$C$11='Data Validation'!$E$3,-1,0)):INDEX('Rate &amp; Vol Update'!$C$6:$C$127,MATCH(INDEX('Rate &amp; Vol Update'!$B$6:$B$127,MATCH(BL49,'Rate &amp; Vol Update'!$B$6:$B$127,1)+1),'Rate &amp; Vol Update'!$B$6:$B$127,0)+IF('Adjustment Surface'!$C$11='Data Validation'!$E$3,-1,0)),INDEX('Rate &amp; Vol Update'!$B$6:$B$127,MATCH(BL49,'Rate &amp; Vol Update'!$B$6:$B$127,1)):INDEX('Rate &amp; Vol Update'!$B$6:$B$127,MATCH(BL49,'Rate &amp; Vol Update'!$B$6:$B$127,1)+1))/100)</f>
        <v>3.5321976280821572E-2</v>
      </c>
      <c r="BS49" s="16" cm="1">
        <f t="array" ref="BS49">IF(BK49="","",IF(BL49&lt;'Rate &amp; Vol Update'!$C$2,0.001%,(1/((INDEX('Rate &amp; Vol Update'!$E$6:$Z$6,1,MATCH(BQ49,'Rate &amp; Vol Update'!$E$6:$Z$6,1)+1)-INDEX('Rate &amp; Vol Update'!$E$6:$Z$6,1,MATCH(BQ49,'Rate &amp; Vol Update'!$E$6:$Z$6,1)))*(INDEX('Rate &amp; Vol Update'!$B$8:$B$127,MATCH(BL49,'Rate &amp; Vol Update'!$B$8:$B$127,1)+1)-INDEX('Rate &amp; Vol Update'!$B$8:$B$127,MATCH(BL49,'Rate &amp; Vol Update'!$B$8:$B$127,1))))*(INDEX('Rate &amp; Vol Update'!$E$8:$Z$127,MATCH(INDEX('Rate &amp; Vol Update'!$B$8:$B$127,MATCH(BL49,'Rate &amp; Vol Update'!$B$8:$B$127,1)),'Rate &amp; Vol Update'!$B$8:$B$127,0),MATCH(INDEX('Rate &amp; Vol Update'!$E$6:$Z$6,1,MATCH(BQ49,'Rate &amp; Vol Update'!$E$6:$Z$6,1)),'Rate &amp; Vol Update'!$E$6:$Z$6,0))*(INDEX('Rate &amp; Vol Update'!$E$6:$Z$6,1,MATCH(BQ49,'Rate &amp; Vol Update'!$E$6:$Z$6,1)+1)-BQ49)*(INDEX('Rate &amp; Vol Update'!$B$8:$B$127,MATCH(BL49,'Rate &amp; Vol Update'!$B$8:$B$127,1)+1)-BL49)+INDEX('Rate &amp; Vol Update'!$E$8:$Z$127,MATCH(INDEX('Rate &amp; Vol Update'!$B$8:$B$127,MATCH(BL49,'Rate &amp; Vol Update'!$B$8:$B$127,1)),'Rate &amp; Vol Update'!$B$8:$B$127,0),MATCH(INDEX('Rate &amp; Vol Update'!$E$6:$Z$6,1,MATCH(BQ49,'Rate &amp; Vol Update'!$E$6:$Z$6,1)+1),'Rate &amp; Vol Update'!$E$6:$Z$6,0))*(BQ49-INDEX('Rate &amp; Vol Update'!$E$6:$Z$6,1,MATCH(BQ49,'Rate &amp; Vol Update'!$E$6:$Z$6,1)))*(INDEX('Rate &amp; Vol Update'!$B$8:$B$127,MATCH(BL49,'Rate &amp; Vol Update'!$B$8:$B$127,1)+1)-BL49)+INDEX('Rate &amp; Vol Update'!$E$8:$Z$127,MATCH(INDEX('Rate &amp; Vol Update'!$B$8:$B$127,MATCH(BL49,'Rate &amp; Vol Update'!$B$8:$B$127,1)+1),'Rate &amp; Vol Update'!$B$8:$B$127,0),MATCH(INDEX('Rate &amp; Vol Update'!$E$6:$Z$6,1,MATCH(BQ49,'Rate &amp; Vol Update'!$E$6:$Z$6,1)),'Rate &amp; Vol Update'!$E$6:$Z$6,0))*(INDEX('Rate &amp; Vol Update'!$E$6:$Z$6,1,MATCH(BQ49,'Rate &amp; Vol Update'!$E$6:$Z$6,1)+1)-BQ49)*(BL49-INDEX('Rate &amp; Vol Update'!$B$8:$B$127,MATCH(BL49,'Rate &amp; Vol Update'!$B$8:$B$127,1)))+INDEX('Rate &amp; Vol Update'!$E$8:$Z$127,MATCH(INDEX('Rate &amp; Vol Update'!$B$8:$B$127,MATCH(BL49,'Rate &amp; Vol Update'!$B$8:$B$127,1)+1),'Rate &amp; Vol Update'!$B$8:$B$127,0),MATCH(INDEX('Rate &amp; Vol Update'!$E$6:$Z$6,1,MATCH(BQ49,'Rate &amp; Vol Update'!$E$6:$Z$6,1)+1),'Rate &amp; Vol Update'!$E$6:$Z$6,0))*(BQ49-INDEX('Rate &amp; Vol Update'!$E$6:$Z$6,1,MATCH(BQ49,'Rate &amp; Vol Update'!$E$6:$Z$6,1)))*(BL49-INDEX('Rate &amp; Vol Update'!$B$8:$B$127,MATCH(BL49,'Rate &amp; Vol Update'!$B$8:$B$127,1)))))*0.01%))</f>
        <v>9.6898862474961833E-3</v>
      </c>
      <c r="BT49" s="5">
        <f>IF(BK49="","",1/((1+BR49)^((BM49-'Rate &amp; Vol Update'!$C$2)/360)))</f>
        <v>0.87380634431349791</v>
      </c>
      <c r="BV49" s="15">
        <f>IF(BK49="","",IF(BL49&lt;'Rate &amp; Vol Update'!$C$2,MAX(0,BR49-BQ49)*(BN49/360)*BP49,(((IF('Adjustment Surface'!$C$2='Data Validation'!$A$2,BR49,IF('Adjustment Surface'!$C$2='Data Validation'!$A$3,BQ49,"Unknown Option Type"))-IF('Adjustment Surface'!$C$2='Data Validation'!$A$2,BQ49,IF('Adjustment Surface'!$C$2='Data Validation'!$A$3,BR49,"Unknown Option Type")))*(NORMDIST((IF('Adjustment Surface'!$C$2='Data Validation'!$A$2,BR49,IF('Adjustment Surface'!$C$2='Data Validation'!$A$3,BQ49,"Unknown Option Type"))-IF('Adjustment Surface'!$C$2='Data Validation'!$A$2,BQ49,IF('Adjustment Surface'!$C$2='Data Validation'!$A$3,BR49,"Unknown Option Type")))/(BS49*SQRT(BO49)),0,1,TRUE)))+((BS49*SQRT(BO49))*(NORMDIST((IF('Adjustment Surface'!$C$2='Data Validation'!$A$2,BR49,IF('Adjustment Surface'!$C$2='Data Validation'!$A$3,BQ49,"Unknown Option Type"))-IF('Adjustment Surface'!$C$2='Data Validation'!$A$2,BQ49,IF('Adjustment Surface'!$C$2='Data Validation'!$A$3,BR49,"Unknown Option Type")))/(BS49*SQRT(BO49)),0,1,FALSE))))*BT49*(BN49/360)*BP49))</f>
        <v>4417.8587881729363</v>
      </c>
      <c r="BW49" s="15">
        <f>IF(BK49="","",SUM(BV$4:BV49))</f>
        <v>73609.367261141902</v>
      </c>
      <c r="BY49" s="15">
        <f>IF(BK49="","",IF(BL49&lt;'Rate &amp; Vol Update'!$C$2,0,((((((IF('Adjustment Surface'!$C$2='Data Validation'!$A$2,BR49,IF('Adjustment Surface'!$C$2='Data Validation'!$A$3,BQ49,"Unknown Option Type"))-IF('Adjustment Surface'!$C$2='Data Validation'!$A$2,BQ49,IF('Adjustment Surface'!$C$2='Data Validation'!$A$3,BR49,"Unknown Option Type")))*(NORMDIST((IF('Adjustment Surface'!$C$2='Data Validation'!$A$2,BR49,IF('Adjustment Surface'!$C$2='Data Validation'!$A$3,BQ49,"Unknown Option Type"))-IF('Adjustment Surface'!$C$2='Data Validation'!$A$2,BQ49,IF('Adjustment Surface'!$C$2='Data Validation'!$A$3,BR49,"Unknown Option Type")))/((BS49+0.01%)*SQRT(BO49)),0,1,TRUE)))+(((BS49+0.01%)*SQRT(BO49))*(NORMDIST((IF('Adjustment Surface'!$C$2='Data Validation'!$A$2,BR49,IF('Adjustment Surface'!$C$2='Data Validation'!$A$3,BQ49,"Unknown Option Type"))-IF('Adjustment Surface'!$C$2='Data Validation'!$A$2,BQ49,IF('Adjustment Surface'!$C$2='Data Validation'!$A$3,BR49,"Unknown Option Type")))/((BS49+0.01%)*SQRT(BO49)),0,1,FALSE))))*BT49*(BN49/360))-(BV49/BP49))*BP49)*BT49))</f>
        <v>93.40125324362792</v>
      </c>
      <c r="BZ49" s="15">
        <f>IF(BK49="","",SUM(BY$4:BY49))</f>
        <v>2027.5412739141623</v>
      </c>
      <c r="CA49" s="15"/>
      <c r="CB49" s="20"/>
      <c r="CC49" s="3">
        <v>46</v>
      </c>
      <c r="CD49" s="4">
        <f>IF(CE48=MAX('Adjustment Surface'!$C$14:$F$14),"",CE48)</f>
        <v>47433</v>
      </c>
      <c r="CE49" s="4">
        <f>IF(CD49="","",IF(CD49&lt;EDATE('Adjustment Surface'!$C$6,DATEDIF('Adjustment Surface'!$C$6,MAX('Adjustment Surface'!$C$14:$F$14),"M")),EDATE(CD$5,COUNT(CD$5:CD49)),IF(CD49=EDATE('Adjustment Surface'!$C$6,DATEDIF('Adjustment Surface'!$C$6,MAX('Adjustment Surface'!$C$14:$F$14),"M")),MAX('Adjustment Surface'!$C$14:$F$14),EDATE('Adjustment Surface'!$C$6,DATEDIF('Adjustment Surface'!$C$6,MAX('Adjustment Surface'!$C$14:$F$14),"M")))))</f>
        <v>47463</v>
      </c>
      <c r="CF49" s="3">
        <f t="shared" si="5"/>
        <v>30</v>
      </c>
      <c r="CG49" s="5">
        <f>IF(CC49="","",(CE49-'Rate &amp; Vol Update'!$C$2)/360)</f>
        <v>3.8861111111111111</v>
      </c>
      <c r="CH49" s="15">
        <f>IF(CC49="","",IF('Adjustment Surface'!$C$3='Data Validation'!$C$2,'Adjustment Surface'!$C$4,_xlfn.IFNA(IF(INDEX(Schedules!$E$3:$E$123,MATCH('Bachelier Model'!CD49,Schedules!$B$3:$B$123,0))="",CH48,INDEX(Schedules!$E$3:$E$123,MATCH('Bachelier Model'!CD49,Schedules!$B$3:$B$123,0))),CH48)))</f>
        <v>25000000</v>
      </c>
      <c r="CI49" s="16">
        <f>IF(CC49="","",'Adjustment Surface'!B$18)</f>
        <v>0.06</v>
      </c>
      <c r="CJ49" s="16" cm="1">
        <f t="array" ref="CJ49">IF(CC49="","",FORECAST(CD49,INDEX('Rate &amp; Vol Update'!$C$6:$C$127,MATCH(INDEX('Rate &amp; Vol Update'!$B$6:$B$127,MATCH(CD49,'Rate &amp; Vol Update'!$B$6:$B$127,1)),'Rate &amp; Vol Update'!$B$6:$B$127,0)+IF('Adjustment Surface'!$C$11='Data Validation'!$E$3,-1,0)):INDEX('Rate &amp; Vol Update'!$C$6:$C$127,MATCH(INDEX('Rate &amp; Vol Update'!$B$6:$B$127,MATCH(CD49,'Rate &amp; Vol Update'!$B$6:$B$127,1)+1),'Rate &amp; Vol Update'!$B$6:$B$127,0)+IF('Adjustment Surface'!$C$11='Data Validation'!$E$3,-1,0)),INDEX('Rate &amp; Vol Update'!$B$6:$B$127,MATCH(CD49,'Rate &amp; Vol Update'!$B$6:$B$127,1)):INDEX('Rate &amp; Vol Update'!$B$6:$B$127,MATCH(CD49,'Rate &amp; Vol Update'!$B$6:$B$127,1)+1))/100)</f>
        <v>3.5321976280821572E-2</v>
      </c>
      <c r="CK49" s="16" cm="1">
        <f t="array" ref="CK49">IF(CC49="","",IF(CD49&lt;'Rate &amp; Vol Update'!$C$2,0.001%,(1/((INDEX('Rate &amp; Vol Update'!$E$6:$Z$6,1,MATCH(CI49,'Rate &amp; Vol Update'!$E$6:$Z$6,1)+1)-INDEX('Rate &amp; Vol Update'!$E$6:$Z$6,1,MATCH(CI49,'Rate &amp; Vol Update'!$E$6:$Z$6,1)))*(INDEX('Rate &amp; Vol Update'!$B$8:$B$127,MATCH(CD49,'Rate &amp; Vol Update'!$B$8:$B$127,1)+1)-INDEX('Rate &amp; Vol Update'!$B$8:$B$127,MATCH(CD49,'Rate &amp; Vol Update'!$B$8:$B$127,1))))*(INDEX('Rate &amp; Vol Update'!$E$8:$Z$127,MATCH(INDEX('Rate &amp; Vol Update'!$B$8:$B$127,MATCH(CD49,'Rate &amp; Vol Update'!$B$8:$B$127,1)),'Rate &amp; Vol Update'!$B$8:$B$127,0),MATCH(INDEX('Rate &amp; Vol Update'!$E$6:$Z$6,1,MATCH(CI49,'Rate &amp; Vol Update'!$E$6:$Z$6,1)),'Rate &amp; Vol Update'!$E$6:$Z$6,0))*(INDEX('Rate &amp; Vol Update'!$E$6:$Z$6,1,MATCH(CI49,'Rate &amp; Vol Update'!$E$6:$Z$6,1)+1)-CI49)*(INDEX('Rate &amp; Vol Update'!$B$8:$B$127,MATCH(CD49,'Rate &amp; Vol Update'!$B$8:$B$127,1)+1)-CD49)+INDEX('Rate &amp; Vol Update'!$E$8:$Z$127,MATCH(INDEX('Rate &amp; Vol Update'!$B$8:$B$127,MATCH(CD49,'Rate &amp; Vol Update'!$B$8:$B$127,1)),'Rate &amp; Vol Update'!$B$8:$B$127,0),MATCH(INDEX('Rate &amp; Vol Update'!$E$6:$Z$6,1,MATCH(CI49,'Rate &amp; Vol Update'!$E$6:$Z$6,1)+1),'Rate &amp; Vol Update'!$E$6:$Z$6,0))*(CI49-INDEX('Rate &amp; Vol Update'!$E$6:$Z$6,1,MATCH(CI49,'Rate &amp; Vol Update'!$E$6:$Z$6,1)))*(INDEX('Rate &amp; Vol Update'!$B$8:$B$127,MATCH(CD49,'Rate &amp; Vol Update'!$B$8:$B$127,1)+1)-CD49)+INDEX('Rate &amp; Vol Update'!$E$8:$Z$127,MATCH(INDEX('Rate &amp; Vol Update'!$B$8:$B$127,MATCH(CD49,'Rate &amp; Vol Update'!$B$8:$B$127,1)+1),'Rate &amp; Vol Update'!$B$8:$B$127,0),MATCH(INDEX('Rate &amp; Vol Update'!$E$6:$Z$6,1,MATCH(CI49,'Rate &amp; Vol Update'!$E$6:$Z$6,1)),'Rate &amp; Vol Update'!$E$6:$Z$6,0))*(INDEX('Rate &amp; Vol Update'!$E$6:$Z$6,1,MATCH(CI49,'Rate &amp; Vol Update'!$E$6:$Z$6,1)+1)-CI49)*(CD49-INDEX('Rate &amp; Vol Update'!$B$8:$B$127,MATCH(CD49,'Rate &amp; Vol Update'!$B$8:$B$127,1)))+INDEX('Rate &amp; Vol Update'!$E$8:$Z$127,MATCH(INDEX('Rate &amp; Vol Update'!$B$8:$B$127,MATCH(CD49,'Rate &amp; Vol Update'!$B$8:$B$127,1)+1),'Rate &amp; Vol Update'!$B$8:$B$127,0),MATCH(INDEX('Rate &amp; Vol Update'!$E$6:$Z$6,1,MATCH(CI49,'Rate &amp; Vol Update'!$E$6:$Z$6,1)+1),'Rate &amp; Vol Update'!$E$6:$Z$6,0))*(CI49-INDEX('Rate &amp; Vol Update'!$E$6:$Z$6,1,MATCH(CI49,'Rate &amp; Vol Update'!$E$6:$Z$6,1)))*(CD49-INDEX('Rate &amp; Vol Update'!$B$8:$B$127,MATCH(CD49,'Rate &amp; Vol Update'!$B$8:$B$127,1)))))*0.01%))</f>
        <v>1.1052836895809869E-2</v>
      </c>
      <c r="CL49" s="5">
        <f>IF(CC49="","",1/((1+CJ49)^((CE49-'Rate &amp; Vol Update'!$C$2)/360)))</f>
        <v>0.87380634431349791</v>
      </c>
      <c r="CN49" s="15">
        <f>IF(CC49="","",IF(CD49&lt;'Rate &amp; Vol Update'!$C$2,MAX(0,CJ49-CI49)*(CF49/360)*CH49,(((IF('Adjustment Surface'!$C$2='Data Validation'!$A$2,CJ49,IF('Adjustment Surface'!$C$2='Data Validation'!$A$3,CI49,"Unknown Option Type"))-IF('Adjustment Surface'!$C$2='Data Validation'!$A$2,CI49,IF('Adjustment Surface'!$C$2='Data Validation'!$A$3,CJ49,"Unknown Option Type")))*(NORMDIST((IF('Adjustment Surface'!$C$2='Data Validation'!$A$2,CJ49,IF('Adjustment Surface'!$C$2='Data Validation'!$A$3,CI49,"Unknown Option Type"))-IF('Adjustment Surface'!$C$2='Data Validation'!$A$2,CI49,IF('Adjustment Surface'!$C$2='Data Validation'!$A$3,CJ49,"Unknown Option Type")))/(CK49*SQRT(CG49)),0,1,TRUE)))+((CK49*SQRT(CG49))*(NORMDIST((IF('Adjustment Surface'!$C$2='Data Validation'!$A$2,CJ49,IF('Adjustment Surface'!$C$2='Data Validation'!$A$3,CI49,"Unknown Option Type"))-IF('Adjustment Surface'!$C$2='Data Validation'!$A$2,CI49,IF('Adjustment Surface'!$C$2='Data Validation'!$A$3,CJ49,"Unknown Option Type")))/(CK49*SQRT(CG49)),0,1,FALSE))))*CL49*(CF49/360)*CH49))</f>
        <v>2550.8576695940178</v>
      </c>
      <c r="CO49" s="15">
        <f>IF(CC49="","",SUM(CN$4:CN49))</f>
        <v>38345.050432799617</v>
      </c>
      <c r="CQ49" s="15">
        <f>IF(CC49="","",IF(CD49&lt;'Rate &amp; Vol Update'!$C$2,0,((((((IF('Adjustment Surface'!$C$2='Data Validation'!$A$2,CJ49,IF('Adjustment Surface'!$C$2='Data Validation'!$A$3,CI49,"Unknown Option Type"))-IF('Adjustment Surface'!$C$2='Data Validation'!$A$2,CI49,IF('Adjustment Surface'!$C$2='Data Validation'!$A$3,CJ49,"Unknown Option Type")))*(NORMDIST((IF('Adjustment Surface'!$C$2='Data Validation'!$A$2,CJ49,IF('Adjustment Surface'!$C$2='Data Validation'!$A$3,CI49,"Unknown Option Type"))-IF('Adjustment Surface'!$C$2='Data Validation'!$A$2,CI49,IF('Adjustment Surface'!$C$2='Data Validation'!$A$3,CJ49,"Unknown Option Type")))/((CK49+0.01%)*SQRT(CG49)),0,1,TRUE)))+(((CK49+0.01%)*SQRT(CG49))*(NORMDIST((IF('Adjustment Surface'!$C$2='Data Validation'!$A$2,CJ49,IF('Adjustment Surface'!$C$2='Data Validation'!$A$3,CI49,"Unknown Option Type"))-IF('Adjustment Surface'!$C$2='Data Validation'!$A$2,CI49,IF('Adjustment Surface'!$C$2='Data Validation'!$A$3,CJ49,"Unknown Option Type")))/((CK49+0.01%)*SQRT(CG49)),0,1,FALSE))))*CL49*(CF49/360))-(CN49/CH49))*CH49)*CL49))</f>
        <v>66.252296414128139</v>
      </c>
      <c r="CR49" s="15">
        <f>IF(CC49="","",SUM(CQ$4:CQ49))</f>
        <v>1239.6602416752894</v>
      </c>
    </row>
    <row r="50" spans="7:96" x14ac:dyDescent="0.25">
      <c r="G50" s="28"/>
      <c r="J50" s="4" t="str">
        <f>IF(K49='Adjustment Surface'!C$8,"",K49)</f>
        <v/>
      </c>
      <c r="K50" s="4" t="str">
        <f>IF(J50="","",IF(J50&lt;'Adjustment Surface'!C$7,EDATE(J$5,COUNT(J$5:J50)),IF(J50='Adjustment Surface'!C$7,'Adjustment Surface'!C$8,'Adjustment Surface'!C$7)))</f>
        <v/>
      </c>
      <c r="L50" s="3" t="str">
        <f t="shared" si="1"/>
        <v/>
      </c>
      <c r="M50" s="5" t="str">
        <f>IF(I50="","",(K50-'Rate &amp; Vol Update'!$C$2)/360)</f>
        <v/>
      </c>
      <c r="N50" s="15" t="str">
        <f>IF(I50="","",IF('Adjustment Surface'!C$3='Data Validation'!$C$2,'Adjustment Surface'!C$4,IF(INDEX(Schedules!$E$3:$E$123,MATCH('Bachelier Model'!J50,Schedules!$B$3:$B$123,0))="",N49,INDEX(Schedules!$E$3:$E$123,MATCH('Bachelier Model'!J50,Schedules!$B$3:$B$123,0)))))</f>
        <v/>
      </c>
      <c r="O50" s="16" t="str">
        <f>IF(I50="","",IF('Adjustment Surface'!C$9='Data Validation'!$D$2,'Adjustment Surface'!C$10,IF(INDEX(Schedules!$H$3:$H$123,MATCH('Bachelier Model'!J50,Schedules!$B$3:$B$123,0))="",O49,INDEX(Schedules!$H$3:$H$123,MATCH('Bachelier Model'!J50,Schedules!$B$3:$B$123,0)))))</f>
        <v/>
      </c>
      <c r="P50" s="16" t="str" cm="1">
        <f t="array" ref="P50">IF(I50="","",FORECAST(J50,INDEX('Rate &amp; Vol Update'!$C$6:$C$127,MATCH(INDEX('Rate &amp; Vol Update'!$B$6:$B$127,MATCH(J50,'Rate &amp; Vol Update'!$B$6:$B$127,1)),'Rate &amp; Vol Update'!$B$6:$B$127,0)+IF('Adjustment Surface'!C$11='Data Validation'!$E$3,-1,0)):INDEX('Rate &amp; Vol Update'!$C$6:$C$127,MATCH(INDEX('Rate &amp; Vol Update'!$B$6:$B$127,MATCH(J50,'Rate &amp; Vol Update'!$B$6:$B$127,1)+1),'Rate &amp; Vol Update'!$B$6:$B$127,0)+IF('Adjustment Surface'!C$11='Data Validation'!$E$3,-1,0)),INDEX('Rate &amp; Vol Update'!$B$6:$B$127,MATCH(J50,'Rate &amp; Vol Update'!$B$6:$B$127,1)):INDEX('Rate &amp; Vol Update'!$B$6:$B$127,MATCH(J50,'Rate &amp; Vol Update'!$B$6:$B$127,1)+1))/100)</f>
        <v/>
      </c>
      <c r="Q50" s="16" t="str" cm="1">
        <f t="array" ref="Q50">IF(I50="","",IF(J50&lt;'Rate &amp; Vol Update'!$C$2,0.001%,(1/((INDEX('Rate &amp; Vol Update'!$E$6:$Z$6,1,MATCH(O50,'Rate &amp; Vol Update'!$E$6:$Z$6,1)+1)-INDEX('Rate &amp; Vol Update'!$E$6:$Z$6,1,MATCH(O50,'Rate &amp; Vol Update'!$E$6:$Z$6,1)))*(INDEX('Rate &amp; Vol Update'!$B$8:$B$127,MATCH(J50,'Rate &amp; Vol Update'!$B$8:$B$127,1)+1)-INDEX('Rate &amp; Vol Update'!$B$8:$B$127,MATCH(J50,'Rate &amp; Vol Update'!$B$8:$B$127,1))))*(INDEX('Rate &amp; Vol Update'!$E$8:$Z$127,MATCH(INDEX('Rate &amp; Vol Update'!$B$8:$B$127,MATCH(J50,'Rate &amp; Vol Update'!$B$8:$B$127,1)),'Rate &amp; Vol Update'!$B$8:$B$127,0),MATCH(INDEX('Rate &amp; Vol Update'!$E$6:$Z$6,1,MATCH(O50,'Rate &amp; Vol Update'!$E$6:$Z$6,1)),'Rate &amp; Vol Update'!$E$6:$Z$6,0))*(INDEX('Rate &amp; Vol Update'!$E$6:$Z$6,1,MATCH(O50,'Rate &amp; Vol Update'!$E$6:$Z$6,1)+1)-O50)*(INDEX('Rate &amp; Vol Update'!$B$8:$B$127,MATCH(J50,'Rate &amp; Vol Update'!$B$8:$B$127,1)+1)-J50)+INDEX('Rate &amp; Vol Update'!$E$8:$Z$127,MATCH(INDEX('Rate &amp; Vol Update'!$B$8:$B$127,MATCH(J50,'Rate &amp; Vol Update'!$B$8:$B$127,1)),'Rate &amp; Vol Update'!$B$8:$B$127,0),MATCH(INDEX('Rate &amp; Vol Update'!$E$6:$Z$6,1,MATCH(O50,'Rate &amp; Vol Update'!$E$6:$Z$6,1)+1),'Rate &amp; Vol Update'!$E$6:$Z$6,0))*(O50-INDEX('Rate &amp; Vol Update'!$E$6:$Z$6,1,MATCH(O50,'Rate &amp; Vol Update'!$E$6:$Z$6,1)))*(INDEX('Rate &amp; Vol Update'!$B$8:$B$127,MATCH(J50,'Rate &amp; Vol Update'!$B$8:$B$127,1)+1)-J50)+INDEX('Rate &amp; Vol Update'!$E$8:$Z$127,MATCH(INDEX('Rate &amp; Vol Update'!$B$8:$B$127,MATCH(J50,'Rate &amp; Vol Update'!$B$8:$B$127,1)+1),'Rate &amp; Vol Update'!$B$8:$B$127,0),MATCH(INDEX('Rate &amp; Vol Update'!$E$6:$Z$6,1,MATCH(O50,'Rate &amp; Vol Update'!$E$6:$Z$6,1)),'Rate &amp; Vol Update'!$E$6:$Z$6,0))*(INDEX('Rate &amp; Vol Update'!$E$6:$Z$6,1,MATCH(O50,'Rate &amp; Vol Update'!$E$6:$Z$6,1)+1)-O50)*(J50-INDEX('Rate &amp; Vol Update'!$B$8:$B$127,MATCH(J50,'Rate &amp; Vol Update'!$B$8:$B$127,1)))+INDEX('Rate &amp; Vol Update'!$E$8:$Z$127,MATCH(INDEX('Rate &amp; Vol Update'!$B$8:$B$127,MATCH(J50,'Rate &amp; Vol Update'!$B$8:$B$127,1)+1),'Rate &amp; Vol Update'!$B$8:$B$127,0),MATCH(INDEX('Rate &amp; Vol Update'!$E$6:$Z$6,1,MATCH(O50,'Rate &amp; Vol Update'!$E$6:$Z$6,1)+1),'Rate &amp; Vol Update'!$E$6:$Z$6,0))*(O50-INDEX('Rate &amp; Vol Update'!$E$6:$Z$6,1,MATCH(O50,'Rate &amp; Vol Update'!$E$6:$Z$6,1)))*(J50-INDEX('Rate &amp; Vol Update'!$B$8:$B$127,MATCH(J50,'Rate &amp; Vol Update'!$B$8:$B$127,1)))))*0.01%))</f>
        <v/>
      </c>
      <c r="R50" s="5" t="str">
        <f>IF(I50="","",1/((1+P50)^((K50-'Rate &amp; Vol Update'!$C$2)/360)))</f>
        <v/>
      </c>
      <c r="T50" s="15" t="str">
        <f>IF(I50="","",IF(J50&lt;'Rate &amp; Vol Update'!$C$2,MAX(0,P50-O50)*(L50/360)*N50,(((IF('Adjustment Surface'!C$2='Data Validation'!$A$2,P50,IF('Adjustment Surface'!C$2='Data Validation'!$A$3,O50,"Unknown Option Type"))-IF('Adjustment Surface'!C$2='Data Validation'!$A$2,O50,IF('Adjustment Surface'!C$2='Data Validation'!$A$3,P50,"Unknown Option Type")))*(NORMDIST((IF('Adjustment Surface'!C$2='Data Validation'!$A$2,P50,IF('Adjustment Surface'!C$2='Data Validation'!$A$3,O50,"Unknown Option Type"))-IF('Adjustment Surface'!C$2='Data Validation'!$A$2,O50,IF('Adjustment Surface'!C$2='Data Validation'!$A$3,P50,"Unknown Option Type")))/(Q50*SQRT(M50)),0,1,TRUE)))+((Q50*SQRT(M50))*(NORMDIST((IF('Adjustment Surface'!C$2='Data Validation'!$A$2,P50,IF('Adjustment Surface'!C$2='Data Validation'!$A$3,O50,"Unknown Option Type"))-IF('Adjustment Surface'!C$2='Data Validation'!$A$2,O50,IF('Adjustment Surface'!C$2='Data Validation'!$A$3,P50,"Unknown Option Type")))/(Q50*SQRT(M50)),0,1,FALSE))))*R50*(L50/360)*N50))</f>
        <v/>
      </c>
      <c r="U50" s="15" t="str">
        <f>IF(I50="","",SUM(T$4:T50))</f>
        <v/>
      </c>
      <c r="W50" s="15" t="str">
        <f>IF(I50="","",IF(J50&lt;'Rate &amp; Vol Update'!$C$2,0,((((((IF('Adjustment Surface'!C$2='Data Validation'!$A$2,P50,IF('Adjustment Surface'!C$2='Data Validation'!$A$3,O50,"Unknown Option Type"))-IF('Adjustment Surface'!C$2='Data Validation'!$A$2,O50,IF('Adjustment Surface'!C$2='Data Validation'!$A$3,P50,"Unknown Option Type")))*(NORMDIST((IF('Adjustment Surface'!C$2='Data Validation'!$A$2,P50,IF('Adjustment Surface'!C$2='Data Validation'!$A$3,O50,"Unknown Option Type"))-IF('Adjustment Surface'!C$2='Data Validation'!$A$2,O50,IF('Adjustment Surface'!C$2='Data Validation'!$A$3,P50,"Unknown Option Type")))/((Q50+0.01%)*SQRT(M50)),0,1,TRUE)))+(((Q50+0.01%)*SQRT(M50))*(NORMDIST((IF('Adjustment Surface'!C$2='Data Validation'!$A$2,P50,IF('Adjustment Surface'!C$2='Data Validation'!$A$3,O50,"Unknown Option Type"))-IF('Adjustment Surface'!C$2='Data Validation'!$A$2,O50,IF('Adjustment Surface'!C$2='Data Validation'!$A$3,P50,"Unknown Option Type")))/((Q50+0.01%)*SQRT(M50)),0,1,FALSE))))*R50*(L50/360))-(T50/N50))*N50)*R50))</f>
        <v/>
      </c>
      <c r="X50" s="15" t="str">
        <f>IF(I50="","",SUM(W$4:W50))</f>
        <v/>
      </c>
      <c r="Y50" s="15"/>
      <c r="Z50" s="20"/>
      <c r="AA50" s="3">
        <v>47</v>
      </c>
      <c r="AB50" s="4">
        <f>IF(AC49=MAX('Adjustment Surface'!$C$14:$F$14),"",AC49)</f>
        <v>47463</v>
      </c>
      <c r="AC50" s="4">
        <f>IF(AB50="","",IF(AB50&lt;EDATE('Adjustment Surface'!$C$6,DATEDIF('Adjustment Surface'!$C$6,MAX('Adjustment Surface'!$C$14:$F$14),"M")),EDATE(AB$5,COUNT(AB$5:AB50)),IF(AB50=EDATE('Adjustment Surface'!$C$6,DATEDIF('Adjustment Surface'!$C$6,MAX('Adjustment Surface'!$C$14:$F$14),"M")),MAX('Adjustment Surface'!$C$14:$F$14),EDATE('Adjustment Surface'!$C$6,DATEDIF('Adjustment Surface'!$C$6,MAX('Adjustment Surface'!$C$14:$F$14),"M")))))</f>
        <v>47494</v>
      </c>
      <c r="AD50" s="3">
        <f t="shared" si="2"/>
        <v>31</v>
      </c>
      <c r="AE50" s="5">
        <f>IF(AA50="","",(AC50-'Rate &amp; Vol Update'!$C$2)/360)</f>
        <v>3.9722222222222223</v>
      </c>
      <c r="AF50" s="15">
        <f>IF(AA50="","",IF('Adjustment Surface'!$C$3='Data Validation'!$C$2,'Adjustment Surface'!$C$4,_xlfn.IFNA(IF(INDEX(Schedules!$E$3:$E$123,MATCH('Bachelier Model'!AB50,Schedules!$B$3:$B$123,0))="",AF49,INDEX(Schedules!$E$3:$E$123,MATCH('Bachelier Model'!AB50,Schedules!$B$3:$B$123,0))),AF49)))</f>
        <v>25000000</v>
      </c>
      <c r="AG50" s="16">
        <f>IF(AA50="","",'Adjustment Surface'!B$15)</f>
        <v>0.03</v>
      </c>
      <c r="AH50" s="16" cm="1">
        <f t="array" ref="AH50">IF(AA50="","",FORECAST(AB50,INDEX('Rate &amp; Vol Update'!$C$6:$C$127,MATCH(INDEX('Rate &amp; Vol Update'!$B$6:$B$127,MATCH(AB50,'Rate &amp; Vol Update'!$B$6:$B$127,1)),'Rate &amp; Vol Update'!$B$6:$B$127,0)+IF('Adjustment Surface'!$C$11='Data Validation'!$E$3,-1,0)):INDEX('Rate &amp; Vol Update'!$C$6:$C$127,MATCH(INDEX('Rate &amp; Vol Update'!$B$6:$B$127,MATCH(AB50,'Rate &amp; Vol Update'!$B$6:$B$127,1)+1),'Rate &amp; Vol Update'!$B$6:$B$127,0)+IF('Adjustment Surface'!$C$11='Data Validation'!$E$3,-1,0)),INDEX('Rate &amp; Vol Update'!$B$6:$B$127,MATCH(AB50,'Rate &amp; Vol Update'!$B$6:$B$127,1)):INDEX('Rate &amp; Vol Update'!$B$6:$B$127,MATCH(AB50,'Rate &amp; Vol Update'!$B$6:$B$127,1)+1))/100)</f>
        <v>3.5321976280819067E-2</v>
      </c>
      <c r="AI50" s="16" cm="1">
        <f t="array" ref="AI50">IF(AA50="","",IF(AB50&lt;'Rate &amp; Vol Update'!$C$2,0.001%,(1/((INDEX('Rate &amp; Vol Update'!$E$6:$Z$6,1,MATCH(AG50,'Rate &amp; Vol Update'!$E$6:$Z$6,1)+1)-INDEX('Rate &amp; Vol Update'!$E$6:$Z$6,1,MATCH(AG50,'Rate &amp; Vol Update'!$E$6:$Z$6,1)))*(INDEX('Rate &amp; Vol Update'!$B$8:$B$127,MATCH(AB50,'Rate &amp; Vol Update'!$B$8:$B$127,1)+1)-INDEX('Rate &amp; Vol Update'!$B$8:$B$127,MATCH(AB50,'Rate &amp; Vol Update'!$B$8:$B$127,1))))*(INDEX('Rate &amp; Vol Update'!$E$8:$Z$127,MATCH(INDEX('Rate &amp; Vol Update'!$B$8:$B$127,MATCH(AB50,'Rate &amp; Vol Update'!$B$8:$B$127,1)),'Rate &amp; Vol Update'!$B$8:$B$127,0),MATCH(INDEX('Rate &amp; Vol Update'!$E$6:$Z$6,1,MATCH(AG50,'Rate &amp; Vol Update'!$E$6:$Z$6,1)),'Rate &amp; Vol Update'!$E$6:$Z$6,0))*(INDEX('Rate &amp; Vol Update'!$E$6:$Z$6,1,MATCH(AG50,'Rate &amp; Vol Update'!$E$6:$Z$6,1)+1)-AG50)*(INDEX('Rate &amp; Vol Update'!$B$8:$B$127,MATCH(AB50,'Rate &amp; Vol Update'!$B$8:$B$127,1)+1)-AB50)+INDEX('Rate &amp; Vol Update'!$E$8:$Z$127,MATCH(INDEX('Rate &amp; Vol Update'!$B$8:$B$127,MATCH(AB50,'Rate &amp; Vol Update'!$B$8:$B$127,1)),'Rate &amp; Vol Update'!$B$8:$B$127,0),MATCH(INDEX('Rate &amp; Vol Update'!$E$6:$Z$6,1,MATCH(AG50,'Rate &amp; Vol Update'!$E$6:$Z$6,1)+1),'Rate &amp; Vol Update'!$E$6:$Z$6,0))*(AG50-INDEX('Rate &amp; Vol Update'!$E$6:$Z$6,1,MATCH(AG50,'Rate &amp; Vol Update'!$E$6:$Z$6,1)))*(INDEX('Rate &amp; Vol Update'!$B$8:$B$127,MATCH(AB50,'Rate &amp; Vol Update'!$B$8:$B$127,1)+1)-AB50)+INDEX('Rate &amp; Vol Update'!$E$8:$Z$127,MATCH(INDEX('Rate &amp; Vol Update'!$B$8:$B$127,MATCH(AB50,'Rate &amp; Vol Update'!$B$8:$B$127,1)+1),'Rate &amp; Vol Update'!$B$8:$B$127,0),MATCH(INDEX('Rate &amp; Vol Update'!$E$6:$Z$6,1,MATCH(AG50,'Rate &amp; Vol Update'!$E$6:$Z$6,1)),'Rate &amp; Vol Update'!$E$6:$Z$6,0))*(INDEX('Rate &amp; Vol Update'!$E$6:$Z$6,1,MATCH(AG50,'Rate &amp; Vol Update'!$E$6:$Z$6,1)+1)-AG50)*(AB50-INDEX('Rate &amp; Vol Update'!$B$8:$B$127,MATCH(AB50,'Rate &amp; Vol Update'!$B$8:$B$127,1)))+INDEX('Rate &amp; Vol Update'!$E$8:$Z$127,MATCH(INDEX('Rate &amp; Vol Update'!$B$8:$B$127,MATCH(AB50,'Rate &amp; Vol Update'!$B$8:$B$127,1)+1),'Rate &amp; Vol Update'!$B$8:$B$127,0),MATCH(INDEX('Rate &amp; Vol Update'!$E$6:$Z$6,1,MATCH(AG50,'Rate &amp; Vol Update'!$E$6:$Z$6,1)+1),'Rate &amp; Vol Update'!$E$6:$Z$6,0))*(AG50-INDEX('Rate &amp; Vol Update'!$E$6:$Z$6,1,MATCH(AG50,'Rate &amp; Vol Update'!$E$6:$Z$6,1)))*(AB50-INDEX('Rate &amp; Vol Update'!$B$8:$B$127,MATCH(AB50,'Rate &amp; Vol Update'!$B$8:$B$127,1)))))*0.01%))</f>
        <v>8.1234015112856064E-3</v>
      </c>
      <c r="AJ50" s="5">
        <f>IF(AA50="","",1/((1+AH50)^((AC50-'Rate &amp; Vol Update'!$C$2)/360)))</f>
        <v>0.87119832417089837</v>
      </c>
      <c r="AL50" s="15">
        <f>IF(AA50="","",IF(AB50&lt;'Rate &amp; Vol Update'!$C$2,MAX(0,AH50-AG50)*(AD50/360)*AF50,(((IF('Adjustment Surface'!$C$2='Data Validation'!$A$2,AH50,IF('Adjustment Surface'!$C$2='Data Validation'!$A$3,AG50,"Unknown Option Type"))-IF('Adjustment Surface'!$C$2='Data Validation'!$A$2,AG50,IF('Adjustment Surface'!$C$2='Data Validation'!$A$3,AH50,"Unknown Option Type")))*(NORMDIST((IF('Adjustment Surface'!$C$2='Data Validation'!$A$2,AH50,IF('Adjustment Surface'!$C$2='Data Validation'!$A$3,AG50,"Unknown Option Type"))-IF('Adjustment Surface'!$C$2='Data Validation'!$A$2,AG50,IF('Adjustment Surface'!$C$2='Data Validation'!$A$3,AH50,"Unknown Option Type")))/(AI50*SQRT(AE50)),0,1,TRUE)))+((AI50*SQRT(AE50))*(NORMDIST((IF('Adjustment Surface'!$C$2='Data Validation'!$A$2,AH50,IF('Adjustment Surface'!$C$2='Data Validation'!$A$3,AG50,"Unknown Option Type"))-IF('Adjustment Surface'!$C$2='Data Validation'!$A$2,AG50,IF('Adjustment Surface'!$C$2='Data Validation'!$A$3,AH50,"Unknown Option Type")))/(AI50*SQRT(AE50)),0,1,FALSE))))*AJ50*(AD50/360)*AF50))</f>
        <v>17753.126622824693</v>
      </c>
      <c r="AM50" s="15">
        <f>IF(AA50="","",SUM(AL$4:AL50))</f>
        <v>597965.95163201261</v>
      </c>
      <c r="AO50" s="15">
        <f>IF(AA50="","",IF(AB50&lt;'Rate &amp; Vol Update'!$C$2,0,((((((IF('Adjustment Surface'!$C$2='Data Validation'!$A$2,AH50,IF('Adjustment Surface'!$C$2='Data Validation'!$A$3,AG50,"Unknown Option Type"))-IF('Adjustment Surface'!$C$2='Data Validation'!$A$2,AG50,IF('Adjustment Surface'!$C$2='Data Validation'!$A$3,AH50,"Unknown Option Type")))*(NORMDIST((IF('Adjustment Surface'!$C$2='Data Validation'!$A$2,AH50,IF('Adjustment Surface'!$C$2='Data Validation'!$A$3,AG50,"Unknown Option Type"))-IF('Adjustment Surface'!$C$2='Data Validation'!$A$2,AG50,IF('Adjustment Surface'!$C$2='Data Validation'!$A$3,AH50,"Unknown Option Type")))/((AI50+0.01%)*SQRT(AE50)),0,1,TRUE)))+(((AI50+0.01%)*SQRT(AE50))*(NORMDIST((IF('Adjustment Surface'!$C$2='Data Validation'!$A$2,AH50,IF('Adjustment Surface'!$C$2='Data Validation'!$A$3,AG50,"Unknown Option Type"))-IF('Adjustment Surface'!$C$2='Data Validation'!$A$2,AG50,IF('Adjustment Surface'!$C$2='Data Validation'!$A$3,AH50,"Unknown Option Type")))/((AI50+0.01%)*SQRT(AE50)),0,1,FALSE))))*AJ50*(AD50/360))-(AL50/AF50))*AF50)*AJ50))</f>
        <v>123.16351118641825</v>
      </c>
      <c r="AP50" s="15">
        <f>IF(AA50="","",SUM(AO$4:AO50))</f>
        <v>4209.4025182231562</v>
      </c>
      <c r="AQ50" s="15"/>
      <c r="AR50" s="20"/>
      <c r="AS50" s="3">
        <v>47</v>
      </c>
      <c r="AT50" s="4">
        <f>IF(AU49=MAX('Adjustment Surface'!$C$14:$F$14),"",AU49)</f>
        <v>47463</v>
      </c>
      <c r="AU50" s="4">
        <f>IF(AT50="","",IF(AT50&lt;EDATE('Adjustment Surface'!$C$6,DATEDIF('Adjustment Surface'!$C$6,MAX('Adjustment Surface'!$C$14:$F$14),"M")),EDATE(AT$5,COUNT(AT$5:AT50)),IF(AT50=EDATE('Adjustment Surface'!$C$6,DATEDIF('Adjustment Surface'!$C$6,MAX('Adjustment Surface'!$C$14:$F$14),"M")),MAX('Adjustment Surface'!$C$14:$F$14),EDATE('Adjustment Surface'!$C$6,DATEDIF('Adjustment Surface'!$C$6,MAX('Adjustment Surface'!$C$14:$F$14),"M")))))</f>
        <v>47494</v>
      </c>
      <c r="AV50" s="3">
        <f t="shared" si="3"/>
        <v>31</v>
      </c>
      <c r="AW50" s="5">
        <f>IF(AS50="","",(AU50-'Rate &amp; Vol Update'!$C$2)/360)</f>
        <v>3.9722222222222223</v>
      </c>
      <c r="AX50" s="15">
        <f>IF(AS50="","",IF('Adjustment Surface'!$C$3='Data Validation'!$C$2,'Adjustment Surface'!$C$4,_xlfn.IFNA(IF(INDEX(Schedules!$E$3:$E$123,MATCH('Bachelier Model'!AT50,Schedules!$B$3:$B$123,0))="",AX49,INDEX(Schedules!$E$3:$E$123,MATCH('Bachelier Model'!AT50,Schedules!$B$3:$B$123,0))),AX49)))</f>
        <v>25000000</v>
      </c>
      <c r="AY50" s="16">
        <f>IF(AS50="","",'Adjustment Surface'!B$16)</f>
        <v>0.04</v>
      </c>
      <c r="AZ50" s="16" cm="1">
        <f t="array" ref="AZ50">IF(AS50="","",FORECAST(AT50,INDEX('Rate &amp; Vol Update'!$C$6:$C$127,MATCH(INDEX('Rate &amp; Vol Update'!$B$6:$B$127,MATCH(AT50,'Rate &amp; Vol Update'!$B$6:$B$127,1)),'Rate &amp; Vol Update'!$B$6:$B$127,0)+IF('Adjustment Surface'!$C$11='Data Validation'!$E$3,-1,0)):INDEX('Rate &amp; Vol Update'!$C$6:$C$127,MATCH(INDEX('Rate &amp; Vol Update'!$B$6:$B$127,MATCH(AT50,'Rate &amp; Vol Update'!$B$6:$B$127,1)+1),'Rate &amp; Vol Update'!$B$6:$B$127,0)+IF('Adjustment Surface'!$C$11='Data Validation'!$E$3,-1,0)),INDEX('Rate &amp; Vol Update'!$B$6:$B$127,MATCH(AT50,'Rate &amp; Vol Update'!$B$6:$B$127,1)):INDEX('Rate &amp; Vol Update'!$B$6:$B$127,MATCH(AT50,'Rate &amp; Vol Update'!$B$6:$B$127,1)+1))/100)</f>
        <v>3.5321976280819067E-2</v>
      </c>
      <c r="BA50" s="16" cm="1">
        <f t="array" ref="BA50">IF(AS50="","",IF(AT50&lt;'Rate &amp; Vol Update'!$C$2,0.001%,(1/((INDEX('Rate &amp; Vol Update'!$E$6:$Z$6,1,MATCH(AY50,'Rate &amp; Vol Update'!$E$6:$Z$6,1)+1)-INDEX('Rate &amp; Vol Update'!$E$6:$Z$6,1,MATCH(AY50,'Rate &amp; Vol Update'!$E$6:$Z$6,1)))*(INDEX('Rate &amp; Vol Update'!$B$8:$B$127,MATCH(AT50,'Rate &amp; Vol Update'!$B$8:$B$127,1)+1)-INDEX('Rate &amp; Vol Update'!$B$8:$B$127,MATCH(AT50,'Rate &amp; Vol Update'!$B$8:$B$127,1))))*(INDEX('Rate &amp; Vol Update'!$E$8:$Z$127,MATCH(INDEX('Rate &amp; Vol Update'!$B$8:$B$127,MATCH(AT50,'Rate &amp; Vol Update'!$B$8:$B$127,1)),'Rate &amp; Vol Update'!$B$8:$B$127,0),MATCH(INDEX('Rate &amp; Vol Update'!$E$6:$Z$6,1,MATCH(AY50,'Rate &amp; Vol Update'!$E$6:$Z$6,1)),'Rate &amp; Vol Update'!$E$6:$Z$6,0))*(INDEX('Rate &amp; Vol Update'!$E$6:$Z$6,1,MATCH(AY50,'Rate &amp; Vol Update'!$E$6:$Z$6,1)+1)-AY50)*(INDEX('Rate &amp; Vol Update'!$B$8:$B$127,MATCH(AT50,'Rate &amp; Vol Update'!$B$8:$B$127,1)+1)-AT50)+INDEX('Rate &amp; Vol Update'!$E$8:$Z$127,MATCH(INDEX('Rate &amp; Vol Update'!$B$8:$B$127,MATCH(AT50,'Rate &amp; Vol Update'!$B$8:$B$127,1)),'Rate &amp; Vol Update'!$B$8:$B$127,0),MATCH(INDEX('Rate &amp; Vol Update'!$E$6:$Z$6,1,MATCH(AY50,'Rate &amp; Vol Update'!$E$6:$Z$6,1)+1),'Rate &amp; Vol Update'!$E$6:$Z$6,0))*(AY50-INDEX('Rate &amp; Vol Update'!$E$6:$Z$6,1,MATCH(AY50,'Rate &amp; Vol Update'!$E$6:$Z$6,1)))*(INDEX('Rate &amp; Vol Update'!$B$8:$B$127,MATCH(AT50,'Rate &amp; Vol Update'!$B$8:$B$127,1)+1)-AT50)+INDEX('Rate &amp; Vol Update'!$E$8:$Z$127,MATCH(INDEX('Rate &amp; Vol Update'!$B$8:$B$127,MATCH(AT50,'Rate &amp; Vol Update'!$B$8:$B$127,1)+1),'Rate &amp; Vol Update'!$B$8:$B$127,0),MATCH(INDEX('Rate &amp; Vol Update'!$E$6:$Z$6,1,MATCH(AY50,'Rate &amp; Vol Update'!$E$6:$Z$6,1)),'Rate &amp; Vol Update'!$E$6:$Z$6,0))*(INDEX('Rate &amp; Vol Update'!$E$6:$Z$6,1,MATCH(AY50,'Rate &amp; Vol Update'!$E$6:$Z$6,1)+1)-AY50)*(AT50-INDEX('Rate &amp; Vol Update'!$B$8:$B$127,MATCH(AT50,'Rate &amp; Vol Update'!$B$8:$B$127,1)))+INDEX('Rate &amp; Vol Update'!$E$8:$Z$127,MATCH(INDEX('Rate &amp; Vol Update'!$B$8:$B$127,MATCH(AT50,'Rate &amp; Vol Update'!$B$8:$B$127,1)+1),'Rate &amp; Vol Update'!$B$8:$B$127,0),MATCH(INDEX('Rate &amp; Vol Update'!$E$6:$Z$6,1,MATCH(AY50,'Rate &amp; Vol Update'!$E$6:$Z$6,1)+1),'Rate &amp; Vol Update'!$E$6:$Z$6,0))*(AY50-INDEX('Rate &amp; Vol Update'!$E$6:$Z$6,1,MATCH(AY50,'Rate &amp; Vol Update'!$E$6:$Z$6,1)))*(AT50-INDEX('Rate &amp; Vol Update'!$B$8:$B$127,MATCH(AT50,'Rate &amp; Vol Update'!$B$8:$B$127,1)))))*0.01%))</f>
        <v>8.629165673664823E-3</v>
      </c>
      <c r="BB50" s="5">
        <f>IF(AS50="","",1/((1+AZ50)^((AU50-'Rate &amp; Vol Update'!$C$2)/360)))</f>
        <v>0.87119832417089837</v>
      </c>
      <c r="BD50" s="15">
        <f>IF(AS50="","",IF(AT50&lt;'Rate &amp; Vol Update'!$C$2,MAX(0,AZ50-AY50)*(AV50/360)*AX50,(((IF('Adjustment Surface'!$C$2='Data Validation'!$A$2,AZ50,IF('Adjustment Surface'!$C$2='Data Validation'!$A$3,AY50,"Unknown Option Type"))-IF('Adjustment Surface'!$C$2='Data Validation'!$A$2,AY50,IF('Adjustment Surface'!$C$2='Data Validation'!$A$3,AZ50,"Unknown Option Type")))*(NORMDIST((IF('Adjustment Surface'!$C$2='Data Validation'!$A$2,AZ50,IF('Adjustment Surface'!$C$2='Data Validation'!$A$3,AY50,"Unknown Option Type"))-IF('Adjustment Surface'!$C$2='Data Validation'!$A$2,AY50,IF('Adjustment Surface'!$C$2='Data Validation'!$A$3,AZ50,"Unknown Option Type")))/(BA50*SQRT(AW50)),0,1,TRUE)))+((BA50*SQRT(AW50))*(NORMDIST((IF('Adjustment Surface'!$C$2='Data Validation'!$A$2,AZ50,IF('Adjustment Surface'!$C$2='Data Validation'!$A$3,AY50,"Unknown Option Type"))-IF('Adjustment Surface'!$C$2='Data Validation'!$A$2,AY50,IF('Adjustment Surface'!$C$2='Data Validation'!$A$3,AZ50,"Unknown Option Type")))/(BA50*SQRT(AW50)),0,1,FALSE))))*BB50*(AV50/360)*AX50))</f>
        <v>8954.3339940575443</v>
      </c>
      <c r="BE50" s="15">
        <f>IF(AS50="","",SUM(BD$4:BD50))</f>
        <v>184269.54613055114</v>
      </c>
      <c r="BG50" s="15">
        <f>IF(AS50="","",IF(AT50&lt;'Rate &amp; Vol Update'!$C$2,0,((((((IF('Adjustment Surface'!$C$2='Data Validation'!$A$2,AZ50,IF('Adjustment Surface'!$C$2='Data Validation'!$A$3,AY50,"Unknown Option Type"))-IF('Adjustment Surface'!$C$2='Data Validation'!$A$2,AY50,IF('Adjustment Surface'!$C$2='Data Validation'!$A$3,AZ50,"Unknown Option Type")))*(NORMDIST((IF('Adjustment Surface'!$C$2='Data Validation'!$A$2,AZ50,IF('Adjustment Surface'!$C$2='Data Validation'!$A$3,AY50,"Unknown Option Type"))-IF('Adjustment Surface'!$C$2='Data Validation'!$A$2,AY50,IF('Adjustment Surface'!$C$2='Data Validation'!$A$3,AZ50,"Unknown Option Type")))/((BA50+0.01%)*SQRT(AW50)),0,1,TRUE)))+(((BA50+0.01%)*SQRT(AW50))*(NORMDIST((IF('Adjustment Surface'!$C$2='Data Validation'!$A$2,AZ50,IF('Adjustment Surface'!$C$2='Data Validation'!$A$3,AY50,"Unknown Option Type"))-IF('Adjustment Surface'!$C$2='Data Validation'!$A$2,AY50,IF('Adjustment Surface'!$C$2='Data Validation'!$A$3,AZ50,"Unknown Option Type")))/((BA50+0.01%)*SQRT(AW50)),0,1,FALSE))))*BB50*(AV50/360))-(BD50/AX50))*AX50)*BB50))</f>
        <v>125.25012048181097</v>
      </c>
      <c r="BH50" s="15">
        <f>IF(AS50="","",SUM(BG$4:BG50))</f>
        <v>3619.4330650788902</v>
      </c>
      <c r="BI50" s="15"/>
      <c r="BJ50" s="20"/>
      <c r="BK50" s="3">
        <v>47</v>
      </c>
      <c r="BL50" s="4">
        <f>IF(BM49=MAX('Adjustment Surface'!$C$14:$F$14),"",BM49)</f>
        <v>47463</v>
      </c>
      <c r="BM50" s="4">
        <f>IF(BL50="","",IF(BL50&lt;EDATE('Adjustment Surface'!$C$6,DATEDIF('Adjustment Surface'!$C$6,MAX('Adjustment Surface'!$C$14:$F$14),"M")),EDATE(BL$5,COUNT(BL$5:BL50)),IF(BL50=EDATE('Adjustment Surface'!$C$6,DATEDIF('Adjustment Surface'!$C$6,MAX('Adjustment Surface'!$C$14:$F$14),"M")),MAX('Adjustment Surface'!$C$14:$F$14),EDATE('Adjustment Surface'!$C$6,DATEDIF('Adjustment Surface'!$C$6,MAX('Adjustment Surface'!$C$14:$F$14),"M")))))</f>
        <v>47494</v>
      </c>
      <c r="BN50" s="3">
        <f t="shared" si="4"/>
        <v>31</v>
      </c>
      <c r="BO50" s="5">
        <f>IF(BK50="","",(BM50-'Rate &amp; Vol Update'!$C$2)/360)</f>
        <v>3.9722222222222223</v>
      </c>
      <c r="BP50" s="15">
        <f>IF(BK50="","",IF('Adjustment Surface'!$C$3='Data Validation'!$C$2,'Adjustment Surface'!$C$4,_xlfn.IFNA(IF(INDEX(Schedules!$E$3:$E$123,MATCH('Bachelier Model'!BL50,Schedules!$B$3:$B$123,0))="",BP49,INDEX(Schedules!$E$3:$E$123,MATCH('Bachelier Model'!BL50,Schedules!$B$3:$B$123,0))),BP49)))</f>
        <v>25000000</v>
      </c>
      <c r="BQ50" s="16">
        <f>IF(BK50="","",'Adjustment Surface'!B$17)</f>
        <v>0.05</v>
      </c>
      <c r="BR50" s="16" cm="1">
        <f t="array" ref="BR50">IF(BK50="","",FORECAST(BL50,INDEX('Rate &amp; Vol Update'!$C$6:$C$127,MATCH(INDEX('Rate &amp; Vol Update'!$B$6:$B$127,MATCH(BL50,'Rate &amp; Vol Update'!$B$6:$B$127,1)),'Rate &amp; Vol Update'!$B$6:$B$127,0)+IF('Adjustment Surface'!$C$11='Data Validation'!$E$3,-1,0)):INDEX('Rate &amp; Vol Update'!$C$6:$C$127,MATCH(INDEX('Rate &amp; Vol Update'!$B$6:$B$127,MATCH(BL50,'Rate &amp; Vol Update'!$B$6:$B$127,1)+1),'Rate &amp; Vol Update'!$B$6:$B$127,0)+IF('Adjustment Surface'!$C$11='Data Validation'!$E$3,-1,0)),INDEX('Rate &amp; Vol Update'!$B$6:$B$127,MATCH(BL50,'Rate &amp; Vol Update'!$B$6:$B$127,1)):INDEX('Rate &amp; Vol Update'!$B$6:$B$127,MATCH(BL50,'Rate &amp; Vol Update'!$B$6:$B$127,1)+1))/100)</f>
        <v>3.5321976280819067E-2</v>
      </c>
      <c r="BS50" s="16" cm="1">
        <f t="array" ref="BS50">IF(BK50="","",IF(BL50&lt;'Rate &amp; Vol Update'!$C$2,0.001%,(1/((INDEX('Rate &amp; Vol Update'!$E$6:$Z$6,1,MATCH(BQ50,'Rate &amp; Vol Update'!$E$6:$Z$6,1)+1)-INDEX('Rate &amp; Vol Update'!$E$6:$Z$6,1,MATCH(BQ50,'Rate &amp; Vol Update'!$E$6:$Z$6,1)))*(INDEX('Rate &amp; Vol Update'!$B$8:$B$127,MATCH(BL50,'Rate &amp; Vol Update'!$B$8:$B$127,1)+1)-INDEX('Rate &amp; Vol Update'!$B$8:$B$127,MATCH(BL50,'Rate &amp; Vol Update'!$B$8:$B$127,1))))*(INDEX('Rate &amp; Vol Update'!$E$8:$Z$127,MATCH(INDEX('Rate &amp; Vol Update'!$B$8:$B$127,MATCH(BL50,'Rate &amp; Vol Update'!$B$8:$B$127,1)),'Rate &amp; Vol Update'!$B$8:$B$127,0),MATCH(INDEX('Rate &amp; Vol Update'!$E$6:$Z$6,1,MATCH(BQ50,'Rate &amp; Vol Update'!$E$6:$Z$6,1)),'Rate &amp; Vol Update'!$E$6:$Z$6,0))*(INDEX('Rate &amp; Vol Update'!$E$6:$Z$6,1,MATCH(BQ50,'Rate &amp; Vol Update'!$E$6:$Z$6,1)+1)-BQ50)*(INDEX('Rate &amp; Vol Update'!$B$8:$B$127,MATCH(BL50,'Rate &amp; Vol Update'!$B$8:$B$127,1)+1)-BL50)+INDEX('Rate &amp; Vol Update'!$E$8:$Z$127,MATCH(INDEX('Rate &amp; Vol Update'!$B$8:$B$127,MATCH(BL50,'Rate &amp; Vol Update'!$B$8:$B$127,1)),'Rate &amp; Vol Update'!$B$8:$B$127,0),MATCH(INDEX('Rate &amp; Vol Update'!$E$6:$Z$6,1,MATCH(BQ50,'Rate &amp; Vol Update'!$E$6:$Z$6,1)+1),'Rate &amp; Vol Update'!$E$6:$Z$6,0))*(BQ50-INDEX('Rate &amp; Vol Update'!$E$6:$Z$6,1,MATCH(BQ50,'Rate &amp; Vol Update'!$E$6:$Z$6,1)))*(INDEX('Rate &amp; Vol Update'!$B$8:$B$127,MATCH(BL50,'Rate &amp; Vol Update'!$B$8:$B$127,1)+1)-BL50)+INDEX('Rate &amp; Vol Update'!$E$8:$Z$127,MATCH(INDEX('Rate &amp; Vol Update'!$B$8:$B$127,MATCH(BL50,'Rate &amp; Vol Update'!$B$8:$B$127,1)+1),'Rate &amp; Vol Update'!$B$8:$B$127,0),MATCH(INDEX('Rate &amp; Vol Update'!$E$6:$Z$6,1,MATCH(BQ50,'Rate &amp; Vol Update'!$E$6:$Z$6,1)),'Rate &amp; Vol Update'!$E$6:$Z$6,0))*(INDEX('Rate &amp; Vol Update'!$E$6:$Z$6,1,MATCH(BQ50,'Rate &amp; Vol Update'!$E$6:$Z$6,1)+1)-BQ50)*(BL50-INDEX('Rate &amp; Vol Update'!$B$8:$B$127,MATCH(BL50,'Rate &amp; Vol Update'!$B$8:$B$127,1)))+INDEX('Rate &amp; Vol Update'!$E$8:$Z$127,MATCH(INDEX('Rate &amp; Vol Update'!$B$8:$B$127,MATCH(BL50,'Rate &amp; Vol Update'!$B$8:$B$127,1)+1),'Rate &amp; Vol Update'!$B$8:$B$127,0),MATCH(INDEX('Rate &amp; Vol Update'!$E$6:$Z$6,1,MATCH(BQ50,'Rate &amp; Vol Update'!$E$6:$Z$6,1)+1),'Rate &amp; Vol Update'!$E$6:$Z$6,0))*(BQ50-INDEX('Rate &amp; Vol Update'!$E$6:$Z$6,1,MATCH(BQ50,'Rate &amp; Vol Update'!$E$6:$Z$6,1)))*(BL50-INDEX('Rate &amp; Vol Update'!$B$8:$B$127,MATCH(BL50,'Rate &amp; Vol Update'!$B$8:$B$127,1)))))*0.01%))</f>
        <v>9.7002748644990019E-3</v>
      </c>
      <c r="BT50" s="5">
        <f>IF(BK50="","",1/((1+BR50)^((BM50-'Rate &amp; Vol Update'!$C$2)/360)))</f>
        <v>0.87119832417089837</v>
      </c>
      <c r="BV50" s="15">
        <f>IF(BK50="","",IF(BL50&lt;'Rate &amp; Vol Update'!$C$2,MAX(0,BR50-BQ50)*(BN50/360)*BP50,(((IF('Adjustment Surface'!$C$2='Data Validation'!$A$2,BR50,IF('Adjustment Surface'!$C$2='Data Validation'!$A$3,BQ50,"Unknown Option Type"))-IF('Adjustment Surface'!$C$2='Data Validation'!$A$2,BQ50,IF('Adjustment Surface'!$C$2='Data Validation'!$A$3,BR50,"Unknown Option Type")))*(NORMDIST((IF('Adjustment Surface'!$C$2='Data Validation'!$A$2,BR50,IF('Adjustment Surface'!$C$2='Data Validation'!$A$3,BQ50,"Unknown Option Type"))-IF('Adjustment Surface'!$C$2='Data Validation'!$A$2,BQ50,IF('Adjustment Surface'!$C$2='Data Validation'!$A$3,BR50,"Unknown Option Type")))/(BS50*SQRT(BO50)),0,1,TRUE)))+((BS50*SQRT(BO50))*(NORMDIST((IF('Adjustment Surface'!$C$2='Data Validation'!$A$2,BR50,IF('Adjustment Surface'!$C$2='Data Validation'!$A$3,BQ50,"Unknown Option Type"))-IF('Adjustment Surface'!$C$2='Data Validation'!$A$2,BQ50,IF('Adjustment Surface'!$C$2='Data Validation'!$A$3,BR50,"Unknown Option Type")))/(BS50*SQRT(BO50)),0,1,FALSE))))*BT50*(BN50/360)*BP50))</f>
        <v>4680.706373644477</v>
      </c>
      <c r="BW50" s="15">
        <f>IF(BK50="","",SUM(BV$4:BV50))</f>
        <v>78290.073634786386</v>
      </c>
      <c r="BY50" s="15">
        <f>IF(BK50="","",IF(BL50&lt;'Rate &amp; Vol Update'!$C$2,0,((((((IF('Adjustment Surface'!$C$2='Data Validation'!$A$2,BR50,IF('Adjustment Surface'!$C$2='Data Validation'!$A$3,BQ50,"Unknown Option Type"))-IF('Adjustment Surface'!$C$2='Data Validation'!$A$2,BQ50,IF('Adjustment Surface'!$C$2='Data Validation'!$A$3,BR50,"Unknown Option Type")))*(NORMDIST((IF('Adjustment Surface'!$C$2='Data Validation'!$A$2,BR50,IF('Adjustment Surface'!$C$2='Data Validation'!$A$3,BQ50,"Unknown Option Type"))-IF('Adjustment Surface'!$C$2='Data Validation'!$A$2,BQ50,IF('Adjustment Surface'!$C$2='Data Validation'!$A$3,BR50,"Unknown Option Type")))/((BS50+0.01%)*SQRT(BO50)),0,1,TRUE)))+(((BS50+0.01%)*SQRT(BO50))*(NORMDIST((IF('Adjustment Surface'!$C$2='Data Validation'!$A$2,BR50,IF('Adjustment Surface'!$C$2='Data Validation'!$A$3,BQ50,"Unknown Option Type"))-IF('Adjustment Surface'!$C$2='Data Validation'!$A$2,BQ50,IF('Adjustment Surface'!$C$2='Data Validation'!$A$3,BR50,"Unknown Option Type")))/((BS50+0.01%)*SQRT(BO50)),0,1,FALSE))))*BT50*(BN50/360))-(BV50/BP50))*BP50)*BT50))</f>
        <v>97.672310203146765</v>
      </c>
      <c r="BZ50" s="15">
        <f>IF(BK50="","",SUM(BY$4:BY50))</f>
        <v>2125.213584117309</v>
      </c>
      <c r="CA50" s="15"/>
      <c r="CB50" s="20"/>
      <c r="CC50" s="3">
        <v>47</v>
      </c>
      <c r="CD50" s="4">
        <f>IF(CE49=MAX('Adjustment Surface'!$C$14:$F$14),"",CE49)</f>
        <v>47463</v>
      </c>
      <c r="CE50" s="4">
        <f>IF(CD50="","",IF(CD50&lt;EDATE('Adjustment Surface'!$C$6,DATEDIF('Adjustment Surface'!$C$6,MAX('Adjustment Surface'!$C$14:$F$14),"M")),EDATE(CD$5,COUNT(CD$5:CD50)),IF(CD50=EDATE('Adjustment Surface'!$C$6,DATEDIF('Adjustment Surface'!$C$6,MAX('Adjustment Surface'!$C$14:$F$14),"M")),MAX('Adjustment Surface'!$C$14:$F$14),EDATE('Adjustment Surface'!$C$6,DATEDIF('Adjustment Surface'!$C$6,MAX('Adjustment Surface'!$C$14:$F$14),"M")))))</f>
        <v>47494</v>
      </c>
      <c r="CF50" s="3">
        <f t="shared" si="5"/>
        <v>31</v>
      </c>
      <c r="CG50" s="5">
        <f>IF(CC50="","",(CE50-'Rate &amp; Vol Update'!$C$2)/360)</f>
        <v>3.9722222222222223</v>
      </c>
      <c r="CH50" s="15">
        <f>IF(CC50="","",IF('Adjustment Surface'!$C$3='Data Validation'!$C$2,'Adjustment Surface'!$C$4,_xlfn.IFNA(IF(INDEX(Schedules!$E$3:$E$123,MATCH('Bachelier Model'!CD50,Schedules!$B$3:$B$123,0))="",CH49,INDEX(Schedules!$E$3:$E$123,MATCH('Bachelier Model'!CD50,Schedules!$B$3:$B$123,0))),CH49)))</f>
        <v>25000000</v>
      </c>
      <c r="CI50" s="16">
        <f>IF(CC50="","",'Adjustment Surface'!B$18)</f>
        <v>0.06</v>
      </c>
      <c r="CJ50" s="16" cm="1">
        <f t="array" ref="CJ50">IF(CC50="","",FORECAST(CD50,INDEX('Rate &amp; Vol Update'!$C$6:$C$127,MATCH(INDEX('Rate &amp; Vol Update'!$B$6:$B$127,MATCH(CD50,'Rate &amp; Vol Update'!$B$6:$B$127,1)),'Rate &amp; Vol Update'!$B$6:$B$127,0)+IF('Adjustment Surface'!$C$11='Data Validation'!$E$3,-1,0)):INDEX('Rate &amp; Vol Update'!$C$6:$C$127,MATCH(INDEX('Rate &amp; Vol Update'!$B$6:$B$127,MATCH(CD50,'Rate &amp; Vol Update'!$B$6:$B$127,1)+1),'Rate &amp; Vol Update'!$B$6:$B$127,0)+IF('Adjustment Surface'!$C$11='Data Validation'!$E$3,-1,0)),INDEX('Rate &amp; Vol Update'!$B$6:$B$127,MATCH(CD50,'Rate &amp; Vol Update'!$B$6:$B$127,1)):INDEX('Rate &amp; Vol Update'!$B$6:$B$127,MATCH(CD50,'Rate &amp; Vol Update'!$B$6:$B$127,1)+1))/100)</f>
        <v>3.5321976280819067E-2</v>
      </c>
      <c r="CK50" s="16" cm="1">
        <f t="array" ref="CK50">IF(CC50="","",IF(CD50&lt;'Rate &amp; Vol Update'!$C$2,0.001%,(1/((INDEX('Rate &amp; Vol Update'!$E$6:$Z$6,1,MATCH(CI50,'Rate &amp; Vol Update'!$E$6:$Z$6,1)+1)-INDEX('Rate &amp; Vol Update'!$E$6:$Z$6,1,MATCH(CI50,'Rate &amp; Vol Update'!$E$6:$Z$6,1)))*(INDEX('Rate &amp; Vol Update'!$B$8:$B$127,MATCH(CD50,'Rate &amp; Vol Update'!$B$8:$B$127,1)+1)-INDEX('Rate &amp; Vol Update'!$B$8:$B$127,MATCH(CD50,'Rate &amp; Vol Update'!$B$8:$B$127,1))))*(INDEX('Rate &amp; Vol Update'!$E$8:$Z$127,MATCH(INDEX('Rate &amp; Vol Update'!$B$8:$B$127,MATCH(CD50,'Rate &amp; Vol Update'!$B$8:$B$127,1)),'Rate &amp; Vol Update'!$B$8:$B$127,0),MATCH(INDEX('Rate &amp; Vol Update'!$E$6:$Z$6,1,MATCH(CI50,'Rate &amp; Vol Update'!$E$6:$Z$6,1)),'Rate &amp; Vol Update'!$E$6:$Z$6,0))*(INDEX('Rate &amp; Vol Update'!$E$6:$Z$6,1,MATCH(CI50,'Rate &amp; Vol Update'!$E$6:$Z$6,1)+1)-CI50)*(INDEX('Rate &amp; Vol Update'!$B$8:$B$127,MATCH(CD50,'Rate &amp; Vol Update'!$B$8:$B$127,1)+1)-CD50)+INDEX('Rate &amp; Vol Update'!$E$8:$Z$127,MATCH(INDEX('Rate &amp; Vol Update'!$B$8:$B$127,MATCH(CD50,'Rate &amp; Vol Update'!$B$8:$B$127,1)),'Rate &amp; Vol Update'!$B$8:$B$127,0),MATCH(INDEX('Rate &amp; Vol Update'!$E$6:$Z$6,1,MATCH(CI50,'Rate &amp; Vol Update'!$E$6:$Z$6,1)+1),'Rate &amp; Vol Update'!$E$6:$Z$6,0))*(CI50-INDEX('Rate &amp; Vol Update'!$E$6:$Z$6,1,MATCH(CI50,'Rate &amp; Vol Update'!$E$6:$Z$6,1)))*(INDEX('Rate &amp; Vol Update'!$B$8:$B$127,MATCH(CD50,'Rate &amp; Vol Update'!$B$8:$B$127,1)+1)-CD50)+INDEX('Rate &amp; Vol Update'!$E$8:$Z$127,MATCH(INDEX('Rate &amp; Vol Update'!$B$8:$B$127,MATCH(CD50,'Rate &amp; Vol Update'!$B$8:$B$127,1)+1),'Rate &amp; Vol Update'!$B$8:$B$127,0),MATCH(INDEX('Rate &amp; Vol Update'!$E$6:$Z$6,1,MATCH(CI50,'Rate &amp; Vol Update'!$E$6:$Z$6,1)),'Rate &amp; Vol Update'!$E$6:$Z$6,0))*(INDEX('Rate &amp; Vol Update'!$E$6:$Z$6,1,MATCH(CI50,'Rate &amp; Vol Update'!$E$6:$Z$6,1)+1)-CI50)*(CD50-INDEX('Rate &amp; Vol Update'!$B$8:$B$127,MATCH(CD50,'Rate &amp; Vol Update'!$B$8:$B$127,1)))+INDEX('Rate &amp; Vol Update'!$E$8:$Z$127,MATCH(INDEX('Rate &amp; Vol Update'!$B$8:$B$127,MATCH(CD50,'Rate &amp; Vol Update'!$B$8:$B$127,1)+1),'Rate &amp; Vol Update'!$B$8:$B$127,0),MATCH(INDEX('Rate &amp; Vol Update'!$E$6:$Z$6,1,MATCH(CI50,'Rate &amp; Vol Update'!$E$6:$Z$6,1)+1),'Rate &amp; Vol Update'!$E$6:$Z$6,0))*(CI50-INDEX('Rate &amp; Vol Update'!$E$6:$Z$6,1,MATCH(CI50,'Rate &amp; Vol Update'!$E$6:$Z$6,1)))*(CD50-INDEX('Rate &amp; Vol Update'!$B$8:$B$127,MATCH(CD50,'Rate &amp; Vol Update'!$B$8:$B$127,1)))))*0.01%))</f>
        <v>1.1022184409912648E-2</v>
      </c>
      <c r="CL50" s="5">
        <f>IF(CC50="","",1/((1+CJ50)^((CE50-'Rate &amp; Vol Update'!$C$2)/360)))</f>
        <v>0.87119832417089837</v>
      </c>
      <c r="CN50" s="15">
        <f>IF(CC50="","",IF(CD50&lt;'Rate &amp; Vol Update'!$C$2,MAX(0,CJ50-CI50)*(CF50/360)*CH50,(((IF('Adjustment Surface'!$C$2='Data Validation'!$A$2,CJ50,IF('Adjustment Surface'!$C$2='Data Validation'!$A$3,CI50,"Unknown Option Type"))-IF('Adjustment Surface'!$C$2='Data Validation'!$A$2,CI50,IF('Adjustment Surface'!$C$2='Data Validation'!$A$3,CJ50,"Unknown Option Type")))*(NORMDIST((IF('Adjustment Surface'!$C$2='Data Validation'!$A$2,CJ50,IF('Adjustment Surface'!$C$2='Data Validation'!$A$3,CI50,"Unknown Option Type"))-IF('Adjustment Surface'!$C$2='Data Validation'!$A$2,CI50,IF('Adjustment Surface'!$C$2='Data Validation'!$A$3,CJ50,"Unknown Option Type")))/(CK50*SQRT(CG50)),0,1,TRUE)))+((CK50*SQRT(CG50))*(NORMDIST((IF('Adjustment Surface'!$C$2='Data Validation'!$A$2,CJ50,IF('Adjustment Surface'!$C$2='Data Validation'!$A$3,CI50,"Unknown Option Type"))-IF('Adjustment Surface'!$C$2='Data Validation'!$A$2,CI50,IF('Adjustment Surface'!$C$2='Data Validation'!$A$3,CJ50,"Unknown Option Type")))/(CK50*SQRT(CG50)),0,1,FALSE))))*CL50*(CF50/360)*CH50))</f>
        <v>2698.9067299521553</v>
      </c>
      <c r="CO50" s="15">
        <f>IF(CC50="","",SUM(CN$4:CN50))</f>
        <v>41043.957162751773</v>
      </c>
      <c r="CQ50" s="15">
        <f>IF(CC50="","",IF(CD50&lt;'Rate &amp; Vol Update'!$C$2,0,((((((IF('Adjustment Surface'!$C$2='Data Validation'!$A$2,CJ50,IF('Adjustment Surface'!$C$2='Data Validation'!$A$3,CI50,"Unknown Option Type"))-IF('Adjustment Surface'!$C$2='Data Validation'!$A$2,CI50,IF('Adjustment Surface'!$C$2='Data Validation'!$A$3,CJ50,"Unknown Option Type")))*(NORMDIST((IF('Adjustment Surface'!$C$2='Data Validation'!$A$2,CJ50,IF('Adjustment Surface'!$C$2='Data Validation'!$A$3,CI50,"Unknown Option Type"))-IF('Adjustment Surface'!$C$2='Data Validation'!$A$2,CI50,IF('Adjustment Surface'!$C$2='Data Validation'!$A$3,CJ50,"Unknown Option Type")))/((CK50+0.01%)*SQRT(CG50)),0,1,TRUE)))+(((CK50+0.01%)*SQRT(CG50))*(NORMDIST((IF('Adjustment Surface'!$C$2='Data Validation'!$A$2,CJ50,IF('Adjustment Surface'!$C$2='Data Validation'!$A$3,CI50,"Unknown Option Type"))-IF('Adjustment Surface'!$C$2='Data Validation'!$A$2,CI50,IF('Adjustment Surface'!$C$2='Data Validation'!$A$3,CJ50,"Unknown Option Type")))/((CK50+0.01%)*SQRT(CG50)),0,1,FALSE))))*CL50*(CF50/360))-(CN50/CH50))*CH50)*CL50))</f>
        <v>69.517023887641528</v>
      </c>
      <c r="CR50" s="15">
        <f>IF(CC50="","",SUM(CQ$4:CQ50))</f>
        <v>1309.1772655629309</v>
      </c>
    </row>
    <row r="51" spans="7:96" x14ac:dyDescent="0.25">
      <c r="G51" s="28"/>
      <c r="J51" s="4" t="str">
        <f>IF(K50='Adjustment Surface'!C$8,"",K50)</f>
        <v/>
      </c>
      <c r="K51" s="4" t="str">
        <f>IF(J51="","",IF(J51&lt;'Adjustment Surface'!C$7,EDATE(J$5,COUNT(J$5:J51)),IF(J51='Adjustment Surface'!C$7,'Adjustment Surface'!C$8,'Adjustment Surface'!C$7)))</f>
        <v/>
      </c>
      <c r="L51" s="3" t="str">
        <f t="shared" si="1"/>
        <v/>
      </c>
      <c r="M51" s="5" t="str">
        <f>IF(I51="","",(K51-'Rate &amp; Vol Update'!$C$2)/360)</f>
        <v/>
      </c>
      <c r="N51" s="15" t="str">
        <f>IF(I51="","",IF('Adjustment Surface'!C$3='Data Validation'!$C$2,'Adjustment Surface'!C$4,IF(INDEX(Schedules!$E$3:$E$123,MATCH('Bachelier Model'!J51,Schedules!$B$3:$B$123,0))="",N50,INDEX(Schedules!$E$3:$E$123,MATCH('Bachelier Model'!J51,Schedules!$B$3:$B$123,0)))))</f>
        <v/>
      </c>
      <c r="O51" s="16" t="str">
        <f>IF(I51="","",IF('Adjustment Surface'!C$9='Data Validation'!$D$2,'Adjustment Surface'!C$10,IF(INDEX(Schedules!$H$3:$H$123,MATCH('Bachelier Model'!J51,Schedules!$B$3:$B$123,0))="",O50,INDEX(Schedules!$H$3:$H$123,MATCH('Bachelier Model'!J51,Schedules!$B$3:$B$123,0)))))</f>
        <v/>
      </c>
      <c r="P51" s="16" t="str" cm="1">
        <f t="array" ref="P51">IF(I51="","",FORECAST(J51,INDEX('Rate &amp; Vol Update'!$C$6:$C$127,MATCH(INDEX('Rate &amp; Vol Update'!$B$6:$B$127,MATCH(J51,'Rate &amp; Vol Update'!$B$6:$B$127,1)),'Rate &amp; Vol Update'!$B$6:$B$127,0)+IF('Adjustment Surface'!C$11='Data Validation'!$E$3,-1,0)):INDEX('Rate &amp; Vol Update'!$C$6:$C$127,MATCH(INDEX('Rate &amp; Vol Update'!$B$6:$B$127,MATCH(J51,'Rate &amp; Vol Update'!$B$6:$B$127,1)+1),'Rate &amp; Vol Update'!$B$6:$B$127,0)+IF('Adjustment Surface'!C$11='Data Validation'!$E$3,-1,0)),INDEX('Rate &amp; Vol Update'!$B$6:$B$127,MATCH(J51,'Rate &amp; Vol Update'!$B$6:$B$127,1)):INDEX('Rate &amp; Vol Update'!$B$6:$B$127,MATCH(J51,'Rate &amp; Vol Update'!$B$6:$B$127,1)+1))/100)</f>
        <v/>
      </c>
      <c r="Q51" s="16" t="str" cm="1">
        <f t="array" ref="Q51">IF(I51="","",IF(J51&lt;'Rate &amp; Vol Update'!$C$2,0.001%,(1/((INDEX('Rate &amp; Vol Update'!$E$6:$Z$6,1,MATCH(O51,'Rate &amp; Vol Update'!$E$6:$Z$6,1)+1)-INDEX('Rate &amp; Vol Update'!$E$6:$Z$6,1,MATCH(O51,'Rate &amp; Vol Update'!$E$6:$Z$6,1)))*(INDEX('Rate &amp; Vol Update'!$B$8:$B$127,MATCH(J51,'Rate &amp; Vol Update'!$B$8:$B$127,1)+1)-INDEX('Rate &amp; Vol Update'!$B$8:$B$127,MATCH(J51,'Rate &amp; Vol Update'!$B$8:$B$127,1))))*(INDEX('Rate &amp; Vol Update'!$E$8:$Z$127,MATCH(INDEX('Rate &amp; Vol Update'!$B$8:$B$127,MATCH(J51,'Rate &amp; Vol Update'!$B$8:$B$127,1)),'Rate &amp; Vol Update'!$B$8:$B$127,0),MATCH(INDEX('Rate &amp; Vol Update'!$E$6:$Z$6,1,MATCH(O51,'Rate &amp; Vol Update'!$E$6:$Z$6,1)),'Rate &amp; Vol Update'!$E$6:$Z$6,0))*(INDEX('Rate &amp; Vol Update'!$E$6:$Z$6,1,MATCH(O51,'Rate &amp; Vol Update'!$E$6:$Z$6,1)+1)-O51)*(INDEX('Rate &amp; Vol Update'!$B$8:$B$127,MATCH(J51,'Rate &amp; Vol Update'!$B$8:$B$127,1)+1)-J51)+INDEX('Rate &amp; Vol Update'!$E$8:$Z$127,MATCH(INDEX('Rate &amp; Vol Update'!$B$8:$B$127,MATCH(J51,'Rate &amp; Vol Update'!$B$8:$B$127,1)),'Rate &amp; Vol Update'!$B$8:$B$127,0),MATCH(INDEX('Rate &amp; Vol Update'!$E$6:$Z$6,1,MATCH(O51,'Rate &amp; Vol Update'!$E$6:$Z$6,1)+1),'Rate &amp; Vol Update'!$E$6:$Z$6,0))*(O51-INDEX('Rate &amp; Vol Update'!$E$6:$Z$6,1,MATCH(O51,'Rate &amp; Vol Update'!$E$6:$Z$6,1)))*(INDEX('Rate &amp; Vol Update'!$B$8:$B$127,MATCH(J51,'Rate &amp; Vol Update'!$B$8:$B$127,1)+1)-J51)+INDEX('Rate &amp; Vol Update'!$E$8:$Z$127,MATCH(INDEX('Rate &amp; Vol Update'!$B$8:$B$127,MATCH(J51,'Rate &amp; Vol Update'!$B$8:$B$127,1)+1),'Rate &amp; Vol Update'!$B$8:$B$127,0),MATCH(INDEX('Rate &amp; Vol Update'!$E$6:$Z$6,1,MATCH(O51,'Rate &amp; Vol Update'!$E$6:$Z$6,1)),'Rate &amp; Vol Update'!$E$6:$Z$6,0))*(INDEX('Rate &amp; Vol Update'!$E$6:$Z$6,1,MATCH(O51,'Rate &amp; Vol Update'!$E$6:$Z$6,1)+1)-O51)*(J51-INDEX('Rate &amp; Vol Update'!$B$8:$B$127,MATCH(J51,'Rate &amp; Vol Update'!$B$8:$B$127,1)))+INDEX('Rate &amp; Vol Update'!$E$8:$Z$127,MATCH(INDEX('Rate &amp; Vol Update'!$B$8:$B$127,MATCH(J51,'Rate &amp; Vol Update'!$B$8:$B$127,1)+1),'Rate &amp; Vol Update'!$B$8:$B$127,0),MATCH(INDEX('Rate &amp; Vol Update'!$E$6:$Z$6,1,MATCH(O51,'Rate &amp; Vol Update'!$E$6:$Z$6,1)+1),'Rate &amp; Vol Update'!$E$6:$Z$6,0))*(O51-INDEX('Rate &amp; Vol Update'!$E$6:$Z$6,1,MATCH(O51,'Rate &amp; Vol Update'!$E$6:$Z$6,1)))*(J51-INDEX('Rate &amp; Vol Update'!$B$8:$B$127,MATCH(J51,'Rate &amp; Vol Update'!$B$8:$B$127,1)))))*0.01%))</f>
        <v/>
      </c>
      <c r="R51" s="5" t="str">
        <f>IF(I51="","",1/((1+P51)^((K51-'Rate &amp; Vol Update'!$C$2)/360)))</f>
        <v/>
      </c>
      <c r="T51" s="15" t="str">
        <f>IF(I51="","",IF(J51&lt;'Rate &amp; Vol Update'!$C$2,MAX(0,P51-O51)*(L51/360)*N51,(((IF('Adjustment Surface'!C$2='Data Validation'!$A$2,P51,IF('Adjustment Surface'!C$2='Data Validation'!$A$3,O51,"Unknown Option Type"))-IF('Adjustment Surface'!C$2='Data Validation'!$A$2,O51,IF('Adjustment Surface'!C$2='Data Validation'!$A$3,P51,"Unknown Option Type")))*(NORMDIST((IF('Adjustment Surface'!C$2='Data Validation'!$A$2,P51,IF('Adjustment Surface'!C$2='Data Validation'!$A$3,O51,"Unknown Option Type"))-IF('Adjustment Surface'!C$2='Data Validation'!$A$2,O51,IF('Adjustment Surface'!C$2='Data Validation'!$A$3,P51,"Unknown Option Type")))/(Q51*SQRT(M51)),0,1,TRUE)))+((Q51*SQRT(M51))*(NORMDIST((IF('Adjustment Surface'!C$2='Data Validation'!$A$2,P51,IF('Adjustment Surface'!C$2='Data Validation'!$A$3,O51,"Unknown Option Type"))-IF('Adjustment Surface'!C$2='Data Validation'!$A$2,O51,IF('Adjustment Surface'!C$2='Data Validation'!$A$3,P51,"Unknown Option Type")))/(Q51*SQRT(M51)),0,1,FALSE))))*R51*(L51/360)*N51))</f>
        <v/>
      </c>
      <c r="U51" s="15" t="str">
        <f>IF(I51="","",SUM(T$4:T51))</f>
        <v/>
      </c>
      <c r="W51" s="15" t="str">
        <f>IF(I51="","",IF(J51&lt;'Rate &amp; Vol Update'!$C$2,0,((((((IF('Adjustment Surface'!C$2='Data Validation'!$A$2,P51,IF('Adjustment Surface'!C$2='Data Validation'!$A$3,O51,"Unknown Option Type"))-IF('Adjustment Surface'!C$2='Data Validation'!$A$2,O51,IF('Adjustment Surface'!C$2='Data Validation'!$A$3,P51,"Unknown Option Type")))*(NORMDIST((IF('Adjustment Surface'!C$2='Data Validation'!$A$2,P51,IF('Adjustment Surface'!C$2='Data Validation'!$A$3,O51,"Unknown Option Type"))-IF('Adjustment Surface'!C$2='Data Validation'!$A$2,O51,IF('Adjustment Surface'!C$2='Data Validation'!$A$3,P51,"Unknown Option Type")))/((Q51+0.01%)*SQRT(M51)),0,1,TRUE)))+(((Q51+0.01%)*SQRT(M51))*(NORMDIST((IF('Adjustment Surface'!C$2='Data Validation'!$A$2,P51,IF('Adjustment Surface'!C$2='Data Validation'!$A$3,O51,"Unknown Option Type"))-IF('Adjustment Surface'!C$2='Data Validation'!$A$2,O51,IF('Adjustment Surface'!C$2='Data Validation'!$A$3,P51,"Unknown Option Type")))/((Q51+0.01%)*SQRT(M51)),0,1,FALSE))))*R51*(L51/360))-(T51/N51))*N51)*R51))</f>
        <v/>
      </c>
      <c r="X51" s="15" t="str">
        <f>IF(I51="","",SUM(W$4:W51))</f>
        <v/>
      </c>
      <c r="Y51" s="15"/>
      <c r="Z51" s="20"/>
      <c r="AA51" s="3">
        <v>48</v>
      </c>
      <c r="AB51" s="4">
        <f>IF(AC50=MAX('Adjustment Surface'!$C$14:$F$14),"",AC50)</f>
        <v>47494</v>
      </c>
      <c r="AC51" s="4">
        <f>IF(AB51="","",IF(AB51&lt;EDATE('Adjustment Surface'!$C$6,DATEDIF('Adjustment Surface'!$C$6,MAX('Adjustment Surface'!$C$14:$F$14),"M")),EDATE(AB$5,COUNT(AB$5:AB51)),IF(AB51=EDATE('Adjustment Surface'!$C$6,DATEDIF('Adjustment Surface'!$C$6,MAX('Adjustment Surface'!$C$14:$F$14),"M")),MAX('Adjustment Surface'!$C$14:$F$14),EDATE('Adjustment Surface'!$C$6,DATEDIF('Adjustment Surface'!$C$6,MAX('Adjustment Surface'!$C$14:$F$14),"M")))))</f>
        <v>47525</v>
      </c>
      <c r="AD51" s="3">
        <f t="shared" si="2"/>
        <v>31</v>
      </c>
      <c r="AE51" s="5">
        <f>IF(AA51="","",(AC51-'Rate &amp; Vol Update'!$C$2)/360)</f>
        <v>4.0583333333333336</v>
      </c>
      <c r="AF51" s="15">
        <f>IF(AA51="","",IF('Adjustment Surface'!$C$3='Data Validation'!$C$2,'Adjustment Surface'!$C$4,_xlfn.IFNA(IF(INDEX(Schedules!$E$3:$E$123,MATCH('Bachelier Model'!AB51,Schedules!$B$3:$B$123,0))="",AF50,INDEX(Schedules!$E$3:$E$123,MATCH('Bachelier Model'!AB51,Schedules!$B$3:$B$123,0))),AF50)))</f>
        <v>25000000</v>
      </c>
      <c r="AG51" s="16">
        <f>IF(AA51="","",'Adjustment Surface'!B$15)</f>
        <v>0.03</v>
      </c>
      <c r="AH51" s="16" cm="1">
        <f t="array" ref="AH51">IF(AA51="","",FORECAST(AB51,INDEX('Rate &amp; Vol Update'!$C$6:$C$127,MATCH(INDEX('Rate &amp; Vol Update'!$B$6:$B$127,MATCH(AB51,'Rate &amp; Vol Update'!$B$6:$B$127,1)),'Rate &amp; Vol Update'!$B$6:$B$127,0)+IF('Adjustment Surface'!$C$11='Data Validation'!$E$3,-1,0)):INDEX('Rate &amp; Vol Update'!$C$6:$C$127,MATCH(INDEX('Rate &amp; Vol Update'!$B$6:$B$127,MATCH(AB51,'Rate &amp; Vol Update'!$B$6:$B$127,1)+1),'Rate &amp; Vol Update'!$B$6:$B$127,0)+IF('Adjustment Surface'!$C$11='Data Validation'!$E$3,-1,0)),INDEX('Rate &amp; Vol Update'!$B$6:$B$127,MATCH(AB51,'Rate &amp; Vol Update'!$B$6:$B$127,1)):INDEX('Rate &amp; Vol Update'!$B$6:$B$127,MATCH(AB51,'Rate &amp; Vol Update'!$B$6:$B$127,1)+1))/100)</f>
        <v>3.5320245311940821E-2</v>
      </c>
      <c r="AI51" s="16" cm="1">
        <f t="array" ref="AI51">IF(AA51="","",IF(AB51&lt;'Rate &amp; Vol Update'!$C$2,0.001%,(1/((INDEX('Rate &amp; Vol Update'!$E$6:$Z$6,1,MATCH(AG51,'Rate &amp; Vol Update'!$E$6:$Z$6,1)+1)-INDEX('Rate &amp; Vol Update'!$E$6:$Z$6,1,MATCH(AG51,'Rate &amp; Vol Update'!$E$6:$Z$6,1)))*(INDEX('Rate &amp; Vol Update'!$B$8:$B$127,MATCH(AB51,'Rate &amp; Vol Update'!$B$8:$B$127,1)+1)-INDEX('Rate &amp; Vol Update'!$B$8:$B$127,MATCH(AB51,'Rate &amp; Vol Update'!$B$8:$B$127,1))))*(INDEX('Rate &amp; Vol Update'!$E$8:$Z$127,MATCH(INDEX('Rate &amp; Vol Update'!$B$8:$B$127,MATCH(AB51,'Rate &amp; Vol Update'!$B$8:$B$127,1)),'Rate &amp; Vol Update'!$B$8:$B$127,0),MATCH(INDEX('Rate &amp; Vol Update'!$E$6:$Z$6,1,MATCH(AG51,'Rate &amp; Vol Update'!$E$6:$Z$6,1)),'Rate &amp; Vol Update'!$E$6:$Z$6,0))*(INDEX('Rate &amp; Vol Update'!$E$6:$Z$6,1,MATCH(AG51,'Rate &amp; Vol Update'!$E$6:$Z$6,1)+1)-AG51)*(INDEX('Rate &amp; Vol Update'!$B$8:$B$127,MATCH(AB51,'Rate &amp; Vol Update'!$B$8:$B$127,1)+1)-AB51)+INDEX('Rate &amp; Vol Update'!$E$8:$Z$127,MATCH(INDEX('Rate &amp; Vol Update'!$B$8:$B$127,MATCH(AB51,'Rate &amp; Vol Update'!$B$8:$B$127,1)),'Rate &amp; Vol Update'!$B$8:$B$127,0),MATCH(INDEX('Rate &amp; Vol Update'!$E$6:$Z$6,1,MATCH(AG51,'Rate &amp; Vol Update'!$E$6:$Z$6,1)+1),'Rate &amp; Vol Update'!$E$6:$Z$6,0))*(AG51-INDEX('Rate &amp; Vol Update'!$E$6:$Z$6,1,MATCH(AG51,'Rate &amp; Vol Update'!$E$6:$Z$6,1)))*(INDEX('Rate &amp; Vol Update'!$B$8:$B$127,MATCH(AB51,'Rate &amp; Vol Update'!$B$8:$B$127,1)+1)-AB51)+INDEX('Rate &amp; Vol Update'!$E$8:$Z$127,MATCH(INDEX('Rate &amp; Vol Update'!$B$8:$B$127,MATCH(AB51,'Rate &amp; Vol Update'!$B$8:$B$127,1)+1),'Rate &amp; Vol Update'!$B$8:$B$127,0),MATCH(INDEX('Rate &amp; Vol Update'!$E$6:$Z$6,1,MATCH(AG51,'Rate &amp; Vol Update'!$E$6:$Z$6,1)),'Rate &amp; Vol Update'!$E$6:$Z$6,0))*(INDEX('Rate &amp; Vol Update'!$E$6:$Z$6,1,MATCH(AG51,'Rate &amp; Vol Update'!$E$6:$Z$6,1)+1)-AG51)*(AB51-INDEX('Rate &amp; Vol Update'!$B$8:$B$127,MATCH(AB51,'Rate &amp; Vol Update'!$B$8:$B$127,1)))+INDEX('Rate &amp; Vol Update'!$E$8:$Z$127,MATCH(INDEX('Rate &amp; Vol Update'!$B$8:$B$127,MATCH(AB51,'Rate &amp; Vol Update'!$B$8:$B$127,1)+1),'Rate &amp; Vol Update'!$B$8:$B$127,0),MATCH(INDEX('Rate &amp; Vol Update'!$E$6:$Z$6,1,MATCH(AG51,'Rate &amp; Vol Update'!$E$6:$Z$6,1)+1),'Rate &amp; Vol Update'!$E$6:$Z$6,0))*(AG51-INDEX('Rate &amp; Vol Update'!$E$6:$Z$6,1,MATCH(AG51,'Rate &amp; Vol Update'!$E$6:$Z$6,1)))*(AB51-INDEX('Rate &amp; Vol Update'!$B$8:$B$127,MATCH(AB51,'Rate &amp; Vol Update'!$B$8:$B$127,1)))))*0.01%))</f>
        <v>8.1227320027231088E-3</v>
      </c>
      <c r="AJ51" s="5">
        <f>IF(AA51="","",1/((1+AH51)^((AC51-'Rate &amp; Vol Update'!$C$2)/360)))</f>
        <v>0.86860398171909237</v>
      </c>
      <c r="AL51" s="15">
        <f>IF(AA51="","",IF(AB51&lt;'Rate &amp; Vol Update'!$C$2,MAX(0,AH51-AG51)*(AD51/360)*AF51,(((IF('Adjustment Surface'!$C$2='Data Validation'!$A$2,AH51,IF('Adjustment Surface'!$C$2='Data Validation'!$A$3,AG51,"Unknown Option Type"))-IF('Adjustment Surface'!$C$2='Data Validation'!$A$2,AG51,IF('Adjustment Surface'!$C$2='Data Validation'!$A$3,AH51,"Unknown Option Type")))*(NORMDIST((IF('Adjustment Surface'!$C$2='Data Validation'!$A$2,AH51,IF('Adjustment Surface'!$C$2='Data Validation'!$A$3,AG51,"Unknown Option Type"))-IF('Adjustment Surface'!$C$2='Data Validation'!$A$2,AG51,IF('Adjustment Surface'!$C$2='Data Validation'!$A$3,AH51,"Unknown Option Type")))/(AI51*SQRT(AE51)),0,1,TRUE)))+((AI51*SQRT(AE51))*(NORMDIST((IF('Adjustment Surface'!$C$2='Data Validation'!$A$2,AH51,IF('Adjustment Surface'!$C$2='Data Validation'!$A$3,AG51,"Unknown Option Type"))-IF('Adjustment Surface'!$C$2='Data Validation'!$A$2,AG51,IF('Adjustment Surface'!$C$2='Data Validation'!$A$3,AH51,"Unknown Option Type")))/(AI51*SQRT(AE51)),0,1,FALSE))))*AJ51*(AD51/360)*AF51))</f>
        <v>17820.707893111496</v>
      </c>
      <c r="AM51" s="15">
        <f>IF(AA51="","",SUM(AL$4:AL51))</f>
        <v>615786.65952512412</v>
      </c>
      <c r="AO51" s="15">
        <f>IF(AA51="","",IF(AB51&lt;'Rate &amp; Vol Update'!$C$2,0,((((((IF('Adjustment Surface'!$C$2='Data Validation'!$A$2,AH51,IF('Adjustment Surface'!$C$2='Data Validation'!$A$3,AG51,"Unknown Option Type"))-IF('Adjustment Surface'!$C$2='Data Validation'!$A$2,AG51,IF('Adjustment Surface'!$C$2='Data Validation'!$A$3,AH51,"Unknown Option Type")))*(NORMDIST((IF('Adjustment Surface'!$C$2='Data Validation'!$A$2,AH51,IF('Adjustment Surface'!$C$2='Data Validation'!$A$3,AG51,"Unknown Option Type"))-IF('Adjustment Surface'!$C$2='Data Validation'!$A$2,AG51,IF('Adjustment Surface'!$C$2='Data Validation'!$A$3,AH51,"Unknown Option Type")))/((AI51+0.01%)*SQRT(AE51)),0,1,TRUE)))+(((AI51+0.01%)*SQRT(AE51))*(NORMDIST((IF('Adjustment Surface'!$C$2='Data Validation'!$A$2,AH51,IF('Adjustment Surface'!$C$2='Data Validation'!$A$3,AG51,"Unknown Option Type"))-IF('Adjustment Surface'!$C$2='Data Validation'!$A$2,AG51,IF('Adjustment Surface'!$C$2='Data Validation'!$A$3,AH51,"Unknown Option Type")))/((AI51+0.01%)*SQRT(AE51)),0,1,FALSE))))*AJ51*(AD51/360))-(AL51/AF51))*AF51)*AJ51))</f>
        <v>123.8943663282674</v>
      </c>
      <c r="AP51" s="15">
        <f>IF(AA51="","",SUM(AO$4:AO51))</f>
        <v>4333.2968845514233</v>
      </c>
      <c r="AQ51" s="15"/>
      <c r="AR51" s="20"/>
      <c r="AS51" s="3">
        <v>48</v>
      </c>
      <c r="AT51" s="4">
        <f>IF(AU50=MAX('Adjustment Surface'!$C$14:$F$14),"",AU50)</f>
        <v>47494</v>
      </c>
      <c r="AU51" s="4">
        <f>IF(AT51="","",IF(AT51&lt;EDATE('Adjustment Surface'!$C$6,DATEDIF('Adjustment Surface'!$C$6,MAX('Adjustment Surface'!$C$14:$F$14),"M")),EDATE(AT$5,COUNT(AT$5:AT51)),IF(AT51=EDATE('Adjustment Surface'!$C$6,DATEDIF('Adjustment Surface'!$C$6,MAX('Adjustment Surface'!$C$14:$F$14),"M")),MAX('Adjustment Surface'!$C$14:$F$14),EDATE('Adjustment Surface'!$C$6,DATEDIF('Adjustment Surface'!$C$6,MAX('Adjustment Surface'!$C$14:$F$14),"M")))))</f>
        <v>47525</v>
      </c>
      <c r="AV51" s="3">
        <f t="shared" si="3"/>
        <v>31</v>
      </c>
      <c r="AW51" s="5">
        <f>IF(AS51="","",(AU51-'Rate &amp; Vol Update'!$C$2)/360)</f>
        <v>4.0583333333333336</v>
      </c>
      <c r="AX51" s="15">
        <f>IF(AS51="","",IF('Adjustment Surface'!$C$3='Data Validation'!$C$2,'Adjustment Surface'!$C$4,_xlfn.IFNA(IF(INDEX(Schedules!$E$3:$E$123,MATCH('Bachelier Model'!AT51,Schedules!$B$3:$B$123,0))="",AX50,INDEX(Schedules!$E$3:$E$123,MATCH('Bachelier Model'!AT51,Schedules!$B$3:$B$123,0))),AX50)))</f>
        <v>25000000</v>
      </c>
      <c r="AY51" s="16">
        <f>IF(AS51="","",'Adjustment Surface'!B$16)</f>
        <v>0.04</v>
      </c>
      <c r="AZ51" s="16" cm="1">
        <f t="array" ref="AZ51">IF(AS51="","",FORECAST(AT51,INDEX('Rate &amp; Vol Update'!$C$6:$C$127,MATCH(INDEX('Rate &amp; Vol Update'!$B$6:$B$127,MATCH(AT51,'Rate &amp; Vol Update'!$B$6:$B$127,1)),'Rate &amp; Vol Update'!$B$6:$B$127,0)+IF('Adjustment Surface'!$C$11='Data Validation'!$E$3,-1,0)):INDEX('Rate &amp; Vol Update'!$C$6:$C$127,MATCH(INDEX('Rate &amp; Vol Update'!$B$6:$B$127,MATCH(AT51,'Rate &amp; Vol Update'!$B$6:$B$127,1)+1),'Rate &amp; Vol Update'!$B$6:$B$127,0)+IF('Adjustment Surface'!$C$11='Data Validation'!$E$3,-1,0)),INDEX('Rate &amp; Vol Update'!$B$6:$B$127,MATCH(AT51,'Rate &amp; Vol Update'!$B$6:$B$127,1)):INDEX('Rate &amp; Vol Update'!$B$6:$B$127,MATCH(AT51,'Rate &amp; Vol Update'!$B$6:$B$127,1)+1))/100)</f>
        <v>3.5320245311940821E-2</v>
      </c>
      <c r="BA51" s="16" cm="1">
        <f t="array" ref="BA51">IF(AS51="","",IF(AT51&lt;'Rate &amp; Vol Update'!$C$2,0.001%,(1/((INDEX('Rate &amp; Vol Update'!$E$6:$Z$6,1,MATCH(AY51,'Rate &amp; Vol Update'!$E$6:$Z$6,1)+1)-INDEX('Rate &amp; Vol Update'!$E$6:$Z$6,1,MATCH(AY51,'Rate &amp; Vol Update'!$E$6:$Z$6,1)))*(INDEX('Rate &amp; Vol Update'!$B$8:$B$127,MATCH(AT51,'Rate &amp; Vol Update'!$B$8:$B$127,1)+1)-INDEX('Rate &amp; Vol Update'!$B$8:$B$127,MATCH(AT51,'Rate &amp; Vol Update'!$B$8:$B$127,1))))*(INDEX('Rate &amp; Vol Update'!$E$8:$Z$127,MATCH(INDEX('Rate &amp; Vol Update'!$B$8:$B$127,MATCH(AT51,'Rate &amp; Vol Update'!$B$8:$B$127,1)),'Rate &amp; Vol Update'!$B$8:$B$127,0),MATCH(INDEX('Rate &amp; Vol Update'!$E$6:$Z$6,1,MATCH(AY51,'Rate &amp; Vol Update'!$E$6:$Z$6,1)),'Rate &amp; Vol Update'!$E$6:$Z$6,0))*(INDEX('Rate &amp; Vol Update'!$E$6:$Z$6,1,MATCH(AY51,'Rate &amp; Vol Update'!$E$6:$Z$6,1)+1)-AY51)*(INDEX('Rate &amp; Vol Update'!$B$8:$B$127,MATCH(AT51,'Rate &amp; Vol Update'!$B$8:$B$127,1)+1)-AT51)+INDEX('Rate &amp; Vol Update'!$E$8:$Z$127,MATCH(INDEX('Rate &amp; Vol Update'!$B$8:$B$127,MATCH(AT51,'Rate &amp; Vol Update'!$B$8:$B$127,1)),'Rate &amp; Vol Update'!$B$8:$B$127,0),MATCH(INDEX('Rate &amp; Vol Update'!$E$6:$Z$6,1,MATCH(AY51,'Rate &amp; Vol Update'!$E$6:$Z$6,1)+1),'Rate &amp; Vol Update'!$E$6:$Z$6,0))*(AY51-INDEX('Rate &amp; Vol Update'!$E$6:$Z$6,1,MATCH(AY51,'Rate &amp; Vol Update'!$E$6:$Z$6,1)))*(INDEX('Rate &amp; Vol Update'!$B$8:$B$127,MATCH(AT51,'Rate &amp; Vol Update'!$B$8:$B$127,1)+1)-AT51)+INDEX('Rate &amp; Vol Update'!$E$8:$Z$127,MATCH(INDEX('Rate &amp; Vol Update'!$B$8:$B$127,MATCH(AT51,'Rate &amp; Vol Update'!$B$8:$B$127,1)+1),'Rate &amp; Vol Update'!$B$8:$B$127,0),MATCH(INDEX('Rate &amp; Vol Update'!$E$6:$Z$6,1,MATCH(AY51,'Rate &amp; Vol Update'!$E$6:$Z$6,1)),'Rate &amp; Vol Update'!$E$6:$Z$6,0))*(INDEX('Rate &amp; Vol Update'!$E$6:$Z$6,1,MATCH(AY51,'Rate &amp; Vol Update'!$E$6:$Z$6,1)+1)-AY51)*(AT51-INDEX('Rate &amp; Vol Update'!$B$8:$B$127,MATCH(AT51,'Rate &amp; Vol Update'!$B$8:$B$127,1)))+INDEX('Rate &amp; Vol Update'!$E$8:$Z$127,MATCH(INDEX('Rate &amp; Vol Update'!$B$8:$B$127,MATCH(AT51,'Rate &amp; Vol Update'!$B$8:$B$127,1)+1),'Rate &amp; Vol Update'!$B$8:$B$127,0),MATCH(INDEX('Rate &amp; Vol Update'!$E$6:$Z$6,1,MATCH(AY51,'Rate &amp; Vol Update'!$E$6:$Z$6,1)+1),'Rate &amp; Vol Update'!$E$6:$Z$6,0))*(AY51-INDEX('Rate &amp; Vol Update'!$E$6:$Z$6,1,MATCH(AY51,'Rate &amp; Vol Update'!$E$6:$Z$6,1)))*(AT51-INDEX('Rate &amp; Vol Update'!$B$8:$B$127,MATCH(AT51,'Rate &amp; Vol Update'!$B$8:$B$127,1)))))*0.01%))</f>
        <v>8.6608862609739296E-3</v>
      </c>
      <c r="BB51" s="5">
        <f>IF(AS51="","",1/((1+AZ51)^((AU51-'Rate &amp; Vol Update'!$C$2)/360)))</f>
        <v>0.86860398171909237</v>
      </c>
      <c r="BD51" s="15">
        <f>IF(AS51="","",IF(AT51&lt;'Rate &amp; Vol Update'!$C$2,MAX(0,AZ51-AY51)*(AV51/360)*AX51,(((IF('Adjustment Surface'!$C$2='Data Validation'!$A$2,AZ51,IF('Adjustment Surface'!$C$2='Data Validation'!$A$3,AY51,"Unknown Option Type"))-IF('Adjustment Surface'!$C$2='Data Validation'!$A$2,AY51,IF('Adjustment Surface'!$C$2='Data Validation'!$A$3,AZ51,"Unknown Option Type")))*(NORMDIST((IF('Adjustment Surface'!$C$2='Data Validation'!$A$2,AZ51,IF('Adjustment Surface'!$C$2='Data Validation'!$A$3,AY51,"Unknown Option Type"))-IF('Adjustment Surface'!$C$2='Data Validation'!$A$2,AY51,IF('Adjustment Surface'!$C$2='Data Validation'!$A$3,AZ51,"Unknown Option Type")))/(BA51*SQRT(AW51)),0,1,TRUE)))+((BA51*SQRT(AW51))*(NORMDIST((IF('Adjustment Surface'!$C$2='Data Validation'!$A$2,AZ51,IF('Adjustment Surface'!$C$2='Data Validation'!$A$3,AY51,"Unknown Option Type"))-IF('Adjustment Surface'!$C$2='Data Validation'!$A$2,AY51,IF('Adjustment Surface'!$C$2='Data Validation'!$A$3,AZ51,"Unknown Option Type")))/(BA51*SQRT(AW51)),0,1,FALSE))))*BB51*(AV51/360)*AX51))</f>
        <v>9105.7205829772956</v>
      </c>
      <c r="BE51" s="15">
        <f>IF(AS51="","",SUM(BD$4:BD51))</f>
        <v>193375.26671352843</v>
      </c>
      <c r="BG51" s="15">
        <f>IF(AS51="","",IF(AT51&lt;'Rate &amp; Vol Update'!$C$2,0,((((((IF('Adjustment Surface'!$C$2='Data Validation'!$A$2,AZ51,IF('Adjustment Surface'!$C$2='Data Validation'!$A$3,AY51,"Unknown Option Type"))-IF('Adjustment Surface'!$C$2='Data Validation'!$A$2,AY51,IF('Adjustment Surface'!$C$2='Data Validation'!$A$3,AZ51,"Unknown Option Type")))*(NORMDIST((IF('Adjustment Surface'!$C$2='Data Validation'!$A$2,AZ51,IF('Adjustment Surface'!$C$2='Data Validation'!$A$3,AY51,"Unknown Option Type"))-IF('Adjustment Surface'!$C$2='Data Validation'!$A$2,AY51,IF('Adjustment Surface'!$C$2='Data Validation'!$A$3,AZ51,"Unknown Option Type")))/((BA51+0.01%)*SQRT(AW51)),0,1,TRUE)))+(((BA51+0.01%)*SQRT(AW51))*(NORMDIST((IF('Adjustment Surface'!$C$2='Data Validation'!$A$2,AZ51,IF('Adjustment Surface'!$C$2='Data Validation'!$A$3,AY51,"Unknown Option Type"))-IF('Adjustment Surface'!$C$2='Data Validation'!$A$2,AY51,IF('Adjustment Surface'!$C$2='Data Validation'!$A$3,AZ51,"Unknown Option Type")))/((BA51+0.01%)*SQRT(AW51)),0,1,FALSE))))*BB51*(AV51/360))-(BD51/AX51))*AX51)*BB51))</f>
        <v>125.97471585552039</v>
      </c>
      <c r="BH51" s="15">
        <f>IF(AS51="","",SUM(BG$4:BG51))</f>
        <v>3745.4077809344108</v>
      </c>
      <c r="BI51" s="15"/>
      <c r="BJ51" s="20"/>
      <c r="BK51" s="3">
        <v>48</v>
      </c>
      <c r="BL51" s="4">
        <f>IF(BM50=MAX('Adjustment Surface'!$C$14:$F$14),"",BM50)</f>
        <v>47494</v>
      </c>
      <c r="BM51" s="4">
        <f>IF(BL51="","",IF(BL51&lt;EDATE('Adjustment Surface'!$C$6,DATEDIF('Adjustment Surface'!$C$6,MAX('Adjustment Surface'!$C$14:$F$14),"M")),EDATE(BL$5,COUNT(BL$5:BL51)),IF(BL51=EDATE('Adjustment Surface'!$C$6,DATEDIF('Adjustment Surface'!$C$6,MAX('Adjustment Surface'!$C$14:$F$14),"M")),MAX('Adjustment Surface'!$C$14:$F$14),EDATE('Adjustment Surface'!$C$6,DATEDIF('Adjustment Surface'!$C$6,MAX('Adjustment Surface'!$C$14:$F$14),"M")))))</f>
        <v>47525</v>
      </c>
      <c r="BN51" s="3">
        <f t="shared" si="4"/>
        <v>31</v>
      </c>
      <c r="BO51" s="5">
        <f>IF(BK51="","",(BM51-'Rate &amp; Vol Update'!$C$2)/360)</f>
        <v>4.0583333333333336</v>
      </c>
      <c r="BP51" s="15">
        <f>IF(BK51="","",IF('Adjustment Surface'!$C$3='Data Validation'!$C$2,'Adjustment Surface'!$C$4,_xlfn.IFNA(IF(INDEX(Schedules!$E$3:$E$123,MATCH('Bachelier Model'!BL51,Schedules!$B$3:$B$123,0))="",BP50,INDEX(Schedules!$E$3:$E$123,MATCH('Bachelier Model'!BL51,Schedules!$B$3:$B$123,0))),BP50)))</f>
        <v>25000000</v>
      </c>
      <c r="BQ51" s="16">
        <f>IF(BK51="","",'Adjustment Surface'!B$17)</f>
        <v>0.05</v>
      </c>
      <c r="BR51" s="16" cm="1">
        <f t="array" ref="BR51">IF(BK51="","",FORECAST(BL51,INDEX('Rate &amp; Vol Update'!$C$6:$C$127,MATCH(INDEX('Rate &amp; Vol Update'!$B$6:$B$127,MATCH(BL51,'Rate &amp; Vol Update'!$B$6:$B$127,1)),'Rate &amp; Vol Update'!$B$6:$B$127,0)+IF('Adjustment Surface'!$C$11='Data Validation'!$E$3,-1,0)):INDEX('Rate &amp; Vol Update'!$C$6:$C$127,MATCH(INDEX('Rate &amp; Vol Update'!$B$6:$B$127,MATCH(BL51,'Rate &amp; Vol Update'!$B$6:$B$127,1)+1),'Rate &amp; Vol Update'!$B$6:$B$127,0)+IF('Adjustment Surface'!$C$11='Data Validation'!$E$3,-1,0)),INDEX('Rate &amp; Vol Update'!$B$6:$B$127,MATCH(BL51,'Rate &amp; Vol Update'!$B$6:$B$127,1)):INDEX('Rate &amp; Vol Update'!$B$6:$B$127,MATCH(BL51,'Rate &amp; Vol Update'!$B$6:$B$127,1)+1))/100)</f>
        <v>3.5320245311940821E-2</v>
      </c>
      <c r="BS51" s="16" cm="1">
        <f t="array" ref="BS51">IF(BK51="","",IF(BL51&lt;'Rate &amp; Vol Update'!$C$2,0.001%,(1/((INDEX('Rate &amp; Vol Update'!$E$6:$Z$6,1,MATCH(BQ51,'Rate &amp; Vol Update'!$E$6:$Z$6,1)+1)-INDEX('Rate &amp; Vol Update'!$E$6:$Z$6,1,MATCH(BQ51,'Rate &amp; Vol Update'!$E$6:$Z$6,1)))*(INDEX('Rate &amp; Vol Update'!$B$8:$B$127,MATCH(BL51,'Rate &amp; Vol Update'!$B$8:$B$127,1)+1)-INDEX('Rate &amp; Vol Update'!$B$8:$B$127,MATCH(BL51,'Rate &amp; Vol Update'!$B$8:$B$127,1))))*(INDEX('Rate &amp; Vol Update'!$E$8:$Z$127,MATCH(INDEX('Rate &amp; Vol Update'!$B$8:$B$127,MATCH(BL51,'Rate &amp; Vol Update'!$B$8:$B$127,1)),'Rate &amp; Vol Update'!$B$8:$B$127,0),MATCH(INDEX('Rate &amp; Vol Update'!$E$6:$Z$6,1,MATCH(BQ51,'Rate &amp; Vol Update'!$E$6:$Z$6,1)),'Rate &amp; Vol Update'!$E$6:$Z$6,0))*(INDEX('Rate &amp; Vol Update'!$E$6:$Z$6,1,MATCH(BQ51,'Rate &amp; Vol Update'!$E$6:$Z$6,1)+1)-BQ51)*(INDEX('Rate &amp; Vol Update'!$B$8:$B$127,MATCH(BL51,'Rate &amp; Vol Update'!$B$8:$B$127,1)+1)-BL51)+INDEX('Rate &amp; Vol Update'!$E$8:$Z$127,MATCH(INDEX('Rate &amp; Vol Update'!$B$8:$B$127,MATCH(BL51,'Rate &amp; Vol Update'!$B$8:$B$127,1)),'Rate &amp; Vol Update'!$B$8:$B$127,0),MATCH(INDEX('Rate &amp; Vol Update'!$E$6:$Z$6,1,MATCH(BQ51,'Rate &amp; Vol Update'!$E$6:$Z$6,1)+1),'Rate &amp; Vol Update'!$E$6:$Z$6,0))*(BQ51-INDEX('Rate &amp; Vol Update'!$E$6:$Z$6,1,MATCH(BQ51,'Rate &amp; Vol Update'!$E$6:$Z$6,1)))*(INDEX('Rate &amp; Vol Update'!$B$8:$B$127,MATCH(BL51,'Rate &amp; Vol Update'!$B$8:$B$127,1)+1)-BL51)+INDEX('Rate &amp; Vol Update'!$E$8:$Z$127,MATCH(INDEX('Rate &amp; Vol Update'!$B$8:$B$127,MATCH(BL51,'Rate &amp; Vol Update'!$B$8:$B$127,1)+1),'Rate &amp; Vol Update'!$B$8:$B$127,0),MATCH(INDEX('Rate &amp; Vol Update'!$E$6:$Z$6,1,MATCH(BQ51,'Rate &amp; Vol Update'!$E$6:$Z$6,1)),'Rate &amp; Vol Update'!$E$6:$Z$6,0))*(INDEX('Rate &amp; Vol Update'!$E$6:$Z$6,1,MATCH(BQ51,'Rate &amp; Vol Update'!$E$6:$Z$6,1)+1)-BQ51)*(BL51-INDEX('Rate &amp; Vol Update'!$B$8:$B$127,MATCH(BL51,'Rate &amp; Vol Update'!$B$8:$B$127,1)))+INDEX('Rate &amp; Vol Update'!$E$8:$Z$127,MATCH(INDEX('Rate &amp; Vol Update'!$B$8:$B$127,MATCH(BL51,'Rate &amp; Vol Update'!$B$8:$B$127,1)+1),'Rate &amp; Vol Update'!$B$8:$B$127,0),MATCH(INDEX('Rate &amp; Vol Update'!$E$6:$Z$6,1,MATCH(BQ51,'Rate &amp; Vol Update'!$E$6:$Z$6,1)+1),'Rate &amp; Vol Update'!$E$6:$Z$6,0))*(BQ51-INDEX('Rate &amp; Vol Update'!$E$6:$Z$6,1,MATCH(BQ51,'Rate &amp; Vol Update'!$E$6:$Z$6,1)))*(BL51-INDEX('Rate &amp; Vol Update'!$B$8:$B$127,MATCH(BL51,'Rate &amp; Vol Update'!$B$8:$B$127,1)))))*0.01%))</f>
        <v>9.7081259962789046E-3</v>
      </c>
      <c r="BT51" s="5">
        <f>IF(BK51="","",1/((1+BR51)^((BM51-'Rate &amp; Vol Update'!$C$2)/360)))</f>
        <v>0.86860398171909237</v>
      </c>
      <c r="BV51" s="15">
        <f>IF(BK51="","",IF(BL51&lt;'Rate &amp; Vol Update'!$C$2,MAX(0,BR51-BQ51)*(BN51/360)*BP51,(((IF('Adjustment Surface'!$C$2='Data Validation'!$A$2,BR51,IF('Adjustment Surface'!$C$2='Data Validation'!$A$3,BQ51,"Unknown Option Type"))-IF('Adjustment Surface'!$C$2='Data Validation'!$A$2,BQ51,IF('Adjustment Surface'!$C$2='Data Validation'!$A$3,BR51,"Unknown Option Type")))*(NORMDIST((IF('Adjustment Surface'!$C$2='Data Validation'!$A$2,BR51,IF('Adjustment Surface'!$C$2='Data Validation'!$A$3,BQ51,"Unknown Option Type"))-IF('Adjustment Surface'!$C$2='Data Validation'!$A$2,BQ51,IF('Adjustment Surface'!$C$2='Data Validation'!$A$3,BR51,"Unknown Option Type")))/(BS51*SQRT(BO51)),0,1,TRUE)))+((BS51*SQRT(BO51))*(NORMDIST((IF('Adjustment Surface'!$C$2='Data Validation'!$A$2,BR51,IF('Adjustment Surface'!$C$2='Data Validation'!$A$3,BQ51,"Unknown Option Type"))-IF('Adjustment Surface'!$C$2='Data Validation'!$A$2,BQ51,IF('Adjustment Surface'!$C$2='Data Validation'!$A$3,BR51,"Unknown Option Type")))/(BS51*SQRT(BO51)),0,1,FALSE))))*BT51*(BN51/360)*BP51))</f>
        <v>4791.8482244780653</v>
      </c>
      <c r="BW51" s="15">
        <f>IF(BK51="","",SUM(BV$4:BV51))</f>
        <v>83081.921859264447</v>
      </c>
      <c r="BY51" s="15">
        <f>IF(BK51="","",IF(BL51&lt;'Rate &amp; Vol Update'!$C$2,0,((((((IF('Adjustment Surface'!$C$2='Data Validation'!$A$2,BR51,IF('Adjustment Surface'!$C$2='Data Validation'!$A$3,BQ51,"Unknown Option Type"))-IF('Adjustment Surface'!$C$2='Data Validation'!$A$2,BQ51,IF('Adjustment Surface'!$C$2='Data Validation'!$A$3,BR51,"Unknown Option Type")))*(NORMDIST((IF('Adjustment Surface'!$C$2='Data Validation'!$A$2,BR51,IF('Adjustment Surface'!$C$2='Data Validation'!$A$3,BQ51,"Unknown Option Type"))-IF('Adjustment Surface'!$C$2='Data Validation'!$A$2,BQ51,IF('Adjustment Surface'!$C$2='Data Validation'!$A$3,BR51,"Unknown Option Type")))/((BS51+0.01%)*SQRT(BO51)),0,1,TRUE)))+(((BS51+0.01%)*SQRT(BO51))*(NORMDIST((IF('Adjustment Surface'!$C$2='Data Validation'!$A$2,BR51,IF('Adjustment Surface'!$C$2='Data Validation'!$A$3,BQ51,"Unknown Option Type"))-IF('Adjustment Surface'!$C$2='Data Validation'!$A$2,BQ51,IF('Adjustment Surface'!$C$2='Data Validation'!$A$3,BR51,"Unknown Option Type")))/((BS51+0.01%)*SQRT(BO51)),0,1,FALSE))))*BT51*(BN51/360))-(BV51/BP51))*BP51)*BT51))</f>
        <v>98.771877981594884</v>
      </c>
      <c r="BZ51" s="15">
        <f>IF(BK51="","",SUM(BY$4:BY51))</f>
        <v>2223.985462098904</v>
      </c>
      <c r="CA51" s="15"/>
      <c r="CB51" s="20"/>
      <c r="CC51" s="3">
        <v>48</v>
      </c>
      <c r="CD51" s="4">
        <f>IF(CE50=MAX('Adjustment Surface'!$C$14:$F$14),"",CE50)</f>
        <v>47494</v>
      </c>
      <c r="CE51" s="4">
        <f>IF(CD51="","",IF(CD51&lt;EDATE('Adjustment Surface'!$C$6,DATEDIF('Adjustment Surface'!$C$6,MAX('Adjustment Surface'!$C$14:$F$14),"M")),EDATE(CD$5,COUNT(CD$5:CD51)),IF(CD51=EDATE('Adjustment Surface'!$C$6,DATEDIF('Adjustment Surface'!$C$6,MAX('Adjustment Surface'!$C$14:$F$14),"M")),MAX('Adjustment Surface'!$C$14:$F$14),EDATE('Adjustment Surface'!$C$6,DATEDIF('Adjustment Surface'!$C$6,MAX('Adjustment Surface'!$C$14:$F$14),"M")))))</f>
        <v>47525</v>
      </c>
      <c r="CF51" s="3">
        <f t="shared" si="5"/>
        <v>31</v>
      </c>
      <c r="CG51" s="5">
        <f>IF(CC51="","",(CE51-'Rate &amp; Vol Update'!$C$2)/360)</f>
        <v>4.0583333333333336</v>
      </c>
      <c r="CH51" s="15">
        <f>IF(CC51="","",IF('Adjustment Surface'!$C$3='Data Validation'!$C$2,'Adjustment Surface'!$C$4,_xlfn.IFNA(IF(INDEX(Schedules!$E$3:$E$123,MATCH('Bachelier Model'!CD51,Schedules!$B$3:$B$123,0))="",CH50,INDEX(Schedules!$E$3:$E$123,MATCH('Bachelier Model'!CD51,Schedules!$B$3:$B$123,0))),CH50)))</f>
        <v>25000000</v>
      </c>
      <c r="CI51" s="16">
        <f>IF(CC51="","",'Adjustment Surface'!B$18)</f>
        <v>0.06</v>
      </c>
      <c r="CJ51" s="16" cm="1">
        <f t="array" ref="CJ51">IF(CC51="","",FORECAST(CD51,INDEX('Rate &amp; Vol Update'!$C$6:$C$127,MATCH(INDEX('Rate &amp; Vol Update'!$B$6:$B$127,MATCH(CD51,'Rate &amp; Vol Update'!$B$6:$B$127,1)),'Rate &amp; Vol Update'!$B$6:$B$127,0)+IF('Adjustment Surface'!$C$11='Data Validation'!$E$3,-1,0)):INDEX('Rate &amp; Vol Update'!$C$6:$C$127,MATCH(INDEX('Rate &amp; Vol Update'!$B$6:$B$127,MATCH(CD51,'Rate &amp; Vol Update'!$B$6:$B$127,1)+1),'Rate &amp; Vol Update'!$B$6:$B$127,0)+IF('Adjustment Surface'!$C$11='Data Validation'!$E$3,-1,0)),INDEX('Rate &amp; Vol Update'!$B$6:$B$127,MATCH(CD51,'Rate &amp; Vol Update'!$B$6:$B$127,1)):INDEX('Rate &amp; Vol Update'!$B$6:$B$127,MATCH(CD51,'Rate &amp; Vol Update'!$B$6:$B$127,1)+1))/100)</f>
        <v>3.5320245311940821E-2</v>
      </c>
      <c r="CK51" s="16" cm="1">
        <f t="array" ref="CK51">IF(CC51="","",IF(CD51&lt;'Rate &amp; Vol Update'!$C$2,0.001%,(1/((INDEX('Rate &amp; Vol Update'!$E$6:$Z$6,1,MATCH(CI51,'Rate &amp; Vol Update'!$E$6:$Z$6,1)+1)-INDEX('Rate &amp; Vol Update'!$E$6:$Z$6,1,MATCH(CI51,'Rate &amp; Vol Update'!$E$6:$Z$6,1)))*(INDEX('Rate &amp; Vol Update'!$B$8:$B$127,MATCH(CD51,'Rate &amp; Vol Update'!$B$8:$B$127,1)+1)-INDEX('Rate &amp; Vol Update'!$B$8:$B$127,MATCH(CD51,'Rate &amp; Vol Update'!$B$8:$B$127,1))))*(INDEX('Rate &amp; Vol Update'!$E$8:$Z$127,MATCH(INDEX('Rate &amp; Vol Update'!$B$8:$B$127,MATCH(CD51,'Rate &amp; Vol Update'!$B$8:$B$127,1)),'Rate &amp; Vol Update'!$B$8:$B$127,0),MATCH(INDEX('Rate &amp; Vol Update'!$E$6:$Z$6,1,MATCH(CI51,'Rate &amp; Vol Update'!$E$6:$Z$6,1)),'Rate &amp; Vol Update'!$E$6:$Z$6,0))*(INDEX('Rate &amp; Vol Update'!$E$6:$Z$6,1,MATCH(CI51,'Rate &amp; Vol Update'!$E$6:$Z$6,1)+1)-CI51)*(INDEX('Rate &amp; Vol Update'!$B$8:$B$127,MATCH(CD51,'Rate &amp; Vol Update'!$B$8:$B$127,1)+1)-CD51)+INDEX('Rate &amp; Vol Update'!$E$8:$Z$127,MATCH(INDEX('Rate &amp; Vol Update'!$B$8:$B$127,MATCH(CD51,'Rate &amp; Vol Update'!$B$8:$B$127,1)),'Rate &amp; Vol Update'!$B$8:$B$127,0),MATCH(INDEX('Rate &amp; Vol Update'!$E$6:$Z$6,1,MATCH(CI51,'Rate &amp; Vol Update'!$E$6:$Z$6,1)+1),'Rate &amp; Vol Update'!$E$6:$Z$6,0))*(CI51-INDEX('Rate &amp; Vol Update'!$E$6:$Z$6,1,MATCH(CI51,'Rate &amp; Vol Update'!$E$6:$Z$6,1)))*(INDEX('Rate &amp; Vol Update'!$B$8:$B$127,MATCH(CD51,'Rate &amp; Vol Update'!$B$8:$B$127,1)+1)-CD51)+INDEX('Rate &amp; Vol Update'!$E$8:$Z$127,MATCH(INDEX('Rate &amp; Vol Update'!$B$8:$B$127,MATCH(CD51,'Rate &amp; Vol Update'!$B$8:$B$127,1)+1),'Rate &amp; Vol Update'!$B$8:$B$127,0),MATCH(INDEX('Rate &amp; Vol Update'!$E$6:$Z$6,1,MATCH(CI51,'Rate &amp; Vol Update'!$E$6:$Z$6,1)),'Rate &amp; Vol Update'!$E$6:$Z$6,0))*(INDEX('Rate &amp; Vol Update'!$E$6:$Z$6,1,MATCH(CI51,'Rate &amp; Vol Update'!$E$6:$Z$6,1)+1)-CI51)*(CD51-INDEX('Rate &amp; Vol Update'!$B$8:$B$127,MATCH(CD51,'Rate &amp; Vol Update'!$B$8:$B$127,1)))+INDEX('Rate &amp; Vol Update'!$E$8:$Z$127,MATCH(INDEX('Rate &amp; Vol Update'!$B$8:$B$127,MATCH(CD51,'Rate &amp; Vol Update'!$B$8:$B$127,1)+1),'Rate &amp; Vol Update'!$B$8:$B$127,0),MATCH(INDEX('Rate &amp; Vol Update'!$E$6:$Z$6,1,MATCH(CI51,'Rate &amp; Vol Update'!$E$6:$Z$6,1)+1),'Rate &amp; Vol Update'!$E$6:$Z$6,0))*(CI51-INDEX('Rate &amp; Vol Update'!$E$6:$Z$6,1,MATCH(CI51,'Rate &amp; Vol Update'!$E$6:$Z$6,1)))*(CD51-INDEX('Rate &amp; Vol Update'!$B$8:$B$127,MATCH(CD51,'Rate &amp; Vol Update'!$B$8:$B$127,1)))))*0.01%))</f>
        <v>1.0984173212550687E-2</v>
      </c>
      <c r="CL51" s="5">
        <f>IF(CC51="","",1/((1+CJ51)^((CE51-'Rate &amp; Vol Update'!$C$2)/360)))</f>
        <v>0.86860398171909237</v>
      </c>
      <c r="CN51" s="15">
        <f>IF(CC51="","",IF(CD51&lt;'Rate &amp; Vol Update'!$C$2,MAX(0,CJ51-CI51)*(CF51/360)*CH51,(((IF('Adjustment Surface'!$C$2='Data Validation'!$A$2,CJ51,IF('Adjustment Surface'!$C$2='Data Validation'!$A$3,CI51,"Unknown Option Type"))-IF('Adjustment Surface'!$C$2='Data Validation'!$A$2,CI51,IF('Adjustment Surface'!$C$2='Data Validation'!$A$3,CJ51,"Unknown Option Type")))*(NORMDIST((IF('Adjustment Surface'!$C$2='Data Validation'!$A$2,CJ51,IF('Adjustment Surface'!$C$2='Data Validation'!$A$3,CI51,"Unknown Option Type"))-IF('Adjustment Surface'!$C$2='Data Validation'!$A$2,CI51,IF('Adjustment Surface'!$C$2='Data Validation'!$A$3,CJ51,"Unknown Option Type")))/(CK51*SQRT(CG51)),0,1,TRUE)))+((CK51*SQRT(CG51))*(NORMDIST((IF('Adjustment Surface'!$C$2='Data Validation'!$A$2,CJ51,IF('Adjustment Surface'!$C$2='Data Validation'!$A$3,CI51,"Unknown Option Type"))-IF('Adjustment Surface'!$C$2='Data Validation'!$A$2,CI51,IF('Adjustment Surface'!$C$2='Data Validation'!$A$3,CJ51,"Unknown Option Type")))/(CK51*SQRT(CG51)),0,1,FALSE))))*CL51*(CF51/360)*CH51))</f>
        <v>2754.3421561904711</v>
      </c>
      <c r="CO51" s="15">
        <f>IF(CC51="","",SUM(CN$4:CN51))</f>
        <v>43798.299318942241</v>
      </c>
      <c r="CQ51" s="15">
        <f>IF(CC51="","",IF(CD51&lt;'Rate &amp; Vol Update'!$C$2,0,((((((IF('Adjustment Surface'!$C$2='Data Validation'!$A$2,CJ51,IF('Adjustment Surface'!$C$2='Data Validation'!$A$3,CI51,"Unknown Option Type"))-IF('Adjustment Surface'!$C$2='Data Validation'!$A$2,CI51,IF('Adjustment Surface'!$C$2='Data Validation'!$A$3,CJ51,"Unknown Option Type")))*(NORMDIST((IF('Adjustment Surface'!$C$2='Data Validation'!$A$2,CJ51,IF('Adjustment Surface'!$C$2='Data Validation'!$A$3,CI51,"Unknown Option Type"))-IF('Adjustment Surface'!$C$2='Data Validation'!$A$2,CI51,IF('Adjustment Surface'!$C$2='Data Validation'!$A$3,CJ51,"Unknown Option Type")))/((CK51+0.01%)*SQRT(CG51)),0,1,TRUE)))+(((CK51+0.01%)*SQRT(CG51))*(NORMDIST((IF('Adjustment Surface'!$C$2='Data Validation'!$A$2,CJ51,IF('Adjustment Surface'!$C$2='Data Validation'!$A$3,CI51,"Unknown Option Type"))-IF('Adjustment Surface'!$C$2='Data Validation'!$A$2,CI51,IF('Adjustment Surface'!$C$2='Data Validation'!$A$3,CJ51,"Unknown Option Type")))/((CK51+0.01%)*SQRT(CG51)),0,1,FALSE))))*CL51*(CF51/360))-(CN51/CH51))*CH51)*CL51))</f>
        <v>70.477092887778582</v>
      </c>
      <c r="CR51" s="15">
        <f>IF(CC51="","",SUM(CQ$4:CQ51))</f>
        <v>1379.6543584507094</v>
      </c>
    </row>
    <row r="52" spans="7:96" x14ac:dyDescent="0.25">
      <c r="G52" s="28"/>
      <c r="J52" s="4" t="str">
        <f>IF(K51='Adjustment Surface'!C$8,"",K51)</f>
        <v/>
      </c>
      <c r="K52" s="4" t="str">
        <f>IF(J52="","",IF(J52&lt;'Adjustment Surface'!C$7,EDATE(J$5,COUNT(J$5:J52)),IF(J52='Adjustment Surface'!C$7,'Adjustment Surface'!C$8,'Adjustment Surface'!C$7)))</f>
        <v/>
      </c>
      <c r="L52" s="3" t="str">
        <f t="shared" si="1"/>
        <v/>
      </c>
      <c r="M52" s="5" t="str">
        <f>IF(I52="","",(K52-'Rate &amp; Vol Update'!$C$2)/360)</f>
        <v/>
      </c>
      <c r="N52" s="15" t="str">
        <f>IF(I52="","",IF('Adjustment Surface'!C$3='Data Validation'!$C$2,'Adjustment Surface'!C$4,IF(INDEX(Schedules!$E$3:$E$123,MATCH('Bachelier Model'!J52,Schedules!$B$3:$B$123,0))="",N51,INDEX(Schedules!$E$3:$E$123,MATCH('Bachelier Model'!J52,Schedules!$B$3:$B$123,0)))))</f>
        <v/>
      </c>
      <c r="O52" s="16" t="str">
        <f>IF(I52="","",IF('Adjustment Surface'!C$9='Data Validation'!$D$2,'Adjustment Surface'!C$10,IF(INDEX(Schedules!$H$3:$H$123,MATCH('Bachelier Model'!J52,Schedules!$B$3:$B$123,0))="",O51,INDEX(Schedules!$H$3:$H$123,MATCH('Bachelier Model'!J52,Schedules!$B$3:$B$123,0)))))</f>
        <v/>
      </c>
      <c r="P52" s="16" t="str" cm="1">
        <f t="array" ref="P52">IF(I52="","",FORECAST(J52,INDEX('Rate &amp; Vol Update'!$C$6:$C$127,MATCH(INDEX('Rate &amp; Vol Update'!$B$6:$B$127,MATCH(J52,'Rate &amp; Vol Update'!$B$6:$B$127,1)),'Rate &amp; Vol Update'!$B$6:$B$127,0)+IF('Adjustment Surface'!C$11='Data Validation'!$E$3,-1,0)):INDEX('Rate &amp; Vol Update'!$C$6:$C$127,MATCH(INDEX('Rate &amp; Vol Update'!$B$6:$B$127,MATCH(J52,'Rate &amp; Vol Update'!$B$6:$B$127,1)+1),'Rate &amp; Vol Update'!$B$6:$B$127,0)+IF('Adjustment Surface'!C$11='Data Validation'!$E$3,-1,0)),INDEX('Rate &amp; Vol Update'!$B$6:$B$127,MATCH(J52,'Rate &amp; Vol Update'!$B$6:$B$127,1)):INDEX('Rate &amp; Vol Update'!$B$6:$B$127,MATCH(J52,'Rate &amp; Vol Update'!$B$6:$B$127,1)+1))/100)</f>
        <v/>
      </c>
      <c r="Q52" s="16" t="str" cm="1">
        <f t="array" ref="Q52">IF(I52="","",IF(J52&lt;'Rate &amp; Vol Update'!$C$2,0.001%,(1/((INDEX('Rate &amp; Vol Update'!$E$6:$Z$6,1,MATCH(O52,'Rate &amp; Vol Update'!$E$6:$Z$6,1)+1)-INDEX('Rate &amp; Vol Update'!$E$6:$Z$6,1,MATCH(O52,'Rate &amp; Vol Update'!$E$6:$Z$6,1)))*(INDEX('Rate &amp; Vol Update'!$B$8:$B$127,MATCH(J52,'Rate &amp; Vol Update'!$B$8:$B$127,1)+1)-INDEX('Rate &amp; Vol Update'!$B$8:$B$127,MATCH(J52,'Rate &amp; Vol Update'!$B$8:$B$127,1))))*(INDEX('Rate &amp; Vol Update'!$E$8:$Z$127,MATCH(INDEX('Rate &amp; Vol Update'!$B$8:$B$127,MATCH(J52,'Rate &amp; Vol Update'!$B$8:$B$127,1)),'Rate &amp; Vol Update'!$B$8:$B$127,0),MATCH(INDEX('Rate &amp; Vol Update'!$E$6:$Z$6,1,MATCH(O52,'Rate &amp; Vol Update'!$E$6:$Z$6,1)),'Rate &amp; Vol Update'!$E$6:$Z$6,0))*(INDEX('Rate &amp; Vol Update'!$E$6:$Z$6,1,MATCH(O52,'Rate &amp; Vol Update'!$E$6:$Z$6,1)+1)-O52)*(INDEX('Rate &amp; Vol Update'!$B$8:$B$127,MATCH(J52,'Rate &amp; Vol Update'!$B$8:$B$127,1)+1)-J52)+INDEX('Rate &amp; Vol Update'!$E$8:$Z$127,MATCH(INDEX('Rate &amp; Vol Update'!$B$8:$B$127,MATCH(J52,'Rate &amp; Vol Update'!$B$8:$B$127,1)),'Rate &amp; Vol Update'!$B$8:$B$127,0),MATCH(INDEX('Rate &amp; Vol Update'!$E$6:$Z$6,1,MATCH(O52,'Rate &amp; Vol Update'!$E$6:$Z$6,1)+1),'Rate &amp; Vol Update'!$E$6:$Z$6,0))*(O52-INDEX('Rate &amp; Vol Update'!$E$6:$Z$6,1,MATCH(O52,'Rate &amp; Vol Update'!$E$6:$Z$6,1)))*(INDEX('Rate &amp; Vol Update'!$B$8:$B$127,MATCH(J52,'Rate &amp; Vol Update'!$B$8:$B$127,1)+1)-J52)+INDEX('Rate &amp; Vol Update'!$E$8:$Z$127,MATCH(INDEX('Rate &amp; Vol Update'!$B$8:$B$127,MATCH(J52,'Rate &amp; Vol Update'!$B$8:$B$127,1)+1),'Rate &amp; Vol Update'!$B$8:$B$127,0),MATCH(INDEX('Rate &amp; Vol Update'!$E$6:$Z$6,1,MATCH(O52,'Rate &amp; Vol Update'!$E$6:$Z$6,1)),'Rate &amp; Vol Update'!$E$6:$Z$6,0))*(INDEX('Rate &amp; Vol Update'!$E$6:$Z$6,1,MATCH(O52,'Rate &amp; Vol Update'!$E$6:$Z$6,1)+1)-O52)*(J52-INDEX('Rate &amp; Vol Update'!$B$8:$B$127,MATCH(J52,'Rate &amp; Vol Update'!$B$8:$B$127,1)))+INDEX('Rate &amp; Vol Update'!$E$8:$Z$127,MATCH(INDEX('Rate &amp; Vol Update'!$B$8:$B$127,MATCH(J52,'Rate &amp; Vol Update'!$B$8:$B$127,1)+1),'Rate &amp; Vol Update'!$B$8:$B$127,0),MATCH(INDEX('Rate &amp; Vol Update'!$E$6:$Z$6,1,MATCH(O52,'Rate &amp; Vol Update'!$E$6:$Z$6,1)+1),'Rate &amp; Vol Update'!$E$6:$Z$6,0))*(O52-INDEX('Rate &amp; Vol Update'!$E$6:$Z$6,1,MATCH(O52,'Rate &amp; Vol Update'!$E$6:$Z$6,1)))*(J52-INDEX('Rate &amp; Vol Update'!$B$8:$B$127,MATCH(J52,'Rate &amp; Vol Update'!$B$8:$B$127,1)))))*0.01%))</f>
        <v/>
      </c>
      <c r="R52" s="5" t="str">
        <f>IF(I52="","",1/((1+P52)^((K52-'Rate &amp; Vol Update'!$C$2)/360)))</f>
        <v/>
      </c>
      <c r="T52" s="15" t="str">
        <f>IF(I52="","",IF(J52&lt;'Rate &amp; Vol Update'!$C$2,MAX(0,P52-O52)*(L52/360)*N52,(((IF('Adjustment Surface'!C$2='Data Validation'!$A$2,P52,IF('Adjustment Surface'!C$2='Data Validation'!$A$3,O52,"Unknown Option Type"))-IF('Adjustment Surface'!C$2='Data Validation'!$A$2,O52,IF('Adjustment Surface'!C$2='Data Validation'!$A$3,P52,"Unknown Option Type")))*(NORMDIST((IF('Adjustment Surface'!C$2='Data Validation'!$A$2,P52,IF('Adjustment Surface'!C$2='Data Validation'!$A$3,O52,"Unknown Option Type"))-IF('Adjustment Surface'!C$2='Data Validation'!$A$2,O52,IF('Adjustment Surface'!C$2='Data Validation'!$A$3,P52,"Unknown Option Type")))/(Q52*SQRT(M52)),0,1,TRUE)))+((Q52*SQRT(M52))*(NORMDIST((IF('Adjustment Surface'!C$2='Data Validation'!$A$2,P52,IF('Adjustment Surface'!C$2='Data Validation'!$A$3,O52,"Unknown Option Type"))-IF('Adjustment Surface'!C$2='Data Validation'!$A$2,O52,IF('Adjustment Surface'!C$2='Data Validation'!$A$3,P52,"Unknown Option Type")))/(Q52*SQRT(M52)),0,1,FALSE))))*R52*(L52/360)*N52))</f>
        <v/>
      </c>
      <c r="U52" s="15" t="str">
        <f>IF(I52="","",SUM(T$4:T52))</f>
        <v/>
      </c>
      <c r="W52" s="15" t="str">
        <f>IF(I52="","",IF(J52&lt;'Rate &amp; Vol Update'!$C$2,0,((((((IF('Adjustment Surface'!C$2='Data Validation'!$A$2,P52,IF('Adjustment Surface'!C$2='Data Validation'!$A$3,O52,"Unknown Option Type"))-IF('Adjustment Surface'!C$2='Data Validation'!$A$2,O52,IF('Adjustment Surface'!C$2='Data Validation'!$A$3,P52,"Unknown Option Type")))*(NORMDIST((IF('Adjustment Surface'!C$2='Data Validation'!$A$2,P52,IF('Adjustment Surface'!C$2='Data Validation'!$A$3,O52,"Unknown Option Type"))-IF('Adjustment Surface'!C$2='Data Validation'!$A$2,O52,IF('Adjustment Surface'!C$2='Data Validation'!$A$3,P52,"Unknown Option Type")))/((Q52+0.01%)*SQRT(M52)),0,1,TRUE)))+(((Q52+0.01%)*SQRT(M52))*(NORMDIST((IF('Adjustment Surface'!C$2='Data Validation'!$A$2,P52,IF('Adjustment Surface'!C$2='Data Validation'!$A$3,O52,"Unknown Option Type"))-IF('Adjustment Surface'!C$2='Data Validation'!$A$2,O52,IF('Adjustment Surface'!C$2='Data Validation'!$A$3,P52,"Unknown Option Type")))/((Q52+0.01%)*SQRT(M52)),0,1,FALSE))))*R52*(L52/360))-(T52/N52))*N52)*R52))</f>
        <v/>
      </c>
      <c r="X52" s="15" t="str">
        <f>IF(I52="","",SUM(W$4:W52))</f>
        <v/>
      </c>
      <c r="Y52" s="15"/>
      <c r="Z52" s="20"/>
      <c r="AB52" s="4" t="str">
        <f>IF(AC51=MAX('Adjustment Surface'!$C$14:$F$14),"",AC51)</f>
        <v/>
      </c>
      <c r="AC52" s="4" t="str">
        <f>IF(AB52="","",IF(AB52&lt;EDATE('Adjustment Surface'!$C$6,DATEDIF('Adjustment Surface'!$C$6,MAX('Adjustment Surface'!$C$14:$F$14),"M")),EDATE(AB$5,COUNT(AB$5:AB52)),IF(AB52=EDATE('Adjustment Surface'!$C$6,DATEDIF('Adjustment Surface'!$C$6,MAX('Adjustment Surface'!$C$14:$F$14),"M")),MAX('Adjustment Surface'!$C$14:$F$14),EDATE('Adjustment Surface'!$C$6,DATEDIF('Adjustment Surface'!$C$6,MAX('Adjustment Surface'!$C$14:$F$14),"M")))))</f>
        <v/>
      </c>
      <c r="AD52" s="3" t="str">
        <f t="shared" si="2"/>
        <v/>
      </c>
      <c r="AE52" s="5" t="str">
        <f>IF(AA52="","",(AC52-'Rate &amp; Vol Update'!$C$2)/360)</f>
        <v/>
      </c>
      <c r="AF52" s="15" t="str">
        <f>IF(AA52="","",IF('Adjustment Surface'!$C$3='Data Validation'!$C$2,'Adjustment Surface'!$C$4,_xlfn.IFNA(IF(INDEX(Schedules!$E$3:$E$123,MATCH('Bachelier Model'!AB52,Schedules!$B$3:$B$123,0))="",AF51,INDEX(Schedules!$E$3:$E$123,MATCH('Bachelier Model'!AB52,Schedules!$B$3:$B$123,0))),AF51)))</f>
        <v/>
      </c>
      <c r="AG52" s="16" t="str">
        <f>IF(AA52="","",'Adjustment Surface'!B$15)</f>
        <v/>
      </c>
      <c r="AH52" s="16" t="str" cm="1">
        <f t="array" ref="AH52">IF(AA52="","",FORECAST(AB52,INDEX('Rate &amp; Vol Update'!$C$6:$C$127,MATCH(INDEX('Rate &amp; Vol Update'!$B$6:$B$127,MATCH(AB52,'Rate &amp; Vol Update'!$B$6:$B$127,1)),'Rate &amp; Vol Update'!$B$6:$B$127,0)+IF('Adjustment Surface'!$C$11='Data Validation'!$E$3,-1,0)):INDEX('Rate &amp; Vol Update'!$C$6:$C$127,MATCH(INDEX('Rate &amp; Vol Update'!$B$6:$B$127,MATCH(AB52,'Rate &amp; Vol Update'!$B$6:$B$127,1)+1),'Rate &amp; Vol Update'!$B$6:$B$127,0)+IF('Adjustment Surface'!$C$11='Data Validation'!$E$3,-1,0)),INDEX('Rate &amp; Vol Update'!$B$6:$B$127,MATCH(AB52,'Rate &amp; Vol Update'!$B$6:$B$127,1)):INDEX('Rate &amp; Vol Update'!$B$6:$B$127,MATCH(AB52,'Rate &amp; Vol Update'!$B$6:$B$127,1)+1))/100)</f>
        <v/>
      </c>
      <c r="AI52" s="16" t="str" cm="1">
        <f t="array" ref="AI52">IF(AA52="","",IF(AB52&lt;'Rate &amp; Vol Update'!$C$2,0.001%,(1/((INDEX('Rate &amp; Vol Update'!$E$6:$Z$6,1,MATCH(AG52,'Rate &amp; Vol Update'!$E$6:$Z$6,1)+1)-INDEX('Rate &amp; Vol Update'!$E$6:$Z$6,1,MATCH(AG52,'Rate &amp; Vol Update'!$E$6:$Z$6,1)))*(INDEX('Rate &amp; Vol Update'!$B$8:$B$127,MATCH(AB52,'Rate &amp; Vol Update'!$B$8:$B$127,1)+1)-INDEX('Rate &amp; Vol Update'!$B$8:$B$127,MATCH(AB52,'Rate &amp; Vol Update'!$B$8:$B$127,1))))*(INDEX('Rate &amp; Vol Update'!$E$8:$Z$127,MATCH(INDEX('Rate &amp; Vol Update'!$B$8:$B$127,MATCH(AB52,'Rate &amp; Vol Update'!$B$8:$B$127,1)),'Rate &amp; Vol Update'!$B$8:$B$127,0),MATCH(INDEX('Rate &amp; Vol Update'!$E$6:$Z$6,1,MATCH(AG52,'Rate &amp; Vol Update'!$E$6:$Z$6,1)),'Rate &amp; Vol Update'!$E$6:$Z$6,0))*(INDEX('Rate &amp; Vol Update'!$E$6:$Z$6,1,MATCH(AG52,'Rate &amp; Vol Update'!$E$6:$Z$6,1)+1)-AG52)*(INDEX('Rate &amp; Vol Update'!$B$8:$B$127,MATCH(AB52,'Rate &amp; Vol Update'!$B$8:$B$127,1)+1)-AB52)+INDEX('Rate &amp; Vol Update'!$E$8:$Z$127,MATCH(INDEX('Rate &amp; Vol Update'!$B$8:$B$127,MATCH(AB52,'Rate &amp; Vol Update'!$B$8:$B$127,1)),'Rate &amp; Vol Update'!$B$8:$B$127,0),MATCH(INDEX('Rate &amp; Vol Update'!$E$6:$Z$6,1,MATCH(AG52,'Rate &amp; Vol Update'!$E$6:$Z$6,1)+1),'Rate &amp; Vol Update'!$E$6:$Z$6,0))*(AG52-INDEX('Rate &amp; Vol Update'!$E$6:$Z$6,1,MATCH(AG52,'Rate &amp; Vol Update'!$E$6:$Z$6,1)))*(INDEX('Rate &amp; Vol Update'!$B$8:$B$127,MATCH(AB52,'Rate &amp; Vol Update'!$B$8:$B$127,1)+1)-AB52)+INDEX('Rate &amp; Vol Update'!$E$8:$Z$127,MATCH(INDEX('Rate &amp; Vol Update'!$B$8:$B$127,MATCH(AB52,'Rate &amp; Vol Update'!$B$8:$B$127,1)+1),'Rate &amp; Vol Update'!$B$8:$B$127,0),MATCH(INDEX('Rate &amp; Vol Update'!$E$6:$Z$6,1,MATCH(AG52,'Rate &amp; Vol Update'!$E$6:$Z$6,1)),'Rate &amp; Vol Update'!$E$6:$Z$6,0))*(INDEX('Rate &amp; Vol Update'!$E$6:$Z$6,1,MATCH(AG52,'Rate &amp; Vol Update'!$E$6:$Z$6,1)+1)-AG52)*(AB52-INDEX('Rate &amp; Vol Update'!$B$8:$B$127,MATCH(AB52,'Rate &amp; Vol Update'!$B$8:$B$127,1)))+INDEX('Rate &amp; Vol Update'!$E$8:$Z$127,MATCH(INDEX('Rate &amp; Vol Update'!$B$8:$B$127,MATCH(AB52,'Rate &amp; Vol Update'!$B$8:$B$127,1)+1),'Rate &amp; Vol Update'!$B$8:$B$127,0),MATCH(INDEX('Rate &amp; Vol Update'!$E$6:$Z$6,1,MATCH(AG52,'Rate &amp; Vol Update'!$E$6:$Z$6,1)+1),'Rate &amp; Vol Update'!$E$6:$Z$6,0))*(AG52-INDEX('Rate &amp; Vol Update'!$E$6:$Z$6,1,MATCH(AG52,'Rate &amp; Vol Update'!$E$6:$Z$6,1)))*(AB52-INDEX('Rate &amp; Vol Update'!$B$8:$B$127,MATCH(AB52,'Rate &amp; Vol Update'!$B$8:$B$127,1)))))*0.01%))</f>
        <v/>
      </c>
      <c r="AJ52" s="5" t="str">
        <f>IF(AA52="","",1/((1+AH52)^((AC52-'Rate &amp; Vol Update'!$C$2)/360)))</f>
        <v/>
      </c>
      <c r="AL52" s="15" t="str">
        <f>IF(AA52="","",IF(AB52&lt;'Rate &amp; Vol Update'!$C$2,MAX(0,AH52-AG52)*(AD52/360)*AF52,(((IF('Adjustment Surface'!$C$2='Data Validation'!$A$2,AH52,IF('Adjustment Surface'!$C$2='Data Validation'!$A$3,AG52,"Unknown Option Type"))-IF('Adjustment Surface'!$C$2='Data Validation'!$A$2,AG52,IF('Adjustment Surface'!$C$2='Data Validation'!$A$3,AH52,"Unknown Option Type")))*(NORMDIST((IF('Adjustment Surface'!$C$2='Data Validation'!$A$2,AH52,IF('Adjustment Surface'!$C$2='Data Validation'!$A$3,AG52,"Unknown Option Type"))-IF('Adjustment Surface'!$C$2='Data Validation'!$A$2,AG52,IF('Adjustment Surface'!$C$2='Data Validation'!$A$3,AH52,"Unknown Option Type")))/(AI52*SQRT(AE52)),0,1,TRUE)))+((AI52*SQRT(AE52))*(NORMDIST((IF('Adjustment Surface'!$C$2='Data Validation'!$A$2,AH52,IF('Adjustment Surface'!$C$2='Data Validation'!$A$3,AG52,"Unknown Option Type"))-IF('Adjustment Surface'!$C$2='Data Validation'!$A$2,AG52,IF('Adjustment Surface'!$C$2='Data Validation'!$A$3,AH52,"Unknown Option Type")))/(AI52*SQRT(AE52)),0,1,FALSE))))*AJ52*(AD52/360)*AF52))</f>
        <v/>
      </c>
      <c r="AM52" s="15" t="str">
        <f>IF(AA52="","",SUM(AL$4:AL52))</f>
        <v/>
      </c>
      <c r="AO52" s="15" t="str">
        <f>IF(AA52="","",IF(AB52&lt;'Rate &amp; Vol Update'!$C$2,0,((((((IF('Adjustment Surface'!$C$2='Data Validation'!$A$2,AH52,IF('Adjustment Surface'!$C$2='Data Validation'!$A$3,AG52,"Unknown Option Type"))-IF('Adjustment Surface'!$C$2='Data Validation'!$A$2,AG52,IF('Adjustment Surface'!$C$2='Data Validation'!$A$3,AH52,"Unknown Option Type")))*(NORMDIST((IF('Adjustment Surface'!$C$2='Data Validation'!$A$2,AH52,IF('Adjustment Surface'!$C$2='Data Validation'!$A$3,AG52,"Unknown Option Type"))-IF('Adjustment Surface'!$C$2='Data Validation'!$A$2,AG52,IF('Adjustment Surface'!$C$2='Data Validation'!$A$3,AH52,"Unknown Option Type")))/((AI52+0.01%)*SQRT(AE52)),0,1,TRUE)))+(((AI52+0.01%)*SQRT(AE52))*(NORMDIST((IF('Adjustment Surface'!$C$2='Data Validation'!$A$2,AH52,IF('Adjustment Surface'!$C$2='Data Validation'!$A$3,AG52,"Unknown Option Type"))-IF('Adjustment Surface'!$C$2='Data Validation'!$A$2,AG52,IF('Adjustment Surface'!$C$2='Data Validation'!$A$3,AH52,"Unknown Option Type")))/((AI52+0.01%)*SQRT(AE52)),0,1,FALSE))))*AJ52*(AD52/360))-(AL52/AF52))*AF52)*AJ52))</f>
        <v/>
      </c>
      <c r="AP52" s="15" t="str">
        <f>IF(AA52="","",SUM(AO$4:AO52))</f>
        <v/>
      </c>
      <c r="AQ52" s="15"/>
      <c r="AR52" s="20"/>
      <c r="AT52" s="4" t="str">
        <f>IF(AU51=MAX('Adjustment Surface'!$C$14:$F$14),"",AU51)</f>
        <v/>
      </c>
      <c r="AU52" s="4" t="str">
        <f>IF(AT52="","",IF(AT52&lt;EDATE('Adjustment Surface'!$C$6,DATEDIF('Adjustment Surface'!$C$6,MAX('Adjustment Surface'!$C$14:$F$14),"M")),EDATE(AT$5,COUNT(AT$5:AT52)),IF(AT52=EDATE('Adjustment Surface'!$C$6,DATEDIF('Adjustment Surface'!$C$6,MAX('Adjustment Surface'!$C$14:$F$14),"M")),MAX('Adjustment Surface'!$C$14:$F$14),EDATE('Adjustment Surface'!$C$6,DATEDIF('Adjustment Surface'!$C$6,MAX('Adjustment Surface'!$C$14:$F$14),"M")))))</f>
        <v/>
      </c>
      <c r="AV52" s="3" t="str">
        <f t="shared" si="3"/>
        <v/>
      </c>
      <c r="AW52" s="5" t="str">
        <f>IF(AS52="","",(AU52-'Rate &amp; Vol Update'!$C$2)/360)</f>
        <v/>
      </c>
      <c r="AX52" s="15" t="str">
        <f>IF(AS52="","",IF('Adjustment Surface'!$C$3='Data Validation'!$C$2,'Adjustment Surface'!$C$4,_xlfn.IFNA(IF(INDEX(Schedules!$E$3:$E$123,MATCH('Bachelier Model'!AT52,Schedules!$B$3:$B$123,0))="",AX51,INDEX(Schedules!$E$3:$E$123,MATCH('Bachelier Model'!AT52,Schedules!$B$3:$B$123,0))),AX51)))</f>
        <v/>
      </c>
      <c r="AY52" s="16" t="str">
        <f>IF(AS52="","",'Adjustment Surface'!B$16)</f>
        <v/>
      </c>
      <c r="AZ52" s="16" t="str" cm="1">
        <f t="array" ref="AZ52">IF(AS52="","",FORECAST(AT52,INDEX('Rate &amp; Vol Update'!$C$6:$C$127,MATCH(INDEX('Rate &amp; Vol Update'!$B$6:$B$127,MATCH(AT52,'Rate &amp; Vol Update'!$B$6:$B$127,1)),'Rate &amp; Vol Update'!$B$6:$B$127,0)+IF('Adjustment Surface'!$C$11='Data Validation'!$E$3,-1,0)):INDEX('Rate &amp; Vol Update'!$C$6:$C$127,MATCH(INDEX('Rate &amp; Vol Update'!$B$6:$B$127,MATCH(AT52,'Rate &amp; Vol Update'!$B$6:$B$127,1)+1),'Rate &amp; Vol Update'!$B$6:$B$127,0)+IF('Adjustment Surface'!$C$11='Data Validation'!$E$3,-1,0)),INDEX('Rate &amp; Vol Update'!$B$6:$B$127,MATCH(AT52,'Rate &amp; Vol Update'!$B$6:$B$127,1)):INDEX('Rate &amp; Vol Update'!$B$6:$B$127,MATCH(AT52,'Rate &amp; Vol Update'!$B$6:$B$127,1)+1))/100)</f>
        <v/>
      </c>
      <c r="BA52" s="16" t="str" cm="1">
        <f t="array" ref="BA52">IF(AS52="","",IF(AT52&lt;'Rate &amp; Vol Update'!$C$2,0.001%,(1/((INDEX('Rate &amp; Vol Update'!$E$6:$Z$6,1,MATCH(AY52,'Rate &amp; Vol Update'!$E$6:$Z$6,1)+1)-INDEX('Rate &amp; Vol Update'!$E$6:$Z$6,1,MATCH(AY52,'Rate &amp; Vol Update'!$E$6:$Z$6,1)))*(INDEX('Rate &amp; Vol Update'!$B$8:$B$127,MATCH(AT52,'Rate &amp; Vol Update'!$B$8:$B$127,1)+1)-INDEX('Rate &amp; Vol Update'!$B$8:$B$127,MATCH(AT52,'Rate &amp; Vol Update'!$B$8:$B$127,1))))*(INDEX('Rate &amp; Vol Update'!$E$8:$Z$127,MATCH(INDEX('Rate &amp; Vol Update'!$B$8:$B$127,MATCH(AT52,'Rate &amp; Vol Update'!$B$8:$B$127,1)),'Rate &amp; Vol Update'!$B$8:$B$127,0),MATCH(INDEX('Rate &amp; Vol Update'!$E$6:$Z$6,1,MATCH(AY52,'Rate &amp; Vol Update'!$E$6:$Z$6,1)),'Rate &amp; Vol Update'!$E$6:$Z$6,0))*(INDEX('Rate &amp; Vol Update'!$E$6:$Z$6,1,MATCH(AY52,'Rate &amp; Vol Update'!$E$6:$Z$6,1)+1)-AY52)*(INDEX('Rate &amp; Vol Update'!$B$8:$B$127,MATCH(AT52,'Rate &amp; Vol Update'!$B$8:$B$127,1)+1)-AT52)+INDEX('Rate &amp; Vol Update'!$E$8:$Z$127,MATCH(INDEX('Rate &amp; Vol Update'!$B$8:$B$127,MATCH(AT52,'Rate &amp; Vol Update'!$B$8:$B$127,1)),'Rate &amp; Vol Update'!$B$8:$B$127,0),MATCH(INDEX('Rate &amp; Vol Update'!$E$6:$Z$6,1,MATCH(AY52,'Rate &amp; Vol Update'!$E$6:$Z$6,1)+1),'Rate &amp; Vol Update'!$E$6:$Z$6,0))*(AY52-INDEX('Rate &amp; Vol Update'!$E$6:$Z$6,1,MATCH(AY52,'Rate &amp; Vol Update'!$E$6:$Z$6,1)))*(INDEX('Rate &amp; Vol Update'!$B$8:$B$127,MATCH(AT52,'Rate &amp; Vol Update'!$B$8:$B$127,1)+1)-AT52)+INDEX('Rate &amp; Vol Update'!$E$8:$Z$127,MATCH(INDEX('Rate &amp; Vol Update'!$B$8:$B$127,MATCH(AT52,'Rate &amp; Vol Update'!$B$8:$B$127,1)+1),'Rate &amp; Vol Update'!$B$8:$B$127,0),MATCH(INDEX('Rate &amp; Vol Update'!$E$6:$Z$6,1,MATCH(AY52,'Rate &amp; Vol Update'!$E$6:$Z$6,1)),'Rate &amp; Vol Update'!$E$6:$Z$6,0))*(INDEX('Rate &amp; Vol Update'!$E$6:$Z$6,1,MATCH(AY52,'Rate &amp; Vol Update'!$E$6:$Z$6,1)+1)-AY52)*(AT52-INDEX('Rate &amp; Vol Update'!$B$8:$B$127,MATCH(AT52,'Rate &amp; Vol Update'!$B$8:$B$127,1)))+INDEX('Rate &amp; Vol Update'!$E$8:$Z$127,MATCH(INDEX('Rate &amp; Vol Update'!$B$8:$B$127,MATCH(AT52,'Rate &amp; Vol Update'!$B$8:$B$127,1)+1),'Rate &amp; Vol Update'!$B$8:$B$127,0),MATCH(INDEX('Rate &amp; Vol Update'!$E$6:$Z$6,1,MATCH(AY52,'Rate &amp; Vol Update'!$E$6:$Z$6,1)+1),'Rate &amp; Vol Update'!$E$6:$Z$6,0))*(AY52-INDEX('Rate &amp; Vol Update'!$E$6:$Z$6,1,MATCH(AY52,'Rate &amp; Vol Update'!$E$6:$Z$6,1)))*(AT52-INDEX('Rate &amp; Vol Update'!$B$8:$B$127,MATCH(AT52,'Rate &amp; Vol Update'!$B$8:$B$127,1)))))*0.01%))</f>
        <v/>
      </c>
      <c r="BB52" s="5" t="str">
        <f>IF(AS52="","",1/((1+AZ52)^((AU52-'Rate &amp; Vol Update'!$C$2)/360)))</f>
        <v/>
      </c>
      <c r="BD52" s="15" t="str">
        <f>IF(AS52="","",IF(AT52&lt;'Rate &amp; Vol Update'!$C$2,MAX(0,AZ52-AY52)*(AV52/360)*AX52,(((IF('Adjustment Surface'!$C$2='Data Validation'!$A$2,AZ52,IF('Adjustment Surface'!$C$2='Data Validation'!$A$3,AY52,"Unknown Option Type"))-IF('Adjustment Surface'!$C$2='Data Validation'!$A$2,AY52,IF('Adjustment Surface'!$C$2='Data Validation'!$A$3,AZ52,"Unknown Option Type")))*(NORMDIST((IF('Adjustment Surface'!$C$2='Data Validation'!$A$2,AZ52,IF('Adjustment Surface'!$C$2='Data Validation'!$A$3,AY52,"Unknown Option Type"))-IF('Adjustment Surface'!$C$2='Data Validation'!$A$2,AY52,IF('Adjustment Surface'!$C$2='Data Validation'!$A$3,AZ52,"Unknown Option Type")))/(BA52*SQRT(AW52)),0,1,TRUE)))+((BA52*SQRT(AW52))*(NORMDIST((IF('Adjustment Surface'!$C$2='Data Validation'!$A$2,AZ52,IF('Adjustment Surface'!$C$2='Data Validation'!$A$3,AY52,"Unknown Option Type"))-IF('Adjustment Surface'!$C$2='Data Validation'!$A$2,AY52,IF('Adjustment Surface'!$C$2='Data Validation'!$A$3,AZ52,"Unknown Option Type")))/(BA52*SQRT(AW52)),0,1,FALSE))))*BB52*(AV52/360)*AX52))</f>
        <v/>
      </c>
      <c r="BE52" s="15" t="str">
        <f>IF(AS52="","",SUM(BD$4:BD52))</f>
        <v/>
      </c>
      <c r="BG52" s="15" t="str">
        <f>IF(AS52="","",IF(AT52&lt;'Rate &amp; Vol Update'!$C$2,0,((((((IF('Adjustment Surface'!$C$2='Data Validation'!$A$2,AZ52,IF('Adjustment Surface'!$C$2='Data Validation'!$A$3,AY52,"Unknown Option Type"))-IF('Adjustment Surface'!$C$2='Data Validation'!$A$2,AY52,IF('Adjustment Surface'!$C$2='Data Validation'!$A$3,AZ52,"Unknown Option Type")))*(NORMDIST((IF('Adjustment Surface'!$C$2='Data Validation'!$A$2,AZ52,IF('Adjustment Surface'!$C$2='Data Validation'!$A$3,AY52,"Unknown Option Type"))-IF('Adjustment Surface'!$C$2='Data Validation'!$A$2,AY52,IF('Adjustment Surface'!$C$2='Data Validation'!$A$3,AZ52,"Unknown Option Type")))/((BA52+0.01%)*SQRT(AW52)),0,1,TRUE)))+(((BA52+0.01%)*SQRT(AW52))*(NORMDIST((IF('Adjustment Surface'!$C$2='Data Validation'!$A$2,AZ52,IF('Adjustment Surface'!$C$2='Data Validation'!$A$3,AY52,"Unknown Option Type"))-IF('Adjustment Surface'!$C$2='Data Validation'!$A$2,AY52,IF('Adjustment Surface'!$C$2='Data Validation'!$A$3,AZ52,"Unknown Option Type")))/((BA52+0.01%)*SQRT(AW52)),0,1,FALSE))))*BB52*(AV52/360))-(BD52/AX52))*AX52)*BB52))</f>
        <v/>
      </c>
      <c r="BH52" s="15" t="str">
        <f>IF(AS52="","",SUM(BG$4:BG52))</f>
        <v/>
      </c>
      <c r="BI52" s="15"/>
      <c r="BJ52" s="20"/>
      <c r="BL52" s="4" t="str">
        <f>IF(BM51=MAX('Adjustment Surface'!$C$14:$F$14),"",BM51)</f>
        <v/>
      </c>
      <c r="BM52" s="4" t="str">
        <f>IF(BL52="","",IF(BL52&lt;EDATE('Adjustment Surface'!$C$6,DATEDIF('Adjustment Surface'!$C$6,MAX('Adjustment Surface'!$C$14:$F$14),"M")),EDATE(BL$5,COUNT(BL$5:BL52)),IF(BL52=EDATE('Adjustment Surface'!$C$6,DATEDIF('Adjustment Surface'!$C$6,MAX('Adjustment Surface'!$C$14:$F$14),"M")),MAX('Adjustment Surface'!$C$14:$F$14),EDATE('Adjustment Surface'!$C$6,DATEDIF('Adjustment Surface'!$C$6,MAX('Adjustment Surface'!$C$14:$F$14),"M")))))</f>
        <v/>
      </c>
      <c r="BN52" s="3" t="str">
        <f t="shared" si="4"/>
        <v/>
      </c>
      <c r="BO52" s="5" t="str">
        <f>IF(BK52="","",(BM52-'Rate &amp; Vol Update'!$C$2)/360)</f>
        <v/>
      </c>
      <c r="BP52" s="15" t="str">
        <f>IF(BK52="","",IF('Adjustment Surface'!$C$3='Data Validation'!$C$2,'Adjustment Surface'!$C$4,_xlfn.IFNA(IF(INDEX(Schedules!$E$3:$E$123,MATCH('Bachelier Model'!BL52,Schedules!$B$3:$B$123,0))="",BP51,INDEX(Schedules!$E$3:$E$123,MATCH('Bachelier Model'!BL52,Schedules!$B$3:$B$123,0))),BP51)))</f>
        <v/>
      </c>
      <c r="BQ52" s="16" t="str">
        <f>IF(BK52="","",'Adjustment Surface'!B$17)</f>
        <v/>
      </c>
      <c r="BR52" s="16" t="str" cm="1">
        <f t="array" ref="BR52">IF(BK52="","",FORECAST(BL52,INDEX('Rate &amp; Vol Update'!$C$6:$C$127,MATCH(INDEX('Rate &amp; Vol Update'!$B$6:$B$127,MATCH(BL52,'Rate &amp; Vol Update'!$B$6:$B$127,1)),'Rate &amp; Vol Update'!$B$6:$B$127,0)+IF('Adjustment Surface'!$C$11='Data Validation'!$E$3,-1,0)):INDEX('Rate &amp; Vol Update'!$C$6:$C$127,MATCH(INDEX('Rate &amp; Vol Update'!$B$6:$B$127,MATCH(BL52,'Rate &amp; Vol Update'!$B$6:$B$127,1)+1),'Rate &amp; Vol Update'!$B$6:$B$127,0)+IF('Adjustment Surface'!$C$11='Data Validation'!$E$3,-1,0)),INDEX('Rate &amp; Vol Update'!$B$6:$B$127,MATCH(BL52,'Rate &amp; Vol Update'!$B$6:$B$127,1)):INDEX('Rate &amp; Vol Update'!$B$6:$B$127,MATCH(BL52,'Rate &amp; Vol Update'!$B$6:$B$127,1)+1))/100)</f>
        <v/>
      </c>
      <c r="BS52" s="16" t="str" cm="1">
        <f t="array" ref="BS52">IF(BK52="","",IF(BL52&lt;'Rate &amp; Vol Update'!$C$2,0.001%,(1/((INDEX('Rate &amp; Vol Update'!$E$6:$Z$6,1,MATCH(BQ52,'Rate &amp; Vol Update'!$E$6:$Z$6,1)+1)-INDEX('Rate &amp; Vol Update'!$E$6:$Z$6,1,MATCH(BQ52,'Rate &amp; Vol Update'!$E$6:$Z$6,1)))*(INDEX('Rate &amp; Vol Update'!$B$8:$B$127,MATCH(BL52,'Rate &amp; Vol Update'!$B$8:$B$127,1)+1)-INDEX('Rate &amp; Vol Update'!$B$8:$B$127,MATCH(BL52,'Rate &amp; Vol Update'!$B$8:$B$127,1))))*(INDEX('Rate &amp; Vol Update'!$E$8:$Z$127,MATCH(INDEX('Rate &amp; Vol Update'!$B$8:$B$127,MATCH(BL52,'Rate &amp; Vol Update'!$B$8:$B$127,1)),'Rate &amp; Vol Update'!$B$8:$B$127,0),MATCH(INDEX('Rate &amp; Vol Update'!$E$6:$Z$6,1,MATCH(BQ52,'Rate &amp; Vol Update'!$E$6:$Z$6,1)),'Rate &amp; Vol Update'!$E$6:$Z$6,0))*(INDEX('Rate &amp; Vol Update'!$E$6:$Z$6,1,MATCH(BQ52,'Rate &amp; Vol Update'!$E$6:$Z$6,1)+1)-BQ52)*(INDEX('Rate &amp; Vol Update'!$B$8:$B$127,MATCH(BL52,'Rate &amp; Vol Update'!$B$8:$B$127,1)+1)-BL52)+INDEX('Rate &amp; Vol Update'!$E$8:$Z$127,MATCH(INDEX('Rate &amp; Vol Update'!$B$8:$B$127,MATCH(BL52,'Rate &amp; Vol Update'!$B$8:$B$127,1)),'Rate &amp; Vol Update'!$B$8:$B$127,0),MATCH(INDEX('Rate &amp; Vol Update'!$E$6:$Z$6,1,MATCH(BQ52,'Rate &amp; Vol Update'!$E$6:$Z$6,1)+1),'Rate &amp; Vol Update'!$E$6:$Z$6,0))*(BQ52-INDEX('Rate &amp; Vol Update'!$E$6:$Z$6,1,MATCH(BQ52,'Rate &amp; Vol Update'!$E$6:$Z$6,1)))*(INDEX('Rate &amp; Vol Update'!$B$8:$B$127,MATCH(BL52,'Rate &amp; Vol Update'!$B$8:$B$127,1)+1)-BL52)+INDEX('Rate &amp; Vol Update'!$E$8:$Z$127,MATCH(INDEX('Rate &amp; Vol Update'!$B$8:$B$127,MATCH(BL52,'Rate &amp; Vol Update'!$B$8:$B$127,1)+1),'Rate &amp; Vol Update'!$B$8:$B$127,0),MATCH(INDEX('Rate &amp; Vol Update'!$E$6:$Z$6,1,MATCH(BQ52,'Rate &amp; Vol Update'!$E$6:$Z$6,1)),'Rate &amp; Vol Update'!$E$6:$Z$6,0))*(INDEX('Rate &amp; Vol Update'!$E$6:$Z$6,1,MATCH(BQ52,'Rate &amp; Vol Update'!$E$6:$Z$6,1)+1)-BQ52)*(BL52-INDEX('Rate &amp; Vol Update'!$B$8:$B$127,MATCH(BL52,'Rate &amp; Vol Update'!$B$8:$B$127,1)))+INDEX('Rate &amp; Vol Update'!$E$8:$Z$127,MATCH(INDEX('Rate &amp; Vol Update'!$B$8:$B$127,MATCH(BL52,'Rate &amp; Vol Update'!$B$8:$B$127,1)+1),'Rate &amp; Vol Update'!$B$8:$B$127,0),MATCH(INDEX('Rate &amp; Vol Update'!$E$6:$Z$6,1,MATCH(BQ52,'Rate &amp; Vol Update'!$E$6:$Z$6,1)+1),'Rate &amp; Vol Update'!$E$6:$Z$6,0))*(BQ52-INDEX('Rate &amp; Vol Update'!$E$6:$Z$6,1,MATCH(BQ52,'Rate &amp; Vol Update'!$E$6:$Z$6,1)))*(BL52-INDEX('Rate &amp; Vol Update'!$B$8:$B$127,MATCH(BL52,'Rate &amp; Vol Update'!$B$8:$B$127,1)))))*0.01%))</f>
        <v/>
      </c>
      <c r="BT52" s="5" t="str">
        <f>IF(BK52="","",1/((1+BR52)^((BM52-'Rate &amp; Vol Update'!$C$2)/360)))</f>
        <v/>
      </c>
      <c r="BV52" s="15" t="str">
        <f>IF(BK52="","",IF(BL52&lt;'Rate &amp; Vol Update'!$C$2,MAX(0,BR52-BQ52)*(BN52/360)*BP52,(((IF('Adjustment Surface'!$C$2='Data Validation'!$A$2,BR52,IF('Adjustment Surface'!$C$2='Data Validation'!$A$3,BQ52,"Unknown Option Type"))-IF('Adjustment Surface'!$C$2='Data Validation'!$A$2,BQ52,IF('Adjustment Surface'!$C$2='Data Validation'!$A$3,BR52,"Unknown Option Type")))*(NORMDIST((IF('Adjustment Surface'!$C$2='Data Validation'!$A$2,BR52,IF('Adjustment Surface'!$C$2='Data Validation'!$A$3,BQ52,"Unknown Option Type"))-IF('Adjustment Surface'!$C$2='Data Validation'!$A$2,BQ52,IF('Adjustment Surface'!$C$2='Data Validation'!$A$3,BR52,"Unknown Option Type")))/(BS52*SQRT(BO52)),0,1,TRUE)))+((BS52*SQRT(BO52))*(NORMDIST((IF('Adjustment Surface'!$C$2='Data Validation'!$A$2,BR52,IF('Adjustment Surface'!$C$2='Data Validation'!$A$3,BQ52,"Unknown Option Type"))-IF('Adjustment Surface'!$C$2='Data Validation'!$A$2,BQ52,IF('Adjustment Surface'!$C$2='Data Validation'!$A$3,BR52,"Unknown Option Type")))/(BS52*SQRT(BO52)),0,1,FALSE))))*BT52*(BN52/360)*BP52))</f>
        <v/>
      </c>
      <c r="BW52" s="15" t="str">
        <f>IF(BK52="","",SUM(BV$4:BV52))</f>
        <v/>
      </c>
      <c r="BY52" s="15" t="str">
        <f>IF(BK52="","",IF(BL52&lt;'Rate &amp; Vol Update'!$C$2,0,((((((IF('Adjustment Surface'!$C$2='Data Validation'!$A$2,BR52,IF('Adjustment Surface'!$C$2='Data Validation'!$A$3,BQ52,"Unknown Option Type"))-IF('Adjustment Surface'!$C$2='Data Validation'!$A$2,BQ52,IF('Adjustment Surface'!$C$2='Data Validation'!$A$3,BR52,"Unknown Option Type")))*(NORMDIST((IF('Adjustment Surface'!$C$2='Data Validation'!$A$2,BR52,IF('Adjustment Surface'!$C$2='Data Validation'!$A$3,BQ52,"Unknown Option Type"))-IF('Adjustment Surface'!$C$2='Data Validation'!$A$2,BQ52,IF('Adjustment Surface'!$C$2='Data Validation'!$A$3,BR52,"Unknown Option Type")))/((BS52+0.01%)*SQRT(BO52)),0,1,TRUE)))+(((BS52+0.01%)*SQRT(BO52))*(NORMDIST((IF('Adjustment Surface'!$C$2='Data Validation'!$A$2,BR52,IF('Adjustment Surface'!$C$2='Data Validation'!$A$3,BQ52,"Unknown Option Type"))-IF('Adjustment Surface'!$C$2='Data Validation'!$A$2,BQ52,IF('Adjustment Surface'!$C$2='Data Validation'!$A$3,BR52,"Unknown Option Type")))/((BS52+0.01%)*SQRT(BO52)),0,1,FALSE))))*BT52*(BN52/360))-(BV52/BP52))*BP52)*BT52))</f>
        <v/>
      </c>
      <c r="BZ52" s="15" t="str">
        <f>IF(BK52="","",SUM(BY$4:BY52))</f>
        <v/>
      </c>
      <c r="CA52" s="15"/>
      <c r="CB52" s="20"/>
      <c r="CD52" s="4" t="str">
        <f>IF(CE51=MAX('Adjustment Surface'!$C$14:$F$14),"",CE51)</f>
        <v/>
      </c>
      <c r="CE52" s="4" t="str">
        <f>IF(CD52="","",IF(CD52&lt;EDATE('Adjustment Surface'!$C$6,DATEDIF('Adjustment Surface'!$C$6,MAX('Adjustment Surface'!$C$14:$F$14),"M")),EDATE(CD$5,COUNT(CD$5:CD52)),IF(CD52=EDATE('Adjustment Surface'!$C$6,DATEDIF('Adjustment Surface'!$C$6,MAX('Adjustment Surface'!$C$14:$F$14),"M")),MAX('Adjustment Surface'!$C$14:$F$14),EDATE('Adjustment Surface'!$C$6,DATEDIF('Adjustment Surface'!$C$6,MAX('Adjustment Surface'!$C$14:$F$14),"M")))))</f>
        <v/>
      </c>
      <c r="CF52" s="3" t="str">
        <f t="shared" si="5"/>
        <v/>
      </c>
      <c r="CG52" s="5" t="str">
        <f>IF(CC52="","",(CE52-'Rate &amp; Vol Update'!$C$2)/360)</f>
        <v/>
      </c>
      <c r="CH52" s="15" t="str">
        <f>IF(CC52="","",IF('Adjustment Surface'!$C$3='Data Validation'!$C$2,'Adjustment Surface'!$C$4,_xlfn.IFNA(IF(INDEX(Schedules!$E$3:$E$123,MATCH('Bachelier Model'!CD52,Schedules!$B$3:$B$123,0))="",CH51,INDEX(Schedules!$E$3:$E$123,MATCH('Bachelier Model'!CD52,Schedules!$B$3:$B$123,0))),CH51)))</f>
        <v/>
      </c>
      <c r="CI52" s="16" t="str">
        <f>IF(CC52="","",'Adjustment Surface'!B$18)</f>
        <v/>
      </c>
      <c r="CJ52" s="16" t="str" cm="1">
        <f t="array" ref="CJ52">IF(CC52="","",FORECAST(CD52,INDEX('Rate &amp; Vol Update'!$C$6:$C$127,MATCH(INDEX('Rate &amp; Vol Update'!$B$6:$B$127,MATCH(CD52,'Rate &amp; Vol Update'!$B$6:$B$127,1)),'Rate &amp; Vol Update'!$B$6:$B$127,0)+IF('Adjustment Surface'!$C$11='Data Validation'!$E$3,-1,0)):INDEX('Rate &amp; Vol Update'!$C$6:$C$127,MATCH(INDEX('Rate &amp; Vol Update'!$B$6:$B$127,MATCH(CD52,'Rate &amp; Vol Update'!$B$6:$B$127,1)+1),'Rate &amp; Vol Update'!$B$6:$B$127,0)+IF('Adjustment Surface'!$C$11='Data Validation'!$E$3,-1,0)),INDEX('Rate &amp; Vol Update'!$B$6:$B$127,MATCH(CD52,'Rate &amp; Vol Update'!$B$6:$B$127,1)):INDEX('Rate &amp; Vol Update'!$B$6:$B$127,MATCH(CD52,'Rate &amp; Vol Update'!$B$6:$B$127,1)+1))/100)</f>
        <v/>
      </c>
      <c r="CK52" s="16" t="str" cm="1">
        <f t="array" ref="CK52">IF(CC52="","",IF(CD52&lt;'Rate &amp; Vol Update'!$C$2,0.001%,(1/((INDEX('Rate &amp; Vol Update'!$E$6:$Z$6,1,MATCH(CI52,'Rate &amp; Vol Update'!$E$6:$Z$6,1)+1)-INDEX('Rate &amp; Vol Update'!$E$6:$Z$6,1,MATCH(CI52,'Rate &amp; Vol Update'!$E$6:$Z$6,1)))*(INDEX('Rate &amp; Vol Update'!$B$8:$B$127,MATCH(CD52,'Rate &amp; Vol Update'!$B$8:$B$127,1)+1)-INDEX('Rate &amp; Vol Update'!$B$8:$B$127,MATCH(CD52,'Rate &amp; Vol Update'!$B$8:$B$127,1))))*(INDEX('Rate &amp; Vol Update'!$E$8:$Z$127,MATCH(INDEX('Rate &amp; Vol Update'!$B$8:$B$127,MATCH(CD52,'Rate &amp; Vol Update'!$B$8:$B$127,1)),'Rate &amp; Vol Update'!$B$8:$B$127,0),MATCH(INDEX('Rate &amp; Vol Update'!$E$6:$Z$6,1,MATCH(CI52,'Rate &amp; Vol Update'!$E$6:$Z$6,1)),'Rate &amp; Vol Update'!$E$6:$Z$6,0))*(INDEX('Rate &amp; Vol Update'!$E$6:$Z$6,1,MATCH(CI52,'Rate &amp; Vol Update'!$E$6:$Z$6,1)+1)-CI52)*(INDEX('Rate &amp; Vol Update'!$B$8:$B$127,MATCH(CD52,'Rate &amp; Vol Update'!$B$8:$B$127,1)+1)-CD52)+INDEX('Rate &amp; Vol Update'!$E$8:$Z$127,MATCH(INDEX('Rate &amp; Vol Update'!$B$8:$B$127,MATCH(CD52,'Rate &amp; Vol Update'!$B$8:$B$127,1)),'Rate &amp; Vol Update'!$B$8:$B$127,0),MATCH(INDEX('Rate &amp; Vol Update'!$E$6:$Z$6,1,MATCH(CI52,'Rate &amp; Vol Update'!$E$6:$Z$6,1)+1),'Rate &amp; Vol Update'!$E$6:$Z$6,0))*(CI52-INDEX('Rate &amp; Vol Update'!$E$6:$Z$6,1,MATCH(CI52,'Rate &amp; Vol Update'!$E$6:$Z$6,1)))*(INDEX('Rate &amp; Vol Update'!$B$8:$B$127,MATCH(CD52,'Rate &amp; Vol Update'!$B$8:$B$127,1)+1)-CD52)+INDEX('Rate &amp; Vol Update'!$E$8:$Z$127,MATCH(INDEX('Rate &amp; Vol Update'!$B$8:$B$127,MATCH(CD52,'Rate &amp; Vol Update'!$B$8:$B$127,1)+1),'Rate &amp; Vol Update'!$B$8:$B$127,0),MATCH(INDEX('Rate &amp; Vol Update'!$E$6:$Z$6,1,MATCH(CI52,'Rate &amp; Vol Update'!$E$6:$Z$6,1)),'Rate &amp; Vol Update'!$E$6:$Z$6,0))*(INDEX('Rate &amp; Vol Update'!$E$6:$Z$6,1,MATCH(CI52,'Rate &amp; Vol Update'!$E$6:$Z$6,1)+1)-CI52)*(CD52-INDEX('Rate &amp; Vol Update'!$B$8:$B$127,MATCH(CD52,'Rate &amp; Vol Update'!$B$8:$B$127,1)))+INDEX('Rate &amp; Vol Update'!$E$8:$Z$127,MATCH(INDEX('Rate &amp; Vol Update'!$B$8:$B$127,MATCH(CD52,'Rate &amp; Vol Update'!$B$8:$B$127,1)+1),'Rate &amp; Vol Update'!$B$8:$B$127,0),MATCH(INDEX('Rate &amp; Vol Update'!$E$6:$Z$6,1,MATCH(CI52,'Rate &amp; Vol Update'!$E$6:$Z$6,1)+1),'Rate &amp; Vol Update'!$E$6:$Z$6,0))*(CI52-INDEX('Rate &amp; Vol Update'!$E$6:$Z$6,1,MATCH(CI52,'Rate &amp; Vol Update'!$E$6:$Z$6,1)))*(CD52-INDEX('Rate &amp; Vol Update'!$B$8:$B$127,MATCH(CD52,'Rate &amp; Vol Update'!$B$8:$B$127,1)))))*0.01%))</f>
        <v/>
      </c>
      <c r="CL52" s="5" t="str">
        <f>IF(CC52="","",1/((1+CJ52)^((CE52-'Rate &amp; Vol Update'!$C$2)/360)))</f>
        <v/>
      </c>
      <c r="CN52" s="15" t="str">
        <f>IF(CC52="","",IF(CD52&lt;'Rate &amp; Vol Update'!$C$2,MAX(0,CJ52-CI52)*(CF52/360)*CH52,(((IF('Adjustment Surface'!$C$2='Data Validation'!$A$2,CJ52,IF('Adjustment Surface'!$C$2='Data Validation'!$A$3,CI52,"Unknown Option Type"))-IF('Adjustment Surface'!$C$2='Data Validation'!$A$2,CI52,IF('Adjustment Surface'!$C$2='Data Validation'!$A$3,CJ52,"Unknown Option Type")))*(NORMDIST((IF('Adjustment Surface'!$C$2='Data Validation'!$A$2,CJ52,IF('Adjustment Surface'!$C$2='Data Validation'!$A$3,CI52,"Unknown Option Type"))-IF('Adjustment Surface'!$C$2='Data Validation'!$A$2,CI52,IF('Adjustment Surface'!$C$2='Data Validation'!$A$3,CJ52,"Unknown Option Type")))/(CK52*SQRT(CG52)),0,1,TRUE)))+((CK52*SQRT(CG52))*(NORMDIST((IF('Adjustment Surface'!$C$2='Data Validation'!$A$2,CJ52,IF('Adjustment Surface'!$C$2='Data Validation'!$A$3,CI52,"Unknown Option Type"))-IF('Adjustment Surface'!$C$2='Data Validation'!$A$2,CI52,IF('Adjustment Surface'!$C$2='Data Validation'!$A$3,CJ52,"Unknown Option Type")))/(CK52*SQRT(CG52)),0,1,FALSE))))*CL52*(CF52/360)*CH52))</f>
        <v/>
      </c>
      <c r="CO52" s="15" t="str">
        <f>IF(CC52="","",SUM(CN$4:CN52))</f>
        <v/>
      </c>
      <c r="CQ52" s="15" t="str">
        <f>IF(CC52="","",IF(CD52&lt;'Rate &amp; Vol Update'!$C$2,0,((((((IF('Adjustment Surface'!$C$2='Data Validation'!$A$2,CJ52,IF('Adjustment Surface'!$C$2='Data Validation'!$A$3,CI52,"Unknown Option Type"))-IF('Adjustment Surface'!$C$2='Data Validation'!$A$2,CI52,IF('Adjustment Surface'!$C$2='Data Validation'!$A$3,CJ52,"Unknown Option Type")))*(NORMDIST((IF('Adjustment Surface'!$C$2='Data Validation'!$A$2,CJ52,IF('Adjustment Surface'!$C$2='Data Validation'!$A$3,CI52,"Unknown Option Type"))-IF('Adjustment Surface'!$C$2='Data Validation'!$A$2,CI52,IF('Adjustment Surface'!$C$2='Data Validation'!$A$3,CJ52,"Unknown Option Type")))/((CK52+0.01%)*SQRT(CG52)),0,1,TRUE)))+(((CK52+0.01%)*SQRT(CG52))*(NORMDIST((IF('Adjustment Surface'!$C$2='Data Validation'!$A$2,CJ52,IF('Adjustment Surface'!$C$2='Data Validation'!$A$3,CI52,"Unknown Option Type"))-IF('Adjustment Surface'!$C$2='Data Validation'!$A$2,CI52,IF('Adjustment Surface'!$C$2='Data Validation'!$A$3,CJ52,"Unknown Option Type")))/((CK52+0.01%)*SQRT(CG52)),0,1,FALSE))))*CL52*(CF52/360))-(CN52/CH52))*CH52)*CL52))</f>
        <v/>
      </c>
      <c r="CR52" s="15" t="str">
        <f>IF(CC52="","",SUM(CQ$4:CQ52))</f>
        <v/>
      </c>
    </row>
    <row r="53" spans="7:96" x14ac:dyDescent="0.25">
      <c r="G53" s="28"/>
      <c r="J53" s="4" t="str">
        <f>IF(K52='Adjustment Surface'!C$8,"",K52)</f>
        <v/>
      </c>
      <c r="K53" s="4" t="str">
        <f>IF(J53="","",IF(J53&lt;'Adjustment Surface'!C$7,EDATE(J$5,COUNT(J$5:J53)),IF(J53='Adjustment Surface'!C$7,'Adjustment Surface'!C$8,'Adjustment Surface'!C$7)))</f>
        <v/>
      </c>
      <c r="L53" s="3" t="str">
        <f t="shared" si="1"/>
        <v/>
      </c>
      <c r="M53" s="5" t="str">
        <f>IF(I53="","",(K53-'Rate &amp; Vol Update'!$C$2)/360)</f>
        <v/>
      </c>
      <c r="N53" s="15" t="str">
        <f>IF(I53="","",IF('Adjustment Surface'!C$3='Data Validation'!$C$2,'Adjustment Surface'!C$4,IF(INDEX(Schedules!$E$3:$E$123,MATCH('Bachelier Model'!J53,Schedules!$B$3:$B$123,0))="",N52,INDEX(Schedules!$E$3:$E$123,MATCH('Bachelier Model'!J53,Schedules!$B$3:$B$123,0)))))</f>
        <v/>
      </c>
      <c r="O53" s="16" t="str">
        <f>IF(I53="","",IF('Adjustment Surface'!C$9='Data Validation'!$D$2,'Adjustment Surface'!C$10,IF(INDEX(Schedules!$H$3:$H$123,MATCH('Bachelier Model'!J53,Schedules!$B$3:$B$123,0))="",O52,INDEX(Schedules!$H$3:$H$123,MATCH('Bachelier Model'!J53,Schedules!$B$3:$B$123,0)))))</f>
        <v/>
      </c>
      <c r="P53" s="16" t="str" cm="1">
        <f t="array" ref="P53">IF(I53="","",FORECAST(J53,INDEX('Rate &amp; Vol Update'!$C$6:$C$127,MATCH(INDEX('Rate &amp; Vol Update'!$B$6:$B$127,MATCH(J53,'Rate &amp; Vol Update'!$B$6:$B$127,1)),'Rate &amp; Vol Update'!$B$6:$B$127,0)+IF('Adjustment Surface'!C$11='Data Validation'!$E$3,-1,0)):INDEX('Rate &amp; Vol Update'!$C$6:$C$127,MATCH(INDEX('Rate &amp; Vol Update'!$B$6:$B$127,MATCH(J53,'Rate &amp; Vol Update'!$B$6:$B$127,1)+1),'Rate &amp; Vol Update'!$B$6:$B$127,0)+IF('Adjustment Surface'!C$11='Data Validation'!$E$3,-1,0)),INDEX('Rate &amp; Vol Update'!$B$6:$B$127,MATCH(J53,'Rate &amp; Vol Update'!$B$6:$B$127,1)):INDEX('Rate &amp; Vol Update'!$B$6:$B$127,MATCH(J53,'Rate &amp; Vol Update'!$B$6:$B$127,1)+1))/100)</f>
        <v/>
      </c>
      <c r="Q53" s="16" t="str" cm="1">
        <f t="array" ref="Q53">IF(I53="","",IF(J53&lt;'Rate &amp; Vol Update'!$C$2,0.001%,(1/((INDEX('Rate &amp; Vol Update'!$E$6:$Z$6,1,MATCH(O53,'Rate &amp; Vol Update'!$E$6:$Z$6,1)+1)-INDEX('Rate &amp; Vol Update'!$E$6:$Z$6,1,MATCH(O53,'Rate &amp; Vol Update'!$E$6:$Z$6,1)))*(INDEX('Rate &amp; Vol Update'!$B$8:$B$127,MATCH(J53,'Rate &amp; Vol Update'!$B$8:$B$127,1)+1)-INDEX('Rate &amp; Vol Update'!$B$8:$B$127,MATCH(J53,'Rate &amp; Vol Update'!$B$8:$B$127,1))))*(INDEX('Rate &amp; Vol Update'!$E$8:$Z$127,MATCH(INDEX('Rate &amp; Vol Update'!$B$8:$B$127,MATCH(J53,'Rate &amp; Vol Update'!$B$8:$B$127,1)),'Rate &amp; Vol Update'!$B$8:$B$127,0),MATCH(INDEX('Rate &amp; Vol Update'!$E$6:$Z$6,1,MATCH(O53,'Rate &amp; Vol Update'!$E$6:$Z$6,1)),'Rate &amp; Vol Update'!$E$6:$Z$6,0))*(INDEX('Rate &amp; Vol Update'!$E$6:$Z$6,1,MATCH(O53,'Rate &amp; Vol Update'!$E$6:$Z$6,1)+1)-O53)*(INDEX('Rate &amp; Vol Update'!$B$8:$B$127,MATCH(J53,'Rate &amp; Vol Update'!$B$8:$B$127,1)+1)-J53)+INDEX('Rate &amp; Vol Update'!$E$8:$Z$127,MATCH(INDEX('Rate &amp; Vol Update'!$B$8:$B$127,MATCH(J53,'Rate &amp; Vol Update'!$B$8:$B$127,1)),'Rate &amp; Vol Update'!$B$8:$B$127,0),MATCH(INDEX('Rate &amp; Vol Update'!$E$6:$Z$6,1,MATCH(O53,'Rate &amp; Vol Update'!$E$6:$Z$6,1)+1),'Rate &amp; Vol Update'!$E$6:$Z$6,0))*(O53-INDEX('Rate &amp; Vol Update'!$E$6:$Z$6,1,MATCH(O53,'Rate &amp; Vol Update'!$E$6:$Z$6,1)))*(INDEX('Rate &amp; Vol Update'!$B$8:$B$127,MATCH(J53,'Rate &amp; Vol Update'!$B$8:$B$127,1)+1)-J53)+INDEX('Rate &amp; Vol Update'!$E$8:$Z$127,MATCH(INDEX('Rate &amp; Vol Update'!$B$8:$B$127,MATCH(J53,'Rate &amp; Vol Update'!$B$8:$B$127,1)+1),'Rate &amp; Vol Update'!$B$8:$B$127,0),MATCH(INDEX('Rate &amp; Vol Update'!$E$6:$Z$6,1,MATCH(O53,'Rate &amp; Vol Update'!$E$6:$Z$6,1)),'Rate &amp; Vol Update'!$E$6:$Z$6,0))*(INDEX('Rate &amp; Vol Update'!$E$6:$Z$6,1,MATCH(O53,'Rate &amp; Vol Update'!$E$6:$Z$6,1)+1)-O53)*(J53-INDEX('Rate &amp; Vol Update'!$B$8:$B$127,MATCH(J53,'Rate &amp; Vol Update'!$B$8:$B$127,1)))+INDEX('Rate &amp; Vol Update'!$E$8:$Z$127,MATCH(INDEX('Rate &amp; Vol Update'!$B$8:$B$127,MATCH(J53,'Rate &amp; Vol Update'!$B$8:$B$127,1)+1),'Rate &amp; Vol Update'!$B$8:$B$127,0),MATCH(INDEX('Rate &amp; Vol Update'!$E$6:$Z$6,1,MATCH(O53,'Rate &amp; Vol Update'!$E$6:$Z$6,1)+1),'Rate &amp; Vol Update'!$E$6:$Z$6,0))*(O53-INDEX('Rate &amp; Vol Update'!$E$6:$Z$6,1,MATCH(O53,'Rate &amp; Vol Update'!$E$6:$Z$6,1)))*(J53-INDEX('Rate &amp; Vol Update'!$B$8:$B$127,MATCH(J53,'Rate &amp; Vol Update'!$B$8:$B$127,1)))))*0.01%))</f>
        <v/>
      </c>
      <c r="R53" s="5" t="str">
        <f>IF(I53="","",1/((1+P53)^((K53-'Rate &amp; Vol Update'!$C$2)/360)))</f>
        <v/>
      </c>
      <c r="T53" s="15" t="str">
        <f>IF(I53="","",IF(J53&lt;'Rate &amp; Vol Update'!$C$2,MAX(0,P53-O53)*(L53/360)*N53,(((IF('Adjustment Surface'!C$2='Data Validation'!$A$2,P53,IF('Adjustment Surface'!C$2='Data Validation'!$A$3,O53,"Unknown Option Type"))-IF('Adjustment Surface'!C$2='Data Validation'!$A$2,O53,IF('Adjustment Surface'!C$2='Data Validation'!$A$3,P53,"Unknown Option Type")))*(NORMDIST((IF('Adjustment Surface'!C$2='Data Validation'!$A$2,P53,IF('Adjustment Surface'!C$2='Data Validation'!$A$3,O53,"Unknown Option Type"))-IF('Adjustment Surface'!C$2='Data Validation'!$A$2,O53,IF('Adjustment Surface'!C$2='Data Validation'!$A$3,P53,"Unknown Option Type")))/(Q53*SQRT(M53)),0,1,TRUE)))+((Q53*SQRT(M53))*(NORMDIST((IF('Adjustment Surface'!C$2='Data Validation'!$A$2,P53,IF('Adjustment Surface'!C$2='Data Validation'!$A$3,O53,"Unknown Option Type"))-IF('Adjustment Surface'!C$2='Data Validation'!$A$2,O53,IF('Adjustment Surface'!C$2='Data Validation'!$A$3,P53,"Unknown Option Type")))/(Q53*SQRT(M53)),0,1,FALSE))))*R53*(L53/360)*N53))</f>
        <v/>
      </c>
      <c r="U53" s="15" t="str">
        <f>IF(I53="","",SUM(T$4:T53))</f>
        <v/>
      </c>
      <c r="W53" s="15" t="str">
        <f>IF(I53="","",IF(J53&lt;'Rate &amp; Vol Update'!$C$2,0,((((((IF('Adjustment Surface'!C$2='Data Validation'!$A$2,P53,IF('Adjustment Surface'!C$2='Data Validation'!$A$3,O53,"Unknown Option Type"))-IF('Adjustment Surface'!C$2='Data Validation'!$A$2,O53,IF('Adjustment Surface'!C$2='Data Validation'!$A$3,P53,"Unknown Option Type")))*(NORMDIST((IF('Adjustment Surface'!C$2='Data Validation'!$A$2,P53,IF('Adjustment Surface'!C$2='Data Validation'!$A$3,O53,"Unknown Option Type"))-IF('Adjustment Surface'!C$2='Data Validation'!$A$2,O53,IF('Adjustment Surface'!C$2='Data Validation'!$A$3,P53,"Unknown Option Type")))/((Q53+0.01%)*SQRT(M53)),0,1,TRUE)))+(((Q53+0.01%)*SQRT(M53))*(NORMDIST((IF('Adjustment Surface'!C$2='Data Validation'!$A$2,P53,IF('Adjustment Surface'!C$2='Data Validation'!$A$3,O53,"Unknown Option Type"))-IF('Adjustment Surface'!C$2='Data Validation'!$A$2,O53,IF('Adjustment Surface'!C$2='Data Validation'!$A$3,P53,"Unknown Option Type")))/((Q53+0.01%)*SQRT(M53)),0,1,FALSE))))*R53*(L53/360))-(T53/N53))*N53)*R53))</f>
        <v/>
      </c>
      <c r="X53" s="15" t="str">
        <f>IF(I53="","",SUM(W$4:W53))</f>
        <v/>
      </c>
      <c r="Y53" s="15"/>
      <c r="Z53" s="20"/>
      <c r="AB53" s="4" t="str">
        <f>IF(AC52=MAX('Adjustment Surface'!$C$14:$F$14),"",AC52)</f>
        <v/>
      </c>
      <c r="AC53" s="4" t="str">
        <f>IF(AB53="","",IF(AB53&lt;EDATE('Adjustment Surface'!$C$6,DATEDIF('Adjustment Surface'!$C$6,MAX('Adjustment Surface'!$C$14:$F$14),"M")),EDATE(AB$5,COUNT(AB$5:AB53)),IF(AB53=EDATE('Adjustment Surface'!$C$6,DATEDIF('Adjustment Surface'!$C$6,MAX('Adjustment Surface'!$C$14:$F$14),"M")),MAX('Adjustment Surface'!$C$14:$F$14),EDATE('Adjustment Surface'!$C$6,DATEDIF('Adjustment Surface'!$C$6,MAX('Adjustment Surface'!$C$14:$F$14),"M")))))</f>
        <v/>
      </c>
      <c r="AD53" s="3" t="str">
        <f t="shared" si="2"/>
        <v/>
      </c>
      <c r="AE53" s="5" t="str">
        <f>IF(AA53="","",(AC53-'Rate &amp; Vol Update'!$C$2)/360)</f>
        <v/>
      </c>
      <c r="AF53" s="15" t="str">
        <f>IF(AA53="","",IF('Adjustment Surface'!$C$3='Data Validation'!$C$2,'Adjustment Surface'!$C$4,_xlfn.IFNA(IF(INDEX(Schedules!$E$3:$E$123,MATCH('Bachelier Model'!AB53,Schedules!$B$3:$B$123,0))="",AF52,INDEX(Schedules!$E$3:$E$123,MATCH('Bachelier Model'!AB53,Schedules!$B$3:$B$123,0))),AF52)))</f>
        <v/>
      </c>
      <c r="AG53" s="16" t="str">
        <f>IF(AA53="","",'Adjustment Surface'!B$15)</f>
        <v/>
      </c>
      <c r="AH53" s="16" t="str" cm="1">
        <f t="array" ref="AH53">IF(AA53="","",FORECAST(AB53,INDEX('Rate &amp; Vol Update'!$C$6:$C$127,MATCH(INDEX('Rate &amp; Vol Update'!$B$6:$B$127,MATCH(AB53,'Rate &amp; Vol Update'!$B$6:$B$127,1)),'Rate &amp; Vol Update'!$B$6:$B$127,0)+IF('Adjustment Surface'!$C$11='Data Validation'!$E$3,-1,0)):INDEX('Rate &amp; Vol Update'!$C$6:$C$127,MATCH(INDEX('Rate &amp; Vol Update'!$B$6:$B$127,MATCH(AB53,'Rate &amp; Vol Update'!$B$6:$B$127,1)+1),'Rate &amp; Vol Update'!$B$6:$B$127,0)+IF('Adjustment Surface'!$C$11='Data Validation'!$E$3,-1,0)),INDEX('Rate &amp; Vol Update'!$B$6:$B$127,MATCH(AB53,'Rate &amp; Vol Update'!$B$6:$B$127,1)):INDEX('Rate &amp; Vol Update'!$B$6:$B$127,MATCH(AB53,'Rate &amp; Vol Update'!$B$6:$B$127,1)+1))/100)</f>
        <v/>
      </c>
      <c r="AI53" s="16" t="str" cm="1">
        <f t="array" ref="AI53">IF(AA53="","",IF(AB53&lt;'Rate &amp; Vol Update'!$C$2,0.001%,(1/((INDEX('Rate &amp; Vol Update'!$E$6:$Z$6,1,MATCH(AG53,'Rate &amp; Vol Update'!$E$6:$Z$6,1)+1)-INDEX('Rate &amp; Vol Update'!$E$6:$Z$6,1,MATCH(AG53,'Rate &amp; Vol Update'!$E$6:$Z$6,1)))*(INDEX('Rate &amp; Vol Update'!$B$8:$B$127,MATCH(AB53,'Rate &amp; Vol Update'!$B$8:$B$127,1)+1)-INDEX('Rate &amp; Vol Update'!$B$8:$B$127,MATCH(AB53,'Rate &amp; Vol Update'!$B$8:$B$127,1))))*(INDEX('Rate &amp; Vol Update'!$E$8:$Z$127,MATCH(INDEX('Rate &amp; Vol Update'!$B$8:$B$127,MATCH(AB53,'Rate &amp; Vol Update'!$B$8:$B$127,1)),'Rate &amp; Vol Update'!$B$8:$B$127,0),MATCH(INDEX('Rate &amp; Vol Update'!$E$6:$Z$6,1,MATCH(AG53,'Rate &amp; Vol Update'!$E$6:$Z$6,1)),'Rate &amp; Vol Update'!$E$6:$Z$6,0))*(INDEX('Rate &amp; Vol Update'!$E$6:$Z$6,1,MATCH(AG53,'Rate &amp; Vol Update'!$E$6:$Z$6,1)+1)-AG53)*(INDEX('Rate &amp; Vol Update'!$B$8:$B$127,MATCH(AB53,'Rate &amp; Vol Update'!$B$8:$B$127,1)+1)-AB53)+INDEX('Rate &amp; Vol Update'!$E$8:$Z$127,MATCH(INDEX('Rate &amp; Vol Update'!$B$8:$B$127,MATCH(AB53,'Rate &amp; Vol Update'!$B$8:$B$127,1)),'Rate &amp; Vol Update'!$B$8:$B$127,0),MATCH(INDEX('Rate &amp; Vol Update'!$E$6:$Z$6,1,MATCH(AG53,'Rate &amp; Vol Update'!$E$6:$Z$6,1)+1),'Rate &amp; Vol Update'!$E$6:$Z$6,0))*(AG53-INDEX('Rate &amp; Vol Update'!$E$6:$Z$6,1,MATCH(AG53,'Rate &amp; Vol Update'!$E$6:$Z$6,1)))*(INDEX('Rate &amp; Vol Update'!$B$8:$B$127,MATCH(AB53,'Rate &amp; Vol Update'!$B$8:$B$127,1)+1)-AB53)+INDEX('Rate &amp; Vol Update'!$E$8:$Z$127,MATCH(INDEX('Rate &amp; Vol Update'!$B$8:$B$127,MATCH(AB53,'Rate &amp; Vol Update'!$B$8:$B$127,1)+1),'Rate &amp; Vol Update'!$B$8:$B$127,0),MATCH(INDEX('Rate &amp; Vol Update'!$E$6:$Z$6,1,MATCH(AG53,'Rate &amp; Vol Update'!$E$6:$Z$6,1)),'Rate &amp; Vol Update'!$E$6:$Z$6,0))*(INDEX('Rate &amp; Vol Update'!$E$6:$Z$6,1,MATCH(AG53,'Rate &amp; Vol Update'!$E$6:$Z$6,1)+1)-AG53)*(AB53-INDEX('Rate &amp; Vol Update'!$B$8:$B$127,MATCH(AB53,'Rate &amp; Vol Update'!$B$8:$B$127,1)))+INDEX('Rate &amp; Vol Update'!$E$8:$Z$127,MATCH(INDEX('Rate &amp; Vol Update'!$B$8:$B$127,MATCH(AB53,'Rate &amp; Vol Update'!$B$8:$B$127,1)+1),'Rate &amp; Vol Update'!$B$8:$B$127,0),MATCH(INDEX('Rate &amp; Vol Update'!$E$6:$Z$6,1,MATCH(AG53,'Rate &amp; Vol Update'!$E$6:$Z$6,1)+1),'Rate &amp; Vol Update'!$E$6:$Z$6,0))*(AG53-INDEX('Rate &amp; Vol Update'!$E$6:$Z$6,1,MATCH(AG53,'Rate &amp; Vol Update'!$E$6:$Z$6,1)))*(AB53-INDEX('Rate &amp; Vol Update'!$B$8:$B$127,MATCH(AB53,'Rate &amp; Vol Update'!$B$8:$B$127,1)))))*0.01%))</f>
        <v/>
      </c>
      <c r="AJ53" s="5" t="str">
        <f>IF(AA53="","",1/((1+AH53)^((AC53-'Rate &amp; Vol Update'!$C$2)/360)))</f>
        <v/>
      </c>
      <c r="AL53" s="15" t="str">
        <f>IF(AA53="","",IF(AB53&lt;'Rate &amp; Vol Update'!$C$2,MAX(0,AH53-AG53)*(AD53/360)*AF53,(((IF('Adjustment Surface'!$C$2='Data Validation'!$A$2,AH53,IF('Adjustment Surface'!$C$2='Data Validation'!$A$3,AG53,"Unknown Option Type"))-IF('Adjustment Surface'!$C$2='Data Validation'!$A$2,AG53,IF('Adjustment Surface'!$C$2='Data Validation'!$A$3,AH53,"Unknown Option Type")))*(NORMDIST((IF('Adjustment Surface'!$C$2='Data Validation'!$A$2,AH53,IF('Adjustment Surface'!$C$2='Data Validation'!$A$3,AG53,"Unknown Option Type"))-IF('Adjustment Surface'!$C$2='Data Validation'!$A$2,AG53,IF('Adjustment Surface'!$C$2='Data Validation'!$A$3,AH53,"Unknown Option Type")))/(AI53*SQRT(AE53)),0,1,TRUE)))+((AI53*SQRT(AE53))*(NORMDIST((IF('Adjustment Surface'!$C$2='Data Validation'!$A$2,AH53,IF('Adjustment Surface'!$C$2='Data Validation'!$A$3,AG53,"Unknown Option Type"))-IF('Adjustment Surface'!$C$2='Data Validation'!$A$2,AG53,IF('Adjustment Surface'!$C$2='Data Validation'!$A$3,AH53,"Unknown Option Type")))/(AI53*SQRT(AE53)),0,1,FALSE))))*AJ53*(AD53/360)*AF53))</f>
        <v/>
      </c>
      <c r="AM53" s="15" t="str">
        <f>IF(AA53="","",SUM(AL$4:AL53))</f>
        <v/>
      </c>
      <c r="AO53" s="15" t="str">
        <f>IF(AA53="","",IF(AB53&lt;'Rate &amp; Vol Update'!$C$2,0,((((((IF('Adjustment Surface'!$C$2='Data Validation'!$A$2,AH53,IF('Adjustment Surface'!$C$2='Data Validation'!$A$3,AG53,"Unknown Option Type"))-IF('Adjustment Surface'!$C$2='Data Validation'!$A$2,AG53,IF('Adjustment Surface'!$C$2='Data Validation'!$A$3,AH53,"Unknown Option Type")))*(NORMDIST((IF('Adjustment Surface'!$C$2='Data Validation'!$A$2,AH53,IF('Adjustment Surface'!$C$2='Data Validation'!$A$3,AG53,"Unknown Option Type"))-IF('Adjustment Surface'!$C$2='Data Validation'!$A$2,AG53,IF('Adjustment Surface'!$C$2='Data Validation'!$A$3,AH53,"Unknown Option Type")))/((AI53+0.01%)*SQRT(AE53)),0,1,TRUE)))+(((AI53+0.01%)*SQRT(AE53))*(NORMDIST((IF('Adjustment Surface'!$C$2='Data Validation'!$A$2,AH53,IF('Adjustment Surface'!$C$2='Data Validation'!$A$3,AG53,"Unknown Option Type"))-IF('Adjustment Surface'!$C$2='Data Validation'!$A$2,AG53,IF('Adjustment Surface'!$C$2='Data Validation'!$A$3,AH53,"Unknown Option Type")))/((AI53+0.01%)*SQRT(AE53)),0,1,FALSE))))*AJ53*(AD53/360))-(AL53/AF53))*AF53)*AJ53))</f>
        <v/>
      </c>
      <c r="AP53" s="15" t="str">
        <f>IF(AA53="","",SUM(AO$4:AO53))</f>
        <v/>
      </c>
      <c r="AQ53" s="15"/>
      <c r="AR53" s="20"/>
      <c r="AT53" s="4" t="str">
        <f>IF(AU52=MAX('Adjustment Surface'!$C$14:$F$14),"",AU52)</f>
        <v/>
      </c>
      <c r="AU53" s="4" t="str">
        <f>IF(AT53="","",IF(AT53&lt;EDATE('Adjustment Surface'!$C$6,DATEDIF('Adjustment Surface'!$C$6,MAX('Adjustment Surface'!$C$14:$F$14),"M")),EDATE(AT$5,COUNT(AT$5:AT53)),IF(AT53=EDATE('Adjustment Surface'!$C$6,DATEDIF('Adjustment Surface'!$C$6,MAX('Adjustment Surface'!$C$14:$F$14),"M")),MAX('Adjustment Surface'!$C$14:$F$14),EDATE('Adjustment Surface'!$C$6,DATEDIF('Adjustment Surface'!$C$6,MAX('Adjustment Surface'!$C$14:$F$14),"M")))))</f>
        <v/>
      </c>
      <c r="AV53" s="3" t="str">
        <f t="shared" si="3"/>
        <v/>
      </c>
      <c r="AW53" s="5" t="str">
        <f>IF(AS53="","",(AU53-'Rate &amp; Vol Update'!$C$2)/360)</f>
        <v/>
      </c>
      <c r="AX53" s="15" t="str">
        <f>IF(AS53="","",IF('Adjustment Surface'!$C$3='Data Validation'!$C$2,'Adjustment Surface'!$C$4,_xlfn.IFNA(IF(INDEX(Schedules!$E$3:$E$123,MATCH('Bachelier Model'!AT53,Schedules!$B$3:$B$123,0))="",AX52,INDEX(Schedules!$E$3:$E$123,MATCH('Bachelier Model'!AT53,Schedules!$B$3:$B$123,0))),AX52)))</f>
        <v/>
      </c>
      <c r="AY53" s="16" t="str">
        <f>IF(AS53="","",'Adjustment Surface'!B$16)</f>
        <v/>
      </c>
      <c r="AZ53" s="16" t="str" cm="1">
        <f t="array" ref="AZ53">IF(AS53="","",FORECAST(AT53,INDEX('Rate &amp; Vol Update'!$C$6:$C$127,MATCH(INDEX('Rate &amp; Vol Update'!$B$6:$B$127,MATCH(AT53,'Rate &amp; Vol Update'!$B$6:$B$127,1)),'Rate &amp; Vol Update'!$B$6:$B$127,0)+IF('Adjustment Surface'!$C$11='Data Validation'!$E$3,-1,0)):INDEX('Rate &amp; Vol Update'!$C$6:$C$127,MATCH(INDEX('Rate &amp; Vol Update'!$B$6:$B$127,MATCH(AT53,'Rate &amp; Vol Update'!$B$6:$B$127,1)+1),'Rate &amp; Vol Update'!$B$6:$B$127,0)+IF('Adjustment Surface'!$C$11='Data Validation'!$E$3,-1,0)),INDEX('Rate &amp; Vol Update'!$B$6:$B$127,MATCH(AT53,'Rate &amp; Vol Update'!$B$6:$B$127,1)):INDEX('Rate &amp; Vol Update'!$B$6:$B$127,MATCH(AT53,'Rate &amp; Vol Update'!$B$6:$B$127,1)+1))/100)</f>
        <v/>
      </c>
      <c r="BA53" s="16" t="str" cm="1">
        <f t="array" ref="BA53">IF(AS53="","",IF(AT53&lt;'Rate &amp; Vol Update'!$C$2,0.001%,(1/((INDEX('Rate &amp; Vol Update'!$E$6:$Z$6,1,MATCH(AY53,'Rate &amp; Vol Update'!$E$6:$Z$6,1)+1)-INDEX('Rate &amp; Vol Update'!$E$6:$Z$6,1,MATCH(AY53,'Rate &amp; Vol Update'!$E$6:$Z$6,1)))*(INDEX('Rate &amp; Vol Update'!$B$8:$B$127,MATCH(AT53,'Rate &amp; Vol Update'!$B$8:$B$127,1)+1)-INDEX('Rate &amp; Vol Update'!$B$8:$B$127,MATCH(AT53,'Rate &amp; Vol Update'!$B$8:$B$127,1))))*(INDEX('Rate &amp; Vol Update'!$E$8:$Z$127,MATCH(INDEX('Rate &amp; Vol Update'!$B$8:$B$127,MATCH(AT53,'Rate &amp; Vol Update'!$B$8:$B$127,1)),'Rate &amp; Vol Update'!$B$8:$B$127,0),MATCH(INDEX('Rate &amp; Vol Update'!$E$6:$Z$6,1,MATCH(AY53,'Rate &amp; Vol Update'!$E$6:$Z$6,1)),'Rate &amp; Vol Update'!$E$6:$Z$6,0))*(INDEX('Rate &amp; Vol Update'!$E$6:$Z$6,1,MATCH(AY53,'Rate &amp; Vol Update'!$E$6:$Z$6,1)+1)-AY53)*(INDEX('Rate &amp; Vol Update'!$B$8:$B$127,MATCH(AT53,'Rate &amp; Vol Update'!$B$8:$B$127,1)+1)-AT53)+INDEX('Rate &amp; Vol Update'!$E$8:$Z$127,MATCH(INDEX('Rate &amp; Vol Update'!$B$8:$B$127,MATCH(AT53,'Rate &amp; Vol Update'!$B$8:$B$127,1)),'Rate &amp; Vol Update'!$B$8:$B$127,0),MATCH(INDEX('Rate &amp; Vol Update'!$E$6:$Z$6,1,MATCH(AY53,'Rate &amp; Vol Update'!$E$6:$Z$6,1)+1),'Rate &amp; Vol Update'!$E$6:$Z$6,0))*(AY53-INDEX('Rate &amp; Vol Update'!$E$6:$Z$6,1,MATCH(AY53,'Rate &amp; Vol Update'!$E$6:$Z$6,1)))*(INDEX('Rate &amp; Vol Update'!$B$8:$B$127,MATCH(AT53,'Rate &amp; Vol Update'!$B$8:$B$127,1)+1)-AT53)+INDEX('Rate &amp; Vol Update'!$E$8:$Z$127,MATCH(INDEX('Rate &amp; Vol Update'!$B$8:$B$127,MATCH(AT53,'Rate &amp; Vol Update'!$B$8:$B$127,1)+1),'Rate &amp; Vol Update'!$B$8:$B$127,0),MATCH(INDEX('Rate &amp; Vol Update'!$E$6:$Z$6,1,MATCH(AY53,'Rate &amp; Vol Update'!$E$6:$Z$6,1)),'Rate &amp; Vol Update'!$E$6:$Z$6,0))*(INDEX('Rate &amp; Vol Update'!$E$6:$Z$6,1,MATCH(AY53,'Rate &amp; Vol Update'!$E$6:$Z$6,1)+1)-AY53)*(AT53-INDEX('Rate &amp; Vol Update'!$B$8:$B$127,MATCH(AT53,'Rate &amp; Vol Update'!$B$8:$B$127,1)))+INDEX('Rate &amp; Vol Update'!$E$8:$Z$127,MATCH(INDEX('Rate &amp; Vol Update'!$B$8:$B$127,MATCH(AT53,'Rate &amp; Vol Update'!$B$8:$B$127,1)+1),'Rate &amp; Vol Update'!$B$8:$B$127,0),MATCH(INDEX('Rate &amp; Vol Update'!$E$6:$Z$6,1,MATCH(AY53,'Rate &amp; Vol Update'!$E$6:$Z$6,1)+1),'Rate &amp; Vol Update'!$E$6:$Z$6,0))*(AY53-INDEX('Rate &amp; Vol Update'!$E$6:$Z$6,1,MATCH(AY53,'Rate &amp; Vol Update'!$E$6:$Z$6,1)))*(AT53-INDEX('Rate &amp; Vol Update'!$B$8:$B$127,MATCH(AT53,'Rate &amp; Vol Update'!$B$8:$B$127,1)))))*0.01%))</f>
        <v/>
      </c>
      <c r="BB53" s="5" t="str">
        <f>IF(AS53="","",1/((1+AZ53)^((AU53-'Rate &amp; Vol Update'!$C$2)/360)))</f>
        <v/>
      </c>
      <c r="BD53" s="15" t="str">
        <f>IF(AS53="","",IF(AT53&lt;'Rate &amp; Vol Update'!$C$2,MAX(0,AZ53-AY53)*(AV53/360)*AX53,(((IF('Adjustment Surface'!$C$2='Data Validation'!$A$2,AZ53,IF('Adjustment Surface'!$C$2='Data Validation'!$A$3,AY53,"Unknown Option Type"))-IF('Adjustment Surface'!$C$2='Data Validation'!$A$2,AY53,IF('Adjustment Surface'!$C$2='Data Validation'!$A$3,AZ53,"Unknown Option Type")))*(NORMDIST((IF('Adjustment Surface'!$C$2='Data Validation'!$A$2,AZ53,IF('Adjustment Surface'!$C$2='Data Validation'!$A$3,AY53,"Unknown Option Type"))-IF('Adjustment Surface'!$C$2='Data Validation'!$A$2,AY53,IF('Adjustment Surface'!$C$2='Data Validation'!$A$3,AZ53,"Unknown Option Type")))/(BA53*SQRT(AW53)),0,1,TRUE)))+((BA53*SQRT(AW53))*(NORMDIST((IF('Adjustment Surface'!$C$2='Data Validation'!$A$2,AZ53,IF('Adjustment Surface'!$C$2='Data Validation'!$A$3,AY53,"Unknown Option Type"))-IF('Adjustment Surface'!$C$2='Data Validation'!$A$2,AY53,IF('Adjustment Surface'!$C$2='Data Validation'!$A$3,AZ53,"Unknown Option Type")))/(BA53*SQRT(AW53)),0,1,FALSE))))*BB53*(AV53/360)*AX53))</f>
        <v/>
      </c>
      <c r="BE53" s="15" t="str">
        <f>IF(AS53="","",SUM(BD$4:BD53))</f>
        <v/>
      </c>
      <c r="BG53" s="15" t="str">
        <f>IF(AS53="","",IF(AT53&lt;'Rate &amp; Vol Update'!$C$2,0,((((((IF('Adjustment Surface'!$C$2='Data Validation'!$A$2,AZ53,IF('Adjustment Surface'!$C$2='Data Validation'!$A$3,AY53,"Unknown Option Type"))-IF('Adjustment Surface'!$C$2='Data Validation'!$A$2,AY53,IF('Adjustment Surface'!$C$2='Data Validation'!$A$3,AZ53,"Unknown Option Type")))*(NORMDIST((IF('Adjustment Surface'!$C$2='Data Validation'!$A$2,AZ53,IF('Adjustment Surface'!$C$2='Data Validation'!$A$3,AY53,"Unknown Option Type"))-IF('Adjustment Surface'!$C$2='Data Validation'!$A$2,AY53,IF('Adjustment Surface'!$C$2='Data Validation'!$A$3,AZ53,"Unknown Option Type")))/((BA53+0.01%)*SQRT(AW53)),0,1,TRUE)))+(((BA53+0.01%)*SQRT(AW53))*(NORMDIST((IF('Adjustment Surface'!$C$2='Data Validation'!$A$2,AZ53,IF('Adjustment Surface'!$C$2='Data Validation'!$A$3,AY53,"Unknown Option Type"))-IF('Adjustment Surface'!$C$2='Data Validation'!$A$2,AY53,IF('Adjustment Surface'!$C$2='Data Validation'!$A$3,AZ53,"Unknown Option Type")))/((BA53+0.01%)*SQRT(AW53)),0,1,FALSE))))*BB53*(AV53/360))-(BD53/AX53))*AX53)*BB53))</f>
        <v/>
      </c>
      <c r="BH53" s="15" t="str">
        <f>IF(AS53="","",SUM(BG$4:BG53))</f>
        <v/>
      </c>
      <c r="BI53" s="15"/>
      <c r="BJ53" s="20"/>
      <c r="BL53" s="4" t="str">
        <f>IF(BM52=MAX('Adjustment Surface'!$C$14:$F$14),"",BM52)</f>
        <v/>
      </c>
      <c r="BM53" s="4" t="str">
        <f>IF(BL53="","",IF(BL53&lt;EDATE('Adjustment Surface'!$C$6,DATEDIF('Adjustment Surface'!$C$6,MAX('Adjustment Surface'!$C$14:$F$14),"M")),EDATE(BL$5,COUNT(BL$5:BL53)),IF(BL53=EDATE('Adjustment Surface'!$C$6,DATEDIF('Adjustment Surface'!$C$6,MAX('Adjustment Surface'!$C$14:$F$14),"M")),MAX('Adjustment Surface'!$C$14:$F$14),EDATE('Adjustment Surface'!$C$6,DATEDIF('Adjustment Surface'!$C$6,MAX('Adjustment Surface'!$C$14:$F$14),"M")))))</f>
        <v/>
      </c>
      <c r="BN53" s="3" t="str">
        <f t="shared" si="4"/>
        <v/>
      </c>
      <c r="BO53" s="5" t="str">
        <f>IF(BK53="","",(BM53-'Rate &amp; Vol Update'!$C$2)/360)</f>
        <v/>
      </c>
      <c r="BP53" s="15" t="str">
        <f>IF(BK53="","",IF('Adjustment Surface'!$C$3='Data Validation'!$C$2,'Adjustment Surface'!$C$4,_xlfn.IFNA(IF(INDEX(Schedules!$E$3:$E$123,MATCH('Bachelier Model'!BL53,Schedules!$B$3:$B$123,0))="",BP52,INDEX(Schedules!$E$3:$E$123,MATCH('Bachelier Model'!BL53,Schedules!$B$3:$B$123,0))),BP52)))</f>
        <v/>
      </c>
      <c r="BQ53" s="16" t="str">
        <f>IF(BK53="","",'Adjustment Surface'!B$17)</f>
        <v/>
      </c>
      <c r="BR53" s="16" t="str" cm="1">
        <f t="array" ref="BR53">IF(BK53="","",FORECAST(BL53,INDEX('Rate &amp; Vol Update'!$C$6:$C$127,MATCH(INDEX('Rate &amp; Vol Update'!$B$6:$B$127,MATCH(BL53,'Rate &amp; Vol Update'!$B$6:$B$127,1)),'Rate &amp; Vol Update'!$B$6:$B$127,0)+IF('Adjustment Surface'!$C$11='Data Validation'!$E$3,-1,0)):INDEX('Rate &amp; Vol Update'!$C$6:$C$127,MATCH(INDEX('Rate &amp; Vol Update'!$B$6:$B$127,MATCH(BL53,'Rate &amp; Vol Update'!$B$6:$B$127,1)+1),'Rate &amp; Vol Update'!$B$6:$B$127,0)+IF('Adjustment Surface'!$C$11='Data Validation'!$E$3,-1,0)),INDEX('Rate &amp; Vol Update'!$B$6:$B$127,MATCH(BL53,'Rate &amp; Vol Update'!$B$6:$B$127,1)):INDEX('Rate &amp; Vol Update'!$B$6:$B$127,MATCH(BL53,'Rate &amp; Vol Update'!$B$6:$B$127,1)+1))/100)</f>
        <v/>
      </c>
      <c r="BS53" s="16" t="str" cm="1">
        <f t="array" ref="BS53">IF(BK53="","",IF(BL53&lt;'Rate &amp; Vol Update'!$C$2,0.001%,(1/((INDEX('Rate &amp; Vol Update'!$E$6:$Z$6,1,MATCH(BQ53,'Rate &amp; Vol Update'!$E$6:$Z$6,1)+1)-INDEX('Rate &amp; Vol Update'!$E$6:$Z$6,1,MATCH(BQ53,'Rate &amp; Vol Update'!$E$6:$Z$6,1)))*(INDEX('Rate &amp; Vol Update'!$B$8:$B$127,MATCH(BL53,'Rate &amp; Vol Update'!$B$8:$B$127,1)+1)-INDEX('Rate &amp; Vol Update'!$B$8:$B$127,MATCH(BL53,'Rate &amp; Vol Update'!$B$8:$B$127,1))))*(INDEX('Rate &amp; Vol Update'!$E$8:$Z$127,MATCH(INDEX('Rate &amp; Vol Update'!$B$8:$B$127,MATCH(BL53,'Rate &amp; Vol Update'!$B$8:$B$127,1)),'Rate &amp; Vol Update'!$B$8:$B$127,0),MATCH(INDEX('Rate &amp; Vol Update'!$E$6:$Z$6,1,MATCH(BQ53,'Rate &amp; Vol Update'!$E$6:$Z$6,1)),'Rate &amp; Vol Update'!$E$6:$Z$6,0))*(INDEX('Rate &amp; Vol Update'!$E$6:$Z$6,1,MATCH(BQ53,'Rate &amp; Vol Update'!$E$6:$Z$6,1)+1)-BQ53)*(INDEX('Rate &amp; Vol Update'!$B$8:$B$127,MATCH(BL53,'Rate &amp; Vol Update'!$B$8:$B$127,1)+1)-BL53)+INDEX('Rate &amp; Vol Update'!$E$8:$Z$127,MATCH(INDEX('Rate &amp; Vol Update'!$B$8:$B$127,MATCH(BL53,'Rate &amp; Vol Update'!$B$8:$B$127,1)),'Rate &amp; Vol Update'!$B$8:$B$127,0),MATCH(INDEX('Rate &amp; Vol Update'!$E$6:$Z$6,1,MATCH(BQ53,'Rate &amp; Vol Update'!$E$6:$Z$6,1)+1),'Rate &amp; Vol Update'!$E$6:$Z$6,0))*(BQ53-INDEX('Rate &amp; Vol Update'!$E$6:$Z$6,1,MATCH(BQ53,'Rate &amp; Vol Update'!$E$6:$Z$6,1)))*(INDEX('Rate &amp; Vol Update'!$B$8:$B$127,MATCH(BL53,'Rate &amp; Vol Update'!$B$8:$B$127,1)+1)-BL53)+INDEX('Rate &amp; Vol Update'!$E$8:$Z$127,MATCH(INDEX('Rate &amp; Vol Update'!$B$8:$B$127,MATCH(BL53,'Rate &amp; Vol Update'!$B$8:$B$127,1)+1),'Rate &amp; Vol Update'!$B$8:$B$127,0),MATCH(INDEX('Rate &amp; Vol Update'!$E$6:$Z$6,1,MATCH(BQ53,'Rate &amp; Vol Update'!$E$6:$Z$6,1)),'Rate &amp; Vol Update'!$E$6:$Z$6,0))*(INDEX('Rate &amp; Vol Update'!$E$6:$Z$6,1,MATCH(BQ53,'Rate &amp; Vol Update'!$E$6:$Z$6,1)+1)-BQ53)*(BL53-INDEX('Rate &amp; Vol Update'!$B$8:$B$127,MATCH(BL53,'Rate &amp; Vol Update'!$B$8:$B$127,1)))+INDEX('Rate &amp; Vol Update'!$E$8:$Z$127,MATCH(INDEX('Rate &amp; Vol Update'!$B$8:$B$127,MATCH(BL53,'Rate &amp; Vol Update'!$B$8:$B$127,1)+1),'Rate &amp; Vol Update'!$B$8:$B$127,0),MATCH(INDEX('Rate &amp; Vol Update'!$E$6:$Z$6,1,MATCH(BQ53,'Rate &amp; Vol Update'!$E$6:$Z$6,1)+1),'Rate &amp; Vol Update'!$E$6:$Z$6,0))*(BQ53-INDEX('Rate &amp; Vol Update'!$E$6:$Z$6,1,MATCH(BQ53,'Rate &amp; Vol Update'!$E$6:$Z$6,1)))*(BL53-INDEX('Rate &amp; Vol Update'!$B$8:$B$127,MATCH(BL53,'Rate &amp; Vol Update'!$B$8:$B$127,1)))))*0.01%))</f>
        <v/>
      </c>
      <c r="BT53" s="5" t="str">
        <f>IF(BK53="","",1/((1+BR53)^((BM53-'Rate &amp; Vol Update'!$C$2)/360)))</f>
        <v/>
      </c>
      <c r="BV53" s="15" t="str">
        <f>IF(BK53="","",IF(BL53&lt;'Rate &amp; Vol Update'!$C$2,MAX(0,BR53-BQ53)*(BN53/360)*BP53,(((IF('Adjustment Surface'!$C$2='Data Validation'!$A$2,BR53,IF('Adjustment Surface'!$C$2='Data Validation'!$A$3,BQ53,"Unknown Option Type"))-IF('Adjustment Surface'!$C$2='Data Validation'!$A$2,BQ53,IF('Adjustment Surface'!$C$2='Data Validation'!$A$3,BR53,"Unknown Option Type")))*(NORMDIST((IF('Adjustment Surface'!$C$2='Data Validation'!$A$2,BR53,IF('Adjustment Surface'!$C$2='Data Validation'!$A$3,BQ53,"Unknown Option Type"))-IF('Adjustment Surface'!$C$2='Data Validation'!$A$2,BQ53,IF('Adjustment Surface'!$C$2='Data Validation'!$A$3,BR53,"Unknown Option Type")))/(BS53*SQRT(BO53)),0,1,TRUE)))+((BS53*SQRT(BO53))*(NORMDIST((IF('Adjustment Surface'!$C$2='Data Validation'!$A$2,BR53,IF('Adjustment Surface'!$C$2='Data Validation'!$A$3,BQ53,"Unknown Option Type"))-IF('Adjustment Surface'!$C$2='Data Validation'!$A$2,BQ53,IF('Adjustment Surface'!$C$2='Data Validation'!$A$3,BR53,"Unknown Option Type")))/(BS53*SQRT(BO53)),0,1,FALSE))))*BT53*(BN53/360)*BP53))</f>
        <v/>
      </c>
      <c r="BW53" s="15" t="str">
        <f>IF(BK53="","",SUM(BV$4:BV53))</f>
        <v/>
      </c>
      <c r="BY53" s="15" t="str">
        <f>IF(BK53="","",IF(BL53&lt;'Rate &amp; Vol Update'!$C$2,0,((((((IF('Adjustment Surface'!$C$2='Data Validation'!$A$2,BR53,IF('Adjustment Surface'!$C$2='Data Validation'!$A$3,BQ53,"Unknown Option Type"))-IF('Adjustment Surface'!$C$2='Data Validation'!$A$2,BQ53,IF('Adjustment Surface'!$C$2='Data Validation'!$A$3,BR53,"Unknown Option Type")))*(NORMDIST((IF('Adjustment Surface'!$C$2='Data Validation'!$A$2,BR53,IF('Adjustment Surface'!$C$2='Data Validation'!$A$3,BQ53,"Unknown Option Type"))-IF('Adjustment Surface'!$C$2='Data Validation'!$A$2,BQ53,IF('Adjustment Surface'!$C$2='Data Validation'!$A$3,BR53,"Unknown Option Type")))/((BS53+0.01%)*SQRT(BO53)),0,1,TRUE)))+(((BS53+0.01%)*SQRT(BO53))*(NORMDIST((IF('Adjustment Surface'!$C$2='Data Validation'!$A$2,BR53,IF('Adjustment Surface'!$C$2='Data Validation'!$A$3,BQ53,"Unknown Option Type"))-IF('Adjustment Surface'!$C$2='Data Validation'!$A$2,BQ53,IF('Adjustment Surface'!$C$2='Data Validation'!$A$3,BR53,"Unknown Option Type")))/((BS53+0.01%)*SQRT(BO53)),0,1,FALSE))))*BT53*(BN53/360))-(BV53/BP53))*BP53)*BT53))</f>
        <v/>
      </c>
      <c r="BZ53" s="15" t="str">
        <f>IF(BK53="","",SUM(BY$4:BY53))</f>
        <v/>
      </c>
      <c r="CA53" s="15"/>
      <c r="CB53" s="20"/>
      <c r="CD53" s="4" t="str">
        <f>IF(CE52=MAX('Adjustment Surface'!$C$14:$F$14),"",CE52)</f>
        <v/>
      </c>
      <c r="CE53" s="4" t="str">
        <f>IF(CD53="","",IF(CD53&lt;EDATE('Adjustment Surface'!$C$6,DATEDIF('Adjustment Surface'!$C$6,MAX('Adjustment Surface'!$C$14:$F$14),"M")),EDATE(CD$5,COUNT(CD$5:CD53)),IF(CD53=EDATE('Adjustment Surface'!$C$6,DATEDIF('Adjustment Surface'!$C$6,MAX('Adjustment Surface'!$C$14:$F$14),"M")),MAX('Adjustment Surface'!$C$14:$F$14),EDATE('Adjustment Surface'!$C$6,DATEDIF('Adjustment Surface'!$C$6,MAX('Adjustment Surface'!$C$14:$F$14),"M")))))</f>
        <v/>
      </c>
      <c r="CF53" s="3" t="str">
        <f t="shared" si="5"/>
        <v/>
      </c>
      <c r="CG53" s="5" t="str">
        <f>IF(CC53="","",(CE53-'Rate &amp; Vol Update'!$C$2)/360)</f>
        <v/>
      </c>
      <c r="CH53" s="15" t="str">
        <f>IF(CC53="","",IF('Adjustment Surface'!$C$3='Data Validation'!$C$2,'Adjustment Surface'!$C$4,_xlfn.IFNA(IF(INDEX(Schedules!$E$3:$E$123,MATCH('Bachelier Model'!CD53,Schedules!$B$3:$B$123,0))="",CH52,INDEX(Schedules!$E$3:$E$123,MATCH('Bachelier Model'!CD53,Schedules!$B$3:$B$123,0))),CH52)))</f>
        <v/>
      </c>
      <c r="CI53" s="16" t="str">
        <f>IF(CC53="","",'Adjustment Surface'!B$18)</f>
        <v/>
      </c>
      <c r="CJ53" s="16" t="str" cm="1">
        <f t="array" ref="CJ53">IF(CC53="","",FORECAST(CD53,INDEX('Rate &amp; Vol Update'!$C$6:$C$127,MATCH(INDEX('Rate &amp; Vol Update'!$B$6:$B$127,MATCH(CD53,'Rate &amp; Vol Update'!$B$6:$B$127,1)),'Rate &amp; Vol Update'!$B$6:$B$127,0)+IF('Adjustment Surface'!$C$11='Data Validation'!$E$3,-1,0)):INDEX('Rate &amp; Vol Update'!$C$6:$C$127,MATCH(INDEX('Rate &amp; Vol Update'!$B$6:$B$127,MATCH(CD53,'Rate &amp; Vol Update'!$B$6:$B$127,1)+1),'Rate &amp; Vol Update'!$B$6:$B$127,0)+IF('Adjustment Surface'!$C$11='Data Validation'!$E$3,-1,0)),INDEX('Rate &amp; Vol Update'!$B$6:$B$127,MATCH(CD53,'Rate &amp; Vol Update'!$B$6:$B$127,1)):INDEX('Rate &amp; Vol Update'!$B$6:$B$127,MATCH(CD53,'Rate &amp; Vol Update'!$B$6:$B$127,1)+1))/100)</f>
        <v/>
      </c>
      <c r="CK53" s="16" t="str" cm="1">
        <f t="array" ref="CK53">IF(CC53="","",IF(CD53&lt;'Rate &amp; Vol Update'!$C$2,0.001%,(1/((INDEX('Rate &amp; Vol Update'!$E$6:$Z$6,1,MATCH(CI53,'Rate &amp; Vol Update'!$E$6:$Z$6,1)+1)-INDEX('Rate &amp; Vol Update'!$E$6:$Z$6,1,MATCH(CI53,'Rate &amp; Vol Update'!$E$6:$Z$6,1)))*(INDEX('Rate &amp; Vol Update'!$B$8:$B$127,MATCH(CD53,'Rate &amp; Vol Update'!$B$8:$B$127,1)+1)-INDEX('Rate &amp; Vol Update'!$B$8:$B$127,MATCH(CD53,'Rate &amp; Vol Update'!$B$8:$B$127,1))))*(INDEX('Rate &amp; Vol Update'!$E$8:$Z$127,MATCH(INDEX('Rate &amp; Vol Update'!$B$8:$B$127,MATCH(CD53,'Rate &amp; Vol Update'!$B$8:$B$127,1)),'Rate &amp; Vol Update'!$B$8:$B$127,0),MATCH(INDEX('Rate &amp; Vol Update'!$E$6:$Z$6,1,MATCH(CI53,'Rate &amp; Vol Update'!$E$6:$Z$6,1)),'Rate &amp; Vol Update'!$E$6:$Z$6,0))*(INDEX('Rate &amp; Vol Update'!$E$6:$Z$6,1,MATCH(CI53,'Rate &amp; Vol Update'!$E$6:$Z$6,1)+1)-CI53)*(INDEX('Rate &amp; Vol Update'!$B$8:$B$127,MATCH(CD53,'Rate &amp; Vol Update'!$B$8:$B$127,1)+1)-CD53)+INDEX('Rate &amp; Vol Update'!$E$8:$Z$127,MATCH(INDEX('Rate &amp; Vol Update'!$B$8:$B$127,MATCH(CD53,'Rate &amp; Vol Update'!$B$8:$B$127,1)),'Rate &amp; Vol Update'!$B$8:$B$127,0),MATCH(INDEX('Rate &amp; Vol Update'!$E$6:$Z$6,1,MATCH(CI53,'Rate &amp; Vol Update'!$E$6:$Z$6,1)+1),'Rate &amp; Vol Update'!$E$6:$Z$6,0))*(CI53-INDEX('Rate &amp; Vol Update'!$E$6:$Z$6,1,MATCH(CI53,'Rate &amp; Vol Update'!$E$6:$Z$6,1)))*(INDEX('Rate &amp; Vol Update'!$B$8:$B$127,MATCH(CD53,'Rate &amp; Vol Update'!$B$8:$B$127,1)+1)-CD53)+INDEX('Rate &amp; Vol Update'!$E$8:$Z$127,MATCH(INDEX('Rate &amp; Vol Update'!$B$8:$B$127,MATCH(CD53,'Rate &amp; Vol Update'!$B$8:$B$127,1)+1),'Rate &amp; Vol Update'!$B$8:$B$127,0),MATCH(INDEX('Rate &amp; Vol Update'!$E$6:$Z$6,1,MATCH(CI53,'Rate &amp; Vol Update'!$E$6:$Z$6,1)),'Rate &amp; Vol Update'!$E$6:$Z$6,0))*(INDEX('Rate &amp; Vol Update'!$E$6:$Z$6,1,MATCH(CI53,'Rate &amp; Vol Update'!$E$6:$Z$6,1)+1)-CI53)*(CD53-INDEX('Rate &amp; Vol Update'!$B$8:$B$127,MATCH(CD53,'Rate &amp; Vol Update'!$B$8:$B$127,1)))+INDEX('Rate &amp; Vol Update'!$E$8:$Z$127,MATCH(INDEX('Rate &amp; Vol Update'!$B$8:$B$127,MATCH(CD53,'Rate &amp; Vol Update'!$B$8:$B$127,1)+1),'Rate &amp; Vol Update'!$B$8:$B$127,0),MATCH(INDEX('Rate &amp; Vol Update'!$E$6:$Z$6,1,MATCH(CI53,'Rate &amp; Vol Update'!$E$6:$Z$6,1)+1),'Rate &amp; Vol Update'!$E$6:$Z$6,0))*(CI53-INDEX('Rate &amp; Vol Update'!$E$6:$Z$6,1,MATCH(CI53,'Rate &amp; Vol Update'!$E$6:$Z$6,1)))*(CD53-INDEX('Rate &amp; Vol Update'!$B$8:$B$127,MATCH(CD53,'Rate &amp; Vol Update'!$B$8:$B$127,1)))))*0.01%))</f>
        <v/>
      </c>
      <c r="CL53" s="5" t="str">
        <f>IF(CC53="","",1/((1+CJ53)^((CE53-'Rate &amp; Vol Update'!$C$2)/360)))</f>
        <v/>
      </c>
      <c r="CN53" s="15" t="str">
        <f>IF(CC53="","",IF(CD53&lt;'Rate &amp; Vol Update'!$C$2,MAX(0,CJ53-CI53)*(CF53/360)*CH53,(((IF('Adjustment Surface'!$C$2='Data Validation'!$A$2,CJ53,IF('Adjustment Surface'!$C$2='Data Validation'!$A$3,CI53,"Unknown Option Type"))-IF('Adjustment Surface'!$C$2='Data Validation'!$A$2,CI53,IF('Adjustment Surface'!$C$2='Data Validation'!$A$3,CJ53,"Unknown Option Type")))*(NORMDIST((IF('Adjustment Surface'!$C$2='Data Validation'!$A$2,CJ53,IF('Adjustment Surface'!$C$2='Data Validation'!$A$3,CI53,"Unknown Option Type"))-IF('Adjustment Surface'!$C$2='Data Validation'!$A$2,CI53,IF('Adjustment Surface'!$C$2='Data Validation'!$A$3,CJ53,"Unknown Option Type")))/(CK53*SQRT(CG53)),0,1,TRUE)))+((CK53*SQRT(CG53))*(NORMDIST((IF('Adjustment Surface'!$C$2='Data Validation'!$A$2,CJ53,IF('Adjustment Surface'!$C$2='Data Validation'!$A$3,CI53,"Unknown Option Type"))-IF('Adjustment Surface'!$C$2='Data Validation'!$A$2,CI53,IF('Adjustment Surface'!$C$2='Data Validation'!$A$3,CJ53,"Unknown Option Type")))/(CK53*SQRT(CG53)),0,1,FALSE))))*CL53*(CF53/360)*CH53))</f>
        <v/>
      </c>
      <c r="CO53" s="15" t="str">
        <f>IF(CC53="","",SUM(CN$4:CN53))</f>
        <v/>
      </c>
      <c r="CQ53" s="15" t="str">
        <f>IF(CC53="","",IF(CD53&lt;'Rate &amp; Vol Update'!$C$2,0,((((((IF('Adjustment Surface'!$C$2='Data Validation'!$A$2,CJ53,IF('Adjustment Surface'!$C$2='Data Validation'!$A$3,CI53,"Unknown Option Type"))-IF('Adjustment Surface'!$C$2='Data Validation'!$A$2,CI53,IF('Adjustment Surface'!$C$2='Data Validation'!$A$3,CJ53,"Unknown Option Type")))*(NORMDIST((IF('Adjustment Surface'!$C$2='Data Validation'!$A$2,CJ53,IF('Adjustment Surface'!$C$2='Data Validation'!$A$3,CI53,"Unknown Option Type"))-IF('Adjustment Surface'!$C$2='Data Validation'!$A$2,CI53,IF('Adjustment Surface'!$C$2='Data Validation'!$A$3,CJ53,"Unknown Option Type")))/((CK53+0.01%)*SQRT(CG53)),0,1,TRUE)))+(((CK53+0.01%)*SQRT(CG53))*(NORMDIST((IF('Adjustment Surface'!$C$2='Data Validation'!$A$2,CJ53,IF('Adjustment Surface'!$C$2='Data Validation'!$A$3,CI53,"Unknown Option Type"))-IF('Adjustment Surface'!$C$2='Data Validation'!$A$2,CI53,IF('Adjustment Surface'!$C$2='Data Validation'!$A$3,CJ53,"Unknown Option Type")))/((CK53+0.01%)*SQRT(CG53)),0,1,FALSE))))*CL53*(CF53/360))-(CN53/CH53))*CH53)*CL53))</f>
        <v/>
      </c>
      <c r="CR53" s="15" t="str">
        <f>IF(CC53="","",SUM(CQ$4:CQ53))</f>
        <v/>
      </c>
    </row>
    <row r="54" spans="7:96" x14ac:dyDescent="0.25">
      <c r="G54" s="28"/>
      <c r="J54" s="4" t="str">
        <f>IF(K53='Adjustment Surface'!C$8,"",K53)</f>
        <v/>
      </c>
      <c r="K54" s="4" t="str">
        <f>IF(J54="","",IF(J54&lt;'Adjustment Surface'!C$7,EDATE(J$5,COUNT(J$5:J54)),IF(J54='Adjustment Surface'!C$7,'Adjustment Surface'!C$8,'Adjustment Surface'!C$7)))</f>
        <v/>
      </c>
      <c r="L54" s="3" t="str">
        <f t="shared" si="1"/>
        <v/>
      </c>
      <c r="M54" s="5" t="str">
        <f>IF(I54="","",(K54-'Rate &amp; Vol Update'!$C$2)/360)</f>
        <v/>
      </c>
      <c r="N54" s="15" t="str">
        <f>IF(I54="","",IF('Adjustment Surface'!C$3='Data Validation'!$C$2,'Adjustment Surface'!C$4,IF(INDEX(Schedules!$E$3:$E$123,MATCH('Bachelier Model'!J54,Schedules!$B$3:$B$123,0))="",N53,INDEX(Schedules!$E$3:$E$123,MATCH('Bachelier Model'!J54,Schedules!$B$3:$B$123,0)))))</f>
        <v/>
      </c>
      <c r="O54" s="16" t="str">
        <f>IF(I54="","",IF('Adjustment Surface'!C$9='Data Validation'!$D$2,'Adjustment Surface'!C$10,IF(INDEX(Schedules!$H$3:$H$123,MATCH('Bachelier Model'!J54,Schedules!$B$3:$B$123,0))="",O53,INDEX(Schedules!$H$3:$H$123,MATCH('Bachelier Model'!J54,Schedules!$B$3:$B$123,0)))))</f>
        <v/>
      </c>
      <c r="P54" s="16" t="str" cm="1">
        <f t="array" ref="P54">IF(I54="","",FORECAST(J54,INDEX('Rate &amp; Vol Update'!$C$6:$C$127,MATCH(INDEX('Rate &amp; Vol Update'!$B$6:$B$127,MATCH(J54,'Rate &amp; Vol Update'!$B$6:$B$127,1)),'Rate &amp; Vol Update'!$B$6:$B$127,0)+IF('Adjustment Surface'!C$11='Data Validation'!$E$3,-1,0)):INDEX('Rate &amp; Vol Update'!$C$6:$C$127,MATCH(INDEX('Rate &amp; Vol Update'!$B$6:$B$127,MATCH(J54,'Rate &amp; Vol Update'!$B$6:$B$127,1)+1),'Rate &amp; Vol Update'!$B$6:$B$127,0)+IF('Adjustment Surface'!C$11='Data Validation'!$E$3,-1,0)),INDEX('Rate &amp; Vol Update'!$B$6:$B$127,MATCH(J54,'Rate &amp; Vol Update'!$B$6:$B$127,1)):INDEX('Rate &amp; Vol Update'!$B$6:$B$127,MATCH(J54,'Rate &amp; Vol Update'!$B$6:$B$127,1)+1))/100)</f>
        <v/>
      </c>
      <c r="Q54" s="16" t="str" cm="1">
        <f t="array" ref="Q54">IF(I54="","",IF(J54&lt;'Rate &amp; Vol Update'!$C$2,0.001%,(1/((INDEX('Rate &amp; Vol Update'!$E$6:$Z$6,1,MATCH(O54,'Rate &amp; Vol Update'!$E$6:$Z$6,1)+1)-INDEX('Rate &amp; Vol Update'!$E$6:$Z$6,1,MATCH(O54,'Rate &amp; Vol Update'!$E$6:$Z$6,1)))*(INDEX('Rate &amp; Vol Update'!$B$8:$B$127,MATCH(J54,'Rate &amp; Vol Update'!$B$8:$B$127,1)+1)-INDEX('Rate &amp; Vol Update'!$B$8:$B$127,MATCH(J54,'Rate &amp; Vol Update'!$B$8:$B$127,1))))*(INDEX('Rate &amp; Vol Update'!$E$8:$Z$127,MATCH(INDEX('Rate &amp; Vol Update'!$B$8:$B$127,MATCH(J54,'Rate &amp; Vol Update'!$B$8:$B$127,1)),'Rate &amp; Vol Update'!$B$8:$B$127,0),MATCH(INDEX('Rate &amp; Vol Update'!$E$6:$Z$6,1,MATCH(O54,'Rate &amp; Vol Update'!$E$6:$Z$6,1)),'Rate &amp; Vol Update'!$E$6:$Z$6,0))*(INDEX('Rate &amp; Vol Update'!$E$6:$Z$6,1,MATCH(O54,'Rate &amp; Vol Update'!$E$6:$Z$6,1)+1)-O54)*(INDEX('Rate &amp; Vol Update'!$B$8:$B$127,MATCH(J54,'Rate &amp; Vol Update'!$B$8:$B$127,1)+1)-J54)+INDEX('Rate &amp; Vol Update'!$E$8:$Z$127,MATCH(INDEX('Rate &amp; Vol Update'!$B$8:$B$127,MATCH(J54,'Rate &amp; Vol Update'!$B$8:$B$127,1)),'Rate &amp; Vol Update'!$B$8:$B$127,0),MATCH(INDEX('Rate &amp; Vol Update'!$E$6:$Z$6,1,MATCH(O54,'Rate &amp; Vol Update'!$E$6:$Z$6,1)+1),'Rate &amp; Vol Update'!$E$6:$Z$6,0))*(O54-INDEX('Rate &amp; Vol Update'!$E$6:$Z$6,1,MATCH(O54,'Rate &amp; Vol Update'!$E$6:$Z$6,1)))*(INDEX('Rate &amp; Vol Update'!$B$8:$B$127,MATCH(J54,'Rate &amp; Vol Update'!$B$8:$B$127,1)+1)-J54)+INDEX('Rate &amp; Vol Update'!$E$8:$Z$127,MATCH(INDEX('Rate &amp; Vol Update'!$B$8:$B$127,MATCH(J54,'Rate &amp; Vol Update'!$B$8:$B$127,1)+1),'Rate &amp; Vol Update'!$B$8:$B$127,0),MATCH(INDEX('Rate &amp; Vol Update'!$E$6:$Z$6,1,MATCH(O54,'Rate &amp; Vol Update'!$E$6:$Z$6,1)),'Rate &amp; Vol Update'!$E$6:$Z$6,0))*(INDEX('Rate &amp; Vol Update'!$E$6:$Z$6,1,MATCH(O54,'Rate &amp; Vol Update'!$E$6:$Z$6,1)+1)-O54)*(J54-INDEX('Rate &amp; Vol Update'!$B$8:$B$127,MATCH(J54,'Rate &amp; Vol Update'!$B$8:$B$127,1)))+INDEX('Rate &amp; Vol Update'!$E$8:$Z$127,MATCH(INDEX('Rate &amp; Vol Update'!$B$8:$B$127,MATCH(J54,'Rate &amp; Vol Update'!$B$8:$B$127,1)+1),'Rate &amp; Vol Update'!$B$8:$B$127,0),MATCH(INDEX('Rate &amp; Vol Update'!$E$6:$Z$6,1,MATCH(O54,'Rate &amp; Vol Update'!$E$6:$Z$6,1)+1),'Rate &amp; Vol Update'!$E$6:$Z$6,0))*(O54-INDEX('Rate &amp; Vol Update'!$E$6:$Z$6,1,MATCH(O54,'Rate &amp; Vol Update'!$E$6:$Z$6,1)))*(J54-INDEX('Rate &amp; Vol Update'!$B$8:$B$127,MATCH(J54,'Rate &amp; Vol Update'!$B$8:$B$127,1)))))*0.01%))</f>
        <v/>
      </c>
      <c r="R54" s="5" t="str">
        <f>IF(I54="","",1/((1+P54)^((K54-'Rate &amp; Vol Update'!$C$2)/360)))</f>
        <v/>
      </c>
      <c r="T54" s="15" t="str">
        <f>IF(I54="","",IF(J54&lt;'Rate &amp; Vol Update'!$C$2,MAX(0,P54-O54)*(L54/360)*N54,(((IF('Adjustment Surface'!C$2='Data Validation'!$A$2,P54,IF('Adjustment Surface'!C$2='Data Validation'!$A$3,O54,"Unknown Option Type"))-IF('Adjustment Surface'!C$2='Data Validation'!$A$2,O54,IF('Adjustment Surface'!C$2='Data Validation'!$A$3,P54,"Unknown Option Type")))*(NORMDIST((IF('Adjustment Surface'!C$2='Data Validation'!$A$2,P54,IF('Adjustment Surface'!C$2='Data Validation'!$A$3,O54,"Unknown Option Type"))-IF('Adjustment Surface'!C$2='Data Validation'!$A$2,O54,IF('Adjustment Surface'!C$2='Data Validation'!$A$3,P54,"Unknown Option Type")))/(Q54*SQRT(M54)),0,1,TRUE)))+((Q54*SQRT(M54))*(NORMDIST((IF('Adjustment Surface'!C$2='Data Validation'!$A$2,P54,IF('Adjustment Surface'!C$2='Data Validation'!$A$3,O54,"Unknown Option Type"))-IF('Adjustment Surface'!C$2='Data Validation'!$A$2,O54,IF('Adjustment Surface'!C$2='Data Validation'!$A$3,P54,"Unknown Option Type")))/(Q54*SQRT(M54)),0,1,FALSE))))*R54*(L54/360)*N54))</f>
        <v/>
      </c>
      <c r="U54" s="15" t="str">
        <f>IF(I54="","",SUM(T$4:T54))</f>
        <v/>
      </c>
      <c r="W54" s="15" t="str">
        <f>IF(I54="","",IF(J54&lt;'Rate &amp; Vol Update'!$C$2,0,((((((IF('Adjustment Surface'!C$2='Data Validation'!$A$2,P54,IF('Adjustment Surface'!C$2='Data Validation'!$A$3,O54,"Unknown Option Type"))-IF('Adjustment Surface'!C$2='Data Validation'!$A$2,O54,IF('Adjustment Surface'!C$2='Data Validation'!$A$3,P54,"Unknown Option Type")))*(NORMDIST((IF('Adjustment Surface'!C$2='Data Validation'!$A$2,P54,IF('Adjustment Surface'!C$2='Data Validation'!$A$3,O54,"Unknown Option Type"))-IF('Adjustment Surface'!C$2='Data Validation'!$A$2,O54,IF('Adjustment Surface'!C$2='Data Validation'!$A$3,P54,"Unknown Option Type")))/((Q54+0.01%)*SQRT(M54)),0,1,TRUE)))+(((Q54+0.01%)*SQRT(M54))*(NORMDIST((IF('Adjustment Surface'!C$2='Data Validation'!$A$2,P54,IF('Adjustment Surface'!C$2='Data Validation'!$A$3,O54,"Unknown Option Type"))-IF('Adjustment Surface'!C$2='Data Validation'!$A$2,O54,IF('Adjustment Surface'!C$2='Data Validation'!$A$3,P54,"Unknown Option Type")))/((Q54+0.01%)*SQRT(M54)),0,1,FALSE))))*R54*(L54/360))-(T54/N54))*N54)*R54))</f>
        <v/>
      </c>
      <c r="X54" s="15" t="str">
        <f>IF(I54="","",SUM(W$4:W54))</f>
        <v/>
      </c>
      <c r="Y54" s="15"/>
      <c r="Z54" s="20"/>
      <c r="AB54" s="4" t="str">
        <f>IF(AC53=MAX('Adjustment Surface'!$C$14:$F$14),"",AC53)</f>
        <v/>
      </c>
      <c r="AC54" s="4" t="str">
        <f>IF(AB54="","",IF(AB54&lt;EDATE('Adjustment Surface'!$C$6,DATEDIF('Adjustment Surface'!$C$6,MAX('Adjustment Surface'!$C$14:$F$14),"M")),EDATE(AB$5,COUNT(AB$5:AB54)),IF(AB54=EDATE('Adjustment Surface'!$C$6,DATEDIF('Adjustment Surface'!$C$6,MAX('Adjustment Surface'!$C$14:$F$14),"M")),MAX('Adjustment Surface'!$C$14:$F$14),EDATE('Adjustment Surface'!$C$6,DATEDIF('Adjustment Surface'!$C$6,MAX('Adjustment Surface'!$C$14:$F$14),"M")))))</f>
        <v/>
      </c>
      <c r="AD54" s="3" t="str">
        <f t="shared" si="2"/>
        <v/>
      </c>
      <c r="AE54" s="5" t="str">
        <f>IF(AA54="","",(AC54-'Rate &amp; Vol Update'!$C$2)/360)</f>
        <v/>
      </c>
      <c r="AF54" s="15" t="str">
        <f>IF(AA54="","",IF('Adjustment Surface'!$C$3='Data Validation'!$C$2,'Adjustment Surface'!$C$4,_xlfn.IFNA(IF(INDEX(Schedules!$E$3:$E$123,MATCH('Bachelier Model'!AB54,Schedules!$B$3:$B$123,0))="",AF53,INDEX(Schedules!$E$3:$E$123,MATCH('Bachelier Model'!AB54,Schedules!$B$3:$B$123,0))),AF53)))</f>
        <v/>
      </c>
      <c r="AG54" s="16" t="str">
        <f>IF(AA54="","",'Adjustment Surface'!B$15)</f>
        <v/>
      </c>
      <c r="AH54" s="16" t="str" cm="1">
        <f t="array" ref="AH54">IF(AA54="","",FORECAST(AB54,INDEX('Rate &amp; Vol Update'!$C$6:$C$127,MATCH(INDEX('Rate &amp; Vol Update'!$B$6:$B$127,MATCH(AB54,'Rate &amp; Vol Update'!$B$6:$B$127,1)),'Rate &amp; Vol Update'!$B$6:$B$127,0)+IF('Adjustment Surface'!$C$11='Data Validation'!$E$3,-1,0)):INDEX('Rate &amp; Vol Update'!$C$6:$C$127,MATCH(INDEX('Rate &amp; Vol Update'!$B$6:$B$127,MATCH(AB54,'Rate &amp; Vol Update'!$B$6:$B$127,1)+1),'Rate &amp; Vol Update'!$B$6:$B$127,0)+IF('Adjustment Surface'!$C$11='Data Validation'!$E$3,-1,0)),INDEX('Rate &amp; Vol Update'!$B$6:$B$127,MATCH(AB54,'Rate &amp; Vol Update'!$B$6:$B$127,1)):INDEX('Rate &amp; Vol Update'!$B$6:$B$127,MATCH(AB54,'Rate &amp; Vol Update'!$B$6:$B$127,1)+1))/100)</f>
        <v/>
      </c>
      <c r="AI54" s="16" t="str" cm="1">
        <f t="array" ref="AI54">IF(AA54="","",IF(AB54&lt;'Rate &amp; Vol Update'!$C$2,0.001%,(1/((INDEX('Rate &amp; Vol Update'!$E$6:$Z$6,1,MATCH(AG54,'Rate &amp; Vol Update'!$E$6:$Z$6,1)+1)-INDEX('Rate &amp; Vol Update'!$E$6:$Z$6,1,MATCH(AG54,'Rate &amp; Vol Update'!$E$6:$Z$6,1)))*(INDEX('Rate &amp; Vol Update'!$B$8:$B$127,MATCH(AB54,'Rate &amp; Vol Update'!$B$8:$B$127,1)+1)-INDEX('Rate &amp; Vol Update'!$B$8:$B$127,MATCH(AB54,'Rate &amp; Vol Update'!$B$8:$B$127,1))))*(INDEX('Rate &amp; Vol Update'!$E$8:$Z$127,MATCH(INDEX('Rate &amp; Vol Update'!$B$8:$B$127,MATCH(AB54,'Rate &amp; Vol Update'!$B$8:$B$127,1)),'Rate &amp; Vol Update'!$B$8:$B$127,0),MATCH(INDEX('Rate &amp; Vol Update'!$E$6:$Z$6,1,MATCH(AG54,'Rate &amp; Vol Update'!$E$6:$Z$6,1)),'Rate &amp; Vol Update'!$E$6:$Z$6,0))*(INDEX('Rate &amp; Vol Update'!$E$6:$Z$6,1,MATCH(AG54,'Rate &amp; Vol Update'!$E$6:$Z$6,1)+1)-AG54)*(INDEX('Rate &amp; Vol Update'!$B$8:$B$127,MATCH(AB54,'Rate &amp; Vol Update'!$B$8:$B$127,1)+1)-AB54)+INDEX('Rate &amp; Vol Update'!$E$8:$Z$127,MATCH(INDEX('Rate &amp; Vol Update'!$B$8:$B$127,MATCH(AB54,'Rate &amp; Vol Update'!$B$8:$B$127,1)),'Rate &amp; Vol Update'!$B$8:$B$127,0),MATCH(INDEX('Rate &amp; Vol Update'!$E$6:$Z$6,1,MATCH(AG54,'Rate &amp; Vol Update'!$E$6:$Z$6,1)+1),'Rate &amp; Vol Update'!$E$6:$Z$6,0))*(AG54-INDEX('Rate &amp; Vol Update'!$E$6:$Z$6,1,MATCH(AG54,'Rate &amp; Vol Update'!$E$6:$Z$6,1)))*(INDEX('Rate &amp; Vol Update'!$B$8:$B$127,MATCH(AB54,'Rate &amp; Vol Update'!$B$8:$B$127,1)+1)-AB54)+INDEX('Rate &amp; Vol Update'!$E$8:$Z$127,MATCH(INDEX('Rate &amp; Vol Update'!$B$8:$B$127,MATCH(AB54,'Rate &amp; Vol Update'!$B$8:$B$127,1)+1),'Rate &amp; Vol Update'!$B$8:$B$127,0),MATCH(INDEX('Rate &amp; Vol Update'!$E$6:$Z$6,1,MATCH(AG54,'Rate &amp; Vol Update'!$E$6:$Z$6,1)),'Rate &amp; Vol Update'!$E$6:$Z$6,0))*(INDEX('Rate &amp; Vol Update'!$E$6:$Z$6,1,MATCH(AG54,'Rate &amp; Vol Update'!$E$6:$Z$6,1)+1)-AG54)*(AB54-INDEX('Rate &amp; Vol Update'!$B$8:$B$127,MATCH(AB54,'Rate &amp; Vol Update'!$B$8:$B$127,1)))+INDEX('Rate &amp; Vol Update'!$E$8:$Z$127,MATCH(INDEX('Rate &amp; Vol Update'!$B$8:$B$127,MATCH(AB54,'Rate &amp; Vol Update'!$B$8:$B$127,1)+1),'Rate &amp; Vol Update'!$B$8:$B$127,0),MATCH(INDEX('Rate &amp; Vol Update'!$E$6:$Z$6,1,MATCH(AG54,'Rate &amp; Vol Update'!$E$6:$Z$6,1)+1),'Rate &amp; Vol Update'!$E$6:$Z$6,0))*(AG54-INDEX('Rate &amp; Vol Update'!$E$6:$Z$6,1,MATCH(AG54,'Rate &amp; Vol Update'!$E$6:$Z$6,1)))*(AB54-INDEX('Rate &amp; Vol Update'!$B$8:$B$127,MATCH(AB54,'Rate &amp; Vol Update'!$B$8:$B$127,1)))))*0.01%))</f>
        <v/>
      </c>
      <c r="AJ54" s="5" t="str">
        <f>IF(AA54="","",1/((1+AH54)^((AC54-'Rate &amp; Vol Update'!$C$2)/360)))</f>
        <v/>
      </c>
      <c r="AL54" s="15" t="str">
        <f>IF(AA54="","",IF(AB54&lt;'Rate &amp; Vol Update'!$C$2,MAX(0,AH54-AG54)*(AD54/360)*AF54,(((IF('Adjustment Surface'!$C$2='Data Validation'!$A$2,AH54,IF('Adjustment Surface'!$C$2='Data Validation'!$A$3,AG54,"Unknown Option Type"))-IF('Adjustment Surface'!$C$2='Data Validation'!$A$2,AG54,IF('Adjustment Surface'!$C$2='Data Validation'!$A$3,AH54,"Unknown Option Type")))*(NORMDIST((IF('Adjustment Surface'!$C$2='Data Validation'!$A$2,AH54,IF('Adjustment Surface'!$C$2='Data Validation'!$A$3,AG54,"Unknown Option Type"))-IF('Adjustment Surface'!$C$2='Data Validation'!$A$2,AG54,IF('Adjustment Surface'!$C$2='Data Validation'!$A$3,AH54,"Unknown Option Type")))/(AI54*SQRT(AE54)),0,1,TRUE)))+((AI54*SQRT(AE54))*(NORMDIST((IF('Adjustment Surface'!$C$2='Data Validation'!$A$2,AH54,IF('Adjustment Surface'!$C$2='Data Validation'!$A$3,AG54,"Unknown Option Type"))-IF('Adjustment Surface'!$C$2='Data Validation'!$A$2,AG54,IF('Adjustment Surface'!$C$2='Data Validation'!$A$3,AH54,"Unknown Option Type")))/(AI54*SQRT(AE54)),0,1,FALSE))))*AJ54*(AD54/360)*AF54))</f>
        <v/>
      </c>
      <c r="AM54" s="15" t="str">
        <f>IF(AA54="","",SUM(AL$4:AL54))</f>
        <v/>
      </c>
      <c r="AO54" s="15" t="str">
        <f>IF(AA54="","",IF(AB54&lt;'Rate &amp; Vol Update'!$C$2,0,((((((IF('Adjustment Surface'!$C$2='Data Validation'!$A$2,AH54,IF('Adjustment Surface'!$C$2='Data Validation'!$A$3,AG54,"Unknown Option Type"))-IF('Adjustment Surface'!$C$2='Data Validation'!$A$2,AG54,IF('Adjustment Surface'!$C$2='Data Validation'!$A$3,AH54,"Unknown Option Type")))*(NORMDIST((IF('Adjustment Surface'!$C$2='Data Validation'!$A$2,AH54,IF('Adjustment Surface'!$C$2='Data Validation'!$A$3,AG54,"Unknown Option Type"))-IF('Adjustment Surface'!$C$2='Data Validation'!$A$2,AG54,IF('Adjustment Surface'!$C$2='Data Validation'!$A$3,AH54,"Unknown Option Type")))/((AI54+0.01%)*SQRT(AE54)),0,1,TRUE)))+(((AI54+0.01%)*SQRT(AE54))*(NORMDIST((IF('Adjustment Surface'!$C$2='Data Validation'!$A$2,AH54,IF('Adjustment Surface'!$C$2='Data Validation'!$A$3,AG54,"Unknown Option Type"))-IF('Adjustment Surface'!$C$2='Data Validation'!$A$2,AG54,IF('Adjustment Surface'!$C$2='Data Validation'!$A$3,AH54,"Unknown Option Type")))/((AI54+0.01%)*SQRT(AE54)),0,1,FALSE))))*AJ54*(AD54/360))-(AL54/AF54))*AF54)*AJ54))</f>
        <v/>
      </c>
      <c r="AP54" s="15" t="str">
        <f>IF(AA54="","",SUM(AO$4:AO54))</f>
        <v/>
      </c>
      <c r="AQ54" s="15"/>
      <c r="AR54" s="20"/>
      <c r="AT54" s="4" t="str">
        <f>IF(AU53=MAX('Adjustment Surface'!$C$14:$F$14),"",AU53)</f>
        <v/>
      </c>
      <c r="AU54" s="4" t="str">
        <f>IF(AT54="","",IF(AT54&lt;EDATE('Adjustment Surface'!$C$6,DATEDIF('Adjustment Surface'!$C$6,MAX('Adjustment Surface'!$C$14:$F$14),"M")),EDATE(AT$5,COUNT(AT$5:AT54)),IF(AT54=EDATE('Adjustment Surface'!$C$6,DATEDIF('Adjustment Surface'!$C$6,MAX('Adjustment Surface'!$C$14:$F$14),"M")),MAX('Adjustment Surface'!$C$14:$F$14),EDATE('Adjustment Surface'!$C$6,DATEDIF('Adjustment Surface'!$C$6,MAX('Adjustment Surface'!$C$14:$F$14),"M")))))</f>
        <v/>
      </c>
      <c r="AV54" s="3" t="str">
        <f t="shared" si="3"/>
        <v/>
      </c>
      <c r="AW54" s="5" t="str">
        <f>IF(AS54="","",(AU54-'Rate &amp; Vol Update'!$C$2)/360)</f>
        <v/>
      </c>
      <c r="AX54" s="15" t="str">
        <f>IF(AS54="","",IF('Adjustment Surface'!$C$3='Data Validation'!$C$2,'Adjustment Surface'!$C$4,_xlfn.IFNA(IF(INDEX(Schedules!$E$3:$E$123,MATCH('Bachelier Model'!AT54,Schedules!$B$3:$B$123,0))="",AX53,INDEX(Schedules!$E$3:$E$123,MATCH('Bachelier Model'!AT54,Schedules!$B$3:$B$123,0))),AX53)))</f>
        <v/>
      </c>
      <c r="AY54" s="16" t="str">
        <f>IF(AS54="","",'Adjustment Surface'!B$16)</f>
        <v/>
      </c>
      <c r="AZ54" s="16" t="str" cm="1">
        <f t="array" ref="AZ54">IF(AS54="","",FORECAST(AT54,INDEX('Rate &amp; Vol Update'!$C$6:$C$127,MATCH(INDEX('Rate &amp; Vol Update'!$B$6:$B$127,MATCH(AT54,'Rate &amp; Vol Update'!$B$6:$B$127,1)),'Rate &amp; Vol Update'!$B$6:$B$127,0)+IF('Adjustment Surface'!$C$11='Data Validation'!$E$3,-1,0)):INDEX('Rate &amp; Vol Update'!$C$6:$C$127,MATCH(INDEX('Rate &amp; Vol Update'!$B$6:$B$127,MATCH(AT54,'Rate &amp; Vol Update'!$B$6:$B$127,1)+1),'Rate &amp; Vol Update'!$B$6:$B$127,0)+IF('Adjustment Surface'!$C$11='Data Validation'!$E$3,-1,0)),INDEX('Rate &amp; Vol Update'!$B$6:$B$127,MATCH(AT54,'Rate &amp; Vol Update'!$B$6:$B$127,1)):INDEX('Rate &amp; Vol Update'!$B$6:$B$127,MATCH(AT54,'Rate &amp; Vol Update'!$B$6:$B$127,1)+1))/100)</f>
        <v/>
      </c>
      <c r="BA54" s="16" t="str" cm="1">
        <f t="array" ref="BA54">IF(AS54="","",IF(AT54&lt;'Rate &amp; Vol Update'!$C$2,0.001%,(1/((INDEX('Rate &amp; Vol Update'!$E$6:$Z$6,1,MATCH(AY54,'Rate &amp; Vol Update'!$E$6:$Z$6,1)+1)-INDEX('Rate &amp; Vol Update'!$E$6:$Z$6,1,MATCH(AY54,'Rate &amp; Vol Update'!$E$6:$Z$6,1)))*(INDEX('Rate &amp; Vol Update'!$B$8:$B$127,MATCH(AT54,'Rate &amp; Vol Update'!$B$8:$B$127,1)+1)-INDEX('Rate &amp; Vol Update'!$B$8:$B$127,MATCH(AT54,'Rate &amp; Vol Update'!$B$8:$B$127,1))))*(INDEX('Rate &amp; Vol Update'!$E$8:$Z$127,MATCH(INDEX('Rate &amp; Vol Update'!$B$8:$B$127,MATCH(AT54,'Rate &amp; Vol Update'!$B$8:$B$127,1)),'Rate &amp; Vol Update'!$B$8:$B$127,0),MATCH(INDEX('Rate &amp; Vol Update'!$E$6:$Z$6,1,MATCH(AY54,'Rate &amp; Vol Update'!$E$6:$Z$6,1)),'Rate &amp; Vol Update'!$E$6:$Z$6,0))*(INDEX('Rate &amp; Vol Update'!$E$6:$Z$6,1,MATCH(AY54,'Rate &amp; Vol Update'!$E$6:$Z$6,1)+1)-AY54)*(INDEX('Rate &amp; Vol Update'!$B$8:$B$127,MATCH(AT54,'Rate &amp; Vol Update'!$B$8:$B$127,1)+1)-AT54)+INDEX('Rate &amp; Vol Update'!$E$8:$Z$127,MATCH(INDEX('Rate &amp; Vol Update'!$B$8:$B$127,MATCH(AT54,'Rate &amp; Vol Update'!$B$8:$B$127,1)),'Rate &amp; Vol Update'!$B$8:$B$127,0),MATCH(INDEX('Rate &amp; Vol Update'!$E$6:$Z$6,1,MATCH(AY54,'Rate &amp; Vol Update'!$E$6:$Z$6,1)+1),'Rate &amp; Vol Update'!$E$6:$Z$6,0))*(AY54-INDEX('Rate &amp; Vol Update'!$E$6:$Z$6,1,MATCH(AY54,'Rate &amp; Vol Update'!$E$6:$Z$6,1)))*(INDEX('Rate &amp; Vol Update'!$B$8:$B$127,MATCH(AT54,'Rate &amp; Vol Update'!$B$8:$B$127,1)+1)-AT54)+INDEX('Rate &amp; Vol Update'!$E$8:$Z$127,MATCH(INDEX('Rate &amp; Vol Update'!$B$8:$B$127,MATCH(AT54,'Rate &amp; Vol Update'!$B$8:$B$127,1)+1),'Rate &amp; Vol Update'!$B$8:$B$127,0),MATCH(INDEX('Rate &amp; Vol Update'!$E$6:$Z$6,1,MATCH(AY54,'Rate &amp; Vol Update'!$E$6:$Z$6,1)),'Rate &amp; Vol Update'!$E$6:$Z$6,0))*(INDEX('Rate &amp; Vol Update'!$E$6:$Z$6,1,MATCH(AY54,'Rate &amp; Vol Update'!$E$6:$Z$6,1)+1)-AY54)*(AT54-INDEX('Rate &amp; Vol Update'!$B$8:$B$127,MATCH(AT54,'Rate &amp; Vol Update'!$B$8:$B$127,1)))+INDEX('Rate &amp; Vol Update'!$E$8:$Z$127,MATCH(INDEX('Rate &amp; Vol Update'!$B$8:$B$127,MATCH(AT54,'Rate &amp; Vol Update'!$B$8:$B$127,1)+1),'Rate &amp; Vol Update'!$B$8:$B$127,0),MATCH(INDEX('Rate &amp; Vol Update'!$E$6:$Z$6,1,MATCH(AY54,'Rate &amp; Vol Update'!$E$6:$Z$6,1)+1),'Rate &amp; Vol Update'!$E$6:$Z$6,0))*(AY54-INDEX('Rate &amp; Vol Update'!$E$6:$Z$6,1,MATCH(AY54,'Rate &amp; Vol Update'!$E$6:$Z$6,1)))*(AT54-INDEX('Rate &amp; Vol Update'!$B$8:$B$127,MATCH(AT54,'Rate &amp; Vol Update'!$B$8:$B$127,1)))))*0.01%))</f>
        <v/>
      </c>
      <c r="BB54" s="5" t="str">
        <f>IF(AS54="","",1/((1+AZ54)^((AU54-'Rate &amp; Vol Update'!$C$2)/360)))</f>
        <v/>
      </c>
      <c r="BD54" s="15" t="str">
        <f>IF(AS54="","",IF(AT54&lt;'Rate &amp; Vol Update'!$C$2,MAX(0,AZ54-AY54)*(AV54/360)*AX54,(((IF('Adjustment Surface'!$C$2='Data Validation'!$A$2,AZ54,IF('Adjustment Surface'!$C$2='Data Validation'!$A$3,AY54,"Unknown Option Type"))-IF('Adjustment Surface'!$C$2='Data Validation'!$A$2,AY54,IF('Adjustment Surface'!$C$2='Data Validation'!$A$3,AZ54,"Unknown Option Type")))*(NORMDIST((IF('Adjustment Surface'!$C$2='Data Validation'!$A$2,AZ54,IF('Adjustment Surface'!$C$2='Data Validation'!$A$3,AY54,"Unknown Option Type"))-IF('Adjustment Surface'!$C$2='Data Validation'!$A$2,AY54,IF('Adjustment Surface'!$C$2='Data Validation'!$A$3,AZ54,"Unknown Option Type")))/(BA54*SQRT(AW54)),0,1,TRUE)))+((BA54*SQRT(AW54))*(NORMDIST((IF('Adjustment Surface'!$C$2='Data Validation'!$A$2,AZ54,IF('Adjustment Surface'!$C$2='Data Validation'!$A$3,AY54,"Unknown Option Type"))-IF('Adjustment Surface'!$C$2='Data Validation'!$A$2,AY54,IF('Adjustment Surface'!$C$2='Data Validation'!$A$3,AZ54,"Unknown Option Type")))/(BA54*SQRT(AW54)),0,1,FALSE))))*BB54*(AV54/360)*AX54))</f>
        <v/>
      </c>
      <c r="BE54" s="15" t="str">
        <f>IF(AS54="","",SUM(BD$4:BD54))</f>
        <v/>
      </c>
      <c r="BG54" s="15" t="str">
        <f>IF(AS54="","",IF(AT54&lt;'Rate &amp; Vol Update'!$C$2,0,((((((IF('Adjustment Surface'!$C$2='Data Validation'!$A$2,AZ54,IF('Adjustment Surface'!$C$2='Data Validation'!$A$3,AY54,"Unknown Option Type"))-IF('Adjustment Surface'!$C$2='Data Validation'!$A$2,AY54,IF('Adjustment Surface'!$C$2='Data Validation'!$A$3,AZ54,"Unknown Option Type")))*(NORMDIST((IF('Adjustment Surface'!$C$2='Data Validation'!$A$2,AZ54,IF('Adjustment Surface'!$C$2='Data Validation'!$A$3,AY54,"Unknown Option Type"))-IF('Adjustment Surface'!$C$2='Data Validation'!$A$2,AY54,IF('Adjustment Surface'!$C$2='Data Validation'!$A$3,AZ54,"Unknown Option Type")))/((BA54+0.01%)*SQRT(AW54)),0,1,TRUE)))+(((BA54+0.01%)*SQRT(AW54))*(NORMDIST((IF('Adjustment Surface'!$C$2='Data Validation'!$A$2,AZ54,IF('Adjustment Surface'!$C$2='Data Validation'!$A$3,AY54,"Unknown Option Type"))-IF('Adjustment Surface'!$C$2='Data Validation'!$A$2,AY54,IF('Adjustment Surface'!$C$2='Data Validation'!$A$3,AZ54,"Unknown Option Type")))/((BA54+0.01%)*SQRT(AW54)),0,1,FALSE))))*BB54*(AV54/360))-(BD54/AX54))*AX54)*BB54))</f>
        <v/>
      </c>
      <c r="BH54" s="15" t="str">
        <f>IF(AS54="","",SUM(BG$4:BG54))</f>
        <v/>
      </c>
      <c r="BI54" s="15"/>
      <c r="BJ54" s="20"/>
      <c r="BL54" s="4" t="str">
        <f>IF(BM53=MAX('Adjustment Surface'!$C$14:$F$14),"",BM53)</f>
        <v/>
      </c>
      <c r="BM54" s="4" t="str">
        <f>IF(BL54="","",IF(BL54&lt;EDATE('Adjustment Surface'!$C$6,DATEDIF('Adjustment Surface'!$C$6,MAX('Adjustment Surface'!$C$14:$F$14),"M")),EDATE(BL$5,COUNT(BL$5:BL54)),IF(BL54=EDATE('Adjustment Surface'!$C$6,DATEDIF('Adjustment Surface'!$C$6,MAX('Adjustment Surface'!$C$14:$F$14),"M")),MAX('Adjustment Surface'!$C$14:$F$14),EDATE('Adjustment Surface'!$C$6,DATEDIF('Adjustment Surface'!$C$6,MAX('Adjustment Surface'!$C$14:$F$14),"M")))))</f>
        <v/>
      </c>
      <c r="BN54" s="3" t="str">
        <f t="shared" si="4"/>
        <v/>
      </c>
      <c r="BO54" s="5" t="str">
        <f>IF(BK54="","",(BM54-'Rate &amp; Vol Update'!$C$2)/360)</f>
        <v/>
      </c>
      <c r="BP54" s="15" t="str">
        <f>IF(BK54="","",IF('Adjustment Surface'!$C$3='Data Validation'!$C$2,'Adjustment Surface'!$C$4,_xlfn.IFNA(IF(INDEX(Schedules!$E$3:$E$123,MATCH('Bachelier Model'!BL54,Schedules!$B$3:$B$123,0))="",BP53,INDEX(Schedules!$E$3:$E$123,MATCH('Bachelier Model'!BL54,Schedules!$B$3:$B$123,0))),BP53)))</f>
        <v/>
      </c>
      <c r="BQ54" s="16" t="str">
        <f>IF(BK54="","",'Adjustment Surface'!B$17)</f>
        <v/>
      </c>
      <c r="BR54" s="16" t="str" cm="1">
        <f t="array" ref="BR54">IF(BK54="","",FORECAST(BL54,INDEX('Rate &amp; Vol Update'!$C$6:$C$127,MATCH(INDEX('Rate &amp; Vol Update'!$B$6:$B$127,MATCH(BL54,'Rate &amp; Vol Update'!$B$6:$B$127,1)),'Rate &amp; Vol Update'!$B$6:$B$127,0)+IF('Adjustment Surface'!$C$11='Data Validation'!$E$3,-1,0)):INDEX('Rate &amp; Vol Update'!$C$6:$C$127,MATCH(INDEX('Rate &amp; Vol Update'!$B$6:$B$127,MATCH(BL54,'Rate &amp; Vol Update'!$B$6:$B$127,1)+1),'Rate &amp; Vol Update'!$B$6:$B$127,0)+IF('Adjustment Surface'!$C$11='Data Validation'!$E$3,-1,0)),INDEX('Rate &amp; Vol Update'!$B$6:$B$127,MATCH(BL54,'Rate &amp; Vol Update'!$B$6:$B$127,1)):INDEX('Rate &amp; Vol Update'!$B$6:$B$127,MATCH(BL54,'Rate &amp; Vol Update'!$B$6:$B$127,1)+1))/100)</f>
        <v/>
      </c>
      <c r="BS54" s="16" t="str" cm="1">
        <f t="array" ref="BS54">IF(BK54="","",IF(BL54&lt;'Rate &amp; Vol Update'!$C$2,0.001%,(1/((INDEX('Rate &amp; Vol Update'!$E$6:$Z$6,1,MATCH(BQ54,'Rate &amp; Vol Update'!$E$6:$Z$6,1)+1)-INDEX('Rate &amp; Vol Update'!$E$6:$Z$6,1,MATCH(BQ54,'Rate &amp; Vol Update'!$E$6:$Z$6,1)))*(INDEX('Rate &amp; Vol Update'!$B$8:$B$127,MATCH(BL54,'Rate &amp; Vol Update'!$B$8:$B$127,1)+1)-INDEX('Rate &amp; Vol Update'!$B$8:$B$127,MATCH(BL54,'Rate &amp; Vol Update'!$B$8:$B$127,1))))*(INDEX('Rate &amp; Vol Update'!$E$8:$Z$127,MATCH(INDEX('Rate &amp; Vol Update'!$B$8:$B$127,MATCH(BL54,'Rate &amp; Vol Update'!$B$8:$B$127,1)),'Rate &amp; Vol Update'!$B$8:$B$127,0),MATCH(INDEX('Rate &amp; Vol Update'!$E$6:$Z$6,1,MATCH(BQ54,'Rate &amp; Vol Update'!$E$6:$Z$6,1)),'Rate &amp; Vol Update'!$E$6:$Z$6,0))*(INDEX('Rate &amp; Vol Update'!$E$6:$Z$6,1,MATCH(BQ54,'Rate &amp; Vol Update'!$E$6:$Z$6,1)+1)-BQ54)*(INDEX('Rate &amp; Vol Update'!$B$8:$B$127,MATCH(BL54,'Rate &amp; Vol Update'!$B$8:$B$127,1)+1)-BL54)+INDEX('Rate &amp; Vol Update'!$E$8:$Z$127,MATCH(INDEX('Rate &amp; Vol Update'!$B$8:$B$127,MATCH(BL54,'Rate &amp; Vol Update'!$B$8:$B$127,1)),'Rate &amp; Vol Update'!$B$8:$B$127,0),MATCH(INDEX('Rate &amp; Vol Update'!$E$6:$Z$6,1,MATCH(BQ54,'Rate &amp; Vol Update'!$E$6:$Z$6,1)+1),'Rate &amp; Vol Update'!$E$6:$Z$6,0))*(BQ54-INDEX('Rate &amp; Vol Update'!$E$6:$Z$6,1,MATCH(BQ54,'Rate &amp; Vol Update'!$E$6:$Z$6,1)))*(INDEX('Rate &amp; Vol Update'!$B$8:$B$127,MATCH(BL54,'Rate &amp; Vol Update'!$B$8:$B$127,1)+1)-BL54)+INDEX('Rate &amp; Vol Update'!$E$8:$Z$127,MATCH(INDEX('Rate &amp; Vol Update'!$B$8:$B$127,MATCH(BL54,'Rate &amp; Vol Update'!$B$8:$B$127,1)+1),'Rate &amp; Vol Update'!$B$8:$B$127,0),MATCH(INDEX('Rate &amp; Vol Update'!$E$6:$Z$6,1,MATCH(BQ54,'Rate &amp; Vol Update'!$E$6:$Z$6,1)),'Rate &amp; Vol Update'!$E$6:$Z$6,0))*(INDEX('Rate &amp; Vol Update'!$E$6:$Z$6,1,MATCH(BQ54,'Rate &amp; Vol Update'!$E$6:$Z$6,1)+1)-BQ54)*(BL54-INDEX('Rate &amp; Vol Update'!$B$8:$B$127,MATCH(BL54,'Rate &amp; Vol Update'!$B$8:$B$127,1)))+INDEX('Rate &amp; Vol Update'!$E$8:$Z$127,MATCH(INDEX('Rate &amp; Vol Update'!$B$8:$B$127,MATCH(BL54,'Rate &amp; Vol Update'!$B$8:$B$127,1)+1),'Rate &amp; Vol Update'!$B$8:$B$127,0),MATCH(INDEX('Rate &amp; Vol Update'!$E$6:$Z$6,1,MATCH(BQ54,'Rate &amp; Vol Update'!$E$6:$Z$6,1)+1),'Rate &amp; Vol Update'!$E$6:$Z$6,0))*(BQ54-INDEX('Rate &amp; Vol Update'!$E$6:$Z$6,1,MATCH(BQ54,'Rate &amp; Vol Update'!$E$6:$Z$6,1)))*(BL54-INDEX('Rate &amp; Vol Update'!$B$8:$B$127,MATCH(BL54,'Rate &amp; Vol Update'!$B$8:$B$127,1)))))*0.01%))</f>
        <v/>
      </c>
      <c r="BT54" s="5" t="str">
        <f>IF(BK54="","",1/((1+BR54)^((BM54-'Rate &amp; Vol Update'!$C$2)/360)))</f>
        <v/>
      </c>
      <c r="BV54" s="15" t="str">
        <f>IF(BK54="","",IF(BL54&lt;'Rate &amp; Vol Update'!$C$2,MAX(0,BR54-BQ54)*(BN54/360)*BP54,(((IF('Adjustment Surface'!$C$2='Data Validation'!$A$2,BR54,IF('Adjustment Surface'!$C$2='Data Validation'!$A$3,BQ54,"Unknown Option Type"))-IF('Adjustment Surface'!$C$2='Data Validation'!$A$2,BQ54,IF('Adjustment Surface'!$C$2='Data Validation'!$A$3,BR54,"Unknown Option Type")))*(NORMDIST((IF('Adjustment Surface'!$C$2='Data Validation'!$A$2,BR54,IF('Adjustment Surface'!$C$2='Data Validation'!$A$3,BQ54,"Unknown Option Type"))-IF('Adjustment Surface'!$C$2='Data Validation'!$A$2,BQ54,IF('Adjustment Surface'!$C$2='Data Validation'!$A$3,BR54,"Unknown Option Type")))/(BS54*SQRT(BO54)),0,1,TRUE)))+((BS54*SQRT(BO54))*(NORMDIST((IF('Adjustment Surface'!$C$2='Data Validation'!$A$2,BR54,IF('Adjustment Surface'!$C$2='Data Validation'!$A$3,BQ54,"Unknown Option Type"))-IF('Adjustment Surface'!$C$2='Data Validation'!$A$2,BQ54,IF('Adjustment Surface'!$C$2='Data Validation'!$A$3,BR54,"Unknown Option Type")))/(BS54*SQRT(BO54)),0,1,FALSE))))*BT54*(BN54/360)*BP54))</f>
        <v/>
      </c>
      <c r="BW54" s="15" t="str">
        <f>IF(BK54="","",SUM(BV$4:BV54))</f>
        <v/>
      </c>
      <c r="BY54" s="15" t="str">
        <f>IF(BK54="","",IF(BL54&lt;'Rate &amp; Vol Update'!$C$2,0,((((((IF('Adjustment Surface'!$C$2='Data Validation'!$A$2,BR54,IF('Adjustment Surface'!$C$2='Data Validation'!$A$3,BQ54,"Unknown Option Type"))-IF('Adjustment Surface'!$C$2='Data Validation'!$A$2,BQ54,IF('Adjustment Surface'!$C$2='Data Validation'!$A$3,BR54,"Unknown Option Type")))*(NORMDIST((IF('Adjustment Surface'!$C$2='Data Validation'!$A$2,BR54,IF('Adjustment Surface'!$C$2='Data Validation'!$A$3,BQ54,"Unknown Option Type"))-IF('Adjustment Surface'!$C$2='Data Validation'!$A$2,BQ54,IF('Adjustment Surface'!$C$2='Data Validation'!$A$3,BR54,"Unknown Option Type")))/((BS54+0.01%)*SQRT(BO54)),0,1,TRUE)))+(((BS54+0.01%)*SQRT(BO54))*(NORMDIST((IF('Adjustment Surface'!$C$2='Data Validation'!$A$2,BR54,IF('Adjustment Surface'!$C$2='Data Validation'!$A$3,BQ54,"Unknown Option Type"))-IF('Adjustment Surface'!$C$2='Data Validation'!$A$2,BQ54,IF('Adjustment Surface'!$C$2='Data Validation'!$A$3,BR54,"Unknown Option Type")))/((BS54+0.01%)*SQRT(BO54)),0,1,FALSE))))*BT54*(BN54/360))-(BV54/BP54))*BP54)*BT54))</f>
        <v/>
      </c>
      <c r="BZ54" s="15" t="str">
        <f>IF(BK54="","",SUM(BY$4:BY54))</f>
        <v/>
      </c>
      <c r="CA54" s="15"/>
      <c r="CB54" s="20"/>
      <c r="CD54" s="4" t="str">
        <f>IF(CE53=MAX('Adjustment Surface'!$C$14:$F$14),"",CE53)</f>
        <v/>
      </c>
      <c r="CE54" s="4" t="str">
        <f>IF(CD54="","",IF(CD54&lt;EDATE('Adjustment Surface'!$C$6,DATEDIF('Adjustment Surface'!$C$6,MAX('Adjustment Surface'!$C$14:$F$14),"M")),EDATE(CD$5,COUNT(CD$5:CD54)),IF(CD54=EDATE('Adjustment Surface'!$C$6,DATEDIF('Adjustment Surface'!$C$6,MAX('Adjustment Surface'!$C$14:$F$14),"M")),MAX('Adjustment Surface'!$C$14:$F$14),EDATE('Adjustment Surface'!$C$6,DATEDIF('Adjustment Surface'!$C$6,MAX('Adjustment Surface'!$C$14:$F$14),"M")))))</f>
        <v/>
      </c>
      <c r="CF54" s="3" t="str">
        <f t="shared" si="5"/>
        <v/>
      </c>
      <c r="CG54" s="5" t="str">
        <f>IF(CC54="","",(CE54-'Rate &amp; Vol Update'!$C$2)/360)</f>
        <v/>
      </c>
      <c r="CH54" s="15" t="str">
        <f>IF(CC54="","",IF('Adjustment Surface'!$C$3='Data Validation'!$C$2,'Adjustment Surface'!$C$4,_xlfn.IFNA(IF(INDEX(Schedules!$E$3:$E$123,MATCH('Bachelier Model'!CD54,Schedules!$B$3:$B$123,0))="",CH53,INDEX(Schedules!$E$3:$E$123,MATCH('Bachelier Model'!CD54,Schedules!$B$3:$B$123,0))),CH53)))</f>
        <v/>
      </c>
      <c r="CI54" s="16" t="str">
        <f>IF(CC54="","",'Adjustment Surface'!B$18)</f>
        <v/>
      </c>
      <c r="CJ54" s="16" t="str" cm="1">
        <f t="array" ref="CJ54">IF(CC54="","",FORECAST(CD54,INDEX('Rate &amp; Vol Update'!$C$6:$C$127,MATCH(INDEX('Rate &amp; Vol Update'!$B$6:$B$127,MATCH(CD54,'Rate &amp; Vol Update'!$B$6:$B$127,1)),'Rate &amp; Vol Update'!$B$6:$B$127,0)+IF('Adjustment Surface'!$C$11='Data Validation'!$E$3,-1,0)):INDEX('Rate &amp; Vol Update'!$C$6:$C$127,MATCH(INDEX('Rate &amp; Vol Update'!$B$6:$B$127,MATCH(CD54,'Rate &amp; Vol Update'!$B$6:$B$127,1)+1),'Rate &amp; Vol Update'!$B$6:$B$127,0)+IF('Adjustment Surface'!$C$11='Data Validation'!$E$3,-1,0)),INDEX('Rate &amp; Vol Update'!$B$6:$B$127,MATCH(CD54,'Rate &amp; Vol Update'!$B$6:$B$127,1)):INDEX('Rate &amp; Vol Update'!$B$6:$B$127,MATCH(CD54,'Rate &amp; Vol Update'!$B$6:$B$127,1)+1))/100)</f>
        <v/>
      </c>
      <c r="CK54" s="16" t="str" cm="1">
        <f t="array" ref="CK54">IF(CC54="","",IF(CD54&lt;'Rate &amp; Vol Update'!$C$2,0.001%,(1/((INDEX('Rate &amp; Vol Update'!$E$6:$Z$6,1,MATCH(CI54,'Rate &amp; Vol Update'!$E$6:$Z$6,1)+1)-INDEX('Rate &amp; Vol Update'!$E$6:$Z$6,1,MATCH(CI54,'Rate &amp; Vol Update'!$E$6:$Z$6,1)))*(INDEX('Rate &amp; Vol Update'!$B$8:$B$127,MATCH(CD54,'Rate &amp; Vol Update'!$B$8:$B$127,1)+1)-INDEX('Rate &amp; Vol Update'!$B$8:$B$127,MATCH(CD54,'Rate &amp; Vol Update'!$B$8:$B$127,1))))*(INDEX('Rate &amp; Vol Update'!$E$8:$Z$127,MATCH(INDEX('Rate &amp; Vol Update'!$B$8:$B$127,MATCH(CD54,'Rate &amp; Vol Update'!$B$8:$B$127,1)),'Rate &amp; Vol Update'!$B$8:$B$127,0),MATCH(INDEX('Rate &amp; Vol Update'!$E$6:$Z$6,1,MATCH(CI54,'Rate &amp; Vol Update'!$E$6:$Z$6,1)),'Rate &amp; Vol Update'!$E$6:$Z$6,0))*(INDEX('Rate &amp; Vol Update'!$E$6:$Z$6,1,MATCH(CI54,'Rate &amp; Vol Update'!$E$6:$Z$6,1)+1)-CI54)*(INDEX('Rate &amp; Vol Update'!$B$8:$B$127,MATCH(CD54,'Rate &amp; Vol Update'!$B$8:$B$127,1)+1)-CD54)+INDEX('Rate &amp; Vol Update'!$E$8:$Z$127,MATCH(INDEX('Rate &amp; Vol Update'!$B$8:$B$127,MATCH(CD54,'Rate &amp; Vol Update'!$B$8:$B$127,1)),'Rate &amp; Vol Update'!$B$8:$B$127,0),MATCH(INDEX('Rate &amp; Vol Update'!$E$6:$Z$6,1,MATCH(CI54,'Rate &amp; Vol Update'!$E$6:$Z$6,1)+1),'Rate &amp; Vol Update'!$E$6:$Z$6,0))*(CI54-INDEX('Rate &amp; Vol Update'!$E$6:$Z$6,1,MATCH(CI54,'Rate &amp; Vol Update'!$E$6:$Z$6,1)))*(INDEX('Rate &amp; Vol Update'!$B$8:$B$127,MATCH(CD54,'Rate &amp; Vol Update'!$B$8:$B$127,1)+1)-CD54)+INDEX('Rate &amp; Vol Update'!$E$8:$Z$127,MATCH(INDEX('Rate &amp; Vol Update'!$B$8:$B$127,MATCH(CD54,'Rate &amp; Vol Update'!$B$8:$B$127,1)+1),'Rate &amp; Vol Update'!$B$8:$B$127,0),MATCH(INDEX('Rate &amp; Vol Update'!$E$6:$Z$6,1,MATCH(CI54,'Rate &amp; Vol Update'!$E$6:$Z$6,1)),'Rate &amp; Vol Update'!$E$6:$Z$6,0))*(INDEX('Rate &amp; Vol Update'!$E$6:$Z$6,1,MATCH(CI54,'Rate &amp; Vol Update'!$E$6:$Z$6,1)+1)-CI54)*(CD54-INDEX('Rate &amp; Vol Update'!$B$8:$B$127,MATCH(CD54,'Rate &amp; Vol Update'!$B$8:$B$127,1)))+INDEX('Rate &amp; Vol Update'!$E$8:$Z$127,MATCH(INDEX('Rate &amp; Vol Update'!$B$8:$B$127,MATCH(CD54,'Rate &amp; Vol Update'!$B$8:$B$127,1)+1),'Rate &amp; Vol Update'!$B$8:$B$127,0),MATCH(INDEX('Rate &amp; Vol Update'!$E$6:$Z$6,1,MATCH(CI54,'Rate &amp; Vol Update'!$E$6:$Z$6,1)+1),'Rate &amp; Vol Update'!$E$6:$Z$6,0))*(CI54-INDEX('Rate &amp; Vol Update'!$E$6:$Z$6,1,MATCH(CI54,'Rate &amp; Vol Update'!$E$6:$Z$6,1)))*(CD54-INDEX('Rate &amp; Vol Update'!$B$8:$B$127,MATCH(CD54,'Rate &amp; Vol Update'!$B$8:$B$127,1)))))*0.01%))</f>
        <v/>
      </c>
      <c r="CL54" s="5" t="str">
        <f>IF(CC54="","",1/((1+CJ54)^((CE54-'Rate &amp; Vol Update'!$C$2)/360)))</f>
        <v/>
      </c>
      <c r="CN54" s="15" t="str">
        <f>IF(CC54="","",IF(CD54&lt;'Rate &amp; Vol Update'!$C$2,MAX(0,CJ54-CI54)*(CF54/360)*CH54,(((IF('Adjustment Surface'!$C$2='Data Validation'!$A$2,CJ54,IF('Adjustment Surface'!$C$2='Data Validation'!$A$3,CI54,"Unknown Option Type"))-IF('Adjustment Surface'!$C$2='Data Validation'!$A$2,CI54,IF('Adjustment Surface'!$C$2='Data Validation'!$A$3,CJ54,"Unknown Option Type")))*(NORMDIST((IF('Adjustment Surface'!$C$2='Data Validation'!$A$2,CJ54,IF('Adjustment Surface'!$C$2='Data Validation'!$A$3,CI54,"Unknown Option Type"))-IF('Adjustment Surface'!$C$2='Data Validation'!$A$2,CI54,IF('Adjustment Surface'!$C$2='Data Validation'!$A$3,CJ54,"Unknown Option Type")))/(CK54*SQRT(CG54)),0,1,TRUE)))+((CK54*SQRT(CG54))*(NORMDIST((IF('Adjustment Surface'!$C$2='Data Validation'!$A$2,CJ54,IF('Adjustment Surface'!$C$2='Data Validation'!$A$3,CI54,"Unknown Option Type"))-IF('Adjustment Surface'!$C$2='Data Validation'!$A$2,CI54,IF('Adjustment Surface'!$C$2='Data Validation'!$A$3,CJ54,"Unknown Option Type")))/(CK54*SQRT(CG54)),0,1,FALSE))))*CL54*(CF54/360)*CH54))</f>
        <v/>
      </c>
      <c r="CO54" s="15" t="str">
        <f>IF(CC54="","",SUM(CN$4:CN54))</f>
        <v/>
      </c>
      <c r="CQ54" s="15" t="str">
        <f>IF(CC54="","",IF(CD54&lt;'Rate &amp; Vol Update'!$C$2,0,((((((IF('Adjustment Surface'!$C$2='Data Validation'!$A$2,CJ54,IF('Adjustment Surface'!$C$2='Data Validation'!$A$3,CI54,"Unknown Option Type"))-IF('Adjustment Surface'!$C$2='Data Validation'!$A$2,CI54,IF('Adjustment Surface'!$C$2='Data Validation'!$A$3,CJ54,"Unknown Option Type")))*(NORMDIST((IF('Adjustment Surface'!$C$2='Data Validation'!$A$2,CJ54,IF('Adjustment Surface'!$C$2='Data Validation'!$A$3,CI54,"Unknown Option Type"))-IF('Adjustment Surface'!$C$2='Data Validation'!$A$2,CI54,IF('Adjustment Surface'!$C$2='Data Validation'!$A$3,CJ54,"Unknown Option Type")))/((CK54+0.01%)*SQRT(CG54)),0,1,TRUE)))+(((CK54+0.01%)*SQRT(CG54))*(NORMDIST((IF('Adjustment Surface'!$C$2='Data Validation'!$A$2,CJ54,IF('Adjustment Surface'!$C$2='Data Validation'!$A$3,CI54,"Unknown Option Type"))-IF('Adjustment Surface'!$C$2='Data Validation'!$A$2,CI54,IF('Adjustment Surface'!$C$2='Data Validation'!$A$3,CJ54,"Unknown Option Type")))/((CK54+0.01%)*SQRT(CG54)),0,1,FALSE))))*CL54*(CF54/360))-(CN54/CH54))*CH54)*CL54))</f>
        <v/>
      </c>
      <c r="CR54" s="15" t="str">
        <f>IF(CC54="","",SUM(CQ$4:CQ54))</f>
        <v/>
      </c>
    </row>
    <row r="55" spans="7:96" x14ac:dyDescent="0.25">
      <c r="G55" s="28"/>
      <c r="J55" s="4" t="str">
        <f>IF(K54='Adjustment Surface'!C$8,"",K54)</f>
        <v/>
      </c>
      <c r="K55" s="4" t="str">
        <f>IF(J55="","",IF(J55&lt;'Adjustment Surface'!C$7,EDATE(J$5,COUNT(J$5:J55)),IF(J55='Adjustment Surface'!C$7,'Adjustment Surface'!C$8,'Adjustment Surface'!C$7)))</f>
        <v/>
      </c>
      <c r="L55" s="3" t="str">
        <f t="shared" si="1"/>
        <v/>
      </c>
      <c r="M55" s="5" t="str">
        <f>IF(I55="","",(K55-'Rate &amp; Vol Update'!$C$2)/360)</f>
        <v/>
      </c>
      <c r="N55" s="15" t="str">
        <f>IF(I55="","",IF('Adjustment Surface'!C$3='Data Validation'!$C$2,'Adjustment Surface'!C$4,IF(INDEX(Schedules!$E$3:$E$123,MATCH('Bachelier Model'!J55,Schedules!$B$3:$B$123,0))="",N54,INDEX(Schedules!$E$3:$E$123,MATCH('Bachelier Model'!J55,Schedules!$B$3:$B$123,0)))))</f>
        <v/>
      </c>
      <c r="O55" s="16" t="str">
        <f>IF(I55="","",IF('Adjustment Surface'!C$9='Data Validation'!$D$2,'Adjustment Surface'!C$10,IF(INDEX(Schedules!$H$3:$H$123,MATCH('Bachelier Model'!J55,Schedules!$B$3:$B$123,0))="",O54,INDEX(Schedules!$H$3:$H$123,MATCH('Bachelier Model'!J55,Schedules!$B$3:$B$123,0)))))</f>
        <v/>
      </c>
      <c r="P55" s="16" t="str" cm="1">
        <f t="array" ref="P55">IF(I55="","",FORECAST(J55,INDEX('Rate &amp; Vol Update'!$C$6:$C$127,MATCH(INDEX('Rate &amp; Vol Update'!$B$6:$B$127,MATCH(J55,'Rate &amp; Vol Update'!$B$6:$B$127,1)),'Rate &amp; Vol Update'!$B$6:$B$127,0)+IF('Adjustment Surface'!C$11='Data Validation'!$E$3,-1,0)):INDEX('Rate &amp; Vol Update'!$C$6:$C$127,MATCH(INDEX('Rate &amp; Vol Update'!$B$6:$B$127,MATCH(J55,'Rate &amp; Vol Update'!$B$6:$B$127,1)+1),'Rate &amp; Vol Update'!$B$6:$B$127,0)+IF('Adjustment Surface'!C$11='Data Validation'!$E$3,-1,0)),INDEX('Rate &amp; Vol Update'!$B$6:$B$127,MATCH(J55,'Rate &amp; Vol Update'!$B$6:$B$127,1)):INDEX('Rate &amp; Vol Update'!$B$6:$B$127,MATCH(J55,'Rate &amp; Vol Update'!$B$6:$B$127,1)+1))/100)</f>
        <v/>
      </c>
      <c r="Q55" s="16" t="str" cm="1">
        <f t="array" ref="Q55">IF(I55="","",IF(J55&lt;'Rate &amp; Vol Update'!$C$2,0.001%,(1/((INDEX('Rate &amp; Vol Update'!$E$6:$Z$6,1,MATCH(O55,'Rate &amp; Vol Update'!$E$6:$Z$6,1)+1)-INDEX('Rate &amp; Vol Update'!$E$6:$Z$6,1,MATCH(O55,'Rate &amp; Vol Update'!$E$6:$Z$6,1)))*(INDEX('Rate &amp; Vol Update'!$B$8:$B$127,MATCH(J55,'Rate &amp; Vol Update'!$B$8:$B$127,1)+1)-INDEX('Rate &amp; Vol Update'!$B$8:$B$127,MATCH(J55,'Rate &amp; Vol Update'!$B$8:$B$127,1))))*(INDEX('Rate &amp; Vol Update'!$E$8:$Z$127,MATCH(INDEX('Rate &amp; Vol Update'!$B$8:$B$127,MATCH(J55,'Rate &amp; Vol Update'!$B$8:$B$127,1)),'Rate &amp; Vol Update'!$B$8:$B$127,0),MATCH(INDEX('Rate &amp; Vol Update'!$E$6:$Z$6,1,MATCH(O55,'Rate &amp; Vol Update'!$E$6:$Z$6,1)),'Rate &amp; Vol Update'!$E$6:$Z$6,0))*(INDEX('Rate &amp; Vol Update'!$E$6:$Z$6,1,MATCH(O55,'Rate &amp; Vol Update'!$E$6:$Z$6,1)+1)-O55)*(INDEX('Rate &amp; Vol Update'!$B$8:$B$127,MATCH(J55,'Rate &amp; Vol Update'!$B$8:$B$127,1)+1)-J55)+INDEX('Rate &amp; Vol Update'!$E$8:$Z$127,MATCH(INDEX('Rate &amp; Vol Update'!$B$8:$B$127,MATCH(J55,'Rate &amp; Vol Update'!$B$8:$B$127,1)),'Rate &amp; Vol Update'!$B$8:$B$127,0),MATCH(INDEX('Rate &amp; Vol Update'!$E$6:$Z$6,1,MATCH(O55,'Rate &amp; Vol Update'!$E$6:$Z$6,1)+1),'Rate &amp; Vol Update'!$E$6:$Z$6,0))*(O55-INDEX('Rate &amp; Vol Update'!$E$6:$Z$6,1,MATCH(O55,'Rate &amp; Vol Update'!$E$6:$Z$6,1)))*(INDEX('Rate &amp; Vol Update'!$B$8:$B$127,MATCH(J55,'Rate &amp; Vol Update'!$B$8:$B$127,1)+1)-J55)+INDEX('Rate &amp; Vol Update'!$E$8:$Z$127,MATCH(INDEX('Rate &amp; Vol Update'!$B$8:$B$127,MATCH(J55,'Rate &amp; Vol Update'!$B$8:$B$127,1)+1),'Rate &amp; Vol Update'!$B$8:$B$127,0),MATCH(INDEX('Rate &amp; Vol Update'!$E$6:$Z$6,1,MATCH(O55,'Rate &amp; Vol Update'!$E$6:$Z$6,1)),'Rate &amp; Vol Update'!$E$6:$Z$6,0))*(INDEX('Rate &amp; Vol Update'!$E$6:$Z$6,1,MATCH(O55,'Rate &amp; Vol Update'!$E$6:$Z$6,1)+1)-O55)*(J55-INDEX('Rate &amp; Vol Update'!$B$8:$B$127,MATCH(J55,'Rate &amp; Vol Update'!$B$8:$B$127,1)))+INDEX('Rate &amp; Vol Update'!$E$8:$Z$127,MATCH(INDEX('Rate &amp; Vol Update'!$B$8:$B$127,MATCH(J55,'Rate &amp; Vol Update'!$B$8:$B$127,1)+1),'Rate &amp; Vol Update'!$B$8:$B$127,0),MATCH(INDEX('Rate &amp; Vol Update'!$E$6:$Z$6,1,MATCH(O55,'Rate &amp; Vol Update'!$E$6:$Z$6,1)+1),'Rate &amp; Vol Update'!$E$6:$Z$6,0))*(O55-INDEX('Rate &amp; Vol Update'!$E$6:$Z$6,1,MATCH(O55,'Rate &amp; Vol Update'!$E$6:$Z$6,1)))*(J55-INDEX('Rate &amp; Vol Update'!$B$8:$B$127,MATCH(J55,'Rate &amp; Vol Update'!$B$8:$B$127,1)))))*0.01%))</f>
        <v/>
      </c>
      <c r="R55" s="5" t="str">
        <f>IF(I55="","",1/((1+P55)^((K55-'Rate &amp; Vol Update'!$C$2)/360)))</f>
        <v/>
      </c>
      <c r="T55" s="15" t="str">
        <f>IF(I55="","",IF(J55&lt;'Rate &amp; Vol Update'!$C$2,MAX(0,P55-O55)*(L55/360)*N55,(((IF('Adjustment Surface'!C$2='Data Validation'!$A$2,P55,IF('Adjustment Surface'!C$2='Data Validation'!$A$3,O55,"Unknown Option Type"))-IF('Adjustment Surface'!C$2='Data Validation'!$A$2,O55,IF('Adjustment Surface'!C$2='Data Validation'!$A$3,P55,"Unknown Option Type")))*(NORMDIST((IF('Adjustment Surface'!C$2='Data Validation'!$A$2,P55,IF('Adjustment Surface'!C$2='Data Validation'!$A$3,O55,"Unknown Option Type"))-IF('Adjustment Surface'!C$2='Data Validation'!$A$2,O55,IF('Adjustment Surface'!C$2='Data Validation'!$A$3,P55,"Unknown Option Type")))/(Q55*SQRT(M55)),0,1,TRUE)))+((Q55*SQRT(M55))*(NORMDIST((IF('Adjustment Surface'!C$2='Data Validation'!$A$2,P55,IF('Adjustment Surface'!C$2='Data Validation'!$A$3,O55,"Unknown Option Type"))-IF('Adjustment Surface'!C$2='Data Validation'!$A$2,O55,IF('Adjustment Surface'!C$2='Data Validation'!$A$3,P55,"Unknown Option Type")))/(Q55*SQRT(M55)),0,1,FALSE))))*R55*(L55/360)*N55))</f>
        <v/>
      </c>
      <c r="U55" s="15" t="str">
        <f>IF(I55="","",SUM(T$4:T55))</f>
        <v/>
      </c>
      <c r="W55" s="15" t="str">
        <f>IF(I55="","",IF(J55&lt;'Rate &amp; Vol Update'!$C$2,0,((((((IF('Adjustment Surface'!C$2='Data Validation'!$A$2,P55,IF('Adjustment Surface'!C$2='Data Validation'!$A$3,O55,"Unknown Option Type"))-IF('Adjustment Surface'!C$2='Data Validation'!$A$2,O55,IF('Adjustment Surface'!C$2='Data Validation'!$A$3,P55,"Unknown Option Type")))*(NORMDIST((IF('Adjustment Surface'!C$2='Data Validation'!$A$2,P55,IF('Adjustment Surface'!C$2='Data Validation'!$A$3,O55,"Unknown Option Type"))-IF('Adjustment Surface'!C$2='Data Validation'!$A$2,O55,IF('Adjustment Surface'!C$2='Data Validation'!$A$3,P55,"Unknown Option Type")))/((Q55+0.01%)*SQRT(M55)),0,1,TRUE)))+(((Q55+0.01%)*SQRT(M55))*(NORMDIST((IF('Adjustment Surface'!C$2='Data Validation'!$A$2,P55,IF('Adjustment Surface'!C$2='Data Validation'!$A$3,O55,"Unknown Option Type"))-IF('Adjustment Surface'!C$2='Data Validation'!$A$2,O55,IF('Adjustment Surface'!C$2='Data Validation'!$A$3,P55,"Unknown Option Type")))/((Q55+0.01%)*SQRT(M55)),0,1,FALSE))))*R55*(L55/360))-(T55/N55))*N55)*R55))</f>
        <v/>
      </c>
      <c r="X55" s="15" t="str">
        <f>IF(I55="","",SUM(W$4:W55))</f>
        <v/>
      </c>
      <c r="Y55" s="15"/>
      <c r="Z55" s="20"/>
      <c r="AB55" s="4" t="str">
        <f>IF(AC54=MAX('Adjustment Surface'!$C$14:$F$14),"",AC54)</f>
        <v/>
      </c>
      <c r="AC55" s="4" t="str">
        <f>IF(AB55="","",IF(AB55&lt;EDATE('Adjustment Surface'!$C$6,DATEDIF('Adjustment Surface'!$C$6,MAX('Adjustment Surface'!$C$14:$F$14),"M")),EDATE(AB$5,COUNT(AB$5:AB55)),IF(AB55=EDATE('Adjustment Surface'!$C$6,DATEDIF('Adjustment Surface'!$C$6,MAX('Adjustment Surface'!$C$14:$F$14),"M")),MAX('Adjustment Surface'!$C$14:$F$14),EDATE('Adjustment Surface'!$C$6,DATEDIF('Adjustment Surface'!$C$6,MAX('Adjustment Surface'!$C$14:$F$14),"M")))))</f>
        <v/>
      </c>
      <c r="AD55" s="3" t="str">
        <f t="shared" si="2"/>
        <v/>
      </c>
      <c r="AE55" s="5" t="str">
        <f>IF(AA55="","",(AC55-'Rate &amp; Vol Update'!$C$2)/360)</f>
        <v/>
      </c>
      <c r="AF55" s="15" t="str">
        <f>IF(AA55="","",IF('Adjustment Surface'!$C$3='Data Validation'!$C$2,'Adjustment Surface'!$C$4,_xlfn.IFNA(IF(INDEX(Schedules!$E$3:$E$123,MATCH('Bachelier Model'!AB55,Schedules!$B$3:$B$123,0))="",AF54,INDEX(Schedules!$E$3:$E$123,MATCH('Bachelier Model'!AB55,Schedules!$B$3:$B$123,0))),AF54)))</f>
        <v/>
      </c>
      <c r="AG55" s="16" t="str">
        <f>IF(AA55="","",'Adjustment Surface'!B$15)</f>
        <v/>
      </c>
      <c r="AH55" s="16" t="str" cm="1">
        <f t="array" ref="AH55">IF(AA55="","",FORECAST(AB55,INDEX('Rate &amp; Vol Update'!$C$6:$C$127,MATCH(INDEX('Rate &amp; Vol Update'!$B$6:$B$127,MATCH(AB55,'Rate &amp; Vol Update'!$B$6:$B$127,1)),'Rate &amp; Vol Update'!$B$6:$B$127,0)+IF('Adjustment Surface'!$C$11='Data Validation'!$E$3,-1,0)):INDEX('Rate &amp; Vol Update'!$C$6:$C$127,MATCH(INDEX('Rate &amp; Vol Update'!$B$6:$B$127,MATCH(AB55,'Rate &amp; Vol Update'!$B$6:$B$127,1)+1),'Rate &amp; Vol Update'!$B$6:$B$127,0)+IF('Adjustment Surface'!$C$11='Data Validation'!$E$3,-1,0)),INDEX('Rate &amp; Vol Update'!$B$6:$B$127,MATCH(AB55,'Rate &amp; Vol Update'!$B$6:$B$127,1)):INDEX('Rate &amp; Vol Update'!$B$6:$B$127,MATCH(AB55,'Rate &amp; Vol Update'!$B$6:$B$127,1)+1))/100)</f>
        <v/>
      </c>
      <c r="AI55" s="16" t="str" cm="1">
        <f t="array" ref="AI55">IF(AA55="","",IF(AB55&lt;'Rate &amp; Vol Update'!$C$2,0.001%,(1/((INDEX('Rate &amp; Vol Update'!$E$6:$Z$6,1,MATCH(AG55,'Rate &amp; Vol Update'!$E$6:$Z$6,1)+1)-INDEX('Rate &amp; Vol Update'!$E$6:$Z$6,1,MATCH(AG55,'Rate &amp; Vol Update'!$E$6:$Z$6,1)))*(INDEX('Rate &amp; Vol Update'!$B$8:$B$127,MATCH(AB55,'Rate &amp; Vol Update'!$B$8:$B$127,1)+1)-INDEX('Rate &amp; Vol Update'!$B$8:$B$127,MATCH(AB55,'Rate &amp; Vol Update'!$B$8:$B$127,1))))*(INDEX('Rate &amp; Vol Update'!$E$8:$Z$127,MATCH(INDEX('Rate &amp; Vol Update'!$B$8:$B$127,MATCH(AB55,'Rate &amp; Vol Update'!$B$8:$B$127,1)),'Rate &amp; Vol Update'!$B$8:$B$127,0),MATCH(INDEX('Rate &amp; Vol Update'!$E$6:$Z$6,1,MATCH(AG55,'Rate &amp; Vol Update'!$E$6:$Z$6,1)),'Rate &amp; Vol Update'!$E$6:$Z$6,0))*(INDEX('Rate &amp; Vol Update'!$E$6:$Z$6,1,MATCH(AG55,'Rate &amp; Vol Update'!$E$6:$Z$6,1)+1)-AG55)*(INDEX('Rate &amp; Vol Update'!$B$8:$B$127,MATCH(AB55,'Rate &amp; Vol Update'!$B$8:$B$127,1)+1)-AB55)+INDEX('Rate &amp; Vol Update'!$E$8:$Z$127,MATCH(INDEX('Rate &amp; Vol Update'!$B$8:$B$127,MATCH(AB55,'Rate &amp; Vol Update'!$B$8:$B$127,1)),'Rate &amp; Vol Update'!$B$8:$B$127,0),MATCH(INDEX('Rate &amp; Vol Update'!$E$6:$Z$6,1,MATCH(AG55,'Rate &amp; Vol Update'!$E$6:$Z$6,1)+1),'Rate &amp; Vol Update'!$E$6:$Z$6,0))*(AG55-INDEX('Rate &amp; Vol Update'!$E$6:$Z$6,1,MATCH(AG55,'Rate &amp; Vol Update'!$E$6:$Z$6,1)))*(INDEX('Rate &amp; Vol Update'!$B$8:$B$127,MATCH(AB55,'Rate &amp; Vol Update'!$B$8:$B$127,1)+1)-AB55)+INDEX('Rate &amp; Vol Update'!$E$8:$Z$127,MATCH(INDEX('Rate &amp; Vol Update'!$B$8:$B$127,MATCH(AB55,'Rate &amp; Vol Update'!$B$8:$B$127,1)+1),'Rate &amp; Vol Update'!$B$8:$B$127,0),MATCH(INDEX('Rate &amp; Vol Update'!$E$6:$Z$6,1,MATCH(AG55,'Rate &amp; Vol Update'!$E$6:$Z$6,1)),'Rate &amp; Vol Update'!$E$6:$Z$6,0))*(INDEX('Rate &amp; Vol Update'!$E$6:$Z$6,1,MATCH(AG55,'Rate &amp; Vol Update'!$E$6:$Z$6,1)+1)-AG55)*(AB55-INDEX('Rate &amp; Vol Update'!$B$8:$B$127,MATCH(AB55,'Rate &amp; Vol Update'!$B$8:$B$127,1)))+INDEX('Rate &amp; Vol Update'!$E$8:$Z$127,MATCH(INDEX('Rate &amp; Vol Update'!$B$8:$B$127,MATCH(AB55,'Rate &amp; Vol Update'!$B$8:$B$127,1)+1),'Rate &amp; Vol Update'!$B$8:$B$127,0),MATCH(INDEX('Rate &amp; Vol Update'!$E$6:$Z$6,1,MATCH(AG55,'Rate &amp; Vol Update'!$E$6:$Z$6,1)+1),'Rate &amp; Vol Update'!$E$6:$Z$6,0))*(AG55-INDEX('Rate &amp; Vol Update'!$E$6:$Z$6,1,MATCH(AG55,'Rate &amp; Vol Update'!$E$6:$Z$6,1)))*(AB55-INDEX('Rate &amp; Vol Update'!$B$8:$B$127,MATCH(AB55,'Rate &amp; Vol Update'!$B$8:$B$127,1)))))*0.01%))</f>
        <v/>
      </c>
      <c r="AJ55" s="5" t="str">
        <f>IF(AA55="","",1/((1+AH55)^((AC55-'Rate &amp; Vol Update'!$C$2)/360)))</f>
        <v/>
      </c>
      <c r="AL55" s="15" t="str">
        <f>IF(AA55="","",IF(AB55&lt;'Rate &amp; Vol Update'!$C$2,MAX(0,AH55-AG55)*(AD55/360)*AF55,(((IF('Adjustment Surface'!$C$2='Data Validation'!$A$2,AH55,IF('Adjustment Surface'!$C$2='Data Validation'!$A$3,AG55,"Unknown Option Type"))-IF('Adjustment Surface'!$C$2='Data Validation'!$A$2,AG55,IF('Adjustment Surface'!$C$2='Data Validation'!$A$3,AH55,"Unknown Option Type")))*(NORMDIST((IF('Adjustment Surface'!$C$2='Data Validation'!$A$2,AH55,IF('Adjustment Surface'!$C$2='Data Validation'!$A$3,AG55,"Unknown Option Type"))-IF('Adjustment Surface'!$C$2='Data Validation'!$A$2,AG55,IF('Adjustment Surface'!$C$2='Data Validation'!$A$3,AH55,"Unknown Option Type")))/(AI55*SQRT(AE55)),0,1,TRUE)))+((AI55*SQRT(AE55))*(NORMDIST((IF('Adjustment Surface'!$C$2='Data Validation'!$A$2,AH55,IF('Adjustment Surface'!$C$2='Data Validation'!$A$3,AG55,"Unknown Option Type"))-IF('Adjustment Surface'!$C$2='Data Validation'!$A$2,AG55,IF('Adjustment Surface'!$C$2='Data Validation'!$A$3,AH55,"Unknown Option Type")))/(AI55*SQRT(AE55)),0,1,FALSE))))*AJ55*(AD55/360)*AF55))</f>
        <v/>
      </c>
      <c r="AM55" s="15" t="str">
        <f>IF(AA55="","",SUM(AL$4:AL55))</f>
        <v/>
      </c>
      <c r="AO55" s="15" t="str">
        <f>IF(AA55="","",IF(AB55&lt;'Rate &amp; Vol Update'!$C$2,0,((((((IF('Adjustment Surface'!$C$2='Data Validation'!$A$2,AH55,IF('Adjustment Surface'!$C$2='Data Validation'!$A$3,AG55,"Unknown Option Type"))-IF('Adjustment Surface'!$C$2='Data Validation'!$A$2,AG55,IF('Adjustment Surface'!$C$2='Data Validation'!$A$3,AH55,"Unknown Option Type")))*(NORMDIST((IF('Adjustment Surface'!$C$2='Data Validation'!$A$2,AH55,IF('Adjustment Surface'!$C$2='Data Validation'!$A$3,AG55,"Unknown Option Type"))-IF('Adjustment Surface'!$C$2='Data Validation'!$A$2,AG55,IF('Adjustment Surface'!$C$2='Data Validation'!$A$3,AH55,"Unknown Option Type")))/((AI55+0.01%)*SQRT(AE55)),0,1,TRUE)))+(((AI55+0.01%)*SQRT(AE55))*(NORMDIST((IF('Adjustment Surface'!$C$2='Data Validation'!$A$2,AH55,IF('Adjustment Surface'!$C$2='Data Validation'!$A$3,AG55,"Unknown Option Type"))-IF('Adjustment Surface'!$C$2='Data Validation'!$A$2,AG55,IF('Adjustment Surface'!$C$2='Data Validation'!$A$3,AH55,"Unknown Option Type")))/((AI55+0.01%)*SQRT(AE55)),0,1,FALSE))))*AJ55*(AD55/360))-(AL55/AF55))*AF55)*AJ55))</f>
        <v/>
      </c>
      <c r="AP55" s="15" t="str">
        <f>IF(AA55="","",SUM(AO$4:AO55))</f>
        <v/>
      </c>
      <c r="AQ55" s="15"/>
      <c r="AR55" s="20"/>
      <c r="AT55" s="4" t="str">
        <f>IF(AU54=MAX('Adjustment Surface'!$C$14:$F$14),"",AU54)</f>
        <v/>
      </c>
      <c r="AU55" s="4" t="str">
        <f>IF(AT55="","",IF(AT55&lt;EDATE('Adjustment Surface'!$C$6,DATEDIF('Adjustment Surface'!$C$6,MAX('Adjustment Surface'!$C$14:$F$14),"M")),EDATE(AT$5,COUNT(AT$5:AT55)),IF(AT55=EDATE('Adjustment Surface'!$C$6,DATEDIF('Adjustment Surface'!$C$6,MAX('Adjustment Surface'!$C$14:$F$14),"M")),MAX('Adjustment Surface'!$C$14:$F$14),EDATE('Adjustment Surface'!$C$6,DATEDIF('Adjustment Surface'!$C$6,MAX('Adjustment Surface'!$C$14:$F$14),"M")))))</f>
        <v/>
      </c>
      <c r="AV55" s="3" t="str">
        <f t="shared" si="3"/>
        <v/>
      </c>
      <c r="AW55" s="5" t="str">
        <f>IF(AS55="","",(AU55-'Rate &amp; Vol Update'!$C$2)/360)</f>
        <v/>
      </c>
      <c r="AX55" s="15" t="str">
        <f>IF(AS55="","",IF('Adjustment Surface'!$C$3='Data Validation'!$C$2,'Adjustment Surface'!$C$4,_xlfn.IFNA(IF(INDEX(Schedules!$E$3:$E$123,MATCH('Bachelier Model'!AT55,Schedules!$B$3:$B$123,0))="",AX54,INDEX(Schedules!$E$3:$E$123,MATCH('Bachelier Model'!AT55,Schedules!$B$3:$B$123,0))),AX54)))</f>
        <v/>
      </c>
      <c r="AY55" s="16" t="str">
        <f>IF(AS55="","",'Adjustment Surface'!B$16)</f>
        <v/>
      </c>
      <c r="AZ55" s="16" t="str" cm="1">
        <f t="array" ref="AZ55">IF(AS55="","",FORECAST(AT55,INDEX('Rate &amp; Vol Update'!$C$6:$C$127,MATCH(INDEX('Rate &amp; Vol Update'!$B$6:$B$127,MATCH(AT55,'Rate &amp; Vol Update'!$B$6:$B$127,1)),'Rate &amp; Vol Update'!$B$6:$B$127,0)+IF('Adjustment Surface'!$C$11='Data Validation'!$E$3,-1,0)):INDEX('Rate &amp; Vol Update'!$C$6:$C$127,MATCH(INDEX('Rate &amp; Vol Update'!$B$6:$B$127,MATCH(AT55,'Rate &amp; Vol Update'!$B$6:$B$127,1)+1),'Rate &amp; Vol Update'!$B$6:$B$127,0)+IF('Adjustment Surface'!$C$11='Data Validation'!$E$3,-1,0)),INDEX('Rate &amp; Vol Update'!$B$6:$B$127,MATCH(AT55,'Rate &amp; Vol Update'!$B$6:$B$127,1)):INDEX('Rate &amp; Vol Update'!$B$6:$B$127,MATCH(AT55,'Rate &amp; Vol Update'!$B$6:$B$127,1)+1))/100)</f>
        <v/>
      </c>
      <c r="BA55" s="16" t="str" cm="1">
        <f t="array" ref="BA55">IF(AS55="","",IF(AT55&lt;'Rate &amp; Vol Update'!$C$2,0.001%,(1/((INDEX('Rate &amp; Vol Update'!$E$6:$Z$6,1,MATCH(AY55,'Rate &amp; Vol Update'!$E$6:$Z$6,1)+1)-INDEX('Rate &amp; Vol Update'!$E$6:$Z$6,1,MATCH(AY55,'Rate &amp; Vol Update'!$E$6:$Z$6,1)))*(INDEX('Rate &amp; Vol Update'!$B$8:$B$127,MATCH(AT55,'Rate &amp; Vol Update'!$B$8:$B$127,1)+1)-INDEX('Rate &amp; Vol Update'!$B$8:$B$127,MATCH(AT55,'Rate &amp; Vol Update'!$B$8:$B$127,1))))*(INDEX('Rate &amp; Vol Update'!$E$8:$Z$127,MATCH(INDEX('Rate &amp; Vol Update'!$B$8:$B$127,MATCH(AT55,'Rate &amp; Vol Update'!$B$8:$B$127,1)),'Rate &amp; Vol Update'!$B$8:$B$127,0),MATCH(INDEX('Rate &amp; Vol Update'!$E$6:$Z$6,1,MATCH(AY55,'Rate &amp; Vol Update'!$E$6:$Z$6,1)),'Rate &amp; Vol Update'!$E$6:$Z$6,0))*(INDEX('Rate &amp; Vol Update'!$E$6:$Z$6,1,MATCH(AY55,'Rate &amp; Vol Update'!$E$6:$Z$6,1)+1)-AY55)*(INDEX('Rate &amp; Vol Update'!$B$8:$B$127,MATCH(AT55,'Rate &amp; Vol Update'!$B$8:$B$127,1)+1)-AT55)+INDEX('Rate &amp; Vol Update'!$E$8:$Z$127,MATCH(INDEX('Rate &amp; Vol Update'!$B$8:$B$127,MATCH(AT55,'Rate &amp; Vol Update'!$B$8:$B$127,1)),'Rate &amp; Vol Update'!$B$8:$B$127,0),MATCH(INDEX('Rate &amp; Vol Update'!$E$6:$Z$6,1,MATCH(AY55,'Rate &amp; Vol Update'!$E$6:$Z$6,1)+1),'Rate &amp; Vol Update'!$E$6:$Z$6,0))*(AY55-INDEX('Rate &amp; Vol Update'!$E$6:$Z$6,1,MATCH(AY55,'Rate &amp; Vol Update'!$E$6:$Z$6,1)))*(INDEX('Rate &amp; Vol Update'!$B$8:$B$127,MATCH(AT55,'Rate &amp; Vol Update'!$B$8:$B$127,1)+1)-AT55)+INDEX('Rate &amp; Vol Update'!$E$8:$Z$127,MATCH(INDEX('Rate &amp; Vol Update'!$B$8:$B$127,MATCH(AT55,'Rate &amp; Vol Update'!$B$8:$B$127,1)+1),'Rate &amp; Vol Update'!$B$8:$B$127,0),MATCH(INDEX('Rate &amp; Vol Update'!$E$6:$Z$6,1,MATCH(AY55,'Rate &amp; Vol Update'!$E$6:$Z$6,1)),'Rate &amp; Vol Update'!$E$6:$Z$6,0))*(INDEX('Rate &amp; Vol Update'!$E$6:$Z$6,1,MATCH(AY55,'Rate &amp; Vol Update'!$E$6:$Z$6,1)+1)-AY55)*(AT55-INDEX('Rate &amp; Vol Update'!$B$8:$B$127,MATCH(AT55,'Rate &amp; Vol Update'!$B$8:$B$127,1)))+INDEX('Rate &amp; Vol Update'!$E$8:$Z$127,MATCH(INDEX('Rate &amp; Vol Update'!$B$8:$B$127,MATCH(AT55,'Rate &amp; Vol Update'!$B$8:$B$127,1)+1),'Rate &amp; Vol Update'!$B$8:$B$127,0),MATCH(INDEX('Rate &amp; Vol Update'!$E$6:$Z$6,1,MATCH(AY55,'Rate &amp; Vol Update'!$E$6:$Z$6,1)+1),'Rate &amp; Vol Update'!$E$6:$Z$6,0))*(AY55-INDEX('Rate &amp; Vol Update'!$E$6:$Z$6,1,MATCH(AY55,'Rate &amp; Vol Update'!$E$6:$Z$6,1)))*(AT55-INDEX('Rate &amp; Vol Update'!$B$8:$B$127,MATCH(AT55,'Rate &amp; Vol Update'!$B$8:$B$127,1)))))*0.01%))</f>
        <v/>
      </c>
      <c r="BB55" s="5" t="str">
        <f>IF(AS55="","",1/((1+AZ55)^((AU55-'Rate &amp; Vol Update'!$C$2)/360)))</f>
        <v/>
      </c>
      <c r="BD55" s="15" t="str">
        <f>IF(AS55="","",IF(AT55&lt;'Rate &amp; Vol Update'!$C$2,MAX(0,AZ55-AY55)*(AV55/360)*AX55,(((IF('Adjustment Surface'!$C$2='Data Validation'!$A$2,AZ55,IF('Adjustment Surface'!$C$2='Data Validation'!$A$3,AY55,"Unknown Option Type"))-IF('Adjustment Surface'!$C$2='Data Validation'!$A$2,AY55,IF('Adjustment Surface'!$C$2='Data Validation'!$A$3,AZ55,"Unknown Option Type")))*(NORMDIST((IF('Adjustment Surface'!$C$2='Data Validation'!$A$2,AZ55,IF('Adjustment Surface'!$C$2='Data Validation'!$A$3,AY55,"Unknown Option Type"))-IF('Adjustment Surface'!$C$2='Data Validation'!$A$2,AY55,IF('Adjustment Surface'!$C$2='Data Validation'!$A$3,AZ55,"Unknown Option Type")))/(BA55*SQRT(AW55)),0,1,TRUE)))+((BA55*SQRT(AW55))*(NORMDIST((IF('Adjustment Surface'!$C$2='Data Validation'!$A$2,AZ55,IF('Adjustment Surface'!$C$2='Data Validation'!$A$3,AY55,"Unknown Option Type"))-IF('Adjustment Surface'!$C$2='Data Validation'!$A$2,AY55,IF('Adjustment Surface'!$C$2='Data Validation'!$A$3,AZ55,"Unknown Option Type")))/(BA55*SQRT(AW55)),0,1,FALSE))))*BB55*(AV55/360)*AX55))</f>
        <v/>
      </c>
      <c r="BE55" s="15" t="str">
        <f>IF(AS55="","",SUM(BD$4:BD55))</f>
        <v/>
      </c>
      <c r="BG55" s="15" t="str">
        <f>IF(AS55="","",IF(AT55&lt;'Rate &amp; Vol Update'!$C$2,0,((((((IF('Adjustment Surface'!$C$2='Data Validation'!$A$2,AZ55,IF('Adjustment Surface'!$C$2='Data Validation'!$A$3,AY55,"Unknown Option Type"))-IF('Adjustment Surface'!$C$2='Data Validation'!$A$2,AY55,IF('Adjustment Surface'!$C$2='Data Validation'!$A$3,AZ55,"Unknown Option Type")))*(NORMDIST((IF('Adjustment Surface'!$C$2='Data Validation'!$A$2,AZ55,IF('Adjustment Surface'!$C$2='Data Validation'!$A$3,AY55,"Unknown Option Type"))-IF('Adjustment Surface'!$C$2='Data Validation'!$A$2,AY55,IF('Adjustment Surface'!$C$2='Data Validation'!$A$3,AZ55,"Unknown Option Type")))/((BA55+0.01%)*SQRT(AW55)),0,1,TRUE)))+(((BA55+0.01%)*SQRT(AW55))*(NORMDIST((IF('Adjustment Surface'!$C$2='Data Validation'!$A$2,AZ55,IF('Adjustment Surface'!$C$2='Data Validation'!$A$3,AY55,"Unknown Option Type"))-IF('Adjustment Surface'!$C$2='Data Validation'!$A$2,AY55,IF('Adjustment Surface'!$C$2='Data Validation'!$A$3,AZ55,"Unknown Option Type")))/((BA55+0.01%)*SQRT(AW55)),0,1,FALSE))))*BB55*(AV55/360))-(BD55/AX55))*AX55)*BB55))</f>
        <v/>
      </c>
      <c r="BH55" s="15" t="str">
        <f>IF(AS55="","",SUM(BG$4:BG55))</f>
        <v/>
      </c>
      <c r="BI55" s="15"/>
      <c r="BJ55" s="20"/>
      <c r="BL55" s="4" t="str">
        <f>IF(BM54=MAX('Adjustment Surface'!$C$14:$F$14),"",BM54)</f>
        <v/>
      </c>
      <c r="BM55" s="4" t="str">
        <f>IF(BL55="","",IF(BL55&lt;EDATE('Adjustment Surface'!$C$6,DATEDIF('Adjustment Surface'!$C$6,MAX('Adjustment Surface'!$C$14:$F$14),"M")),EDATE(BL$5,COUNT(BL$5:BL55)),IF(BL55=EDATE('Adjustment Surface'!$C$6,DATEDIF('Adjustment Surface'!$C$6,MAX('Adjustment Surface'!$C$14:$F$14),"M")),MAX('Adjustment Surface'!$C$14:$F$14),EDATE('Adjustment Surface'!$C$6,DATEDIF('Adjustment Surface'!$C$6,MAX('Adjustment Surface'!$C$14:$F$14),"M")))))</f>
        <v/>
      </c>
      <c r="BN55" s="3" t="str">
        <f t="shared" si="4"/>
        <v/>
      </c>
      <c r="BO55" s="5" t="str">
        <f>IF(BK55="","",(BM55-'Rate &amp; Vol Update'!$C$2)/360)</f>
        <v/>
      </c>
      <c r="BP55" s="15" t="str">
        <f>IF(BK55="","",IF('Adjustment Surface'!$C$3='Data Validation'!$C$2,'Adjustment Surface'!$C$4,_xlfn.IFNA(IF(INDEX(Schedules!$E$3:$E$123,MATCH('Bachelier Model'!BL55,Schedules!$B$3:$B$123,0))="",BP54,INDEX(Schedules!$E$3:$E$123,MATCH('Bachelier Model'!BL55,Schedules!$B$3:$B$123,0))),BP54)))</f>
        <v/>
      </c>
      <c r="BQ55" s="16" t="str">
        <f>IF(BK55="","",'Adjustment Surface'!B$17)</f>
        <v/>
      </c>
      <c r="BR55" s="16" t="str" cm="1">
        <f t="array" ref="BR55">IF(BK55="","",FORECAST(BL55,INDEX('Rate &amp; Vol Update'!$C$6:$C$127,MATCH(INDEX('Rate &amp; Vol Update'!$B$6:$B$127,MATCH(BL55,'Rate &amp; Vol Update'!$B$6:$B$127,1)),'Rate &amp; Vol Update'!$B$6:$B$127,0)+IF('Adjustment Surface'!$C$11='Data Validation'!$E$3,-1,0)):INDEX('Rate &amp; Vol Update'!$C$6:$C$127,MATCH(INDEX('Rate &amp; Vol Update'!$B$6:$B$127,MATCH(BL55,'Rate &amp; Vol Update'!$B$6:$B$127,1)+1),'Rate &amp; Vol Update'!$B$6:$B$127,0)+IF('Adjustment Surface'!$C$11='Data Validation'!$E$3,-1,0)),INDEX('Rate &amp; Vol Update'!$B$6:$B$127,MATCH(BL55,'Rate &amp; Vol Update'!$B$6:$B$127,1)):INDEX('Rate &amp; Vol Update'!$B$6:$B$127,MATCH(BL55,'Rate &amp; Vol Update'!$B$6:$B$127,1)+1))/100)</f>
        <v/>
      </c>
      <c r="BS55" s="16" t="str" cm="1">
        <f t="array" ref="BS55">IF(BK55="","",IF(BL55&lt;'Rate &amp; Vol Update'!$C$2,0.001%,(1/((INDEX('Rate &amp; Vol Update'!$E$6:$Z$6,1,MATCH(BQ55,'Rate &amp; Vol Update'!$E$6:$Z$6,1)+1)-INDEX('Rate &amp; Vol Update'!$E$6:$Z$6,1,MATCH(BQ55,'Rate &amp; Vol Update'!$E$6:$Z$6,1)))*(INDEX('Rate &amp; Vol Update'!$B$8:$B$127,MATCH(BL55,'Rate &amp; Vol Update'!$B$8:$B$127,1)+1)-INDEX('Rate &amp; Vol Update'!$B$8:$B$127,MATCH(BL55,'Rate &amp; Vol Update'!$B$8:$B$127,1))))*(INDEX('Rate &amp; Vol Update'!$E$8:$Z$127,MATCH(INDEX('Rate &amp; Vol Update'!$B$8:$B$127,MATCH(BL55,'Rate &amp; Vol Update'!$B$8:$B$127,1)),'Rate &amp; Vol Update'!$B$8:$B$127,0),MATCH(INDEX('Rate &amp; Vol Update'!$E$6:$Z$6,1,MATCH(BQ55,'Rate &amp; Vol Update'!$E$6:$Z$6,1)),'Rate &amp; Vol Update'!$E$6:$Z$6,0))*(INDEX('Rate &amp; Vol Update'!$E$6:$Z$6,1,MATCH(BQ55,'Rate &amp; Vol Update'!$E$6:$Z$6,1)+1)-BQ55)*(INDEX('Rate &amp; Vol Update'!$B$8:$B$127,MATCH(BL55,'Rate &amp; Vol Update'!$B$8:$B$127,1)+1)-BL55)+INDEX('Rate &amp; Vol Update'!$E$8:$Z$127,MATCH(INDEX('Rate &amp; Vol Update'!$B$8:$B$127,MATCH(BL55,'Rate &amp; Vol Update'!$B$8:$B$127,1)),'Rate &amp; Vol Update'!$B$8:$B$127,0),MATCH(INDEX('Rate &amp; Vol Update'!$E$6:$Z$6,1,MATCH(BQ55,'Rate &amp; Vol Update'!$E$6:$Z$6,1)+1),'Rate &amp; Vol Update'!$E$6:$Z$6,0))*(BQ55-INDEX('Rate &amp; Vol Update'!$E$6:$Z$6,1,MATCH(BQ55,'Rate &amp; Vol Update'!$E$6:$Z$6,1)))*(INDEX('Rate &amp; Vol Update'!$B$8:$B$127,MATCH(BL55,'Rate &amp; Vol Update'!$B$8:$B$127,1)+1)-BL55)+INDEX('Rate &amp; Vol Update'!$E$8:$Z$127,MATCH(INDEX('Rate &amp; Vol Update'!$B$8:$B$127,MATCH(BL55,'Rate &amp; Vol Update'!$B$8:$B$127,1)+1),'Rate &amp; Vol Update'!$B$8:$B$127,0),MATCH(INDEX('Rate &amp; Vol Update'!$E$6:$Z$6,1,MATCH(BQ55,'Rate &amp; Vol Update'!$E$6:$Z$6,1)),'Rate &amp; Vol Update'!$E$6:$Z$6,0))*(INDEX('Rate &amp; Vol Update'!$E$6:$Z$6,1,MATCH(BQ55,'Rate &amp; Vol Update'!$E$6:$Z$6,1)+1)-BQ55)*(BL55-INDEX('Rate &amp; Vol Update'!$B$8:$B$127,MATCH(BL55,'Rate &amp; Vol Update'!$B$8:$B$127,1)))+INDEX('Rate &amp; Vol Update'!$E$8:$Z$127,MATCH(INDEX('Rate &amp; Vol Update'!$B$8:$B$127,MATCH(BL55,'Rate &amp; Vol Update'!$B$8:$B$127,1)+1),'Rate &amp; Vol Update'!$B$8:$B$127,0),MATCH(INDEX('Rate &amp; Vol Update'!$E$6:$Z$6,1,MATCH(BQ55,'Rate &amp; Vol Update'!$E$6:$Z$6,1)+1),'Rate &amp; Vol Update'!$E$6:$Z$6,0))*(BQ55-INDEX('Rate &amp; Vol Update'!$E$6:$Z$6,1,MATCH(BQ55,'Rate &amp; Vol Update'!$E$6:$Z$6,1)))*(BL55-INDEX('Rate &amp; Vol Update'!$B$8:$B$127,MATCH(BL55,'Rate &amp; Vol Update'!$B$8:$B$127,1)))))*0.01%))</f>
        <v/>
      </c>
      <c r="BT55" s="5" t="str">
        <f>IF(BK55="","",1/((1+BR55)^((BM55-'Rate &amp; Vol Update'!$C$2)/360)))</f>
        <v/>
      </c>
      <c r="BV55" s="15" t="str">
        <f>IF(BK55="","",IF(BL55&lt;'Rate &amp; Vol Update'!$C$2,MAX(0,BR55-BQ55)*(BN55/360)*BP55,(((IF('Adjustment Surface'!$C$2='Data Validation'!$A$2,BR55,IF('Adjustment Surface'!$C$2='Data Validation'!$A$3,BQ55,"Unknown Option Type"))-IF('Adjustment Surface'!$C$2='Data Validation'!$A$2,BQ55,IF('Adjustment Surface'!$C$2='Data Validation'!$A$3,BR55,"Unknown Option Type")))*(NORMDIST((IF('Adjustment Surface'!$C$2='Data Validation'!$A$2,BR55,IF('Adjustment Surface'!$C$2='Data Validation'!$A$3,BQ55,"Unknown Option Type"))-IF('Adjustment Surface'!$C$2='Data Validation'!$A$2,BQ55,IF('Adjustment Surface'!$C$2='Data Validation'!$A$3,BR55,"Unknown Option Type")))/(BS55*SQRT(BO55)),0,1,TRUE)))+((BS55*SQRT(BO55))*(NORMDIST((IF('Adjustment Surface'!$C$2='Data Validation'!$A$2,BR55,IF('Adjustment Surface'!$C$2='Data Validation'!$A$3,BQ55,"Unknown Option Type"))-IF('Adjustment Surface'!$C$2='Data Validation'!$A$2,BQ55,IF('Adjustment Surface'!$C$2='Data Validation'!$A$3,BR55,"Unknown Option Type")))/(BS55*SQRT(BO55)),0,1,FALSE))))*BT55*(BN55/360)*BP55))</f>
        <v/>
      </c>
      <c r="BW55" s="15" t="str">
        <f>IF(BK55="","",SUM(BV$4:BV55))</f>
        <v/>
      </c>
      <c r="BY55" s="15" t="str">
        <f>IF(BK55="","",IF(BL55&lt;'Rate &amp; Vol Update'!$C$2,0,((((((IF('Adjustment Surface'!$C$2='Data Validation'!$A$2,BR55,IF('Adjustment Surface'!$C$2='Data Validation'!$A$3,BQ55,"Unknown Option Type"))-IF('Adjustment Surface'!$C$2='Data Validation'!$A$2,BQ55,IF('Adjustment Surface'!$C$2='Data Validation'!$A$3,BR55,"Unknown Option Type")))*(NORMDIST((IF('Adjustment Surface'!$C$2='Data Validation'!$A$2,BR55,IF('Adjustment Surface'!$C$2='Data Validation'!$A$3,BQ55,"Unknown Option Type"))-IF('Adjustment Surface'!$C$2='Data Validation'!$A$2,BQ55,IF('Adjustment Surface'!$C$2='Data Validation'!$A$3,BR55,"Unknown Option Type")))/((BS55+0.01%)*SQRT(BO55)),0,1,TRUE)))+(((BS55+0.01%)*SQRT(BO55))*(NORMDIST((IF('Adjustment Surface'!$C$2='Data Validation'!$A$2,BR55,IF('Adjustment Surface'!$C$2='Data Validation'!$A$3,BQ55,"Unknown Option Type"))-IF('Adjustment Surface'!$C$2='Data Validation'!$A$2,BQ55,IF('Adjustment Surface'!$C$2='Data Validation'!$A$3,BR55,"Unknown Option Type")))/((BS55+0.01%)*SQRT(BO55)),0,1,FALSE))))*BT55*(BN55/360))-(BV55/BP55))*BP55)*BT55))</f>
        <v/>
      </c>
      <c r="BZ55" s="15" t="str">
        <f>IF(BK55="","",SUM(BY$4:BY55))</f>
        <v/>
      </c>
      <c r="CA55" s="15"/>
      <c r="CB55" s="20"/>
      <c r="CD55" s="4" t="str">
        <f>IF(CE54=MAX('Adjustment Surface'!$C$14:$F$14),"",CE54)</f>
        <v/>
      </c>
      <c r="CE55" s="4" t="str">
        <f>IF(CD55="","",IF(CD55&lt;EDATE('Adjustment Surface'!$C$6,DATEDIF('Adjustment Surface'!$C$6,MAX('Adjustment Surface'!$C$14:$F$14),"M")),EDATE(CD$5,COUNT(CD$5:CD55)),IF(CD55=EDATE('Adjustment Surface'!$C$6,DATEDIF('Adjustment Surface'!$C$6,MAX('Adjustment Surface'!$C$14:$F$14),"M")),MAX('Adjustment Surface'!$C$14:$F$14),EDATE('Adjustment Surface'!$C$6,DATEDIF('Adjustment Surface'!$C$6,MAX('Adjustment Surface'!$C$14:$F$14),"M")))))</f>
        <v/>
      </c>
      <c r="CF55" s="3" t="str">
        <f t="shared" si="5"/>
        <v/>
      </c>
      <c r="CG55" s="5" t="str">
        <f>IF(CC55="","",(CE55-'Rate &amp; Vol Update'!$C$2)/360)</f>
        <v/>
      </c>
      <c r="CH55" s="15" t="str">
        <f>IF(CC55="","",IF('Adjustment Surface'!$C$3='Data Validation'!$C$2,'Adjustment Surface'!$C$4,_xlfn.IFNA(IF(INDEX(Schedules!$E$3:$E$123,MATCH('Bachelier Model'!CD55,Schedules!$B$3:$B$123,0))="",CH54,INDEX(Schedules!$E$3:$E$123,MATCH('Bachelier Model'!CD55,Schedules!$B$3:$B$123,0))),CH54)))</f>
        <v/>
      </c>
      <c r="CI55" s="16" t="str">
        <f>IF(CC55="","",'Adjustment Surface'!B$18)</f>
        <v/>
      </c>
      <c r="CJ55" s="16" t="str" cm="1">
        <f t="array" ref="CJ55">IF(CC55="","",FORECAST(CD55,INDEX('Rate &amp; Vol Update'!$C$6:$C$127,MATCH(INDEX('Rate &amp; Vol Update'!$B$6:$B$127,MATCH(CD55,'Rate &amp; Vol Update'!$B$6:$B$127,1)),'Rate &amp; Vol Update'!$B$6:$B$127,0)+IF('Adjustment Surface'!$C$11='Data Validation'!$E$3,-1,0)):INDEX('Rate &amp; Vol Update'!$C$6:$C$127,MATCH(INDEX('Rate &amp; Vol Update'!$B$6:$B$127,MATCH(CD55,'Rate &amp; Vol Update'!$B$6:$B$127,1)+1),'Rate &amp; Vol Update'!$B$6:$B$127,0)+IF('Adjustment Surface'!$C$11='Data Validation'!$E$3,-1,0)),INDEX('Rate &amp; Vol Update'!$B$6:$B$127,MATCH(CD55,'Rate &amp; Vol Update'!$B$6:$B$127,1)):INDEX('Rate &amp; Vol Update'!$B$6:$B$127,MATCH(CD55,'Rate &amp; Vol Update'!$B$6:$B$127,1)+1))/100)</f>
        <v/>
      </c>
      <c r="CK55" s="16" t="str" cm="1">
        <f t="array" ref="CK55">IF(CC55="","",IF(CD55&lt;'Rate &amp; Vol Update'!$C$2,0.001%,(1/((INDEX('Rate &amp; Vol Update'!$E$6:$Z$6,1,MATCH(CI55,'Rate &amp; Vol Update'!$E$6:$Z$6,1)+1)-INDEX('Rate &amp; Vol Update'!$E$6:$Z$6,1,MATCH(CI55,'Rate &amp; Vol Update'!$E$6:$Z$6,1)))*(INDEX('Rate &amp; Vol Update'!$B$8:$B$127,MATCH(CD55,'Rate &amp; Vol Update'!$B$8:$B$127,1)+1)-INDEX('Rate &amp; Vol Update'!$B$8:$B$127,MATCH(CD55,'Rate &amp; Vol Update'!$B$8:$B$127,1))))*(INDEX('Rate &amp; Vol Update'!$E$8:$Z$127,MATCH(INDEX('Rate &amp; Vol Update'!$B$8:$B$127,MATCH(CD55,'Rate &amp; Vol Update'!$B$8:$B$127,1)),'Rate &amp; Vol Update'!$B$8:$B$127,0),MATCH(INDEX('Rate &amp; Vol Update'!$E$6:$Z$6,1,MATCH(CI55,'Rate &amp; Vol Update'!$E$6:$Z$6,1)),'Rate &amp; Vol Update'!$E$6:$Z$6,0))*(INDEX('Rate &amp; Vol Update'!$E$6:$Z$6,1,MATCH(CI55,'Rate &amp; Vol Update'!$E$6:$Z$6,1)+1)-CI55)*(INDEX('Rate &amp; Vol Update'!$B$8:$B$127,MATCH(CD55,'Rate &amp; Vol Update'!$B$8:$B$127,1)+1)-CD55)+INDEX('Rate &amp; Vol Update'!$E$8:$Z$127,MATCH(INDEX('Rate &amp; Vol Update'!$B$8:$B$127,MATCH(CD55,'Rate &amp; Vol Update'!$B$8:$B$127,1)),'Rate &amp; Vol Update'!$B$8:$B$127,0),MATCH(INDEX('Rate &amp; Vol Update'!$E$6:$Z$6,1,MATCH(CI55,'Rate &amp; Vol Update'!$E$6:$Z$6,1)+1),'Rate &amp; Vol Update'!$E$6:$Z$6,0))*(CI55-INDEX('Rate &amp; Vol Update'!$E$6:$Z$6,1,MATCH(CI55,'Rate &amp; Vol Update'!$E$6:$Z$6,1)))*(INDEX('Rate &amp; Vol Update'!$B$8:$B$127,MATCH(CD55,'Rate &amp; Vol Update'!$B$8:$B$127,1)+1)-CD55)+INDEX('Rate &amp; Vol Update'!$E$8:$Z$127,MATCH(INDEX('Rate &amp; Vol Update'!$B$8:$B$127,MATCH(CD55,'Rate &amp; Vol Update'!$B$8:$B$127,1)+1),'Rate &amp; Vol Update'!$B$8:$B$127,0),MATCH(INDEX('Rate &amp; Vol Update'!$E$6:$Z$6,1,MATCH(CI55,'Rate &amp; Vol Update'!$E$6:$Z$6,1)),'Rate &amp; Vol Update'!$E$6:$Z$6,0))*(INDEX('Rate &amp; Vol Update'!$E$6:$Z$6,1,MATCH(CI55,'Rate &amp; Vol Update'!$E$6:$Z$6,1)+1)-CI55)*(CD55-INDEX('Rate &amp; Vol Update'!$B$8:$B$127,MATCH(CD55,'Rate &amp; Vol Update'!$B$8:$B$127,1)))+INDEX('Rate &amp; Vol Update'!$E$8:$Z$127,MATCH(INDEX('Rate &amp; Vol Update'!$B$8:$B$127,MATCH(CD55,'Rate &amp; Vol Update'!$B$8:$B$127,1)+1),'Rate &amp; Vol Update'!$B$8:$B$127,0),MATCH(INDEX('Rate &amp; Vol Update'!$E$6:$Z$6,1,MATCH(CI55,'Rate &amp; Vol Update'!$E$6:$Z$6,1)+1),'Rate &amp; Vol Update'!$E$6:$Z$6,0))*(CI55-INDEX('Rate &amp; Vol Update'!$E$6:$Z$6,1,MATCH(CI55,'Rate &amp; Vol Update'!$E$6:$Z$6,1)))*(CD55-INDEX('Rate &amp; Vol Update'!$B$8:$B$127,MATCH(CD55,'Rate &amp; Vol Update'!$B$8:$B$127,1)))))*0.01%))</f>
        <v/>
      </c>
      <c r="CL55" s="5" t="str">
        <f>IF(CC55="","",1/((1+CJ55)^((CE55-'Rate &amp; Vol Update'!$C$2)/360)))</f>
        <v/>
      </c>
      <c r="CN55" s="15" t="str">
        <f>IF(CC55="","",IF(CD55&lt;'Rate &amp; Vol Update'!$C$2,MAX(0,CJ55-CI55)*(CF55/360)*CH55,(((IF('Adjustment Surface'!$C$2='Data Validation'!$A$2,CJ55,IF('Adjustment Surface'!$C$2='Data Validation'!$A$3,CI55,"Unknown Option Type"))-IF('Adjustment Surface'!$C$2='Data Validation'!$A$2,CI55,IF('Adjustment Surface'!$C$2='Data Validation'!$A$3,CJ55,"Unknown Option Type")))*(NORMDIST((IF('Adjustment Surface'!$C$2='Data Validation'!$A$2,CJ55,IF('Adjustment Surface'!$C$2='Data Validation'!$A$3,CI55,"Unknown Option Type"))-IF('Adjustment Surface'!$C$2='Data Validation'!$A$2,CI55,IF('Adjustment Surface'!$C$2='Data Validation'!$A$3,CJ55,"Unknown Option Type")))/(CK55*SQRT(CG55)),0,1,TRUE)))+((CK55*SQRT(CG55))*(NORMDIST((IF('Adjustment Surface'!$C$2='Data Validation'!$A$2,CJ55,IF('Adjustment Surface'!$C$2='Data Validation'!$A$3,CI55,"Unknown Option Type"))-IF('Adjustment Surface'!$C$2='Data Validation'!$A$2,CI55,IF('Adjustment Surface'!$C$2='Data Validation'!$A$3,CJ55,"Unknown Option Type")))/(CK55*SQRT(CG55)),0,1,FALSE))))*CL55*(CF55/360)*CH55))</f>
        <v/>
      </c>
      <c r="CO55" s="15" t="str">
        <f>IF(CC55="","",SUM(CN$4:CN55))</f>
        <v/>
      </c>
      <c r="CQ55" s="15" t="str">
        <f>IF(CC55="","",IF(CD55&lt;'Rate &amp; Vol Update'!$C$2,0,((((((IF('Adjustment Surface'!$C$2='Data Validation'!$A$2,CJ55,IF('Adjustment Surface'!$C$2='Data Validation'!$A$3,CI55,"Unknown Option Type"))-IF('Adjustment Surface'!$C$2='Data Validation'!$A$2,CI55,IF('Adjustment Surface'!$C$2='Data Validation'!$A$3,CJ55,"Unknown Option Type")))*(NORMDIST((IF('Adjustment Surface'!$C$2='Data Validation'!$A$2,CJ55,IF('Adjustment Surface'!$C$2='Data Validation'!$A$3,CI55,"Unknown Option Type"))-IF('Adjustment Surface'!$C$2='Data Validation'!$A$2,CI55,IF('Adjustment Surface'!$C$2='Data Validation'!$A$3,CJ55,"Unknown Option Type")))/((CK55+0.01%)*SQRT(CG55)),0,1,TRUE)))+(((CK55+0.01%)*SQRT(CG55))*(NORMDIST((IF('Adjustment Surface'!$C$2='Data Validation'!$A$2,CJ55,IF('Adjustment Surface'!$C$2='Data Validation'!$A$3,CI55,"Unknown Option Type"))-IF('Adjustment Surface'!$C$2='Data Validation'!$A$2,CI55,IF('Adjustment Surface'!$C$2='Data Validation'!$A$3,CJ55,"Unknown Option Type")))/((CK55+0.01%)*SQRT(CG55)),0,1,FALSE))))*CL55*(CF55/360))-(CN55/CH55))*CH55)*CL55))</f>
        <v/>
      </c>
      <c r="CR55" s="15" t="str">
        <f>IF(CC55="","",SUM(CQ$4:CQ55))</f>
        <v/>
      </c>
    </row>
    <row r="56" spans="7:96" x14ac:dyDescent="0.25">
      <c r="G56" s="28"/>
      <c r="J56" s="4" t="str">
        <f>IF(K55='Adjustment Surface'!C$8,"",K55)</f>
        <v/>
      </c>
      <c r="K56" s="4" t="str">
        <f>IF(J56="","",IF(J56&lt;'Adjustment Surface'!C$7,EDATE(J$5,COUNT(J$5:J56)),IF(J56='Adjustment Surface'!C$7,'Adjustment Surface'!C$8,'Adjustment Surface'!C$7)))</f>
        <v/>
      </c>
      <c r="L56" s="3" t="str">
        <f t="shared" si="1"/>
        <v/>
      </c>
      <c r="M56" s="5" t="str">
        <f>IF(I56="","",(K56-'Rate &amp; Vol Update'!$C$2)/360)</f>
        <v/>
      </c>
      <c r="N56" s="15" t="str">
        <f>IF(I56="","",IF('Adjustment Surface'!C$3='Data Validation'!$C$2,'Adjustment Surface'!C$4,IF(INDEX(Schedules!$E$3:$E$123,MATCH('Bachelier Model'!J56,Schedules!$B$3:$B$123,0))="",N55,INDEX(Schedules!$E$3:$E$123,MATCH('Bachelier Model'!J56,Schedules!$B$3:$B$123,0)))))</f>
        <v/>
      </c>
      <c r="O56" s="16" t="str">
        <f>IF(I56="","",IF('Adjustment Surface'!C$9='Data Validation'!$D$2,'Adjustment Surface'!C$10,IF(INDEX(Schedules!$H$3:$H$123,MATCH('Bachelier Model'!J56,Schedules!$B$3:$B$123,0))="",O55,INDEX(Schedules!$H$3:$H$123,MATCH('Bachelier Model'!J56,Schedules!$B$3:$B$123,0)))))</f>
        <v/>
      </c>
      <c r="P56" s="16" t="str" cm="1">
        <f t="array" ref="P56">IF(I56="","",FORECAST(J56,INDEX('Rate &amp; Vol Update'!$C$6:$C$127,MATCH(INDEX('Rate &amp; Vol Update'!$B$6:$B$127,MATCH(J56,'Rate &amp; Vol Update'!$B$6:$B$127,1)),'Rate &amp; Vol Update'!$B$6:$B$127,0)+IF('Adjustment Surface'!C$11='Data Validation'!$E$3,-1,0)):INDEX('Rate &amp; Vol Update'!$C$6:$C$127,MATCH(INDEX('Rate &amp; Vol Update'!$B$6:$B$127,MATCH(J56,'Rate &amp; Vol Update'!$B$6:$B$127,1)+1),'Rate &amp; Vol Update'!$B$6:$B$127,0)+IF('Adjustment Surface'!C$11='Data Validation'!$E$3,-1,0)),INDEX('Rate &amp; Vol Update'!$B$6:$B$127,MATCH(J56,'Rate &amp; Vol Update'!$B$6:$B$127,1)):INDEX('Rate &amp; Vol Update'!$B$6:$B$127,MATCH(J56,'Rate &amp; Vol Update'!$B$6:$B$127,1)+1))/100)</f>
        <v/>
      </c>
      <c r="Q56" s="16" t="str" cm="1">
        <f t="array" ref="Q56">IF(I56="","",IF(J56&lt;'Rate &amp; Vol Update'!$C$2,0.001%,(1/((INDEX('Rate &amp; Vol Update'!$E$6:$Z$6,1,MATCH(O56,'Rate &amp; Vol Update'!$E$6:$Z$6,1)+1)-INDEX('Rate &amp; Vol Update'!$E$6:$Z$6,1,MATCH(O56,'Rate &amp; Vol Update'!$E$6:$Z$6,1)))*(INDEX('Rate &amp; Vol Update'!$B$8:$B$127,MATCH(J56,'Rate &amp; Vol Update'!$B$8:$B$127,1)+1)-INDEX('Rate &amp; Vol Update'!$B$8:$B$127,MATCH(J56,'Rate &amp; Vol Update'!$B$8:$B$127,1))))*(INDEX('Rate &amp; Vol Update'!$E$8:$Z$127,MATCH(INDEX('Rate &amp; Vol Update'!$B$8:$B$127,MATCH(J56,'Rate &amp; Vol Update'!$B$8:$B$127,1)),'Rate &amp; Vol Update'!$B$8:$B$127,0),MATCH(INDEX('Rate &amp; Vol Update'!$E$6:$Z$6,1,MATCH(O56,'Rate &amp; Vol Update'!$E$6:$Z$6,1)),'Rate &amp; Vol Update'!$E$6:$Z$6,0))*(INDEX('Rate &amp; Vol Update'!$E$6:$Z$6,1,MATCH(O56,'Rate &amp; Vol Update'!$E$6:$Z$6,1)+1)-O56)*(INDEX('Rate &amp; Vol Update'!$B$8:$B$127,MATCH(J56,'Rate &amp; Vol Update'!$B$8:$B$127,1)+1)-J56)+INDEX('Rate &amp; Vol Update'!$E$8:$Z$127,MATCH(INDEX('Rate &amp; Vol Update'!$B$8:$B$127,MATCH(J56,'Rate &amp; Vol Update'!$B$8:$B$127,1)),'Rate &amp; Vol Update'!$B$8:$B$127,0),MATCH(INDEX('Rate &amp; Vol Update'!$E$6:$Z$6,1,MATCH(O56,'Rate &amp; Vol Update'!$E$6:$Z$6,1)+1),'Rate &amp; Vol Update'!$E$6:$Z$6,0))*(O56-INDEX('Rate &amp; Vol Update'!$E$6:$Z$6,1,MATCH(O56,'Rate &amp; Vol Update'!$E$6:$Z$6,1)))*(INDEX('Rate &amp; Vol Update'!$B$8:$B$127,MATCH(J56,'Rate &amp; Vol Update'!$B$8:$B$127,1)+1)-J56)+INDEX('Rate &amp; Vol Update'!$E$8:$Z$127,MATCH(INDEX('Rate &amp; Vol Update'!$B$8:$B$127,MATCH(J56,'Rate &amp; Vol Update'!$B$8:$B$127,1)+1),'Rate &amp; Vol Update'!$B$8:$B$127,0),MATCH(INDEX('Rate &amp; Vol Update'!$E$6:$Z$6,1,MATCH(O56,'Rate &amp; Vol Update'!$E$6:$Z$6,1)),'Rate &amp; Vol Update'!$E$6:$Z$6,0))*(INDEX('Rate &amp; Vol Update'!$E$6:$Z$6,1,MATCH(O56,'Rate &amp; Vol Update'!$E$6:$Z$6,1)+1)-O56)*(J56-INDEX('Rate &amp; Vol Update'!$B$8:$B$127,MATCH(J56,'Rate &amp; Vol Update'!$B$8:$B$127,1)))+INDEX('Rate &amp; Vol Update'!$E$8:$Z$127,MATCH(INDEX('Rate &amp; Vol Update'!$B$8:$B$127,MATCH(J56,'Rate &amp; Vol Update'!$B$8:$B$127,1)+1),'Rate &amp; Vol Update'!$B$8:$B$127,0),MATCH(INDEX('Rate &amp; Vol Update'!$E$6:$Z$6,1,MATCH(O56,'Rate &amp; Vol Update'!$E$6:$Z$6,1)+1),'Rate &amp; Vol Update'!$E$6:$Z$6,0))*(O56-INDEX('Rate &amp; Vol Update'!$E$6:$Z$6,1,MATCH(O56,'Rate &amp; Vol Update'!$E$6:$Z$6,1)))*(J56-INDEX('Rate &amp; Vol Update'!$B$8:$B$127,MATCH(J56,'Rate &amp; Vol Update'!$B$8:$B$127,1)))))*0.01%))</f>
        <v/>
      </c>
      <c r="R56" s="5" t="str">
        <f>IF(I56="","",1/((1+P56)^((K56-'Rate &amp; Vol Update'!$C$2)/360)))</f>
        <v/>
      </c>
      <c r="T56" s="15" t="str">
        <f>IF(I56="","",IF(J56&lt;'Rate &amp; Vol Update'!$C$2,MAX(0,P56-O56)*(L56/360)*N56,(((IF('Adjustment Surface'!C$2='Data Validation'!$A$2,P56,IF('Adjustment Surface'!C$2='Data Validation'!$A$3,O56,"Unknown Option Type"))-IF('Adjustment Surface'!C$2='Data Validation'!$A$2,O56,IF('Adjustment Surface'!C$2='Data Validation'!$A$3,P56,"Unknown Option Type")))*(NORMDIST((IF('Adjustment Surface'!C$2='Data Validation'!$A$2,P56,IF('Adjustment Surface'!C$2='Data Validation'!$A$3,O56,"Unknown Option Type"))-IF('Adjustment Surface'!C$2='Data Validation'!$A$2,O56,IF('Adjustment Surface'!C$2='Data Validation'!$A$3,P56,"Unknown Option Type")))/(Q56*SQRT(M56)),0,1,TRUE)))+((Q56*SQRT(M56))*(NORMDIST((IF('Adjustment Surface'!C$2='Data Validation'!$A$2,P56,IF('Adjustment Surface'!C$2='Data Validation'!$A$3,O56,"Unknown Option Type"))-IF('Adjustment Surface'!C$2='Data Validation'!$A$2,O56,IF('Adjustment Surface'!C$2='Data Validation'!$A$3,P56,"Unknown Option Type")))/(Q56*SQRT(M56)),0,1,FALSE))))*R56*(L56/360)*N56))</f>
        <v/>
      </c>
      <c r="U56" s="15" t="str">
        <f>IF(I56="","",SUM(T$4:T56))</f>
        <v/>
      </c>
      <c r="W56" s="15" t="str">
        <f>IF(I56="","",IF(J56&lt;'Rate &amp; Vol Update'!$C$2,0,((((((IF('Adjustment Surface'!C$2='Data Validation'!$A$2,P56,IF('Adjustment Surface'!C$2='Data Validation'!$A$3,O56,"Unknown Option Type"))-IF('Adjustment Surface'!C$2='Data Validation'!$A$2,O56,IF('Adjustment Surface'!C$2='Data Validation'!$A$3,P56,"Unknown Option Type")))*(NORMDIST((IF('Adjustment Surface'!C$2='Data Validation'!$A$2,P56,IF('Adjustment Surface'!C$2='Data Validation'!$A$3,O56,"Unknown Option Type"))-IF('Adjustment Surface'!C$2='Data Validation'!$A$2,O56,IF('Adjustment Surface'!C$2='Data Validation'!$A$3,P56,"Unknown Option Type")))/((Q56+0.01%)*SQRT(M56)),0,1,TRUE)))+(((Q56+0.01%)*SQRT(M56))*(NORMDIST((IF('Adjustment Surface'!C$2='Data Validation'!$A$2,P56,IF('Adjustment Surface'!C$2='Data Validation'!$A$3,O56,"Unknown Option Type"))-IF('Adjustment Surface'!C$2='Data Validation'!$A$2,O56,IF('Adjustment Surface'!C$2='Data Validation'!$A$3,P56,"Unknown Option Type")))/((Q56+0.01%)*SQRT(M56)),0,1,FALSE))))*R56*(L56/360))-(T56/N56))*N56)*R56))</f>
        <v/>
      </c>
      <c r="X56" s="15" t="str">
        <f>IF(I56="","",SUM(W$4:W56))</f>
        <v/>
      </c>
      <c r="Y56" s="15"/>
      <c r="Z56" s="20"/>
      <c r="AB56" s="4" t="str">
        <f>IF(AC55=MAX('Adjustment Surface'!$C$14:$F$14),"",AC55)</f>
        <v/>
      </c>
      <c r="AC56" s="4" t="str">
        <f>IF(AB56="","",IF(AB56&lt;EDATE('Adjustment Surface'!$C$6,DATEDIF('Adjustment Surface'!$C$6,MAX('Adjustment Surface'!$C$14:$F$14),"M")),EDATE(AB$5,COUNT(AB$5:AB56)),IF(AB56=EDATE('Adjustment Surface'!$C$6,DATEDIF('Adjustment Surface'!$C$6,MAX('Adjustment Surface'!$C$14:$F$14),"M")),MAX('Adjustment Surface'!$C$14:$F$14),EDATE('Adjustment Surface'!$C$6,DATEDIF('Adjustment Surface'!$C$6,MAX('Adjustment Surface'!$C$14:$F$14),"M")))))</f>
        <v/>
      </c>
      <c r="AD56" s="3" t="str">
        <f t="shared" si="2"/>
        <v/>
      </c>
      <c r="AE56" s="5" t="str">
        <f>IF(AA56="","",(AC56-'Rate &amp; Vol Update'!$C$2)/360)</f>
        <v/>
      </c>
      <c r="AF56" s="15" t="str">
        <f>IF(AA56="","",IF('Adjustment Surface'!$C$3='Data Validation'!$C$2,'Adjustment Surface'!$C$4,_xlfn.IFNA(IF(INDEX(Schedules!$E$3:$E$123,MATCH('Bachelier Model'!AB56,Schedules!$B$3:$B$123,0))="",AF55,INDEX(Schedules!$E$3:$E$123,MATCH('Bachelier Model'!AB56,Schedules!$B$3:$B$123,0))),AF55)))</f>
        <v/>
      </c>
      <c r="AG56" s="16" t="str">
        <f>IF(AA56="","",'Adjustment Surface'!B$15)</f>
        <v/>
      </c>
      <c r="AH56" s="16" t="str" cm="1">
        <f t="array" ref="AH56">IF(AA56="","",FORECAST(AB56,INDEX('Rate &amp; Vol Update'!$C$6:$C$127,MATCH(INDEX('Rate &amp; Vol Update'!$B$6:$B$127,MATCH(AB56,'Rate &amp; Vol Update'!$B$6:$B$127,1)),'Rate &amp; Vol Update'!$B$6:$B$127,0)+IF('Adjustment Surface'!$C$11='Data Validation'!$E$3,-1,0)):INDEX('Rate &amp; Vol Update'!$C$6:$C$127,MATCH(INDEX('Rate &amp; Vol Update'!$B$6:$B$127,MATCH(AB56,'Rate &amp; Vol Update'!$B$6:$B$127,1)+1),'Rate &amp; Vol Update'!$B$6:$B$127,0)+IF('Adjustment Surface'!$C$11='Data Validation'!$E$3,-1,0)),INDEX('Rate &amp; Vol Update'!$B$6:$B$127,MATCH(AB56,'Rate &amp; Vol Update'!$B$6:$B$127,1)):INDEX('Rate &amp; Vol Update'!$B$6:$B$127,MATCH(AB56,'Rate &amp; Vol Update'!$B$6:$B$127,1)+1))/100)</f>
        <v/>
      </c>
      <c r="AI56" s="16" t="str" cm="1">
        <f t="array" ref="AI56">IF(AA56="","",IF(AB56&lt;'Rate &amp; Vol Update'!$C$2,0.001%,(1/((INDEX('Rate &amp; Vol Update'!$E$6:$Z$6,1,MATCH(AG56,'Rate &amp; Vol Update'!$E$6:$Z$6,1)+1)-INDEX('Rate &amp; Vol Update'!$E$6:$Z$6,1,MATCH(AG56,'Rate &amp; Vol Update'!$E$6:$Z$6,1)))*(INDEX('Rate &amp; Vol Update'!$B$8:$B$127,MATCH(AB56,'Rate &amp; Vol Update'!$B$8:$B$127,1)+1)-INDEX('Rate &amp; Vol Update'!$B$8:$B$127,MATCH(AB56,'Rate &amp; Vol Update'!$B$8:$B$127,1))))*(INDEX('Rate &amp; Vol Update'!$E$8:$Z$127,MATCH(INDEX('Rate &amp; Vol Update'!$B$8:$B$127,MATCH(AB56,'Rate &amp; Vol Update'!$B$8:$B$127,1)),'Rate &amp; Vol Update'!$B$8:$B$127,0),MATCH(INDEX('Rate &amp; Vol Update'!$E$6:$Z$6,1,MATCH(AG56,'Rate &amp; Vol Update'!$E$6:$Z$6,1)),'Rate &amp; Vol Update'!$E$6:$Z$6,0))*(INDEX('Rate &amp; Vol Update'!$E$6:$Z$6,1,MATCH(AG56,'Rate &amp; Vol Update'!$E$6:$Z$6,1)+1)-AG56)*(INDEX('Rate &amp; Vol Update'!$B$8:$B$127,MATCH(AB56,'Rate &amp; Vol Update'!$B$8:$B$127,1)+1)-AB56)+INDEX('Rate &amp; Vol Update'!$E$8:$Z$127,MATCH(INDEX('Rate &amp; Vol Update'!$B$8:$B$127,MATCH(AB56,'Rate &amp; Vol Update'!$B$8:$B$127,1)),'Rate &amp; Vol Update'!$B$8:$B$127,0),MATCH(INDEX('Rate &amp; Vol Update'!$E$6:$Z$6,1,MATCH(AG56,'Rate &amp; Vol Update'!$E$6:$Z$6,1)+1),'Rate &amp; Vol Update'!$E$6:$Z$6,0))*(AG56-INDEX('Rate &amp; Vol Update'!$E$6:$Z$6,1,MATCH(AG56,'Rate &amp; Vol Update'!$E$6:$Z$6,1)))*(INDEX('Rate &amp; Vol Update'!$B$8:$B$127,MATCH(AB56,'Rate &amp; Vol Update'!$B$8:$B$127,1)+1)-AB56)+INDEX('Rate &amp; Vol Update'!$E$8:$Z$127,MATCH(INDEX('Rate &amp; Vol Update'!$B$8:$B$127,MATCH(AB56,'Rate &amp; Vol Update'!$B$8:$B$127,1)+1),'Rate &amp; Vol Update'!$B$8:$B$127,0),MATCH(INDEX('Rate &amp; Vol Update'!$E$6:$Z$6,1,MATCH(AG56,'Rate &amp; Vol Update'!$E$6:$Z$6,1)),'Rate &amp; Vol Update'!$E$6:$Z$6,0))*(INDEX('Rate &amp; Vol Update'!$E$6:$Z$6,1,MATCH(AG56,'Rate &amp; Vol Update'!$E$6:$Z$6,1)+1)-AG56)*(AB56-INDEX('Rate &amp; Vol Update'!$B$8:$B$127,MATCH(AB56,'Rate &amp; Vol Update'!$B$8:$B$127,1)))+INDEX('Rate &amp; Vol Update'!$E$8:$Z$127,MATCH(INDEX('Rate &amp; Vol Update'!$B$8:$B$127,MATCH(AB56,'Rate &amp; Vol Update'!$B$8:$B$127,1)+1),'Rate &amp; Vol Update'!$B$8:$B$127,0),MATCH(INDEX('Rate &amp; Vol Update'!$E$6:$Z$6,1,MATCH(AG56,'Rate &amp; Vol Update'!$E$6:$Z$6,1)+1),'Rate &amp; Vol Update'!$E$6:$Z$6,0))*(AG56-INDEX('Rate &amp; Vol Update'!$E$6:$Z$6,1,MATCH(AG56,'Rate &amp; Vol Update'!$E$6:$Z$6,1)))*(AB56-INDEX('Rate &amp; Vol Update'!$B$8:$B$127,MATCH(AB56,'Rate &amp; Vol Update'!$B$8:$B$127,1)))))*0.01%))</f>
        <v/>
      </c>
      <c r="AJ56" s="5" t="str">
        <f>IF(AA56="","",1/((1+AH56)^((AC56-'Rate &amp; Vol Update'!$C$2)/360)))</f>
        <v/>
      </c>
      <c r="AL56" s="15" t="str">
        <f>IF(AA56="","",IF(AB56&lt;'Rate &amp; Vol Update'!$C$2,MAX(0,AH56-AG56)*(AD56/360)*AF56,(((IF('Adjustment Surface'!$C$2='Data Validation'!$A$2,AH56,IF('Adjustment Surface'!$C$2='Data Validation'!$A$3,AG56,"Unknown Option Type"))-IF('Adjustment Surface'!$C$2='Data Validation'!$A$2,AG56,IF('Adjustment Surface'!$C$2='Data Validation'!$A$3,AH56,"Unknown Option Type")))*(NORMDIST((IF('Adjustment Surface'!$C$2='Data Validation'!$A$2,AH56,IF('Adjustment Surface'!$C$2='Data Validation'!$A$3,AG56,"Unknown Option Type"))-IF('Adjustment Surface'!$C$2='Data Validation'!$A$2,AG56,IF('Adjustment Surface'!$C$2='Data Validation'!$A$3,AH56,"Unknown Option Type")))/(AI56*SQRT(AE56)),0,1,TRUE)))+((AI56*SQRT(AE56))*(NORMDIST((IF('Adjustment Surface'!$C$2='Data Validation'!$A$2,AH56,IF('Adjustment Surface'!$C$2='Data Validation'!$A$3,AG56,"Unknown Option Type"))-IF('Adjustment Surface'!$C$2='Data Validation'!$A$2,AG56,IF('Adjustment Surface'!$C$2='Data Validation'!$A$3,AH56,"Unknown Option Type")))/(AI56*SQRT(AE56)),0,1,FALSE))))*AJ56*(AD56/360)*AF56))</f>
        <v/>
      </c>
      <c r="AM56" s="15" t="str">
        <f>IF(AA56="","",SUM(AL$4:AL56))</f>
        <v/>
      </c>
      <c r="AO56" s="15" t="str">
        <f>IF(AA56="","",IF(AB56&lt;'Rate &amp; Vol Update'!$C$2,0,((((((IF('Adjustment Surface'!$C$2='Data Validation'!$A$2,AH56,IF('Adjustment Surface'!$C$2='Data Validation'!$A$3,AG56,"Unknown Option Type"))-IF('Adjustment Surface'!$C$2='Data Validation'!$A$2,AG56,IF('Adjustment Surface'!$C$2='Data Validation'!$A$3,AH56,"Unknown Option Type")))*(NORMDIST((IF('Adjustment Surface'!$C$2='Data Validation'!$A$2,AH56,IF('Adjustment Surface'!$C$2='Data Validation'!$A$3,AG56,"Unknown Option Type"))-IF('Adjustment Surface'!$C$2='Data Validation'!$A$2,AG56,IF('Adjustment Surface'!$C$2='Data Validation'!$A$3,AH56,"Unknown Option Type")))/((AI56+0.01%)*SQRT(AE56)),0,1,TRUE)))+(((AI56+0.01%)*SQRT(AE56))*(NORMDIST((IF('Adjustment Surface'!$C$2='Data Validation'!$A$2,AH56,IF('Adjustment Surface'!$C$2='Data Validation'!$A$3,AG56,"Unknown Option Type"))-IF('Adjustment Surface'!$C$2='Data Validation'!$A$2,AG56,IF('Adjustment Surface'!$C$2='Data Validation'!$A$3,AH56,"Unknown Option Type")))/((AI56+0.01%)*SQRT(AE56)),0,1,FALSE))))*AJ56*(AD56/360))-(AL56/AF56))*AF56)*AJ56))</f>
        <v/>
      </c>
      <c r="AP56" s="15" t="str">
        <f>IF(AA56="","",SUM(AO$4:AO56))</f>
        <v/>
      </c>
      <c r="AQ56" s="15"/>
      <c r="AR56" s="20"/>
      <c r="AT56" s="4" t="str">
        <f>IF(AU55=MAX('Adjustment Surface'!$C$14:$F$14),"",AU55)</f>
        <v/>
      </c>
      <c r="AU56" s="4" t="str">
        <f>IF(AT56="","",IF(AT56&lt;EDATE('Adjustment Surface'!$C$6,DATEDIF('Adjustment Surface'!$C$6,MAX('Adjustment Surface'!$C$14:$F$14),"M")),EDATE(AT$5,COUNT(AT$5:AT56)),IF(AT56=EDATE('Adjustment Surface'!$C$6,DATEDIF('Adjustment Surface'!$C$6,MAX('Adjustment Surface'!$C$14:$F$14),"M")),MAX('Adjustment Surface'!$C$14:$F$14),EDATE('Adjustment Surface'!$C$6,DATEDIF('Adjustment Surface'!$C$6,MAX('Adjustment Surface'!$C$14:$F$14),"M")))))</f>
        <v/>
      </c>
      <c r="AV56" s="3" t="str">
        <f t="shared" si="3"/>
        <v/>
      </c>
      <c r="AW56" s="5" t="str">
        <f>IF(AS56="","",(AU56-'Rate &amp; Vol Update'!$C$2)/360)</f>
        <v/>
      </c>
      <c r="AX56" s="15" t="str">
        <f>IF(AS56="","",IF('Adjustment Surface'!$C$3='Data Validation'!$C$2,'Adjustment Surface'!$C$4,_xlfn.IFNA(IF(INDEX(Schedules!$E$3:$E$123,MATCH('Bachelier Model'!AT56,Schedules!$B$3:$B$123,0))="",AX55,INDEX(Schedules!$E$3:$E$123,MATCH('Bachelier Model'!AT56,Schedules!$B$3:$B$123,0))),AX55)))</f>
        <v/>
      </c>
      <c r="AY56" s="16" t="str">
        <f>IF(AS56="","",'Adjustment Surface'!B$16)</f>
        <v/>
      </c>
      <c r="AZ56" s="16" t="str" cm="1">
        <f t="array" ref="AZ56">IF(AS56="","",FORECAST(AT56,INDEX('Rate &amp; Vol Update'!$C$6:$C$127,MATCH(INDEX('Rate &amp; Vol Update'!$B$6:$B$127,MATCH(AT56,'Rate &amp; Vol Update'!$B$6:$B$127,1)),'Rate &amp; Vol Update'!$B$6:$B$127,0)+IF('Adjustment Surface'!$C$11='Data Validation'!$E$3,-1,0)):INDEX('Rate &amp; Vol Update'!$C$6:$C$127,MATCH(INDEX('Rate &amp; Vol Update'!$B$6:$B$127,MATCH(AT56,'Rate &amp; Vol Update'!$B$6:$B$127,1)+1),'Rate &amp; Vol Update'!$B$6:$B$127,0)+IF('Adjustment Surface'!$C$11='Data Validation'!$E$3,-1,0)),INDEX('Rate &amp; Vol Update'!$B$6:$B$127,MATCH(AT56,'Rate &amp; Vol Update'!$B$6:$B$127,1)):INDEX('Rate &amp; Vol Update'!$B$6:$B$127,MATCH(AT56,'Rate &amp; Vol Update'!$B$6:$B$127,1)+1))/100)</f>
        <v/>
      </c>
      <c r="BA56" s="16" t="str" cm="1">
        <f t="array" ref="BA56">IF(AS56="","",IF(AT56&lt;'Rate &amp; Vol Update'!$C$2,0.001%,(1/((INDEX('Rate &amp; Vol Update'!$E$6:$Z$6,1,MATCH(AY56,'Rate &amp; Vol Update'!$E$6:$Z$6,1)+1)-INDEX('Rate &amp; Vol Update'!$E$6:$Z$6,1,MATCH(AY56,'Rate &amp; Vol Update'!$E$6:$Z$6,1)))*(INDEX('Rate &amp; Vol Update'!$B$8:$B$127,MATCH(AT56,'Rate &amp; Vol Update'!$B$8:$B$127,1)+1)-INDEX('Rate &amp; Vol Update'!$B$8:$B$127,MATCH(AT56,'Rate &amp; Vol Update'!$B$8:$B$127,1))))*(INDEX('Rate &amp; Vol Update'!$E$8:$Z$127,MATCH(INDEX('Rate &amp; Vol Update'!$B$8:$B$127,MATCH(AT56,'Rate &amp; Vol Update'!$B$8:$B$127,1)),'Rate &amp; Vol Update'!$B$8:$B$127,0),MATCH(INDEX('Rate &amp; Vol Update'!$E$6:$Z$6,1,MATCH(AY56,'Rate &amp; Vol Update'!$E$6:$Z$6,1)),'Rate &amp; Vol Update'!$E$6:$Z$6,0))*(INDEX('Rate &amp; Vol Update'!$E$6:$Z$6,1,MATCH(AY56,'Rate &amp; Vol Update'!$E$6:$Z$6,1)+1)-AY56)*(INDEX('Rate &amp; Vol Update'!$B$8:$B$127,MATCH(AT56,'Rate &amp; Vol Update'!$B$8:$B$127,1)+1)-AT56)+INDEX('Rate &amp; Vol Update'!$E$8:$Z$127,MATCH(INDEX('Rate &amp; Vol Update'!$B$8:$B$127,MATCH(AT56,'Rate &amp; Vol Update'!$B$8:$B$127,1)),'Rate &amp; Vol Update'!$B$8:$B$127,0),MATCH(INDEX('Rate &amp; Vol Update'!$E$6:$Z$6,1,MATCH(AY56,'Rate &amp; Vol Update'!$E$6:$Z$6,1)+1),'Rate &amp; Vol Update'!$E$6:$Z$6,0))*(AY56-INDEX('Rate &amp; Vol Update'!$E$6:$Z$6,1,MATCH(AY56,'Rate &amp; Vol Update'!$E$6:$Z$6,1)))*(INDEX('Rate &amp; Vol Update'!$B$8:$B$127,MATCH(AT56,'Rate &amp; Vol Update'!$B$8:$B$127,1)+1)-AT56)+INDEX('Rate &amp; Vol Update'!$E$8:$Z$127,MATCH(INDEX('Rate &amp; Vol Update'!$B$8:$B$127,MATCH(AT56,'Rate &amp; Vol Update'!$B$8:$B$127,1)+1),'Rate &amp; Vol Update'!$B$8:$B$127,0),MATCH(INDEX('Rate &amp; Vol Update'!$E$6:$Z$6,1,MATCH(AY56,'Rate &amp; Vol Update'!$E$6:$Z$6,1)),'Rate &amp; Vol Update'!$E$6:$Z$6,0))*(INDEX('Rate &amp; Vol Update'!$E$6:$Z$6,1,MATCH(AY56,'Rate &amp; Vol Update'!$E$6:$Z$6,1)+1)-AY56)*(AT56-INDEX('Rate &amp; Vol Update'!$B$8:$B$127,MATCH(AT56,'Rate &amp; Vol Update'!$B$8:$B$127,1)))+INDEX('Rate &amp; Vol Update'!$E$8:$Z$127,MATCH(INDEX('Rate &amp; Vol Update'!$B$8:$B$127,MATCH(AT56,'Rate &amp; Vol Update'!$B$8:$B$127,1)+1),'Rate &amp; Vol Update'!$B$8:$B$127,0),MATCH(INDEX('Rate &amp; Vol Update'!$E$6:$Z$6,1,MATCH(AY56,'Rate &amp; Vol Update'!$E$6:$Z$6,1)+1),'Rate &amp; Vol Update'!$E$6:$Z$6,0))*(AY56-INDEX('Rate &amp; Vol Update'!$E$6:$Z$6,1,MATCH(AY56,'Rate &amp; Vol Update'!$E$6:$Z$6,1)))*(AT56-INDEX('Rate &amp; Vol Update'!$B$8:$B$127,MATCH(AT56,'Rate &amp; Vol Update'!$B$8:$B$127,1)))))*0.01%))</f>
        <v/>
      </c>
      <c r="BB56" s="5" t="str">
        <f>IF(AS56="","",1/((1+AZ56)^((AU56-'Rate &amp; Vol Update'!$C$2)/360)))</f>
        <v/>
      </c>
      <c r="BD56" s="15" t="str">
        <f>IF(AS56="","",IF(AT56&lt;'Rate &amp; Vol Update'!$C$2,MAX(0,AZ56-AY56)*(AV56/360)*AX56,(((IF('Adjustment Surface'!$C$2='Data Validation'!$A$2,AZ56,IF('Adjustment Surface'!$C$2='Data Validation'!$A$3,AY56,"Unknown Option Type"))-IF('Adjustment Surface'!$C$2='Data Validation'!$A$2,AY56,IF('Adjustment Surface'!$C$2='Data Validation'!$A$3,AZ56,"Unknown Option Type")))*(NORMDIST((IF('Adjustment Surface'!$C$2='Data Validation'!$A$2,AZ56,IF('Adjustment Surface'!$C$2='Data Validation'!$A$3,AY56,"Unknown Option Type"))-IF('Adjustment Surface'!$C$2='Data Validation'!$A$2,AY56,IF('Adjustment Surface'!$C$2='Data Validation'!$A$3,AZ56,"Unknown Option Type")))/(BA56*SQRT(AW56)),0,1,TRUE)))+((BA56*SQRT(AW56))*(NORMDIST((IF('Adjustment Surface'!$C$2='Data Validation'!$A$2,AZ56,IF('Adjustment Surface'!$C$2='Data Validation'!$A$3,AY56,"Unknown Option Type"))-IF('Adjustment Surface'!$C$2='Data Validation'!$A$2,AY56,IF('Adjustment Surface'!$C$2='Data Validation'!$A$3,AZ56,"Unknown Option Type")))/(BA56*SQRT(AW56)),0,1,FALSE))))*BB56*(AV56/360)*AX56))</f>
        <v/>
      </c>
      <c r="BE56" s="15" t="str">
        <f>IF(AS56="","",SUM(BD$4:BD56))</f>
        <v/>
      </c>
      <c r="BG56" s="15" t="str">
        <f>IF(AS56="","",IF(AT56&lt;'Rate &amp; Vol Update'!$C$2,0,((((((IF('Adjustment Surface'!$C$2='Data Validation'!$A$2,AZ56,IF('Adjustment Surface'!$C$2='Data Validation'!$A$3,AY56,"Unknown Option Type"))-IF('Adjustment Surface'!$C$2='Data Validation'!$A$2,AY56,IF('Adjustment Surface'!$C$2='Data Validation'!$A$3,AZ56,"Unknown Option Type")))*(NORMDIST((IF('Adjustment Surface'!$C$2='Data Validation'!$A$2,AZ56,IF('Adjustment Surface'!$C$2='Data Validation'!$A$3,AY56,"Unknown Option Type"))-IF('Adjustment Surface'!$C$2='Data Validation'!$A$2,AY56,IF('Adjustment Surface'!$C$2='Data Validation'!$A$3,AZ56,"Unknown Option Type")))/((BA56+0.01%)*SQRT(AW56)),0,1,TRUE)))+(((BA56+0.01%)*SQRT(AW56))*(NORMDIST((IF('Adjustment Surface'!$C$2='Data Validation'!$A$2,AZ56,IF('Adjustment Surface'!$C$2='Data Validation'!$A$3,AY56,"Unknown Option Type"))-IF('Adjustment Surface'!$C$2='Data Validation'!$A$2,AY56,IF('Adjustment Surface'!$C$2='Data Validation'!$A$3,AZ56,"Unknown Option Type")))/((BA56+0.01%)*SQRT(AW56)),0,1,FALSE))))*BB56*(AV56/360))-(BD56/AX56))*AX56)*BB56))</f>
        <v/>
      </c>
      <c r="BH56" s="15" t="str">
        <f>IF(AS56="","",SUM(BG$4:BG56))</f>
        <v/>
      </c>
      <c r="BI56" s="15"/>
      <c r="BJ56" s="20"/>
      <c r="BL56" s="4" t="str">
        <f>IF(BM55=MAX('Adjustment Surface'!$C$14:$F$14),"",BM55)</f>
        <v/>
      </c>
      <c r="BM56" s="4" t="str">
        <f>IF(BL56="","",IF(BL56&lt;EDATE('Adjustment Surface'!$C$6,DATEDIF('Adjustment Surface'!$C$6,MAX('Adjustment Surface'!$C$14:$F$14),"M")),EDATE(BL$5,COUNT(BL$5:BL56)),IF(BL56=EDATE('Adjustment Surface'!$C$6,DATEDIF('Adjustment Surface'!$C$6,MAX('Adjustment Surface'!$C$14:$F$14),"M")),MAX('Adjustment Surface'!$C$14:$F$14),EDATE('Adjustment Surface'!$C$6,DATEDIF('Adjustment Surface'!$C$6,MAX('Adjustment Surface'!$C$14:$F$14),"M")))))</f>
        <v/>
      </c>
      <c r="BN56" s="3" t="str">
        <f t="shared" si="4"/>
        <v/>
      </c>
      <c r="BO56" s="5" t="str">
        <f>IF(BK56="","",(BM56-'Rate &amp; Vol Update'!$C$2)/360)</f>
        <v/>
      </c>
      <c r="BP56" s="15" t="str">
        <f>IF(BK56="","",IF('Adjustment Surface'!$C$3='Data Validation'!$C$2,'Adjustment Surface'!$C$4,_xlfn.IFNA(IF(INDEX(Schedules!$E$3:$E$123,MATCH('Bachelier Model'!BL56,Schedules!$B$3:$B$123,0))="",BP55,INDEX(Schedules!$E$3:$E$123,MATCH('Bachelier Model'!BL56,Schedules!$B$3:$B$123,0))),BP55)))</f>
        <v/>
      </c>
      <c r="BQ56" s="16" t="str">
        <f>IF(BK56="","",'Adjustment Surface'!B$17)</f>
        <v/>
      </c>
      <c r="BR56" s="16" t="str" cm="1">
        <f t="array" ref="BR56">IF(BK56="","",FORECAST(BL56,INDEX('Rate &amp; Vol Update'!$C$6:$C$127,MATCH(INDEX('Rate &amp; Vol Update'!$B$6:$B$127,MATCH(BL56,'Rate &amp; Vol Update'!$B$6:$B$127,1)),'Rate &amp; Vol Update'!$B$6:$B$127,0)+IF('Adjustment Surface'!$C$11='Data Validation'!$E$3,-1,0)):INDEX('Rate &amp; Vol Update'!$C$6:$C$127,MATCH(INDEX('Rate &amp; Vol Update'!$B$6:$B$127,MATCH(BL56,'Rate &amp; Vol Update'!$B$6:$B$127,1)+1),'Rate &amp; Vol Update'!$B$6:$B$127,0)+IF('Adjustment Surface'!$C$11='Data Validation'!$E$3,-1,0)),INDEX('Rate &amp; Vol Update'!$B$6:$B$127,MATCH(BL56,'Rate &amp; Vol Update'!$B$6:$B$127,1)):INDEX('Rate &amp; Vol Update'!$B$6:$B$127,MATCH(BL56,'Rate &amp; Vol Update'!$B$6:$B$127,1)+1))/100)</f>
        <v/>
      </c>
      <c r="BS56" s="16" t="str" cm="1">
        <f t="array" ref="BS56">IF(BK56="","",IF(BL56&lt;'Rate &amp; Vol Update'!$C$2,0.001%,(1/((INDEX('Rate &amp; Vol Update'!$E$6:$Z$6,1,MATCH(BQ56,'Rate &amp; Vol Update'!$E$6:$Z$6,1)+1)-INDEX('Rate &amp; Vol Update'!$E$6:$Z$6,1,MATCH(BQ56,'Rate &amp; Vol Update'!$E$6:$Z$6,1)))*(INDEX('Rate &amp; Vol Update'!$B$8:$B$127,MATCH(BL56,'Rate &amp; Vol Update'!$B$8:$B$127,1)+1)-INDEX('Rate &amp; Vol Update'!$B$8:$B$127,MATCH(BL56,'Rate &amp; Vol Update'!$B$8:$B$127,1))))*(INDEX('Rate &amp; Vol Update'!$E$8:$Z$127,MATCH(INDEX('Rate &amp; Vol Update'!$B$8:$B$127,MATCH(BL56,'Rate &amp; Vol Update'!$B$8:$B$127,1)),'Rate &amp; Vol Update'!$B$8:$B$127,0),MATCH(INDEX('Rate &amp; Vol Update'!$E$6:$Z$6,1,MATCH(BQ56,'Rate &amp; Vol Update'!$E$6:$Z$6,1)),'Rate &amp; Vol Update'!$E$6:$Z$6,0))*(INDEX('Rate &amp; Vol Update'!$E$6:$Z$6,1,MATCH(BQ56,'Rate &amp; Vol Update'!$E$6:$Z$6,1)+1)-BQ56)*(INDEX('Rate &amp; Vol Update'!$B$8:$B$127,MATCH(BL56,'Rate &amp; Vol Update'!$B$8:$B$127,1)+1)-BL56)+INDEX('Rate &amp; Vol Update'!$E$8:$Z$127,MATCH(INDEX('Rate &amp; Vol Update'!$B$8:$B$127,MATCH(BL56,'Rate &amp; Vol Update'!$B$8:$B$127,1)),'Rate &amp; Vol Update'!$B$8:$B$127,0),MATCH(INDEX('Rate &amp; Vol Update'!$E$6:$Z$6,1,MATCH(BQ56,'Rate &amp; Vol Update'!$E$6:$Z$6,1)+1),'Rate &amp; Vol Update'!$E$6:$Z$6,0))*(BQ56-INDEX('Rate &amp; Vol Update'!$E$6:$Z$6,1,MATCH(BQ56,'Rate &amp; Vol Update'!$E$6:$Z$6,1)))*(INDEX('Rate &amp; Vol Update'!$B$8:$B$127,MATCH(BL56,'Rate &amp; Vol Update'!$B$8:$B$127,1)+1)-BL56)+INDEX('Rate &amp; Vol Update'!$E$8:$Z$127,MATCH(INDEX('Rate &amp; Vol Update'!$B$8:$B$127,MATCH(BL56,'Rate &amp; Vol Update'!$B$8:$B$127,1)+1),'Rate &amp; Vol Update'!$B$8:$B$127,0),MATCH(INDEX('Rate &amp; Vol Update'!$E$6:$Z$6,1,MATCH(BQ56,'Rate &amp; Vol Update'!$E$6:$Z$6,1)),'Rate &amp; Vol Update'!$E$6:$Z$6,0))*(INDEX('Rate &amp; Vol Update'!$E$6:$Z$6,1,MATCH(BQ56,'Rate &amp; Vol Update'!$E$6:$Z$6,1)+1)-BQ56)*(BL56-INDEX('Rate &amp; Vol Update'!$B$8:$B$127,MATCH(BL56,'Rate &amp; Vol Update'!$B$8:$B$127,1)))+INDEX('Rate &amp; Vol Update'!$E$8:$Z$127,MATCH(INDEX('Rate &amp; Vol Update'!$B$8:$B$127,MATCH(BL56,'Rate &amp; Vol Update'!$B$8:$B$127,1)+1),'Rate &amp; Vol Update'!$B$8:$B$127,0),MATCH(INDEX('Rate &amp; Vol Update'!$E$6:$Z$6,1,MATCH(BQ56,'Rate &amp; Vol Update'!$E$6:$Z$6,1)+1),'Rate &amp; Vol Update'!$E$6:$Z$6,0))*(BQ56-INDEX('Rate &amp; Vol Update'!$E$6:$Z$6,1,MATCH(BQ56,'Rate &amp; Vol Update'!$E$6:$Z$6,1)))*(BL56-INDEX('Rate &amp; Vol Update'!$B$8:$B$127,MATCH(BL56,'Rate &amp; Vol Update'!$B$8:$B$127,1)))))*0.01%))</f>
        <v/>
      </c>
      <c r="BT56" s="5" t="str">
        <f>IF(BK56="","",1/((1+BR56)^((BM56-'Rate &amp; Vol Update'!$C$2)/360)))</f>
        <v/>
      </c>
      <c r="BV56" s="15" t="str">
        <f>IF(BK56="","",IF(BL56&lt;'Rate &amp; Vol Update'!$C$2,MAX(0,BR56-BQ56)*(BN56/360)*BP56,(((IF('Adjustment Surface'!$C$2='Data Validation'!$A$2,BR56,IF('Adjustment Surface'!$C$2='Data Validation'!$A$3,BQ56,"Unknown Option Type"))-IF('Adjustment Surface'!$C$2='Data Validation'!$A$2,BQ56,IF('Adjustment Surface'!$C$2='Data Validation'!$A$3,BR56,"Unknown Option Type")))*(NORMDIST((IF('Adjustment Surface'!$C$2='Data Validation'!$A$2,BR56,IF('Adjustment Surface'!$C$2='Data Validation'!$A$3,BQ56,"Unknown Option Type"))-IF('Adjustment Surface'!$C$2='Data Validation'!$A$2,BQ56,IF('Adjustment Surface'!$C$2='Data Validation'!$A$3,BR56,"Unknown Option Type")))/(BS56*SQRT(BO56)),0,1,TRUE)))+((BS56*SQRT(BO56))*(NORMDIST((IF('Adjustment Surface'!$C$2='Data Validation'!$A$2,BR56,IF('Adjustment Surface'!$C$2='Data Validation'!$A$3,BQ56,"Unknown Option Type"))-IF('Adjustment Surface'!$C$2='Data Validation'!$A$2,BQ56,IF('Adjustment Surface'!$C$2='Data Validation'!$A$3,BR56,"Unknown Option Type")))/(BS56*SQRT(BO56)),0,1,FALSE))))*BT56*(BN56/360)*BP56))</f>
        <v/>
      </c>
      <c r="BW56" s="15" t="str">
        <f>IF(BK56="","",SUM(BV$4:BV56))</f>
        <v/>
      </c>
      <c r="BY56" s="15" t="str">
        <f>IF(BK56="","",IF(BL56&lt;'Rate &amp; Vol Update'!$C$2,0,((((((IF('Adjustment Surface'!$C$2='Data Validation'!$A$2,BR56,IF('Adjustment Surface'!$C$2='Data Validation'!$A$3,BQ56,"Unknown Option Type"))-IF('Adjustment Surface'!$C$2='Data Validation'!$A$2,BQ56,IF('Adjustment Surface'!$C$2='Data Validation'!$A$3,BR56,"Unknown Option Type")))*(NORMDIST((IF('Adjustment Surface'!$C$2='Data Validation'!$A$2,BR56,IF('Adjustment Surface'!$C$2='Data Validation'!$A$3,BQ56,"Unknown Option Type"))-IF('Adjustment Surface'!$C$2='Data Validation'!$A$2,BQ56,IF('Adjustment Surface'!$C$2='Data Validation'!$A$3,BR56,"Unknown Option Type")))/((BS56+0.01%)*SQRT(BO56)),0,1,TRUE)))+(((BS56+0.01%)*SQRT(BO56))*(NORMDIST((IF('Adjustment Surface'!$C$2='Data Validation'!$A$2,BR56,IF('Adjustment Surface'!$C$2='Data Validation'!$A$3,BQ56,"Unknown Option Type"))-IF('Adjustment Surface'!$C$2='Data Validation'!$A$2,BQ56,IF('Adjustment Surface'!$C$2='Data Validation'!$A$3,BR56,"Unknown Option Type")))/((BS56+0.01%)*SQRT(BO56)),0,1,FALSE))))*BT56*(BN56/360))-(BV56/BP56))*BP56)*BT56))</f>
        <v/>
      </c>
      <c r="BZ56" s="15" t="str">
        <f>IF(BK56="","",SUM(BY$4:BY56))</f>
        <v/>
      </c>
      <c r="CA56" s="15"/>
      <c r="CB56" s="20"/>
      <c r="CD56" s="4" t="str">
        <f>IF(CE55=MAX('Adjustment Surface'!$C$14:$F$14),"",CE55)</f>
        <v/>
      </c>
      <c r="CE56" s="4" t="str">
        <f>IF(CD56="","",IF(CD56&lt;EDATE('Adjustment Surface'!$C$6,DATEDIF('Adjustment Surface'!$C$6,MAX('Adjustment Surface'!$C$14:$F$14),"M")),EDATE(CD$5,COUNT(CD$5:CD56)),IF(CD56=EDATE('Adjustment Surface'!$C$6,DATEDIF('Adjustment Surface'!$C$6,MAX('Adjustment Surface'!$C$14:$F$14),"M")),MAX('Adjustment Surface'!$C$14:$F$14),EDATE('Adjustment Surface'!$C$6,DATEDIF('Adjustment Surface'!$C$6,MAX('Adjustment Surface'!$C$14:$F$14),"M")))))</f>
        <v/>
      </c>
      <c r="CF56" s="3" t="str">
        <f t="shared" si="5"/>
        <v/>
      </c>
      <c r="CG56" s="5" t="str">
        <f>IF(CC56="","",(CE56-'Rate &amp; Vol Update'!$C$2)/360)</f>
        <v/>
      </c>
      <c r="CH56" s="15" t="str">
        <f>IF(CC56="","",IF('Adjustment Surface'!$C$3='Data Validation'!$C$2,'Adjustment Surface'!$C$4,_xlfn.IFNA(IF(INDEX(Schedules!$E$3:$E$123,MATCH('Bachelier Model'!CD56,Schedules!$B$3:$B$123,0))="",CH55,INDEX(Schedules!$E$3:$E$123,MATCH('Bachelier Model'!CD56,Schedules!$B$3:$B$123,0))),CH55)))</f>
        <v/>
      </c>
      <c r="CI56" s="16" t="str">
        <f>IF(CC56="","",'Adjustment Surface'!B$18)</f>
        <v/>
      </c>
      <c r="CJ56" s="16" t="str" cm="1">
        <f t="array" ref="CJ56">IF(CC56="","",FORECAST(CD56,INDEX('Rate &amp; Vol Update'!$C$6:$C$127,MATCH(INDEX('Rate &amp; Vol Update'!$B$6:$B$127,MATCH(CD56,'Rate &amp; Vol Update'!$B$6:$B$127,1)),'Rate &amp; Vol Update'!$B$6:$B$127,0)+IF('Adjustment Surface'!$C$11='Data Validation'!$E$3,-1,0)):INDEX('Rate &amp; Vol Update'!$C$6:$C$127,MATCH(INDEX('Rate &amp; Vol Update'!$B$6:$B$127,MATCH(CD56,'Rate &amp; Vol Update'!$B$6:$B$127,1)+1),'Rate &amp; Vol Update'!$B$6:$B$127,0)+IF('Adjustment Surface'!$C$11='Data Validation'!$E$3,-1,0)),INDEX('Rate &amp; Vol Update'!$B$6:$B$127,MATCH(CD56,'Rate &amp; Vol Update'!$B$6:$B$127,1)):INDEX('Rate &amp; Vol Update'!$B$6:$B$127,MATCH(CD56,'Rate &amp; Vol Update'!$B$6:$B$127,1)+1))/100)</f>
        <v/>
      </c>
      <c r="CK56" s="16" t="str" cm="1">
        <f t="array" ref="CK56">IF(CC56="","",IF(CD56&lt;'Rate &amp; Vol Update'!$C$2,0.001%,(1/((INDEX('Rate &amp; Vol Update'!$E$6:$Z$6,1,MATCH(CI56,'Rate &amp; Vol Update'!$E$6:$Z$6,1)+1)-INDEX('Rate &amp; Vol Update'!$E$6:$Z$6,1,MATCH(CI56,'Rate &amp; Vol Update'!$E$6:$Z$6,1)))*(INDEX('Rate &amp; Vol Update'!$B$8:$B$127,MATCH(CD56,'Rate &amp; Vol Update'!$B$8:$B$127,1)+1)-INDEX('Rate &amp; Vol Update'!$B$8:$B$127,MATCH(CD56,'Rate &amp; Vol Update'!$B$8:$B$127,1))))*(INDEX('Rate &amp; Vol Update'!$E$8:$Z$127,MATCH(INDEX('Rate &amp; Vol Update'!$B$8:$B$127,MATCH(CD56,'Rate &amp; Vol Update'!$B$8:$B$127,1)),'Rate &amp; Vol Update'!$B$8:$B$127,0),MATCH(INDEX('Rate &amp; Vol Update'!$E$6:$Z$6,1,MATCH(CI56,'Rate &amp; Vol Update'!$E$6:$Z$6,1)),'Rate &amp; Vol Update'!$E$6:$Z$6,0))*(INDEX('Rate &amp; Vol Update'!$E$6:$Z$6,1,MATCH(CI56,'Rate &amp; Vol Update'!$E$6:$Z$6,1)+1)-CI56)*(INDEX('Rate &amp; Vol Update'!$B$8:$B$127,MATCH(CD56,'Rate &amp; Vol Update'!$B$8:$B$127,1)+1)-CD56)+INDEX('Rate &amp; Vol Update'!$E$8:$Z$127,MATCH(INDEX('Rate &amp; Vol Update'!$B$8:$B$127,MATCH(CD56,'Rate &amp; Vol Update'!$B$8:$B$127,1)),'Rate &amp; Vol Update'!$B$8:$B$127,0),MATCH(INDEX('Rate &amp; Vol Update'!$E$6:$Z$6,1,MATCH(CI56,'Rate &amp; Vol Update'!$E$6:$Z$6,1)+1),'Rate &amp; Vol Update'!$E$6:$Z$6,0))*(CI56-INDEX('Rate &amp; Vol Update'!$E$6:$Z$6,1,MATCH(CI56,'Rate &amp; Vol Update'!$E$6:$Z$6,1)))*(INDEX('Rate &amp; Vol Update'!$B$8:$B$127,MATCH(CD56,'Rate &amp; Vol Update'!$B$8:$B$127,1)+1)-CD56)+INDEX('Rate &amp; Vol Update'!$E$8:$Z$127,MATCH(INDEX('Rate &amp; Vol Update'!$B$8:$B$127,MATCH(CD56,'Rate &amp; Vol Update'!$B$8:$B$127,1)+1),'Rate &amp; Vol Update'!$B$8:$B$127,0),MATCH(INDEX('Rate &amp; Vol Update'!$E$6:$Z$6,1,MATCH(CI56,'Rate &amp; Vol Update'!$E$6:$Z$6,1)),'Rate &amp; Vol Update'!$E$6:$Z$6,0))*(INDEX('Rate &amp; Vol Update'!$E$6:$Z$6,1,MATCH(CI56,'Rate &amp; Vol Update'!$E$6:$Z$6,1)+1)-CI56)*(CD56-INDEX('Rate &amp; Vol Update'!$B$8:$B$127,MATCH(CD56,'Rate &amp; Vol Update'!$B$8:$B$127,1)))+INDEX('Rate &amp; Vol Update'!$E$8:$Z$127,MATCH(INDEX('Rate &amp; Vol Update'!$B$8:$B$127,MATCH(CD56,'Rate &amp; Vol Update'!$B$8:$B$127,1)+1),'Rate &amp; Vol Update'!$B$8:$B$127,0),MATCH(INDEX('Rate &amp; Vol Update'!$E$6:$Z$6,1,MATCH(CI56,'Rate &amp; Vol Update'!$E$6:$Z$6,1)+1),'Rate &amp; Vol Update'!$E$6:$Z$6,0))*(CI56-INDEX('Rate &amp; Vol Update'!$E$6:$Z$6,1,MATCH(CI56,'Rate &amp; Vol Update'!$E$6:$Z$6,1)))*(CD56-INDEX('Rate &amp; Vol Update'!$B$8:$B$127,MATCH(CD56,'Rate &amp; Vol Update'!$B$8:$B$127,1)))))*0.01%))</f>
        <v/>
      </c>
      <c r="CL56" s="5" t="str">
        <f>IF(CC56="","",1/((1+CJ56)^((CE56-'Rate &amp; Vol Update'!$C$2)/360)))</f>
        <v/>
      </c>
      <c r="CN56" s="15" t="str">
        <f>IF(CC56="","",IF(CD56&lt;'Rate &amp; Vol Update'!$C$2,MAX(0,CJ56-CI56)*(CF56/360)*CH56,(((IF('Adjustment Surface'!$C$2='Data Validation'!$A$2,CJ56,IF('Adjustment Surface'!$C$2='Data Validation'!$A$3,CI56,"Unknown Option Type"))-IF('Adjustment Surface'!$C$2='Data Validation'!$A$2,CI56,IF('Adjustment Surface'!$C$2='Data Validation'!$A$3,CJ56,"Unknown Option Type")))*(NORMDIST((IF('Adjustment Surface'!$C$2='Data Validation'!$A$2,CJ56,IF('Adjustment Surface'!$C$2='Data Validation'!$A$3,CI56,"Unknown Option Type"))-IF('Adjustment Surface'!$C$2='Data Validation'!$A$2,CI56,IF('Adjustment Surface'!$C$2='Data Validation'!$A$3,CJ56,"Unknown Option Type")))/(CK56*SQRT(CG56)),0,1,TRUE)))+((CK56*SQRT(CG56))*(NORMDIST((IF('Adjustment Surface'!$C$2='Data Validation'!$A$2,CJ56,IF('Adjustment Surface'!$C$2='Data Validation'!$A$3,CI56,"Unknown Option Type"))-IF('Adjustment Surface'!$C$2='Data Validation'!$A$2,CI56,IF('Adjustment Surface'!$C$2='Data Validation'!$A$3,CJ56,"Unknown Option Type")))/(CK56*SQRT(CG56)),0,1,FALSE))))*CL56*(CF56/360)*CH56))</f>
        <v/>
      </c>
      <c r="CO56" s="15" t="str">
        <f>IF(CC56="","",SUM(CN$4:CN56))</f>
        <v/>
      </c>
      <c r="CQ56" s="15" t="str">
        <f>IF(CC56="","",IF(CD56&lt;'Rate &amp; Vol Update'!$C$2,0,((((((IF('Adjustment Surface'!$C$2='Data Validation'!$A$2,CJ56,IF('Adjustment Surface'!$C$2='Data Validation'!$A$3,CI56,"Unknown Option Type"))-IF('Adjustment Surface'!$C$2='Data Validation'!$A$2,CI56,IF('Adjustment Surface'!$C$2='Data Validation'!$A$3,CJ56,"Unknown Option Type")))*(NORMDIST((IF('Adjustment Surface'!$C$2='Data Validation'!$A$2,CJ56,IF('Adjustment Surface'!$C$2='Data Validation'!$A$3,CI56,"Unknown Option Type"))-IF('Adjustment Surface'!$C$2='Data Validation'!$A$2,CI56,IF('Adjustment Surface'!$C$2='Data Validation'!$A$3,CJ56,"Unknown Option Type")))/((CK56+0.01%)*SQRT(CG56)),0,1,TRUE)))+(((CK56+0.01%)*SQRT(CG56))*(NORMDIST((IF('Adjustment Surface'!$C$2='Data Validation'!$A$2,CJ56,IF('Adjustment Surface'!$C$2='Data Validation'!$A$3,CI56,"Unknown Option Type"))-IF('Adjustment Surface'!$C$2='Data Validation'!$A$2,CI56,IF('Adjustment Surface'!$C$2='Data Validation'!$A$3,CJ56,"Unknown Option Type")))/((CK56+0.01%)*SQRT(CG56)),0,1,FALSE))))*CL56*(CF56/360))-(CN56/CH56))*CH56)*CL56))</f>
        <v/>
      </c>
      <c r="CR56" s="15" t="str">
        <f>IF(CC56="","",SUM(CQ$4:CQ56))</f>
        <v/>
      </c>
    </row>
    <row r="57" spans="7:96" x14ac:dyDescent="0.25">
      <c r="G57" s="28"/>
      <c r="J57" s="4" t="str">
        <f>IF(K56='Adjustment Surface'!C$8,"",K56)</f>
        <v/>
      </c>
      <c r="K57" s="4" t="str">
        <f>IF(J57="","",IF(J57&lt;'Adjustment Surface'!C$7,EDATE(J$5,COUNT(J$5:J57)),IF(J57='Adjustment Surface'!C$7,'Adjustment Surface'!C$8,'Adjustment Surface'!C$7)))</f>
        <v/>
      </c>
      <c r="L57" s="3" t="str">
        <f t="shared" si="1"/>
        <v/>
      </c>
      <c r="M57" s="5" t="str">
        <f>IF(I57="","",(K57-'Rate &amp; Vol Update'!$C$2)/360)</f>
        <v/>
      </c>
      <c r="N57" s="15" t="str">
        <f>IF(I57="","",IF('Adjustment Surface'!C$3='Data Validation'!$C$2,'Adjustment Surface'!C$4,IF(INDEX(Schedules!$E$3:$E$123,MATCH('Bachelier Model'!J57,Schedules!$B$3:$B$123,0))="",N56,INDEX(Schedules!$E$3:$E$123,MATCH('Bachelier Model'!J57,Schedules!$B$3:$B$123,0)))))</f>
        <v/>
      </c>
      <c r="O57" s="16" t="str">
        <f>IF(I57="","",IF('Adjustment Surface'!C$9='Data Validation'!$D$2,'Adjustment Surface'!C$10,IF(INDEX(Schedules!$H$3:$H$123,MATCH('Bachelier Model'!J57,Schedules!$B$3:$B$123,0))="",O56,INDEX(Schedules!$H$3:$H$123,MATCH('Bachelier Model'!J57,Schedules!$B$3:$B$123,0)))))</f>
        <v/>
      </c>
      <c r="P57" s="16" t="str" cm="1">
        <f t="array" ref="P57">IF(I57="","",FORECAST(J57,INDEX('Rate &amp; Vol Update'!$C$6:$C$127,MATCH(INDEX('Rate &amp; Vol Update'!$B$6:$B$127,MATCH(J57,'Rate &amp; Vol Update'!$B$6:$B$127,1)),'Rate &amp; Vol Update'!$B$6:$B$127,0)+IF('Adjustment Surface'!C$11='Data Validation'!$E$3,-1,0)):INDEX('Rate &amp; Vol Update'!$C$6:$C$127,MATCH(INDEX('Rate &amp; Vol Update'!$B$6:$B$127,MATCH(J57,'Rate &amp; Vol Update'!$B$6:$B$127,1)+1),'Rate &amp; Vol Update'!$B$6:$B$127,0)+IF('Adjustment Surface'!C$11='Data Validation'!$E$3,-1,0)),INDEX('Rate &amp; Vol Update'!$B$6:$B$127,MATCH(J57,'Rate &amp; Vol Update'!$B$6:$B$127,1)):INDEX('Rate &amp; Vol Update'!$B$6:$B$127,MATCH(J57,'Rate &amp; Vol Update'!$B$6:$B$127,1)+1))/100)</f>
        <v/>
      </c>
      <c r="Q57" s="16" t="str" cm="1">
        <f t="array" ref="Q57">IF(I57="","",IF(J57&lt;'Rate &amp; Vol Update'!$C$2,0.001%,(1/((INDEX('Rate &amp; Vol Update'!$E$6:$Z$6,1,MATCH(O57,'Rate &amp; Vol Update'!$E$6:$Z$6,1)+1)-INDEX('Rate &amp; Vol Update'!$E$6:$Z$6,1,MATCH(O57,'Rate &amp; Vol Update'!$E$6:$Z$6,1)))*(INDEX('Rate &amp; Vol Update'!$B$8:$B$127,MATCH(J57,'Rate &amp; Vol Update'!$B$8:$B$127,1)+1)-INDEX('Rate &amp; Vol Update'!$B$8:$B$127,MATCH(J57,'Rate &amp; Vol Update'!$B$8:$B$127,1))))*(INDEX('Rate &amp; Vol Update'!$E$8:$Z$127,MATCH(INDEX('Rate &amp; Vol Update'!$B$8:$B$127,MATCH(J57,'Rate &amp; Vol Update'!$B$8:$B$127,1)),'Rate &amp; Vol Update'!$B$8:$B$127,0),MATCH(INDEX('Rate &amp; Vol Update'!$E$6:$Z$6,1,MATCH(O57,'Rate &amp; Vol Update'!$E$6:$Z$6,1)),'Rate &amp; Vol Update'!$E$6:$Z$6,0))*(INDEX('Rate &amp; Vol Update'!$E$6:$Z$6,1,MATCH(O57,'Rate &amp; Vol Update'!$E$6:$Z$6,1)+1)-O57)*(INDEX('Rate &amp; Vol Update'!$B$8:$B$127,MATCH(J57,'Rate &amp; Vol Update'!$B$8:$B$127,1)+1)-J57)+INDEX('Rate &amp; Vol Update'!$E$8:$Z$127,MATCH(INDEX('Rate &amp; Vol Update'!$B$8:$B$127,MATCH(J57,'Rate &amp; Vol Update'!$B$8:$B$127,1)),'Rate &amp; Vol Update'!$B$8:$B$127,0),MATCH(INDEX('Rate &amp; Vol Update'!$E$6:$Z$6,1,MATCH(O57,'Rate &amp; Vol Update'!$E$6:$Z$6,1)+1),'Rate &amp; Vol Update'!$E$6:$Z$6,0))*(O57-INDEX('Rate &amp; Vol Update'!$E$6:$Z$6,1,MATCH(O57,'Rate &amp; Vol Update'!$E$6:$Z$6,1)))*(INDEX('Rate &amp; Vol Update'!$B$8:$B$127,MATCH(J57,'Rate &amp; Vol Update'!$B$8:$B$127,1)+1)-J57)+INDEX('Rate &amp; Vol Update'!$E$8:$Z$127,MATCH(INDEX('Rate &amp; Vol Update'!$B$8:$B$127,MATCH(J57,'Rate &amp; Vol Update'!$B$8:$B$127,1)+1),'Rate &amp; Vol Update'!$B$8:$B$127,0),MATCH(INDEX('Rate &amp; Vol Update'!$E$6:$Z$6,1,MATCH(O57,'Rate &amp; Vol Update'!$E$6:$Z$6,1)),'Rate &amp; Vol Update'!$E$6:$Z$6,0))*(INDEX('Rate &amp; Vol Update'!$E$6:$Z$6,1,MATCH(O57,'Rate &amp; Vol Update'!$E$6:$Z$6,1)+1)-O57)*(J57-INDEX('Rate &amp; Vol Update'!$B$8:$B$127,MATCH(J57,'Rate &amp; Vol Update'!$B$8:$B$127,1)))+INDEX('Rate &amp; Vol Update'!$E$8:$Z$127,MATCH(INDEX('Rate &amp; Vol Update'!$B$8:$B$127,MATCH(J57,'Rate &amp; Vol Update'!$B$8:$B$127,1)+1),'Rate &amp; Vol Update'!$B$8:$B$127,0),MATCH(INDEX('Rate &amp; Vol Update'!$E$6:$Z$6,1,MATCH(O57,'Rate &amp; Vol Update'!$E$6:$Z$6,1)+1),'Rate &amp; Vol Update'!$E$6:$Z$6,0))*(O57-INDEX('Rate &amp; Vol Update'!$E$6:$Z$6,1,MATCH(O57,'Rate &amp; Vol Update'!$E$6:$Z$6,1)))*(J57-INDEX('Rate &amp; Vol Update'!$B$8:$B$127,MATCH(J57,'Rate &amp; Vol Update'!$B$8:$B$127,1)))))*0.01%))</f>
        <v/>
      </c>
      <c r="R57" s="5" t="str">
        <f>IF(I57="","",1/((1+P57)^((K57-'Rate &amp; Vol Update'!$C$2)/360)))</f>
        <v/>
      </c>
      <c r="T57" s="15" t="str">
        <f>IF(I57="","",IF(J57&lt;'Rate &amp; Vol Update'!$C$2,MAX(0,P57-O57)*(L57/360)*N57,(((IF('Adjustment Surface'!C$2='Data Validation'!$A$2,P57,IF('Adjustment Surface'!C$2='Data Validation'!$A$3,O57,"Unknown Option Type"))-IF('Adjustment Surface'!C$2='Data Validation'!$A$2,O57,IF('Adjustment Surface'!C$2='Data Validation'!$A$3,P57,"Unknown Option Type")))*(NORMDIST((IF('Adjustment Surface'!C$2='Data Validation'!$A$2,P57,IF('Adjustment Surface'!C$2='Data Validation'!$A$3,O57,"Unknown Option Type"))-IF('Adjustment Surface'!C$2='Data Validation'!$A$2,O57,IF('Adjustment Surface'!C$2='Data Validation'!$A$3,P57,"Unknown Option Type")))/(Q57*SQRT(M57)),0,1,TRUE)))+((Q57*SQRT(M57))*(NORMDIST((IF('Adjustment Surface'!C$2='Data Validation'!$A$2,P57,IF('Adjustment Surface'!C$2='Data Validation'!$A$3,O57,"Unknown Option Type"))-IF('Adjustment Surface'!C$2='Data Validation'!$A$2,O57,IF('Adjustment Surface'!C$2='Data Validation'!$A$3,P57,"Unknown Option Type")))/(Q57*SQRT(M57)),0,1,FALSE))))*R57*(L57/360)*N57))</f>
        <v/>
      </c>
      <c r="U57" s="15" t="str">
        <f>IF(I57="","",SUM(T$4:T57))</f>
        <v/>
      </c>
      <c r="W57" s="15" t="str">
        <f>IF(I57="","",IF(J57&lt;'Rate &amp; Vol Update'!$C$2,0,((((((IF('Adjustment Surface'!C$2='Data Validation'!$A$2,P57,IF('Adjustment Surface'!C$2='Data Validation'!$A$3,O57,"Unknown Option Type"))-IF('Adjustment Surface'!C$2='Data Validation'!$A$2,O57,IF('Adjustment Surface'!C$2='Data Validation'!$A$3,P57,"Unknown Option Type")))*(NORMDIST((IF('Adjustment Surface'!C$2='Data Validation'!$A$2,P57,IF('Adjustment Surface'!C$2='Data Validation'!$A$3,O57,"Unknown Option Type"))-IF('Adjustment Surface'!C$2='Data Validation'!$A$2,O57,IF('Adjustment Surface'!C$2='Data Validation'!$A$3,P57,"Unknown Option Type")))/((Q57+0.01%)*SQRT(M57)),0,1,TRUE)))+(((Q57+0.01%)*SQRT(M57))*(NORMDIST((IF('Adjustment Surface'!C$2='Data Validation'!$A$2,P57,IF('Adjustment Surface'!C$2='Data Validation'!$A$3,O57,"Unknown Option Type"))-IF('Adjustment Surface'!C$2='Data Validation'!$A$2,O57,IF('Adjustment Surface'!C$2='Data Validation'!$A$3,P57,"Unknown Option Type")))/((Q57+0.01%)*SQRT(M57)),0,1,FALSE))))*R57*(L57/360))-(T57/N57))*N57)*R57))</f>
        <v/>
      </c>
      <c r="X57" s="15" t="str">
        <f>IF(I57="","",SUM(W$4:W57))</f>
        <v/>
      </c>
      <c r="Y57" s="15"/>
      <c r="Z57" s="20"/>
      <c r="AB57" s="4" t="str">
        <f>IF(AC56=MAX('Adjustment Surface'!$C$14:$F$14),"",AC56)</f>
        <v/>
      </c>
      <c r="AC57" s="4" t="str">
        <f>IF(AB57="","",IF(AB57&lt;EDATE('Adjustment Surface'!$C$6,DATEDIF('Adjustment Surface'!$C$6,MAX('Adjustment Surface'!$C$14:$F$14),"M")),EDATE(AB$5,COUNT(AB$5:AB57)),IF(AB57=EDATE('Adjustment Surface'!$C$6,DATEDIF('Adjustment Surface'!$C$6,MAX('Adjustment Surface'!$C$14:$F$14),"M")),MAX('Adjustment Surface'!$C$14:$F$14),EDATE('Adjustment Surface'!$C$6,DATEDIF('Adjustment Surface'!$C$6,MAX('Adjustment Surface'!$C$14:$F$14),"M")))))</f>
        <v/>
      </c>
      <c r="AD57" s="3" t="str">
        <f t="shared" si="2"/>
        <v/>
      </c>
      <c r="AE57" s="5" t="str">
        <f>IF(AA57="","",(AC57-'Rate &amp; Vol Update'!$C$2)/360)</f>
        <v/>
      </c>
      <c r="AF57" s="15" t="str">
        <f>IF(AA57="","",IF('Adjustment Surface'!$C$3='Data Validation'!$C$2,'Adjustment Surface'!$C$4,_xlfn.IFNA(IF(INDEX(Schedules!$E$3:$E$123,MATCH('Bachelier Model'!AB57,Schedules!$B$3:$B$123,0))="",AF56,INDEX(Schedules!$E$3:$E$123,MATCH('Bachelier Model'!AB57,Schedules!$B$3:$B$123,0))),AF56)))</f>
        <v/>
      </c>
      <c r="AG57" s="16" t="str">
        <f>IF(AA57="","",'Adjustment Surface'!B$15)</f>
        <v/>
      </c>
      <c r="AH57" s="16" t="str" cm="1">
        <f t="array" ref="AH57">IF(AA57="","",FORECAST(AB57,INDEX('Rate &amp; Vol Update'!$C$6:$C$127,MATCH(INDEX('Rate &amp; Vol Update'!$B$6:$B$127,MATCH(AB57,'Rate &amp; Vol Update'!$B$6:$B$127,1)),'Rate &amp; Vol Update'!$B$6:$B$127,0)+IF('Adjustment Surface'!$C$11='Data Validation'!$E$3,-1,0)):INDEX('Rate &amp; Vol Update'!$C$6:$C$127,MATCH(INDEX('Rate &amp; Vol Update'!$B$6:$B$127,MATCH(AB57,'Rate &amp; Vol Update'!$B$6:$B$127,1)+1),'Rate &amp; Vol Update'!$B$6:$B$127,0)+IF('Adjustment Surface'!$C$11='Data Validation'!$E$3,-1,0)),INDEX('Rate &amp; Vol Update'!$B$6:$B$127,MATCH(AB57,'Rate &amp; Vol Update'!$B$6:$B$127,1)):INDEX('Rate &amp; Vol Update'!$B$6:$B$127,MATCH(AB57,'Rate &amp; Vol Update'!$B$6:$B$127,1)+1))/100)</f>
        <v/>
      </c>
      <c r="AI57" s="16" t="str" cm="1">
        <f t="array" ref="AI57">IF(AA57="","",IF(AB57&lt;'Rate &amp; Vol Update'!$C$2,0.001%,(1/((INDEX('Rate &amp; Vol Update'!$E$6:$Z$6,1,MATCH(AG57,'Rate &amp; Vol Update'!$E$6:$Z$6,1)+1)-INDEX('Rate &amp; Vol Update'!$E$6:$Z$6,1,MATCH(AG57,'Rate &amp; Vol Update'!$E$6:$Z$6,1)))*(INDEX('Rate &amp; Vol Update'!$B$8:$B$127,MATCH(AB57,'Rate &amp; Vol Update'!$B$8:$B$127,1)+1)-INDEX('Rate &amp; Vol Update'!$B$8:$B$127,MATCH(AB57,'Rate &amp; Vol Update'!$B$8:$B$127,1))))*(INDEX('Rate &amp; Vol Update'!$E$8:$Z$127,MATCH(INDEX('Rate &amp; Vol Update'!$B$8:$B$127,MATCH(AB57,'Rate &amp; Vol Update'!$B$8:$B$127,1)),'Rate &amp; Vol Update'!$B$8:$B$127,0),MATCH(INDEX('Rate &amp; Vol Update'!$E$6:$Z$6,1,MATCH(AG57,'Rate &amp; Vol Update'!$E$6:$Z$6,1)),'Rate &amp; Vol Update'!$E$6:$Z$6,0))*(INDEX('Rate &amp; Vol Update'!$E$6:$Z$6,1,MATCH(AG57,'Rate &amp; Vol Update'!$E$6:$Z$6,1)+1)-AG57)*(INDEX('Rate &amp; Vol Update'!$B$8:$B$127,MATCH(AB57,'Rate &amp; Vol Update'!$B$8:$B$127,1)+1)-AB57)+INDEX('Rate &amp; Vol Update'!$E$8:$Z$127,MATCH(INDEX('Rate &amp; Vol Update'!$B$8:$B$127,MATCH(AB57,'Rate &amp; Vol Update'!$B$8:$B$127,1)),'Rate &amp; Vol Update'!$B$8:$B$127,0),MATCH(INDEX('Rate &amp; Vol Update'!$E$6:$Z$6,1,MATCH(AG57,'Rate &amp; Vol Update'!$E$6:$Z$6,1)+1),'Rate &amp; Vol Update'!$E$6:$Z$6,0))*(AG57-INDEX('Rate &amp; Vol Update'!$E$6:$Z$6,1,MATCH(AG57,'Rate &amp; Vol Update'!$E$6:$Z$6,1)))*(INDEX('Rate &amp; Vol Update'!$B$8:$B$127,MATCH(AB57,'Rate &amp; Vol Update'!$B$8:$B$127,1)+1)-AB57)+INDEX('Rate &amp; Vol Update'!$E$8:$Z$127,MATCH(INDEX('Rate &amp; Vol Update'!$B$8:$B$127,MATCH(AB57,'Rate &amp; Vol Update'!$B$8:$B$127,1)+1),'Rate &amp; Vol Update'!$B$8:$B$127,0),MATCH(INDEX('Rate &amp; Vol Update'!$E$6:$Z$6,1,MATCH(AG57,'Rate &amp; Vol Update'!$E$6:$Z$6,1)),'Rate &amp; Vol Update'!$E$6:$Z$6,0))*(INDEX('Rate &amp; Vol Update'!$E$6:$Z$6,1,MATCH(AG57,'Rate &amp; Vol Update'!$E$6:$Z$6,1)+1)-AG57)*(AB57-INDEX('Rate &amp; Vol Update'!$B$8:$B$127,MATCH(AB57,'Rate &amp; Vol Update'!$B$8:$B$127,1)))+INDEX('Rate &amp; Vol Update'!$E$8:$Z$127,MATCH(INDEX('Rate &amp; Vol Update'!$B$8:$B$127,MATCH(AB57,'Rate &amp; Vol Update'!$B$8:$B$127,1)+1),'Rate &amp; Vol Update'!$B$8:$B$127,0),MATCH(INDEX('Rate &amp; Vol Update'!$E$6:$Z$6,1,MATCH(AG57,'Rate &amp; Vol Update'!$E$6:$Z$6,1)+1),'Rate &amp; Vol Update'!$E$6:$Z$6,0))*(AG57-INDEX('Rate &amp; Vol Update'!$E$6:$Z$6,1,MATCH(AG57,'Rate &amp; Vol Update'!$E$6:$Z$6,1)))*(AB57-INDEX('Rate &amp; Vol Update'!$B$8:$B$127,MATCH(AB57,'Rate &amp; Vol Update'!$B$8:$B$127,1)))))*0.01%))</f>
        <v/>
      </c>
      <c r="AJ57" s="5" t="str">
        <f>IF(AA57="","",1/((1+AH57)^((AC57-'Rate &amp; Vol Update'!$C$2)/360)))</f>
        <v/>
      </c>
      <c r="AL57" s="15" t="str">
        <f>IF(AA57="","",IF(AB57&lt;'Rate &amp; Vol Update'!$C$2,MAX(0,AH57-AG57)*(AD57/360)*AF57,(((IF('Adjustment Surface'!$C$2='Data Validation'!$A$2,AH57,IF('Adjustment Surface'!$C$2='Data Validation'!$A$3,AG57,"Unknown Option Type"))-IF('Adjustment Surface'!$C$2='Data Validation'!$A$2,AG57,IF('Adjustment Surface'!$C$2='Data Validation'!$A$3,AH57,"Unknown Option Type")))*(NORMDIST((IF('Adjustment Surface'!$C$2='Data Validation'!$A$2,AH57,IF('Adjustment Surface'!$C$2='Data Validation'!$A$3,AG57,"Unknown Option Type"))-IF('Adjustment Surface'!$C$2='Data Validation'!$A$2,AG57,IF('Adjustment Surface'!$C$2='Data Validation'!$A$3,AH57,"Unknown Option Type")))/(AI57*SQRT(AE57)),0,1,TRUE)))+((AI57*SQRT(AE57))*(NORMDIST((IF('Adjustment Surface'!$C$2='Data Validation'!$A$2,AH57,IF('Adjustment Surface'!$C$2='Data Validation'!$A$3,AG57,"Unknown Option Type"))-IF('Adjustment Surface'!$C$2='Data Validation'!$A$2,AG57,IF('Adjustment Surface'!$C$2='Data Validation'!$A$3,AH57,"Unknown Option Type")))/(AI57*SQRT(AE57)),0,1,FALSE))))*AJ57*(AD57/360)*AF57))</f>
        <v/>
      </c>
      <c r="AM57" s="15" t="str">
        <f>IF(AA57="","",SUM(AL$4:AL57))</f>
        <v/>
      </c>
      <c r="AO57" s="15" t="str">
        <f>IF(AA57="","",IF(AB57&lt;'Rate &amp; Vol Update'!$C$2,0,((((((IF('Adjustment Surface'!$C$2='Data Validation'!$A$2,AH57,IF('Adjustment Surface'!$C$2='Data Validation'!$A$3,AG57,"Unknown Option Type"))-IF('Adjustment Surface'!$C$2='Data Validation'!$A$2,AG57,IF('Adjustment Surface'!$C$2='Data Validation'!$A$3,AH57,"Unknown Option Type")))*(NORMDIST((IF('Adjustment Surface'!$C$2='Data Validation'!$A$2,AH57,IF('Adjustment Surface'!$C$2='Data Validation'!$A$3,AG57,"Unknown Option Type"))-IF('Adjustment Surface'!$C$2='Data Validation'!$A$2,AG57,IF('Adjustment Surface'!$C$2='Data Validation'!$A$3,AH57,"Unknown Option Type")))/((AI57+0.01%)*SQRT(AE57)),0,1,TRUE)))+(((AI57+0.01%)*SQRT(AE57))*(NORMDIST((IF('Adjustment Surface'!$C$2='Data Validation'!$A$2,AH57,IF('Adjustment Surface'!$C$2='Data Validation'!$A$3,AG57,"Unknown Option Type"))-IF('Adjustment Surface'!$C$2='Data Validation'!$A$2,AG57,IF('Adjustment Surface'!$C$2='Data Validation'!$A$3,AH57,"Unknown Option Type")))/((AI57+0.01%)*SQRT(AE57)),0,1,FALSE))))*AJ57*(AD57/360))-(AL57/AF57))*AF57)*AJ57))</f>
        <v/>
      </c>
      <c r="AP57" s="15" t="str">
        <f>IF(AA57="","",SUM(AO$4:AO57))</f>
        <v/>
      </c>
      <c r="AQ57" s="15"/>
      <c r="AR57" s="20"/>
      <c r="AT57" s="4" t="str">
        <f>IF(AU56=MAX('Adjustment Surface'!$C$14:$F$14),"",AU56)</f>
        <v/>
      </c>
      <c r="AU57" s="4" t="str">
        <f>IF(AT57="","",IF(AT57&lt;EDATE('Adjustment Surface'!$C$6,DATEDIF('Adjustment Surface'!$C$6,MAX('Adjustment Surface'!$C$14:$F$14),"M")),EDATE(AT$5,COUNT(AT$5:AT57)),IF(AT57=EDATE('Adjustment Surface'!$C$6,DATEDIF('Adjustment Surface'!$C$6,MAX('Adjustment Surface'!$C$14:$F$14),"M")),MAX('Adjustment Surface'!$C$14:$F$14),EDATE('Adjustment Surface'!$C$6,DATEDIF('Adjustment Surface'!$C$6,MAX('Adjustment Surface'!$C$14:$F$14),"M")))))</f>
        <v/>
      </c>
      <c r="AV57" s="3" t="str">
        <f t="shared" si="3"/>
        <v/>
      </c>
      <c r="AW57" s="5" t="str">
        <f>IF(AS57="","",(AU57-'Rate &amp; Vol Update'!$C$2)/360)</f>
        <v/>
      </c>
      <c r="AX57" s="15" t="str">
        <f>IF(AS57="","",IF('Adjustment Surface'!$C$3='Data Validation'!$C$2,'Adjustment Surface'!$C$4,_xlfn.IFNA(IF(INDEX(Schedules!$E$3:$E$123,MATCH('Bachelier Model'!AT57,Schedules!$B$3:$B$123,0))="",AX56,INDEX(Schedules!$E$3:$E$123,MATCH('Bachelier Model'!AT57,Schedules!$B$3:$B$123,0))),AX56)))</f>
        <v/>
      </c>
      <c r="AY57" s="16" t="str">
        <f>IF(AS57="","",'Adjustment Surface'!B$16)</f>
        <v/>
      </c>
      <c r="AZ57" s="16" t="str" cm="1">
        <f t="array" ref="AZ57">IF(AS57="","",FORECAST(AT57,INDEX('Rate &amp; Vol Update'!$C$6:$C$127,MATCH(INDEX('Rate &amp; Vol Update'!$B$6:$B$127,MATCH(AT57,'Rate &amp; Vol Update'!$B$6:$B$127,1)),'Rate &amp; Vol Update'!$B$6:$B$127,0)+IF('Adjustment Surface'!$C$11='Data Validation'!$E$3,-1,0)):INDEX('Rate &amp; Vol Update'!$C$6:$C$127,MATCH(INDEX('Rate &amp; Vol Update'!$B$6:$B$127,MATCH(AT57,'Rate &amp; Vol Update'!$B$6:$B$127,1)+1),'Rate &amp; Vol Update'!$B$6:$B$127,0)+IF('Adjustment Surface'!$C$11='Data Validation'!$E$3,-1,0)),INDEX('Rate &amp; Vol Update'!$B$6:$B$127,MATCH(AT57,'Rate &amp; Vol Update'!$B$6:$B$127,1)):INDEX('Rate &amp; Vol Update'!$B$6:$B$127,MATCH(AT57,'Rate &amp; Vol Update'!$B$6:$B$127,1)+1))/100)</f>
        <v/>
      </c>
      <c r="BA57" s="16" t="str" cm="1">
        <f t="array" ref="BA57">IF(AS57="","",IF(AT57&lt;'Rate &amp; Vol Update'!$C$2,0.001%,(1/((INDEX('Rate &amp; Vol Update'!$E$6:$Z$6,1,MATCH(AY57,'Rate &amp; Vol Update'!$E$6:$Z$6,1)+1)-INDEX('Rate &amp; Vol Update'!$E$6:$Z$6,1,MATCH(AY57,'Rate &amp; Vol Update'!$E$6:$Z$6,1)))*(INDEX('Rate &amp; Vol Update'!$B$8:$B$127,MATCH(AT57,'Rate &amp; Vol Update'!$B$8:$B$127,1)+1)-INDEX('Rate &amp; Vol Update'!$B$8:$B$127,MATCH(AT57,'Rate &amp; Vol Update'!$B$8:$B$127,1))))*(INDEX('Rate &amp; Vol Update'!$E$8:$Z$127,MATCH(INDEX('Rate &amp; Vol Update'!$B$8:$B$127,MATCH(AT57,'Rate &amp; Vol Update'!$B$8:$B$127,1)),'Rate &amp; Vol Update'!$B$8:$B$127,0),MATCH(INDEX('Rate &amp; Vol Update'!$E$6:$Z$6,1,MATCH(AY57,'Rate &amp; Vol Update'!$E$6:$Z$6,1)),'Rate &amp; Vol Update'!$E$6:$Z$6,0))*(INDEX('Rate &amp; Vol Update'!$E$6:$Z$6,1,MATCH(AY57,'Rate &amp; Vol Update'!$E$6:$Z$6,1)+1)-AY57)*(INDEX('Rate &amp; Vol Update'!$B$8:$B$127,MATCH(AT57,'Rate &amp; Vol Update'!$B$8:$B$127,1)+1)-AT57)+INDEX('Rate &amp; Vol Update'!$E$8:$Z$127,MATCH(INDEX('Rate &amp; Vol Update'!$B$8:$B$127,MATCH(AT57,'Rate &amp; Vol Update'!$B$8:$B$127,1)),'Rate &amp; Vol Update'!$B$8:$B$127,0),MATCH(INDEX('Rate &amp; Vol Update'!$E$6:$Z$6,1,MATCH(AY57,'Rate &amp; Vol Update'!$E$6:$Z$6,1)+1),'Rate &amp; Vol Update'!$E$6:$Z$6,0))*(AY57-INDEX('Rate &amp; Vol Update'!$E$6:$Z$6,1,MATCH(AY57,'Rate &amp; Vol Update'!$E$6:$Z$6,1)))*(INDEX('Rate &amp; Vol Update'!$B$8:$B$127,MATCH(AT57,'Rate &amp; Vol Update'!$B$8:$B$127,1)+1)-AT57)+INDEX('Rate &amp; Vol Update'!$E$8:$Z$127,MATCH(INDEX('Rate &amp; Vol Update'!$B$8:$B$127,MATCH(AT57,'Rate &amp; Vol Update'!$B$8:$B$127,1)+1),'Rate &amp; Vol Update'!$B$8:$B$127,0),MATCH(INDEX('Rate &amp; Vol Update'!$E$6:$Z$6,1,MATCH(AY57,'Rate &amp; Vol Update'!$E$6:$Z$6,1)),'Rate &amp; Vol Update'!$E$6:$Z$6,0))*(INDEX('Rate &amp; Vol Update'!$E$6:$Z$6,1,MATCH(AY57,'Rate &amp; Vol Update'!$E$6:$Z$6,1)+1)-AY57)*(AT57-INDEX('Rate &amp; Vol Update'!$B$8:$B$127,MATCH(AT57,'Rate &amp; Vol Update'!$B$8:$B$127,1)))+INDEX('Rate &amp; Vol Update'!$E$8:$Z$127,MATCH(INDEX('Rate &amp; Vol Update'!$B$8:$B$127,MATCH(AT57,'Rate &amp; Vol Update'!$B$8:$B$127,1)+1),'Rate &amp; Vol Update'!$B$8:$B$127,0),MATCH(INDEX('Rate &amp; Vol Update'!$E$6:$Z$6,1,MATCH(AY57,'Rate &amp; Vol Update'!$E$6:$Z$6,1)+1),'Rate &amp; Vol Update'!$E$6:$Z$6,0))*(AY57-INDEX('Rate &amp; Vol Update'!$E$6:$Z$6,1,MATCH(AY57,'Rate &amp; Vol Update'!$E$6:$Z$6,1)))*(AT57-INDEX('Rate &amp; Vol Update'!$B$8:$B$127,MATCH(AT57,'Rate &amp; Vol Update'!$B$8:$B$127,1)))))*0.01%))</f>
        <v/>
      </c>
      <c r="BB57" s="5" t="str">
        <f>IF(AS57="","",1/((1+AZ57)^((AU57-'Rate &amp; Vol Update'!$C$2)/360)))</f>
        <v/>
      </c>
      <c r="BD57" s="15" t="str">
        <f>IF(AS57="","",IF(AT57&lt;'Rate &amp; Vol Update'!$C$2,MAX(0,AZ57-AY57)*(AV57/360)*AX57,(((IF('Adjustment Surface'!$C$2='Data Validation'!$A$2,AZ57,IF('Adjustment Surface'!$C$2='Data Validation'!$A$3,AY57,"Unknown Option Type"))-IF('Adjustment Surface'!$C$2='Data Validation'!$A$2,AY57,IF('Adjustment Surface'!$C$2='Data Validation'!$A$3,AZ57,"Unknown Option Type")))*(NORMDIST((IF('Adjustment Surface'!$C$2='Data Validation'!$A$2,AZ57,IF('Adjustment Surface'!$C$2='Data Validation'!$A$3,AY57,"Unknown Option Type"))-IF('Adjustment Surface'!$C$2='Data Validation'!$A$2,AY57,IF('Adjustment Surface'!$C$2='Data Validation'!$A$3,AZ57,"Unknown Option Type")))/(BA57*SQRT(AW57)),0,1,TRUE)))+((BA57*SQRT(AW57))*(NORMDIST((IF('Adjustment Surface'!$C$2='Data Validation'!$A$2,AZ57,IF('Adjustment Surface'!$C$2='Data Validation'!$A$3,AY57,"Unknown Option Type"))-IF('Adjustment Surface'!$C$2='Data Validation'!$A$2,AY57,IF('Adjustment Surface'!$C$2='Data Validation'!$A$3,AZ57,"Unknown Option Type")))/(BA57*SQRT(AW57)),0,1,FALSE))))*BB57*(AV57/360)*AX57))</f>
        <v/>
      </c>
      <c r="BE57" s="15" t="str">
        <f>IF(AS57="","",SUM(BD$4:BD57))</f>
        <v/>
      </c>
      <c r="BG57" s="15" t="str">
        <f>IF(AS57="","",IF(AT57&lt;'Rate &amp; Vol Update'!$C$2,0,((((((IF('Adjustment Surface'!$C$2='Data Validation'!$A$2,AZ57,IF('Adjustment Surface'!$C$2='Data Validation'!$A$3,AY57,"Unknown Option Type"))-IF('Adjustment Surface'!$C$2='Data Validation'!$A$2,AY57,IF('Adjustment Surface'!$C$2='Data Validation'!$A$3,AZ57,"Unknown Option Type")))*(NORMDIST((IF('Adjustment Surface'!$C$2='Data Validation'!$A$2,AZ57,IF('Adjustment Surface'!$C$2='Data Validation'!$A$3,AY57,"Unknown Option Type"))-IF('Adjustment Surface'!$C$2='Data Validation'!$A$2,AY57,IF('Adjustment Surface'!$C$2='Data Validation'!$A$3,AZ57,"Unknown Option Type")))/((BA57+0.01%)*SQRT(AW57)),0,1,TRUE)))+(((BA57+0.01%)*SQRT(AW57))*(NORMDIST((IF('Adjustment Surface'!$C$2='Data Validation'!$A$2,AZ57,IF('Adjustment Surface'!$C$2='Data Validation'!$A$3,AY57,"Unknown Option Type"))-IF('Adjustment Surface'!$C$2='Data Validation'!$A$2,AY57,IF('Adjustment Surface'!$C$2='Data Validation'!$A$3,AZ57,"Unknown Option Type")))/((BA57+0.01%)*SQRT(AW57)),0,1,FALSE))))*BB57*(AV57/360))-(BD57/AX57))*AX57)*BB57))</f>
        <v/>
      </c>
      <c r="BH57" s="15" t="str">
        <f>IF(AS57="","",SUM(BG$4:BG57))</f>
        <v/>
      </c>
      <c r="BI57" s="15"/>
      <c r="BJ57" s="20"/>
      <c r="BL57" s="4" t="str">
        <f>IF(BM56=MAX('Adjustment Surface'!$C$14:$F$14),"",BM56)</f>
        <v/>
      </c>
      <c r="BM57" s="4" t="str">
        <f>IF(BL57="","",IF(BL57&lt;EDATE('Adjustment Surface'!$C$6,DATEDIF('Adjustment Surface'!$C$6,MAX('Adjustment Surface'!$C$14:$F$14),"M")),EDATE(BL$5,COUNT(BL$5:BL57)),IF(BL57=EDATE('Adjustment Surface'!$C$6,DATEDIF('Adjustment Surface'!$C$6,MAX('Adjustment Surface'!$C$14:$F$14),"M")),MAX('Adjustment Surface'!$C$14:$F$14),EDATE('Adjustment Surface'!$C$6,DATEDIF('Adjustment Surface'!$C$6,MAX('Adjustment Surface'!$C$14:$F$14),"M")))))</f>
        <v/>
      </c>
      <c r="BN57" s="3" t="str">
        <f t="shared" si="4"/>
        <v/>
      </c>
      <c r="BO57" s="5" t="str">
        <f>IF(BK57="","",(BM57-'Rate &amp; Vol Update'!$C$2)/360)</f>
        <v/>
      </c>
      <c r="BP57" s="15" t="str">
        <f>IF(BK57="","",IF('Adjustment Surface'!$C$3='Data Validation'!$C$2,'Adjustment Surface'!$C$4,_xlfn.IFNA(IF(INDEX(Schedules!$E$3:$E$123,MATCH('Bachelier Model'!BL57,Schedules!$B$3:$B$123,0))="",BP56,INDEX(Schedules!$E$3:$E$123,MATCH('Bachelier Model'!BL57,Schedules!$B$3:$B$123,0))),BP56)))</f>
        <v/>
      </c>
      <c r="BQ57" s="16" t="str">
        <f>IF(BK57="","",'Adjustment Surface'!B$17)</f>
        <v/>
      </c>
      <c r="BR57" s="16" t="str" cm="1">
        <f t="array" ref="BR57">IF(BK57="","",FORECAST(BL57,INDEX('Rate &amp; Vol Update'!$C$6:$C$127,MATCH(INDEX('Rate &amp; Vol Update'!$B$6:$B$127,MATCH(BL57,'Rate &amp; Vol Update'!$B$6:$B$127,1)),'Rate &amp; Vol Update'!$B$6:$B$127,0)+IF('Adjustment Surface'!$C$11='Data Validation'!$E$3,-1,0)):INDEX('Rate &amp; Vol Update'!$C$6:$C$127,MATCH(INDEX('Rate &amp; Vol Update'!$B$6:$B$127,MATCH(BL57,'Rate &amp; Vol Update'!$B$6:$B$127,1)+1),'Rate &amp; Vol Update'!$B$6:$B$127,0)+IF('Adjustment Surface'!$C$11='Data Validation'!$E$3,-1,0)),INDEX('Rate &amp; Vol Update'!$B$6:$B$127,MATCH(BL57,'Rate &amp; Vol Update'!$B$6:$B$127,1)):INDEX('Rate &amp; Vol Update'!$B$6:$B$127,MATCH(BL57,'Rate &amp; Vol Update'!$B$6:$B$127,1)+1))/100)</f>
        <v/>
      </c>
      <c r="BS57" s="16" t="str" cm="1">
        <f t="array" ref="BS57">IF(BK57="","",IF(BL57&lt;'Rate &amp; Vol Update'!$C$2,0.001%,(1/((INDEX('Rate &amp; Vol Update'!$E$6:$Z$6,1,MATCH(BQ57,'Rate &amp; Vol Update'!$E$6:$Z$6,1)+1)-INDEX('Rate &amp; Vol Update'!$E$6:$Z$6,1,MATCH(BQ57,'Rate &amp; Vol Update'!$E$6:$Z$6,1)))*(INDEX('Rate &amp; Vol Update'!$B$8:$B$127,MATCH(BL57,'Rate &amp; Vol Update'!$B$8:$B$127,1)+1)-INDEX('Rate &amp; Vol Update'!$B$8:$B$127,MATCH(BL57,'Rate &amp; Vol Update'!$B$8:$B$127,1))))*(INDEX('Rate &amp; Vol Update'!$E$8:$Z$127,MATCH(INDEX('Rate &amp; Vol Update'!$B$8:$B$127,MATCH(BL57,'Rate &amp; Vol Update'!$B$8:$B$127,1)),'Rate &amp; Vol Update'!$B$8:$B$127,0),MATCH(INDEX('Rate &amp; Vol Update'!$E$6:$Z$6,1,MATCH(BQ57,'Rate &amp; Vol Update'!$E$6:$Z$6,1)),'Rate &amp; Vol Update'!$E$6:$Z$6,0))*(INDEX('Rate &amp; Vol Update'!$E$6:$Z$6,1,MATCH(BQ57,'Rate &amp; Vol Update'!$E$6:$Z$6,1)+1)-BQ57)*(INDEX('Rate &amp; Vol Update'!$B$8:$B$127,MATCH(BL57,'Rate &amp; Vol Update'!$B$8:$B$127,1)+1)-BL57)+INDEX('Rate &amp; Vol Update'!$E$8:$Z$127,MATCH(INDEX('Rate &amp; Vol Update'!$B$8:$B$127,MATCH(BL57,'Rate &amp; Vol Update'!$B$8:$B$127,1)),'Rate &amp; Vol Update'!$B$8:$B$127,0),MATCH(INDEX('Rate &amp; Vol Update'!$E$6:$Z$6,1,MATCH(BQ57,'Rate &amp; Vol Update'!$E$6:$Z$6,1)+1),'Rate &amp; Vol Update'!$E$6:$Z$6,0))*(BQ57-INDEX('Rate &amp; Vol Update'!$E$6:$Z$6,1,MATCH(BQ57,'Rate &amp; Vol Update'!$E$6:$Z$6,1)))*(INDEX('Rate &amp; Vol Update'!$B$8:$B$127,MATCH(BL57,'Rate &amp; Vol Update'!$B$8:$B$127,1)+1)-BL57)+INDEX('Rate &amp; Vol Update'!$E$8:$Z$127,MATCH(INDEX('Rate &amp; Vol Update'!$B$8:$B$127,MATCH(BL57,'Rate &amp; Vol Update'!$B$8:$B$127,1)+1),'Rate &amp; Vol Update'!$B$8:$B$127,0),MATCH(INDEX('Rate &amp; Vol Update'!$E$6:$Z$6,1,MATCH(BQ57,'Rate &amp; Vol Update'!$E$6:$Z$6,1)),'Rate &amp; Vol Update'!$E$6:$Z$6,0))*(INDEX('Rate &amp; Vol Update'!$E$6:$Z$6,1,MATCH(BQ57,'Rate &amp; Vol Update'!$E$6:$Z$6,1)+1)-BQ57)*(BL57-INDEX('Rate &amp; Vol Update'!$B$8:$B$127,MATCH(BL57,'Rate &amp; Vol Update'!$B$8:$B$127,1)))+INDEX('Rate &amp; Vol Update'!$E$8:$Z$127,MATCH(INDEX('Rate &amp; Vol Update'!$B$8:$B$127,MATCH(BL57,'Rate &amp; Vol Update'!$B$8:$B$127,1)+1),'Rate &amp; Vol Update'!$B$8:$B$127,0),MATCH(INDEX('Rate &amp; Vol Update'!$E$6:$Z$6,1,MATCH(BQ57,'Rate &amp; Vol Update'!$E$6:$Z$6,1)+1),'Rate &amp; Vol Update'!$E$6:$Z$6,0))*(BQ57-INDEX('Rate &amp; Vol Update'!$E$6:$Z$6,1,MATCH(BQ57,'Rate &amp; Vol Update'!$E$6:$Z$6,1)))*(BL57-INDEX('Rate &amp; Vol Update'!$B$8:$B$127,MATCH(BL57,'Rate &amp; Vol Update'!$B$8:$B$127,1)))))*0.01%))</f>
        <v/>
      </c>
      <c r="BT57" s="5" t="str">
        <f>IF(BK57="","",1/((1+BR57)^((BM57-'Rate &amp; Vol Update'!$C$2)/360)))</f>
        <v/>
      </c>
      <c r="BV57" s="15" t="str">
        <f>IF(BK57="","",IF(BL57&lt;'Rate &amp; Vol Update'!$C$2,MAX(0,BR57-BQ57)*(BN57/360)*BP57,(((IF('Adjustment Surface'!$C$2='Data Validation'!$A$2,BR57,IF('Adjustment Surface'!$C$2='Data Validation'!$A$3,BQ57,"Unknown Option Type"))-IF('Adjustment Surface'!$C$2='Data Validation'!$A$2,BQ57,IF('Adjustment Surface'!$C$2='Data Validation'!$A$3,BR57,"Unknown Option Type")))*(NORMDIST((IF('Adjustment Surface'!$C$2='Data Validation'!$A$2,BR57,IF('Adjustment Surface'!$C$2='Data Validation'!$A$3,BQ57,"Unknown Option Type"))-IF('Adjustment Surface'!$C$2='Data Validation'!$A$2,BQ57,IF('Adjustment Surface'!$C$2='Data Validation'!$A$3,BR57,"Unknown Option Type")))/(BS57*SQRT(BO57)),0,1,TRUE)))+((BS57*SQRT(BO57))*(NORMDIST((IF('Adjustment Surface'!$C$2='Data Validation'!$A$2,BR57,IF('Adjustment Surface'!$C$2='Data Validation'!$A$3,BQ57,"Unknown Option Type"))-IF('Adjustment Surface'!$C$2='Data Validation'!$A$2,BQ57,IF('Adjustment Surface'!$C$2='Data Validation'!$A$3,BR57,"Unknown Option Type")))/(BS57*SQRT(BO57)),0,1,FALSE))))*BT57*(BN57/360)*BP57))</f>
        <v/>
      </c>
      <c r="BW57" s="15" t="str">
        <f>IF(BK57="","",SUM(BV$4:BV57))</f>
        <v/>
      </c>
      <c r="BY57" s="15" t="str">
        <f>IF(BK57="","",IF(BL57&lt;'Rate &amp; Vol Update'!$C$2,0,((((((IF('Adjustment Surface'!$C$2='Data Validation'!$A$2,BR57,IF('Adjustment Surface'!$C$2='Data Validation'!$A$3,BQ57,"Unknown Option Type"))-IF('Adjustment Surface'!$C$2='Data Validation'!$A$2,BQ57,IF('Adjustment Surface'!$C$2='Data Validation'!$A$3,BR57,"Unknown Option Type")))*(NORMDIST((IF('Adjustment Surface'!$C$2='Data Validation'!$A$2,BR57,IF('Adjustment Surface'!$C$2='Data Validation'!$A$3,BQ57,"Unknown Option Type"))-IF('Adjustment Surface'!$C$2='Data Validation'!$A$2,BQ57,IF('Adjustment Surface'!$C$2='Data Validation'!$A$3,BR57,"Unknown Option Type")))/((BS57+0.01%)*SQRT(BO57)),0,1,TRUE)))+(((BS57+0.01%)*SQRT(BO57))*(NORMDIST((IF('Adjustment Surface'!$C$2='Data Validation'!$A$2,BR57,IF('Adjustment Surface'!$C$2='Data Validation'!$A$3,BQ57,"Unknown Option Type"))-IF('Adjustment Surface'!$C$2='Data Validation'!$A$2,BQ57,IF('Adjustment Surface'!$C$2='Data Validation'!$A$3,BR57,"Unknown Option Type")))/((BS57+0.01%)*SQRT(BO57)),0,1,FALSE))))*BT57*(BN57/360))-(BV57/BP57))*BP57)*BT57))</f>
        <v/>
      </c>
      <c r="BZ57" s="15" t="str">
        <f>IF(BK57="","",SUM(BY$4:BY57))</f>
        <v/>
      </c>
      <c r="CA57" s="15"/>
      <c r="CB57" s="20"/>
      <c r="CD57" s="4" t="str">
        <f>IF(CE56=MAX('Adjustment Surface'!$C$14:$F$14),"",CE56)</f>
        <v/>
      </c>
      <c r="CE57" s="4" t="str">
        <f>IF(CD57="","",IF(CD57&lt;EDATE('Adjustment Surface'!$C$6,DATEDIF('Adjustment Surface'!$C$6,MAX('Adjustment Surface'!$C$14:$F$14),"M")),EDATE(CD$5,COUNT(CD$5:CD57)),IF(CD57=EDATE('Adjustment Surface'!$C$6,DATEDIF('Adjustment Surface'!$C$6,MAX('Adjustment Surface'!$C$14:$F$14),"M")),MAX('Adjustment Surface'!$C$14:$F$14),EDATE('Adjustment Surface'!$C$6,DATEDIF('Adjustment Surface'!$C$6,MAX('Adjustment Surface'!$C$14:$F$14),"M")))))</f>
        <v/>
      </c>
      <c r="CF57" s="3" t="str">
        <f t="shared" si="5"/>
        <v/>
      </c>
      <c r="CG57" s="5" t="str">
        <f>IF(CC57="","",(CE57-'Rate &amp; Vol Update'!$C$2)/360)</f>
        <v/>
      </c>
      <c r="CH57" s="15" t="str">
        <f>IF(CC57="","",IF('Adjustment Surface'!$C$3='Data Validation'!$C$2,'Adjustment Surface'!$C$4,_xlfn.IFNA(IF(INDEX(Schedules!$E$3:$E$123,MATCH('Bachelier Model'!CD57,Schedules!$B$3:$B$123,0))="",CH56,INDEX(Schedules!$E$3:$E$123,MATCH('Bachelier Model'!CD57,Schedules!$B$3:$B$123,0))),CH56)))</f>
        <v/>
      </c>
      <c r="CI57" s="16" t="str">
        <f>IF(CC57="","",'Adjustment Surface'!B$18)</f>
        <v/>
      </c>
      <c r="CJ57" s="16" t="str" cm="1">
        <f t="array" ref="CJ57">IF(CC57="","",FORECAST(CD57,INDEX('Rate &amp; Vol Update'!$C$6:$C$127,MATCH(INDEX('Rate &amp; Vol Update'!$B$6:$B$127,MATCH(CD57,'Rate &amp; Vol Update'!$B$6:$B$127,1)),'Rate &amp; Vol Update'!$B$6:$B$127,0)+IF('Adjustment Surface'!$C$11='Data Validation'!$E$3,-1,0)):INDEX('Rate &amp; Vol Update'!$C$6:$C$127,MATCH(INDEX('Rate &amp; Vol Update'!$B$6:$B$127,MATCH(CD57,'Rate &amp; Vol Update'!$B$6:$B$127,1)+1),'Rate &amp; Vol Update'!$B$6:$B$127,0)+IF('Adjustment Surface'!$C$11='Data Validation'!$E$3,-1,0)),INDEX('Rate &amp; Vol Update'!$B$6:$B$127,MATCH(CD57,'Rate &amp; Vol Update'!$B$6:$B$127,1)):INDEX('Rate &amp; Vol Update'!$B$6:$B$127,MATCH(CD57,'Rate &amp; Vol Update'!$B$6:$B$127,1)+1))/100)</f>
        <v/>
      </c>
      <c r="CK57" s="16" t="str" cm="1">
        <f t="array" ref="CK57">IF(CC57="","",IF(CD57&lt;'Rate &amp; Vol Update'!$C$2,0.001%,(1/((INDEX('Rate &amp; Vol Update'!$E$6:$Z$6,1,MATCH(CI57,'Rate &amp; Vol Update'!$E$6:$Z$6,1)+1)-INDEX('Rate &amp; Vol Update'!$E$6:$Z$6,1,MATCH(CI57,'Rate &amp; Vol Update'!$E$6:$Z$6,1)))*(INDEX('Rate &amp; Vol Update'!$B$8:$B$127,MATCH(CD57,'Rate &amp; Vol Update'!$B$8:$B$127,1)+1)-INDEX('Rate &amp; Vol Update'!$B$8:$B$127,MATCH(CD57,'Rate &amp; Vol Update'!$B$8:$B$127,1))))*(INDEX('Rate &amp; Vol Update'!$E$8:$Z$127,MATCH(INDEX('Rate &amp; Vol Update'!$B$8:$B$127,MATCH(CD57,'Rate &amp; Vol Update'!$B$8:$B$127,1)),'Rate &amp; Vol Update'!$B$8:$B$127,0),MATCH(INDEX('Rate &amp; Vol Update'!$E$6:$Z$6,1,MATCH(CI57,'Rate &amp; Vol Update'!$E$6:$Z$6,1)),'Rate &amp; Vol Update'!$E$6:$Z$6,0))*(INDEX('Rate &amp; Vol Update'!$E$6:$Z$6,1,MATCH(CI57,'Rate &amp; Vol Update'!$E$6:$Z$6,1)+1)-CI57)*(INDEX('Rate &amp; Vol Update'!$B$8:$B$127,MATCH(CD57,'Rate &amp; Vol Update'!$B$8:$B$127,1)+1)-CD57)+INDEX('Rate &amp; Vol Update'!$E$8:$Z$127,MATCH(INDEX('Rate &amp; Vol Update'!$B$8:$B$127,MATCH(CD57,'Rate &amp; Vol Update'!$B$8:$B$127,1)),'Rate &amp; Vol Update'!$B$8:$B$127,0),MATCH(INDEX('Rate &amp; Vol Update'!$E$6:$Z$6,1,MATCH(CI57,'Rate &amp; Vol Update'!$E$6:$Z$6,1)+1),'Rate &amp; Vol Update'!$E$6:$Z$6,0))*(CI57-INDEX('Rate &amp; Vol Update'!$E$6:$Z$6,1,MATCH(CI57,'Rate &amp; Vol Update'!$E$6:$Z$6,1)))*(INDEX('Rate &amp; Vol Update'!$B$8:$B$127,MATCH(CD57,'Rate &amp; Vol Update'!$B$8:$B$127,1)+1)-CD57)+INDEX('Rate &amp; Vol Update'!$E$8:$Z$127,MATCH(INDEX('Rate &amp; Vol Update'!$B$8:$B$127,MATCH(CD57,'Rate &amp; Vol Update'!$B$8:$B$127,1)+1),'Rate &amp; Vol Update'!$B$8:$B$127,0),MATCH(INDEX('Rate &amp; Vol Update'!$E$6:$Z$6,1,MATCH(CI57,'Rate &amp; Vol Update'!$E$6:$Z$6,1)),'Rate &amp; Vol Update'!$E$6:$Z$6,0))*(INDEX('Rate &amp; Vol Update'!$E$6:$Z$6,1,MATCH(CI57,'Rate &amp; Vol Update'!$E$6:$Z$6,1)+1)-CI57)*(CD57-INDEX('Rate &amp; Vol Update'!$B$8:$B$127,MATCH(CD57,'Rate &amp; Vol Update'!$B$8:$B$127,1)))+INDEX('Rate &amp; Vol Update'!$E$8:$Z$127,MATCH(INDEX('Rate &amp; Vol Update'!$B$8:$B$127,MATCH(CD57,'Rate &amp; Vol Update'!$B$8:$B$127,1)+1),'Rate &amp; Vol Update'!$B$8:$B$127,0),MATCH(INDEX('Rate &amp; Vol Update'!$E$6:$Z$6,1,MATCH(CI57,'Rate &amp; Vol Update'!$E$6:$Z$6,1)+1),'Rate &amp; Vol Update'!$E$6:$Z$6,0))*(CI57-INDEX('Rate &amp; Vol Update'!$E$6:$Z$6,1,MATCH(CI57,'Rate &amp; Vol Update'!$E$6:$Z$6,1)))*(CD57-INDEX('Rate &amp; Vol Update'!$B$8:$B$127,MATCH(CD57,'Rate &amp; Vol Update'!$B$8:$B$127,1)))))*0.01%))</f>
        <v/>
      </c>
      <c r="CL57" s="5" t="str">
        <f>IF(CC57="","",1/((1+CJ57)^((CE57-'Rate &amp; Vol Update'!$C$2)/360)))</f>
        <v/>
      </c>
      <c r="CN57" s="15" t="str">
        <f>IF(CC57="","",IF(CD57&lt;'Rate &amp; Vol Update'!$C$2,MAX(0,CJ57-CI57)*(CF57/360)*CH57,(((IF('Adjustment Surface'!$C$2='Data Validation'!$A$2,CJ57,IF('Adjustment Surface'!$C$2='Data Validation'!$A$3,CI57,"Unknown Option Type"))-IF('Adjustment Surface'!$C$2='Data Validation'!$A$2,CI57,IF('Adjustment Surface'!$C$2='Data Validation'!$A$3,CJ57,"Unknown Option Type")))*(NORMDIST((IF('Adjustment Surface'!$C$2='Data Validation'!$A$2,CJ57,IF('Adjustment Surface'!$C$2='Data Validation'!$A$3,CI57,"Unknown Option Type"))-IF('Adjustment Surface'!$C$2='Data Validation'!$A$2,CI57,IF('Adjustment Surface'!$C$2='Data Validation'!$A$3,CJ57,"Unknown Option Type")))/(CK57*SQRT(CG57)),0,1,TRUE)))+((CK57*SQRT(CG57))*(NORMDIST((IF('Adjustment Surface'!$C$2='Data Validation'!$A$2,CJ57,IF('Adjustment Surface'!$C$2='Data Validation'!$A$3,CI57,"Unknown Option Type"))-IF('Adjustment Surface'!$C$2='Data Validation'!$A$2,CI57,IF('Adjustment Surface'!$C$2='Data Validation'!$A$3,CJ57,"Unknown Option Type")))/(CK57*SQRT(CG57)),0,1,FALSE))))*CL57*(CF57/360)*CH57))</f>
        <v/>
      </c>
      <c r="CO57" s="15" t="str">
        <f>IF(CC57="","",SUM(CN$4:CN57))</f>
        <v/>
      </c>
      <c r="CQ57" s="15" t="str">
        <f>IF(CC57="","",IF(CD57&lt;'Rate &amp; Vol Update'!$C$2,0,((((((IF('Adjustment Surface'!$C$2='Data Validation'!$A$2,CJ57,IF('Adjustment Surface'!$C$2='Data Validation'!$A$3,CI57,"Unknown Option Type"))-IF('Adjustment Surface'!$C$2='Data Validation'!$A$2,CI57,IF('Adjustment Surface'!$C$2='Data Validation'!$A$3,CJ57,"Unknown Option Type")))*(NORMDIST((IF('Adjustment Surface'!$C$2='Data Validation'!$A$2,CJ57,IF('Adjustment Surface'!$C$2='Data Validation'!$A$3,CI57,"Unknown Option Type"))-IF('Adjustment Surface'!$C$2='Data Validation'!$A$2,CI57,IF('Adjustment Surface'!$C$2='Data Validation'!$A$3,CJ57,"Unknown Option Type")))/((CK57+0.01%)*SQRT(CG57)),0,1,TRUE)))+(((CK57+0.01%)*SQRT(CG57))*(NORMDIST((IF('Adjustment Surface'!$C$2='Data Validation'!$A$2,CJ57,IF('Adjustment Surface'!$C$2='Data Validation'!$A$3,CI57,"Unknown Option Type"))-IF('Adjustment Surface'!$C$2='Data Validation'!$A$2,CI57,IF('Adjustment Surface'!$C$2='Data Validation'!$A$3,CJ57,"Unknown Option Type")))/((CK57+0.01%)*SQRT(CG57)),0,1,FALSE))))*CL57*(CF57/360))-(CN57/CH57))*CH57)*CL57))</f>
        <v/>
      </c>
      <c r="CR57" s="15" t="str">
        <f>IF(CC57="","",SUM(CQ$4:CQ57))</f>
        <v/>
      </c>
    </row>
    <row r="58" spans="7:96" x14ac:dyDescent="0.25">
      <c r="G58" s="28"/>
      <c r="J58" s="4" t="str">
        <f>IF(K57='Adjustment Surface'!C$8,"",K57)</f>
        <v/>
      </c>
      <c r="K58" s="4" t="str">
        <f>IF(J58="","",IF(J58&lt;'Adjustment Surface'!C$7,EDATE(J$5,COUNT(J$5:J58)),IF(J58='Adjustment Surface'!C$7,'Adjustment Surface'!C$8,'Adjustment Surface'!C$7)))</f>
        <v/>
      </c>
      <c r="L58" s="3" t="str">
        <f t="shared" si="1"/>
        <v/>
      </c>
      <c r="M58" s="5" t="str">
        <f>IF(I58="","",(K58-'Rate &amp; Vol Update'!$C$2)/360)</f>
        <v/>
      </c>
      <c r="N58" s="15" t="str">
        <f>IF(I58="","",IF('Adjustment Surface'!C$3='Data Validation'!$C$2,'Adjustment Surface'!C$4,IF(INDEX(Schedules!$E$3:$E$123,MATCH('Bachelier Model'!J58,Schedules!$B$3:$B$123,0))="",N57,INDEX(Schedules!$E$3:$E$123,MATCH('Bachelier Model'!J58,Schedules!$B$3:$B$123,0)))))</f>
        <v/>
      </c>
      <c r="O58" s="16" t="str">
        <f>IF(I58="","",IF('Adjustment Surface'!C$9='Data Validation'!$D$2,'Adjustment Surface'!C$10,IF(INDEX(Schedules!$H$3:$H$123,MATCH('Bachelier Model'!J58,Schedules!$B$3:$B$123,0))="",O57,INDEX(Schedules!$H$3:$H$123,MATCH('Bachelier Model'!J58,Schedules!$B$3:$B$123,0)))))</f>
        <v/>
      </c>
      <c r="P58" s="16" t="str" cm="1">
        <f t="array" ref="P58">IF(I58="","",FORECAST(J58,INDEX('Rate &amp; Vol Update'!$C$6:$C$127,MATCH(INDEX('Rate &amp; Vol Update'!$B$6:$B$127,MATCH(J58,'Rate &amp; Vol Update'!$B$6:$B$127,1)),'Rate &amp; Vol Update'!$B$6:$B$127,0)+IF('Adjustment Surface'!C$11='Data Validation'!$E$3,-1,0)):INDEX('Rate &amp; Vol Update'!$C$6:$C$127,MATCH(INDEX('Rate &amp; Vol Update'!$B$6:$B$127,MATCH(J58,'Rate &amp; Vol Update'!$B$6:$B$127,1)+1),'Rate &amp; Vol Update'!$B$6:$B$127,0)+IF('Adjustment Surface'!C$11='Data Validation'!$E$3,-1,0)),INDEX('Rate &amp; Vol Update'!$B$6:$B$127,MATCH(J58,'Rate &amp; Vol Update'!$B$6:$B$127,1)):INDEX('Rate &amp; Vol Update'!$B$6:$B$127,MATCH(J58,'Rate &amp; Vol Update'!$B$6:$B$127,1)+1))/100)</f>
        <v/>
      </c>
      <c r="Q58" s="16" t="str" cm="1">
        <f t="array" ref="Q58">IF(I58="","",IF(J58&lt;'Rate &amp; Vol Update'!$C$2,0.001%,(1/((INDEX('Rate &amp; Vol Update'!$E$6:$Z$6,1,MATCH(O58,'Rate &amp; Vol Update'!$E$6:$Z$6,1)+1)-INDEX('Rate &amp; Vol Update'!$E$6:$Z$6,1,MATCH(O58,'Rate &amp; Vol Update'!$E$6:$Z$6,1)))*(INDEX('Rate &amp; Vol Update'!$B$8:$B$127,MATCH(J58,'Rate &amp; Vol Update'!$B$8:$B$127,1)+1)-INDEX('Rate &amp; Vol Update'!$B$8:$B$127,MATCH(J58,'Rate &amp; Vol Update'!$B$8:$B$127,1))))*(INDEX('Rate &amp; Vol Update'!$E$8:$Z$127,MATCH(INDEX('Rate &amp; Vol Update'!$B$8:$B$127,MATCH(J58,'Rate &amp; Vol Update'!$B$8:$B$127,1)),'Rate &amp; Vol Update'!$B$8:$B$127,0),MATCH(INDEX('Rate &amp; Vol Update'!$E$6:$Z$6,1,MATCH(O58,'Rate &amp; Vol Update'!$E$6:$Z$6,1)),'Rate &amp; Vol Update'!$E$6:$Z$6,0))*(INDEX('Rate &amp; Vol Update'!$E$6:$Z$6,1,MATCH(O58,'Rate &amp; Vol Update'!$E$6:$Z$6,1)+1)-O58)*(INDEX('Rate &amp; Vol Update'!$B$8:$B$127,MATCH(J58,'Rate &amp; Vol Update'!$B$8:$B$127,1)+1)-J58)+INDEX('Rate &amp; Vol Update'!$E$8:$Z$127,MATCH(INDEX('Rate &amp; Vol Update'!$B$8:$B$127,MATCH(J58,'Rate &amp; Vol Update'!$B$8:$B$127,1)),'Rate &amp; Vol Update'!$B$8:$B$127,0),MATCH(INDEX('Rate &amp; Vol Update'!$E$6:$Z$6,1,MATCH(O58,'Rate &amp; Vol Update'!$E$6:$Z$6,1)+1),'Rate &amp; Vol Update'!$E$6:$Z$6,0))*(O58-INDEX('Rate &amp; Vol Update'!$E$6:$Z$6,1,MATCH(O58,'Rate &amp; Vol Update'!$E$6:$Z$6,1)))*(INDEX('Rate &amp; Vol Update'!$B$8:$B$127,MATCH(J58,'Rate &amp; Vol Update'!$B$8:$B$127,1)+1)-J58)+INDEX('Rate &amp; Vol Update'!$E$8:$Z$127,MATCH(INDEX('Rate &amp; Vol Update'!$B$8:$B$127,MATCH(J58,'Rate &amp; Vol Update'!$B$8:$B$127,1)+1),'Rate &amp; Vol Update'!$B$8:$B$127,0),MATCH(INDEX('Rate &amp; Vol Update'!$E$6:$Z$6,1,MATCH(O58,'Rate &amp; Vol Update'!$E$6:$Z$6,1)),'Rate &amp; Vol Update'!$E$6:$Z$6,0))*(INDEX('Rate &amp; Vol Update'!$E$6:$Z$6,1,MATCH(O58,'Rate &amp; Vol Update'!$E$6:$Z$6,1)+1)-O58)*(J58-INDEX('Rate &amp; Vol Update'!$B$8:$B$127,MATCH(J58,'Rate &amp; Vol Update'!$B$8:$B$127,1)))+INDEX('Rate &amp; Vol Update'!$E$8:$Z$127,MATCH(INDEX('Rate &amp; Vol Update'!$B$8:$B$127,MATCH(J58,'Rate &amp; Vol Update'!$B$8:$B$127,1)+1),'Rate &amp; Vol Update'!$B$8:$B$127,0),MATCH(INDEX('Rate &amp; Vol Update'!$E$6:$Z$6,1,MATCH(O58,'Rate &amp; Vol Update'!$E$6:$Z$6,1)+1),'Rate &amp; Vol Update'!$E$6:$Z$6,0))*(O58-INDEX('Rate &amp; Vol Update'!$E$6:$Z$6,1,MATCH(O58,'Rate &amp; Vol Update'!$E$6:$Z$6,1)))*(J58-INDEX('Rate &amp; Vol Update'!$B$8:$B$127,MATCH(J58,'Rate &amp; Vol Update'!$B$8:$B$127,1)))))*0.01%))</f>
        <v/>
      </c>
      <c r="R58" s="5" t="str">
        <f>IF(I58="","",1/((1+P58)^((K58-'Rate &amp; Vol Update'!$C$2)/360)))</f>
        <v/>
      </c>
      <c r="T58" s="15" t="str">
        <f>IF(I58="","",IF(J58&lt;'Rate &amp; Vol Update'!$C$2,MAX(0,P58-O58)*(L58/360)*N58,(((IF('Adjustment Surface'!C$2='Data Validation'!$A$2,P58,IF('Adjustment Surface'!C$2='Data Validation'!$A$3,O58,"Unknown Option Type"))-IF('Adjustment Surface'!C$2='Data Validation'!$A$2,O58,IF('Adjustment Surface'!C$2='Data Validation'!$A$3,P58,"Unknown Option Type")))*(NORMDIST((IF('Adjustment Surface'!C$2='Data Validation'!$A$2,P58,IF('Adjustment Surface'!C$2='Data Validation'!$A$3,O58,"Unknown Option Type"))-IF('Adjustment Surface'!C$2='Data Validation'!$A$2,O58,IF('Adjustment Surface'!C$2='Data Validation'!$A$3,P58,"Unknown Option Type")))/(Q58*SQRT(M58)),0,1,TRUE)))+((Q58*SQRT(M58))*(NORMDIST((IF('Adjustment Surface'!C$2='Data Validation'!$A$2,P58,IF('Adjustment Surface'!C$2='Data Validation'!$A$3,O58,"Unknown Option Type"))-IF('Adjustment Surface'!C$2='Data Validation'!$A$2,O58,IF('Adjustment Surface'!C$2='Data Validation'!$A$3,P58,"Unknown Option Type")))/(Q58*SQRT(M58)),0,1,FALSE))))*R58*(L58/360)*N58))</f>
        <v/>
      </c>
      <c r="U58" s="15" t="str">
        <f>IF(I58="","",SUM(T$4:T58))</f>
        <v/>
      </c>
      <c r="W58" s="15" t="str">
        <f>IF(I58="","",IF(J58&lt;'Rate &amp; Vol Update'!$C$2,0,((((((IF('Adjustment Surface'!C$2='Data Validation'!$A$2,P58,IF('Adjustment Surface'!C$2='Data Validation'!$A$3,O58,"Unknown Option Type"))-IF('Adjustment Surface'!C$2='Data Validation'!$A$2,O58,IF('Adjustment Surface'!C$2='Data Validation'!$A$3,P58,"Unknown Option Type")))*(NORMDIST((IF('Adjustment Surface'!C$2='Data Validation'!$A$2,P58,IF('Adjustment Surface'!C$2='Data Validation'!$A$3,O58,"Unknown Option Type"))-IF('Adjustment Surface'!C$2='Data Validation'!$A$2,O58,IF('Adjustment Surface'!C$2='Data Validation'!$A$3,P58,"Unknown Option Type")))/((Q58+0.01%)*SQRT(M58)),0,1,TRUE)))+(((Q58+0.01%)*SQRT(M58))*(NORMDIST((IF('Adjustment Surface'!C$2='Data Validation'!$A$2,P58,IF('Adjustment Surface'!C$2='Data Validation'!$A$3,O58,"Unknown Option Type"))-IF('Adjustment Surface'!C$2='Data Validation'!$A$2,O58,IF('Adjustment Surface'!C$2='Data Validation'!$A$3,P58,"Unknown Option Type")))/((Q58+0.01%)*SQRT(M58)),0,1,FALSE))))*R58*(L58/360))-(T58/N58))*N58)*R58))</f>
        <v/>
      </c>
      <c r="X58" s="15" t="str">
        <f>IF(I58="","",SUM(W$4:W58))</f>
        <v/>
      </c>
      <c r="Y58" s="15"/>
      <c r="Z58" s="20"/>
      <c r="AB58" s="4" t="str">
        <f>IF(AC57=MAX('Adjustment Surface'!$C$14:$F$14),"",AC57)</f>
        <v/>
      </c>
      <c r="AC58" s="4" t="str">
        <f>IF(AB58="","",IF(AB58&lt;EDATE('Adjustment Surface'!$C$6,DATEDIF('Adjustment Surface'!$C$6,MAX('Adjustment Surface'!$C$14:$F$14),"M")),EDATE(AB$5,COUNT(AB$5:AB58)),IF(AB58=EDATE('Adjustment Surface'!$C$6,DATEDIF('Adjustment Surface'!$C$6,MAX('Adjustment Surface'!$C$14:$F$14),"M")),MAX('Adjustment Surface'!$C$14:$F$14),EDATE('Adjustment Surface'!$C$6,DATEDIF('Adjustment Surface'!$C$6,MAX('Adjustment Surface'!$C$14:$F$14),"M")))))</f>
        <v/>
      </c>
      <c r="AD58" s="3" t="str">
        <f t="shared" si="2"/>
        <v/>
      </c>
      <c r="AE58" s="5" t="str">
        <f>IF(AA58="","",(AC58-'Rate &amp; Vol Update'!$C$2)/360)</f>
        <v/>
      </c>
      <c r="AF58" s="15" t="str">
        <f>IF(AA58="","",IF('Adjustment Surface'!$C$3='Data Validation'!$C$2,'Adjustment Surface'!$C$4,_xlfn.IFNA(IF(INDEX(Schedules!$E$3:$E$123,MATCH('Bachelier Model'!AB58,Schedules!$B$3:$B$123,0))="",AF57,INDEX(Schedules!$E$3:$E$123,MATCH('Bachelier Model'!AB58,Schedules!$B$3:$B$123,0))),AF57)))</f>
        <v/>
      </c>
      <c r="AG58" s="16" t="str">
        <f>IF(AA58="","",'Adjustment Surface'!B$15)</f>
        <v/>
      </c>
      <c r="AH58" s="16" t="str" cm="1">
        <f t="array" ref="AH58">IF(AA58="","",FORECAST(AB58,INDEX('Rate &amp; Vol Update'!$C$6:$C$127,MATCH(INDEX('Rate &amp; Vol Update'!$B$6:$B$127,MATCH(AB58,'Rate &amp; Vol Update'!$B$6:$B$127,1)),'Rate &amp; Vol Update'!$B$6:$B$127,0)+IF('Adjustment Surface'!$C$11='Data Validation'!$E$3,-1,0)):INDEX('Rate &amp; Vol Update'!$C$6:$C$127,MATCH(INDEX('Rate &amp; Vol Update'!$B$6:$B$127,MATCH(AB58,'Rate &amp; Vol Update'!$B$6:$B$127,1)+1),'Rate &amp; Vol Update'!$B$6:$B$127,0)+IF('Adjustment Surface'!$C$11='Data Validation'!$E$3,-1,0)),INDEX('Rate &amp; Vol Update'!$B$6:$B$127,MATCH(AB58,'Rate &amp; Vol Update'!$B$6:$B$127,1)):INDEX('Rate &amp; Vol Update'!$B$6:$B$127,MATCH(AB58,'Rate &amp; Vol Update'!$B$6:$B$127,1)+1))/100)</f>
        <v/>
      </c>
      <c r="AI58" s="16" t="str" cm="1">
        <f t="array" ref="AI58">IF(AA58="","",IF(AB58&lt;'Rate &amp; Vol Update'!$C$2,0.001%,(1/((INDEX('Rate &amp; Vol Update'!$E$6:$Z$6,1,MATCH(AG58,'Rate &amp; Vol Update'!$E$6:$Z$6,1)+1)-INDEX('Rate &amp; Vol Update'!$E$6:$Z$6,1,MATCH(AG58,'Rate &amp; Vol Update'!$E$6:$Z$6,1)))*(INDEX('Rate &amp; Vol Update'!$B$8:$B$127,MATCH(AB58,'Rate &amp; Vol Update'!$B$8:$B$127,1)+1)-INDEX('Rate &amp; Vol Update'!$B$8:$B$127,MATCH(AB58,'Rate &amp; Vol Update'!$B$8:$B$127,1))))*(INDEX('Rate &amp; Vol Update'!$E$8:$Z$127,MATCH(INDEX('Rate &amp; Vol Update'!$B$8:$B$127,MATCH(AB58,'Rate &amp; Vol Update'!$B$8:$B$127,1)),'Rate &amp; Vol Update'!$B$8:$B$127,0),MATCH(INDEX('Rate &amp; Vol Update'!$E$6:$Z$6,1,MATCH(AG58,'Rate &amp; Vol Update'!$E$6:$Z$6,1)),'Rate &amp; Vol Update'!$E$6:$Z$6,0))*(INDEX('Rate &amp; Vol Update'!$E$6:$Z$6,1,MATCH(AG58,'Rate &amp; Vol Update'!$E$6:$Z$6,1)+1)-AG58)*(INDEX('Rate &amp; Vol Update'!$B$8:$B$127,MATCH(AB58,'Rate &amp; Vol Update'!$B$8:$B$127,1)+1)-AB58)+INDEX('Rate &amp; Vol Update'!$E$8:$Z$127,MATCH(INDEX('Rate &amp; Vol Update'!$B$8:$B$127,MATCH(AB58,'Rate &amp; Vol Update'!$B$8:$B$127,1)),'Rate &amp; Vol Update'!$B$8:$B$127,0),MATCH(INDEX('Rate &amp; Vol Update'!$E$6:$Z$6,1,MATCH(AG58,'Rate &amp; Vol Update'!$E$6:$Z$6,1)+1),'Rate &amp; Vol Update'!$E$6:$Z$6,0))*(AG58-INDEX('Rate &amp; Vol Update'!$E$6:$Z$6,1,MATCH(AG58,'Rate &amp; Vol Update'!$E$6:$Z$6,1)))*(INDEX('Rate &amp; Vol Update'!$B$8:$B$127,MATCH(AB58,'Rate &amp; Vol Update'!$B$8:$B$127,1)+1)-AB58)+INDEX('Rate &amp; Vol Update'!$E$8:$Z$127,MATCH(INDEX('Rate &amp; Vol Update'!$B$8:$B$127,MATCH(AB58,'Rate &amp; Vol Update'!$B$8:$B$127,1)+1),'Rate &amp; Vol Update'!$B$8:$B$127,0),MATCH(INDEX('Rate &amp; Vol Update'!$E$6:$Z$6,1,MATCH(AG58,'Rate &amp; Vol Update'!$E$6:$Z$6,1)),'Rate &amp; Vol Update'!$E$6:$Z$6,0))*(INDEX('Rate &amp; Vol Update'!$E$6:$Z$6,1,MATCH(AG58,'Rate &amp; Vol Update'!$E$6:$Z$6,1)+1)-AG58)*(AB58-INDEX('Rate &amp; Vol Update'!$B$8:$B$127,MATCH(AB58,'Rate &amp; Vol Update'!$B$8:$B$127,1)))+INDEX('Rate &amp; Vol Update'!$E$8:$Z$127,MATCH(INDEX('Rate &amp; Vol Update'!$B$8:$B$127,MATCH(AB58,'Rate &amp; Vol Update'!$B$8:$B$127,1)+1),'Rate &amp; Vol Update'!$B$8:$B$127,0),MATCH(INDEX('Rate &amp; Vol Update'!$E$6:$Z$6,1,MATCH(AG58,'Rate &amp; Vol Update'!$E$6:$Z$6,1)+1),'Rate &amp; Vol Update'!$E$6:$Z$6,0))*(AG58-INDEX('Rate &amp; Vol Update'!$E$6:$Z$6,1,MATCH(AG58,'Rate &amp; Vol Update'!$E$6:$Z$6,1)))*(AB58-INDEX('Rate &amp; Vol Update'!$B$8:$B$127,MATCH(AB58,'Rate &amp; Vol Update'!$B$8:$B$127,1)))))*0.01%))</f>
        <v/>
      </c>
      <c r="AJ58" s="5" t="str">
        <f>IF(AA58="","",1/((1+AH58)^((AC58-'Rate &amp; Vol Update'!$C$2)/360)))</f>
        <v/>
      </c>
      <c r="AL58" s="15" t="str">
        <f>IF(AA58="","",IF(AB58&lt;'Rate &amp; Vol Update'!$C$2,MAX(0,AH58-AG58)*(AD58/360)*AF58,(((IF('Adjustment Surface'!$C$2='Data Validation'!$A$2,AH58,IF('Adjustment Surface'!$C$2='Data Validation'!$A$3,AG58,"Unknown Option Type"))-IF('Adjustment Surface'!$C$2='Data Validation'!$A$2,AG58,IF('Adjustment Surface'!$C$2='Data Validation'!$A$3,AH58,"Unknown Option Type")))*(NORMDIST((IF('Adjustment Surface'!$C$2='Data Validation'!$A$2,AH58,IF('Adjustment Surface'!$C$2='Data Validation'!$A$3,AG58,"Unknown Option Type"))-IF('Adjustment Surface'!$C$2='Data Validation'!$A$2,AG58,IF('Adjustment Surface'!$C$2='Data Validation'!$A$3,AH58,"Unknown Option Type")))/(AI58*SQRT(AE58)),0,1,TRUE)))+((AI58*SQRT(AE58))*(NORMDIST((IF('Adjustment Surface'!$C$2='Data Validation'!$A$2,AH58,IF('Adjustment Surface'!$C$2='Data Validation'!$A$3,AG58,"Unknown Option Type"))-IF('Adjustment Surface'!$C$2='Data Validation'!$A$2,AG58,IF('Adjustment Surface'!$C$2='Data Validation'!$A$3,AH58,"Unknown Option Type")))/(AI58*SQRT(AE58)),0,1,FALSE))))*AJ58*(AD58/360)*AF58))</f>
        <v/>
      </c>
      <c r="AM58" s="15" t="str">
        <f>IF(AA58="","",SUM(AL$4:AL58))</f>
        <v/>
      </c>
      <c r="AO58" s="15" t="str">
        <f>IF(AA58="","",IF(AB58&lt;'Rate &amp; Vol Update'!$C$2,0,((((((IF('Adjustment Surface'!$C$2='Data Validation'!$A$2,AH58,IF('Adjustment Surface'!$C$2='Data Validation'!$A$3,AG58,"Unknown Option Type"))-IF('Adjustment Surface'!$C$2='Data Validation'!$A$2,AG58,IF('Adjustment Surface'!$C$2='Data Validation'!$A$3,AH58,"Unknown Option Type")))*(NORMDIST((IF('Adjustment Surface'!$C$2='Data Validation'!$A$2,AH58,IF('Adjustment Surface'!$C$2='Data Validation'!$A$3,AG58,"Unknown Option Type"))-IF('Adjustment Surface'!$C$2='Data Validation'!$A$2,AG58,IF('Adjustment Surface'!$C$2='Data Validation'!$A$3,AH58,"Unknown Option Type")))/((AI58+0.01%)*SQRT(AE58)),0,1,TRUE)))+(((AI58+0.01%)*SQRT(AE58))*(NORMDIST((IF('Adjustment Surface'!$C$2='Data Validation'!$A$2,AH58,IF('Adjustment Surface'!$C$2='Data Validation'!$A$3,AG58,"Unknown Option Type"))-IF('Adjustment Surface'!$C$2='Data Validation'!$A$2,AG58,IF('Adjustment Surface'!$C$2='Data Validation'!$A$3,AH58,"Unknown Option Type")))/((AI58+0.01%)*SQRT(AE58)),0,1,FALSE))))*AJ58*(AD58/360))-(AL58/AF58))*AF58)*AJ58))</f>
        <v/>
      </c>
      <c r="AP58" s="15" t="str">
        <f>IF(AA58="","",SUM(AO$4:AO58))</f>
        <v/>
      </c>
      <c r="AQ58" s="15"/>
      <c r="AR58" s="20"/>
      <c r="AT58" s="4" t="str">
        <f>IF(AU57=MAX('Adjustment Surface'!$C$14:$F$14),"",AU57)</f>
        <v/>
      </c>
      <c r="AU58" s="4" t="str">
        <f>IF(AT58="","",IF(AT58&lt;EDATE('Adjustment Surface'!$C$6,DATEDIF('Adjustment Surface'!$C$6,MAX('Adjustment Surface'!$C$14:$F$14),"M")),EDATE(AT$5,COUNT(AT$5:AT58)),IF(AT58=EDATE('Adjustment Surface'!$C$6,DATEDIF('Adjustment Surface'!$C$6,MAX('Adjustment Surface'!$C$14:$F$14),"M")),MAX('Adjustment Surface'!$C$14:$F$14),EDATE('Adjustment Surface'!$C$6,DATEDIF('Adjustment Surface'!$C$6,MAX('Adjustment Surface'!$C$14:$F$14),"M")))))</f>
        <v/>
      </c>
      <c r="AV58" s="3" t="str">
        <f t="shared" si="3"/>
        <v/>
      </c>
      <c r="AW58" s="5" t="str">
        <f>IF(AS58="","",(AU58-'Rate &amp; Vol Update'!$C$2)/360)</f>
        <v/>
      </c>
      <c r="AX58" s="15" t="str">
        <f>IF(AS58="","",IF('Adjustment Surface'!$C$3='Data Validation'!$C$2,'Adjustment Surface'!$C$4,_xlfn.IFNA(IF(INDEX(Schedules!$E$3:$E$123,MATCH('Bachelier Model'!AT58,Schedules!$B$3:$B$123,0))="",AX57,INDEX(Schedules!$E$3:$E$123,MATCH('Bachelier Model'!AT58,Schedules!$B$3:$B$123,0))),AX57)))</f>
        <v/>
      </c>
      <c r="AY58" s="16" t="str">
        <f>IF(AS58="","",'Adjustment Surface'!B$16)</f>
        <v/>
      </c>
      <c r="AZ58" s="16" t="str" cm="1">
        <f t="array" ref="AZ58">IF(AS58="","",FORECAST(AT58,INDEX('Rate &amp; Vol Update'!$C$6:$C$127,MATCH(INDEX('Rate &amp; Vol Update'!$B$6:$B$127,MATCH(AT58,'Rate &amp; Vol Update'!$B$6:$B$127,1)),'Rate &amp; Vol Update'!$B$6:$B$127,0)+IF('Adjustment Surface'!$C$11='Data Validation'!$E$3,-1,0)):INDEX('Rate &amp; Vol Update'!$C$6:$C$127,MATCH(INDEX('Rate &amp; Vol Update'!$B$6:$B$127,MATCH(AT58,'Rate &amp; Vol Update'!$B$6:$B$127,1)+1),'Rate &amp; Vol Update'!$B$6:$B$127,0)+IF('Adjustment Surface'!$C$11='Data Validation'!$E$3,-1,0)),INDEX('Rate &amp; Vol Update'!$B$6:$B$127,MATCH(AT58,'Rate &amp; Vol Update'!$B$6:$B$127,1)):INDEX('Rate &amp; Vol Update'!$B$6:$B$127,MATCH(AT58,'Rate &amp; Vol Update'!$B$6:$B$127,1)+1))/100)</f>
        <v/>
      </c>
      <c r="BA58" s="16" t="str" cm="1">
        <f t="array" ref="BA58">IF(AS58="","",IF(AT58&lt;'Rate &amp; Vol Update'!$C$2,0.001%,(1/((INDEX('Rate &amp; Vol Update'!$E$6:$Z$6,1,MATCH(AY58,'Rate &amp; Vol Update'!$E$6:$Z$6,1)+1)-INDEX('Rate &amp; Vol Update'!$E$6:$Z$6,1,MATCH(AY58,'Rate &amp; Vol Update'!$E$6:$Z$6,1)))*(INDEX('Rate &amp; Vol Update'!$B$8:$B$127,MATCH(AT58,'Rate &amp; Vol Update'!$B$8:$B$127,1)+1)-INDEX('Rate &amp; Vol Update'!$B$8:$B$127,MATCH(AT58,'Rate &amp; Vol Update'!$B$8:$B$127,1))))*(INDEX('Rate &amp; Vol Update'!$E$8:$Z$127,MATCH(INDEX('Rate &amp; Vol Update'!$B$8:$B$127,MATCH(AT58,'Rate &amp; Vol Update'!$B$8:$B$127,1)),'Rate &amp; Vol Update'!$B$8:$B$127,0),MATCH(INDEX('Rate &amp; Vol Update'!$E$6:$Z$6,1,MATCH(AY58,'Rate &amp; Vol Update'!$E$6:$Z$6,1)),'Rate &amp; Vol Update'!$E$6:$Z$6,0))*(INDEX('Rate &amp; Vol Update'!$E$6:$Z$6,1,MATCH(AY58,'Rate &amp; Vol Update'!$E$6:$Z$6,1)+1)-AY58)*(INDEX('Rate &amp; Vol Update'!$B$8:$B$127,MATCH(AT58,'Rate &amp; Vol Update'!$B$8:$B$127,1)+1)-AT58)+INDEX('Rate &amp; Vol Update'!$E$8:$Z$127,MATCH(INDEX('Rate &amp; Vol Update'!$B$8:$B$127,MATCH(AT58,'Rate &amp; Vol Update'!$B$8:$B$127,1)),'Rate &amp; Vol Update'!$B$8:$B$127,0),MATCH(INDEX('Rate &amp; Vol Update'!$E$6:$Z$6,1,MATCH(AY58,'Rate &amp; Vol Update'!$E$6:$Z$6,1)+1),'Rate &amp; Vol Update'!$E$6:$Z$6,0))*(AY58-INDEX('Rate &amp; Vol Update'!$E$6:$Z$6,1,MATCH(AY58,'Rate &amp; Vol Update'!$E$6:$Z$6,1)))*(INDEX('Rate &amp; Vol Update'!$B$8:$B$127,MATCH(AT58,'Rate &amp; Vol Update'!$B$8:$B$127,1)+1)-AT58)+INDEX('Rate &amp; Vol Update'!$E$8:$Z$127,MATCH(INDEX('Rate &amp; Vol Update'!$B$8:$B$127,MATCH(AT58,'Rate &amp; Vol Update'!$B$8:$B$127,1)+1),'Rate &amp; Vol Update'!$B$8:$B$127,0),MATCH(INDEX('Rate &amp; Vol Update'!$E$6:$Z$6,1,MATCH(AY58,'Rate &amp; Vol Update'!$E$6:$Z$6,1)),'Rate &amp; Vol Update'!$E$6:$Z$6,0))*(INDEX('Rate &amp; Vol Update'!$E$6:$Z$6,1,MATCH(AY58,'Rate &amp; Vol Update'!$E$6:$Z$6,1)+1)-AY58)*(AT58-INDEX('Rate &amp; Vol Update'!$B$8:$B$127,MATCH(AT58,'Rate &amp; Vol Update'!$B$8:$B$127,1)))+INDEX('Rate &amp; Vol Update'!$E$8:$Z$127,MATCH(INDEX('Rate &amp; Vol Update'!$B$8:$B$127,MATCH(AT58,'Rate &amp; Vol Update'!$B$8:$B$127,1)+1),'Rate &amp; Vol Update'!$B$8:$B$127,0),MATCH(INDEX('Rate &amp; Vol Update'!$E$6:$Z$6,1,MATCH(AY58,'Rate &amp; Vol Update'!$E$6:$Z$6,1)+1),'Rate &amp; Vol Update'!$E$6:$Z$6,0))*(AY58-INDEX('Rate &amp; Vol Update'!$E$6:$Z$6,1,MATCH(AY58,'Rate &amp; Vol Update'!$E$6:$Z$6,1)))*(AT58-INDEX('Rate &amp; Vol Update'!$B$8:$B$127,MATCH(AT58,'Rate &amp; Vol Update'!$B$8:$B$127,1)))))*0.01%))</f>
        <v/>
      </c>
      <c r="BB58" s="5" t="str">
        <f>IF(AS58="","",1/((1+AZ58)^((AU58-'Rate &amp; Vol Update'!$C$2)/360)))</f>
        <v/>
      </c>
      <c r="BD58" s="15" t="str">
        <f>IF(AS58="","",IF(AT58&lt;'Rate &amp; Vol Update'!$C$2,MAX(0,AZ58-AY58)*(AV58/360)*AX58,(((IF('Adjustment Surface'!$C$2='Data Validation'!$A$2,AZ58,IF('Adjustment Surface'!$C$2='Data Validation'!$A$3,AY58,"Unknown Option Type"))-IF('Adjustment Surface'!$C$2='Data Validation'!$A$2,AY58,IF('Adjustment Surface'!$C$2='Data Validation'!$A$3,AZ58,"Unknown Option Type")))*(NORMDIST((IF('Adjustment Surface'!$C$2='Data Validation'!$A$2,AZ58,IF('Adjustment Surface'!$C$2='Data Validation'!$A$3,AY58,"Unknown Option Type"))-IF('Adjustment Surface'!$C$2='Data Validation'!$A$2,AY58,IF('Adjustment Surface'!$C$2='Data Validation'!$A$3,AZ58,"Unknown Option Type")))/(BA58*SQRT(AW58)),0,1,TRUE)))+((BA58*SQRT(AW58))*(NORMDIST((IF('Adjustment Surface'!$C$2='Data Validation'!$A$2,AZ58,IF('Adjustment Surface'!$C$2='Data Validation'!$A$3,AY58,"Unknown Option Type"))-IF('Adjustment Surface'!$C$2='Data Validation'!$A$2,AY58,IF('Adjustment Surface'!$C$2='Data Validation'!$A$3,AZ58,"Unknown Option Type")))/(BA58*SQRT(AW58)),0,1,FALSE))))*BB58*(AV58/360)*AX58))</f>
        <v/>
      </c>
      <c r="BE58" s="15" t="str">
        <f>IF(AS58="","",SUM(BD$4:BD58))</f>
        <v/>
      </c>
      <c r="BG58" s="15" t="str">
        <f>IF(AS58="","",IF(AT58&lt;'Rate &amp; Vol Update'!$C$2,0,((((((IF('Adjustment Surface'!$C$2='Data Validation'!$A$2,AZ58,IF('Adjustment Surface'!$C$2='Data Validation'!$A$3,AY58,"Unknown Option Type"))-IF('Adjustment Surface'!$C$2='Data Validation'!$A$2,AY58,IF('Adjustment Surface'!$C$2='Data Validation'!$A$3,AZ58,"Unknown Option Type")))*(NORMDIST((IF('Adjustment Surface'!$C$2='Data Validation'!$A$2,AZ58,IF('Adjustment Surface'!$C$2='Data Validation'!$A$3,AY58,"Unknown Option Type"))-IF('Adjustment Surface'!$C$2='Data Validation'!$A$2,AY58,IF('Adjustment Surface'!$C$2='Data Validation'!$A$3,AZ58,"Unknown Option Type")))/((BA58+0.01%)*SQRT(AW58)),0,1,TRUE)))+(((BA58+0.01%)*SQRT(AW58))*(NORMDIST((IF('Adjustment Surface'!$C$2='Data Validation'!$A$2,AZ58,IF('Adjustment Surface'!$C$2='Data Validation'!$A$3,AY58,"Unknown Option Type"))-IF('Adjustment Surface'!$C$2='Data Validation'!$A$2,AY58,IF('Adjustment Surface'!$C$2='Data Validation'!$A$3,AZ58,"Unknown Option Type")))/((BA58+0.01%)*SQRT(AW58)),0,1,FALSE))))*BB58*(AV58/360))-(BD58/AX58))*AX58)*BB58))</f>
        <v/>
      </c>
      <c r="BH58" s="15" t="str">
        <f>IF(AS58="","",SUM(BG$4:BG58))</f>
        <v/>
      </c>
      <c r="BI58" s="15"/>
      <c r="BJ58" s="20"/>
      <c r="BL58" s="4" t="str">
        <f>IF(BM57=MAX('Adjustment Surface'!$C$14:$F$14),"",BM57)</f>
        <v/>
      </c>
      <c r="BM58" s="4" t="str">
        <f>IF(BL58="","",IF(BL58&lt;EDATE('Adjustment Surface'!$C$6,DATEDIF('Adjustment Surface'!$C$6,MAX('Adjustment Surface'!$C$14:$F$14),"M")),EDATE(BL$5,COUNT(BL$5:BL58)),IF(BL58=EDATE('Adjustment Surface'!$C$6,DATEDIF('Adjustment Surface'!$C$6,MAX('Adjustment Surface'!$C$14:$F$14),"M")),MAX('Adjustment Surface'!$C$14:$F$14),EDATE('Adjustment Surface'!$C$6,DATEDIF('Adjustment Surface'!$C$6,MAX('Adjustment Surface'!$C$14:$F$14),"M")))))</f>
        <v/>
      </c>
      <c r="BN58" s="3" t="str">
        <f t="shared" si="4"/>
        <v/>
      </c>
      <c r="BO58" s="5" t="str">
        <f>IF(BK58="","",(BM58-'Rate &amp; Vol Update'!$C$2)/360)</f>
        <v/>
      </c>
      <c r="BP58" s="15" t="str">
        <f>IF(BK58="","",IF('Adjustment Surface'!$C$3='Data Validation'!$C$2,'Adjustment Surface'!$C$4,_xlfn.IFNA(IF(INDEX(Schedules!$E$3:$E$123,MATCH('Bachelier Model'!BL58,Schedules!$B$3:$B$123,0))="",BP57,INDEX(Schedules!$E$3:$E$123,MATCH('Bachelier Model'!BL58,Schedules!$B$3:$B$123,0))),BP57)))</f>
        <v/>
      </c>
      <c r="BQ58" s="16" t="str">
        <f>IF(BK58="","",'Adjustment Surface'!B$17)</f>
        <v/>
      </c>
      <c r="BR58" s="16" t="str" cm="1">
        <f t="array" ref="BR58">IF(BK58="","",FORECAST(BL58,INDEX('Rate &amp; Vol Update'!$C$6:$C$127,MATCH(INDEX('Rate &amp; Vol Update'!$B$6:$B$127,MATCH(BL58,'Rate &amp; Vol Update'!$B$6:$B$127,1)),'Rate &amp; Vol Update'!$B$6:$B$127,0)+IF('Adjustment Surface'!$C$11='Data Validation'!$E$3,-1,0)):INDEX('Rate &amp; Vol Update'!$C$6:$C$127,MATCH(INDEX('Rate &amp; Vol Update'!$B$6:$B$127,MATCH(BL58,'Rate &amp; Vol Update'!$B$6:$B$127,1)+1),'Rate &amp; Vol Update'!$B$6:$B$127,0)+IF('Adjustment Surface'!$C$11='Data Validation'!$E$3,-1,0)),INDEX('Rate &amp; Vol Update'!$B$6:$B$127,MATCH(BL58,'Rate &amp; Vol Update'!$B$6:$B$127,1)):INDEX('Rate &amp; Vol Update'!$B$6:$B$127,MATCH(BL58,'Rate &amp; Vol Update'!$B$6:$B$127,1)+1))/100)</f>
        <v/>
      </c>
      <c r="BS58" s="16" t="str" cm="1">
        <f t="array" ref="BS58">IF(BK58="","",IF(BL58&lt;'Rate &amp; Vol Update'!$C$2,0.001%,(1/((INDEX('Rate &amp; Vol Update'!$E$6:$Z$6,1,MATCH(BQ58,'Rate &amp; Vol Update'!$E$6:$Z$6,1)+1)-INDEX('Rate &amp; Vol Update'!$E$6:$Z$6,1,MATCH(BQ58,'Rate &amp; Vol Update'!$E$6:$Z$6,1)))*(INDEX('Rate &amp; Vol Update'!$B$8:$B$127,MATCH(BL58,'Rate &amp; Vol Update'!$B$8:$B$127,1)+1)-INDEX('Rate &amp; Vol Update'!$B$8:$B$127,MATCH(BL58,'Rate &amp; Vol Update'!$B$8:$B$127,1))))*(INDEX('Rate &amp; Vol Update'!$E$8:$Z$127,MATCH(INDEX('Rate &amp; Vol Update'!$B$8:$B$127,MATCH(BL58,'Rate &amp; Vol Update'!$B$8:$B$127,1)),'Rate &amp; Vol Update'!$B$8:$B$127,0),MATCH(INDEX('Rate &amp; Vol Update'!$E$6:$Z$6,1,MATCH(BQ58,'Rate &amp; Vol Update'!$E$6:$Z$6,1)),'Rate &amp; Vol Update'!$E$6:$Z$6,0))*(INDEX('Rate &amp; Vol Update'!$E$6:$Z$6,1,MATCH(BQ58,'Rate &amp; Vol Update'!$E$6:$Z$6,1)+1)-BQ58)*(INDEX('Rate &amp; Vol Update'!$B$8:$B$127,MATCH(BL58,'Rate &amp; Vol Update'!$B$8:$B$127,1)+1)-BL58)+INDEX('Rate &amp; Vol Update'!$E$8:$Z$127,MATCH(INDEX('Rate &amp; Vol Update'!$B$8:$B$127,MATCH(BL58,'Rate &amp; Vol Update'!$B$8:$B$127,1)),'Rate &amp; Vol Update'!$B$8:$B$127,0),MATCH(INDEX('Rate &amp; Vol Update'!$E$6:$Z$6,1,MATCH(BQ58,'Rate &amp; Vol Update'!$E$6:$Z$6,1)+1),'Rate &amp; Vol Update'!$E$6:$Z$6,0))*(BQ58-INDEX('Rate &amp; Vol Update'!$E$6:$Z$6,1,MATCH(BQ58,'Rate &amp; Vol Update'!$E$6:$Z$6,1)))*(INDEX('Rate &amp; Vol Update'!$B$8:$B$127,MATCH(BL58,'Rate &amp; Vol Update'!$B$8:$B$127,1)+1)-BL58)+INDEX('Rate &amp; Vol Update'!$E$8:$Z$127,MATCH(INDEX('Rate &amp; Vol Update'!$B$8:$B$127,MATCH(BL58,'Rate &amp; Vol Update'!$B$8:$B$127,1)+1),'Rate &amp; Vol Update'!$B$8:$B$127,0),MATCH(INDEX('Rate &amp; Vol Update'!$E$6:$Z$6,1,MATCH(BQ58,'Rate &amp; Vol Update'!$E$6:$Z$6,1)),'Rate &amp; Vol Update'!$E$6:$Z$6,0))*(INDEX('Rate &amp; Vol Update'!$E$6:$Z$6,1,MATCH(BQ58,'Rate &amp; Vol Update'!$E$6:$Z$6,1)+1)-BQ58)*(BL58-INDEX('Rate &amp; Vol Update'!$B$8:$B$127,MATCH(BL58,'Rate &amp; Vol Update'!$B$8:$B$127,1)))+INDEX('Rate &amp; Vol Update'!$E$8:$Z$127,MATCH(INDEX('Rate &amp; Vol Update'!$B$8:$B$127,MATCH(BL58,'Rate &amp; Vol Update'!$B$8:$B$127,1)+1),'Rate &amp; Vol Update'!$B$8:$B$127,0),MATCH(INDEX('Rate &amp; Vol Update'!$E$6:$Z$6,1,MATCH(BQ58,'Rate &amp; Vol Update'!$E$6:$Z$6,1)+1),'Rate &amp; Vol Update'!$E$6:$Z$6,0))*(BQ58-INDEX('Rate &amp; Vol Update'!$E$6:$Z$6,1,MATCH(BQ58,'Rate &amp; Vol Update'!$E$6:$Z$6,1)))*(BL58-INDEX('Rate &amp; Vol Update'!$B$8:$B$127,MATCH(BL58,'Rate &amp; Vol Update'!$B$8:$B$127,1)))))*0.01%))</f>
        <v/>
      </c>
      <c r="BT58" s="5" t="str">
        <f>IF(BK58="","",1/((1+BR58)^((BM58-'Rate &amp; Vol Update'!$C$2)/360)))</f>
        <v/>
      </c>
      <c r="BV58" s="15" t="str">
        <f>IF(BK58="","",IF(BL58&lt;'Rate &amp; Vol Update'!$C$2,MAX(0,BR58-BQ58)*(BN58/360)*BP58,(((IF('Adjustment Surface'!$C$2='Data Validation'!$A$2,BR58,IF('Adjustment Surface'!$C$2='Data Validation'!$A$3,BQ58,"Unknown Option Type"))-IF('Adjustment Surface'!$C$2='Data Validation'!$A$2,BQ58,IF('Adjustment Surface'!$C$2='Data Validation'!$A$3,BR58,"Unknown Option Type")))*(NORMDIST((IF('Adjustment Surface'!$C$2='Data Validation'!$A$2,BR58,IF('Adjustment Surface'!$C$2='Data Validation'!$A$3,BQ58,"Unknown Option Type"))-IF('Adjustment Surface'!$C$2='Data Validation'!$A$2,BQ58,IF('Adjustment Surface'!$C$2='Data Validation'!$A$3,BR58,"Unknown Option Type")))/(BS58*SQRT(BO58)),0,1,TRUE)))+((BS58*SQRT(BO58))*(NORMDIST((IF('Adjustment Surface'!$C$2='Data Validation'!$A$2,BR58,IF('Adjustment Surface'!$C$2='Data Validation'!$A$3,BQ58,"Unknown Option Type"))-IF('Adjustment Surface'!$C$2='Data Validation'!$A$2,BQ58,IF('Adjustment Surface'!$C$2='Data Validation'!$A$3,BR58,"Unknown Option Type")))/(BS58*SQRT(BO58)),0,1,FALSE))))*BT58*(BN58/360)*BP58))</f>
        <v/>
      </c>
      <c r="BW58" s="15" t="str">
        <f>IF(BK58="","",SUM(BV$4:BV58))</f>
        <v/>
      </c>
      <c r="BY58" s="15" t="str">
        <f>IF(BK58="","",IF(BL58&lt;'Rate &amp; Vol Update'!$C$2,0,((((((IF('Adjustment Surface'!$C$2='Data Validation'!$A$2,BR58,IF('Adjustment Surface'!$C$2='Data Validation'!$A$3,BQ58,"Unknown Option Type"))-IF('Adjustment Surface'!$C$2='Data Validation'!$A$2,BQ58,IF('Adjustment Surface'!$C$2='Data Validation'!$A$3,BR58,"Unknown Option Type")))*(NORMDIST((IF('Adjustment Surface'!$C$2='Data Validation'!$A$2,BR58,IF('Adjustment Surface'!$C$2='Data Validation'!$A$3,BQ58,"Unknown Option Type"))-IF('Adjustment Surface'!$C$2='Data Validation'!$A$2,BQ58,IF('Adjustment Surface'!$C$2='Data Validation'!$A$3,BR58,"Unknown Option Type")))/((BS58+0.01%)*SQRT(BO58)),0,1,TRUE)))+(((BS58+0.01%)*SQRT(BO58))*(NORMDIST((IF('Adjustment Surface'!$C$2='Data Validation'!$A$2,BR58,IF('Adjustment Surface'!$C$2='Data Validation'!$A$3,BQ58,"Unknown Option Type"))-IF('Adjustment Surface'!$C$2='Data Validation'!$A$2,BQ58,IF('Adjustment Surface'!$C$2='Data Validation'!$A$3,BR58,"Unknown Option Type")))/((BS58+0.01%)*SQRT(BO58)),0,1,FALSE))))*BT58*(BN58/360))-(BV58/BP58))*BP58)*BT58))</f>
        <v/>
      </c>
      <c r="BZ58" s="15" t="str">
        <f>IF(BK58="","",SUM(BY$4:BY58))</f>
        <v/>
      </c>
      <c r="CA58" s="15"/>
      <c r="CB58" s="20"/>
      <c r="CD58" s="4" t="str">
        <f>IF(CE57=MAX('Adjustment Surface'!$C$14:$F$14),"",CE57)</f>
        <v/>
      </c>
      <c r="CE58" s="4" t="str">
        <f>IF(CD58="","",IF(CD58&lt;EDATE('Adjustment Surface'!$C$6,DATEDIF('Adjustment Surface'!$C$6,MAX('Adjustment Surface'!$C$14:$F$14),"M")),EDATE(CD$5,COUNT(CD$5:CD58)),IF(CD58=EDATE('Adjustment Surface'!$C$6,DATEDIF('Adjustment Surface'!$C$6,MAX('Adjustment Surface'!$C$14:$F$14),"M")),MAX('Adjustment Surface'!$C$14:$F$14),EDATE('Adjustment Surface'!$C$6,DATEDIF('Adjustment Surface'!$C$6,MAX('Adjustment Surface'!$C$14:$F$14),"M")))))</f>
        <v/>
      </c>
      <c r="CF58" s="3" t="str">
        <f t="shared" si="5"/>
        <v/>
      </c>
      <c r="CG58" s="5" t="str">
        <f>IF(CC58="","",(CE58-'Rate &amp; Vol Update'!$C$2)/360)</f>
        <v/>
      </c>
      <c r="CH58" s="15" t="str">
        <f>IF(CC58="","",IF('Adjustment Surface'!$C$3='Data Validation'!$C$2,'Adjustment Surface'!$C$4,_xlfn.IFNA(IF(INDEX(Schedules!$E$3:$E$123,MATCH('Bachelier Model'!CD58,Schedules!$B$3:$B$123,0))="",CH57,INDEX(Schedules!$E$3:$E$123,MATCH('Bachelier Model'!CD58,Schedules!$B$3:$B$123,0))),CH57)))</f>
        <v/>
      </c>
      <c r="CI58" s="16" t="str">
        <f>IF(CC58="","",'Adjustment Surface'!B$18)</f>
        <v/>
      </c>
      <c r="CJ58" s="16" t="str" cm="1">
        <f t="array" ref="CJ58">IF(CC58="","",FORECAST(CD58,INDEX('Rate &amp; Vol Update'!$C$6:$C$127,MATCH(INDEX('Rate &amp; Vol Update'!$B$6:$B$127,MATCH(CD58,'Rate &amp; Vol Update'!$B$6:$B$127,1)),'Rate &amp; Vol Update'!$B$6:$B$127,0)+IF('Adjustment Surface'!$C$11='Data Validation'!$E$3,-1,0)):INDEX('Rate &amp; Vol Update'!$C$6:$C$127,MATCH(INDEX('Rate &amp; Vol Update'!$B$6:$B$127,MATCH(CD58,'Rate &amp; Vol Update'!$B$6:$B$127,1)+1),'Rate &amp; Vol Update'!$B$6:$B$127,0)+IF('Adjustment Surface'!$C$11='Data Validation'!$E$3,-1,0)),INDEX('Rate &amp; Vol Update'!$B$6:$B$127,MATCH(CD58,'Rate &amp; Vol Update'!$B$6:$B$127,1)):INDEX('Rate &amp; Vol Update'!$B$6:$B$127,MATCH(CD58,'Rate &amp; Vol Update'!$B$6:$B$127,1)+1))/100)</f>
        <v/>
      </c>
      <c r="CK58" s="16" t="str" cm="1">
        <f t="array" ref="CK58">IF(CC58="","",IF(CD58&lt;'Rate &amp; Vol Update'!$C$2,0.001%,(1/((INDEX('Rate &amp; Vol Update'!$E$6:$Z$6,1,MATCH(CI58,'Rate &amp; Vol Update'!$E$6:$Z$6,1)+1)-INDEX('Rate &amp; Vol Update'!$E$6:$Z$6,1,MATCH(CI58,'Rate &amp; Vol Update'!$E$6:$Z$6,1)))*(INDEX('Rate &amp; Vol Update'!$B$8:$B$127,MATCH(CD58,'Rate &amp; Vol Update'!$B$8:$B$127,1)+1)-INDEX('Rate &amp; Vol Update'!$B$8:$B$127,MATCH(CD58,'Rate &amp; Vol Update'!$B$8:$B$127,1))))*(INDEX('Rate &amp; Vol Update'!$E$8:$Z$127,MATCH(INDEX('Rate &amp; Vol Update'!$B$8:$B$127,MATCH(CD58,'Rate &amp; Vol Update'!$B$8:$B$127,1)),'Rate &amp; Vol Update'!$B$8:$B$127,0),MATCH(INDEX('Rate &amp; Vol Update'!$E$6:$Z$6,1,MATCH(CI58,'Rate &amp; Vol Update'!$E$6:$Z$6,1)),'Rate &amp; Vol Update'!$E$6:$Z$6,0))*(INDEX('Rate &amp; Vol Update'!$E$6:$Z$6,1,MATCH(CI58,'Rate &amp; Vol Update'!$E$6:$Z$6,1)+1)-CI58)*(INDEX('Rate &amp; Vol Update'!$B$8:$B$127,MATCH(CD58,'Rate &amp; Vol Update'!$B$8:$B$127,1)+1)-CD58)+INDEX('Rate &amp; Vol Update'!$E$8:$Z$127,MATCH(INDEX('Rate &amp; Vol Update'!$B$8:$B$127,MATCH(CD58,'Rate &amp; Vol Update'!$B$8:$B$127,1)),'Rate &amp; Vol Update'!$B$8:$B$127,0),MATCH(INDEX('Rate &amp; Vol Update'!$E$6:$Z$6,1,MATCH(CI58,'Rate &amp; Vol Update'!$E$6:$Z$6,1)+1),'Rate &amp; Vol Update'!$E$6:$Z$6,0))*(CI58-INDEX('Rate &amp; Vol Update'!$E$6:$Z$6,1,MATCH(CI58,'Rate &amp; Vol Update'!$E$6:$Z$6,1)))*(INDEX('Rate &amp; Vol Update'!$B$8:$B$127,MATCH(CD58,'Rate &amp; Vol Update'!$B$8:$B$127,1)+1)-CD58)+INDEX('Rate &amp; Vol Update'!$E$8:$Z$127,MATCH(INDEX('Rate &amp; Vol Update'!$B$8:$B$127,MATCH(CD58,'Rate &amp; Vol Update'!$B$8:$B$127,1)+1),'Rate &amp; Vol Update'!$B$8:$B$127,0),MATCH(INDEX('Rate &amp; Vol Update'!$E$6:$Z$6,1,MATCH(CI58,'Rate &amp; Vol Update'!$E$6:$Z$6,1)),'Rate &amp; Vol Update'!$E$6:$Z$6,0))*(INDEX('Rate &amp; Vol Update'!$E$6:$Z$6,1,MATCH(CI58,'Rate &amp; Vol Update'!$E$6:$Z$6,1)+1)-CI58)*(CD58-INDEX('Rate &amp; Vol Update'!$B$8:$B$127,MATCH(CD58,'Rate &amp; Vol Update'!$B$8:$B$127,1)))+INDEX('Rate &amp; Vol Update'!$E$8:$Z$127,MATCH(INDEX('Rate &amp; Vol Update'!$B$8:$B$127,MATCH(CD58,'Rate &amp; Vol Update'!$B$8:$B$127,1)+1),'Rate &amp; Vol Update'!$B$8:$B$127,0),MATCH(INDEX('Rate &amp; Vol Update'!$E$6:$Z$6,1,MATCH(CI58,'Rate &amp; Vol Update'!$E$6:$Z$6,1)+1),'Rate &amp; Vol Update'!$E$6:$Z$6,0))*(CI58-INDEX('Rate &amp; Vol Update'!$E$6:$Z$6,1,MATCH(CI58,'Rate &amp; Vol Update'!$E$6:$Z$6,1)))*(CD58-INDEX('Rate &amp; Vol Update'!$B$8:$B$127,MATCH(CD58,'Rate &amp; Vol Update'!$B$8:$B$127,1)))))*0.01%))</f>
        <v/>
      </c>
      <c r="CL58" s="5" t="str">
        <f>IF(CC58="","",1/((1+CJ58)^((CE58-'Rate &amp; Vol Update'!$C$2)/360)))</f>
        <v/>
      </c>
      <c r="CN58" s="15" t="str">
        <f>IF(CC58="","",IF(CD58&lt;'Rate &amp; Vol Update'!$C$2,MAX(0,CJ58-CI58)*(CF58/360)*CH58,(((IF('Adjustment Surface'!$C$2='Data Validation'!$A$2,CJ58,IF('Adjustment Surface'!$C$2='Data Validation'!$A$3,CI58,"Unknown Option Type"))-IF('Adjustment Surface'!$C$2='Data Validation'!$A$2,CI58,IF('Adjustment Surface'!$C$2='Data Validation'!$A$3,CJ58,"Unknown Option Type")))*(NORMDIST((IF('Adjustment Surface'!$C$2='Data Validation'!$A$2,CJ58,IF('Adjustment Surface'!$C$2='Data Validation'!$A$3,CI58,"Unknown Option Type"))-IF('Adjustment Surface'!$C$2='Data Validation'!$A$2,CI58,IF('Adjustment Surface'!$C$2='Data Validation'!$A$3,CJ58,"Unknown Option Type")))/(CK58*SQRT(CG58)),0,1,TRUE)))+((CK58*SQRT(CG58))*(NORMDIST((IF('Adjustment Surface'!$C$2='Data Validation'!$A$2,CJ58,IF('Adjustment Surface'!$C$2='Data Validation'!$A$3,CI58,"Unknown Option Type"))-IF('Adjustment Surface'!$C$2='Data Validation'!$A$2,CI58,IF('Adjustment Surface'!$C$2='Data Validation'!$A$3,CJ58,"Unknown Option Type")))/(CK58*SQRT(CG58)),0,1,FALSE))))*CL58*(CF58/360)*CH58))</f>
        <v/>
      </c>
      <c r="CO58" s="15" t="str">
        <f>IF(CC58="","",SUM(CN$4:CN58))</f>
        <v/>
      </c>
      <c r="CQ58" s="15" t="str">
        <f>IF(CC58="","",IF(CD58&lt;'Rate &amp; Vol Update'!$C$2,0,((((((IF('Adjustment Surface'!$C$2='Data Validation'!$A$2,CJ58,IF('Adjustment Surface'!$C$2='Data Validation'!$A$3,CI58,"Unknown Option Type"))-IF('Adjustment Surface'!$C$2='Data Validation'!$A$2,CI58,IF('Adjustment Surface'!$C$2='Data Validation'!$A$3,CJ58,"Unknown Option Type")))*(NORMDIST((IF('Adjustment Surface'!$C$2='Data Validation'!$A$2,CJ58,IF('Adjustment Surface'!$C$2='Data Validation'!$A$3,CI58,"Unknown Option Type"))-IF('Adjustment Surface'!$C$2='Data Validation'!$A$2,CI58,IF('Adjustment Surface'!$C$2='Data Validation'!$A$3,CJ58,"Unknown Option Type")))/((CK58+0.01%)*SQRT(CG58)),0,1,TRUE)))+(((CK58+0.01%)*SQRT(CG58))*(NORMDIST((IF('Adjustment Surface'!$C$2='Data Validation'!$A$2,CJ58,IF('Adjustment Surface'!$C$2='Data Validation'!$A$3,CI58,"Unknown Option Type"))-IF('Adjustment Surface'!$C$2='Data Validation'!$A$2,CI58,IF('Adjustment Surface'!$C$2='Data Validation'!$A$3,CJ58,"Unknown Option Type")))/((CK58+0.01%)*SQRT(CG58)),0,1,FALSE))))*CL58*(CF58/360))-(CN58/CH58))*CH58)*CL58))</f>
        <v/>
      </c>
      <c r="CR58" s="15" t="str">
        <f>IF(CC58="","",SUM(CQ$4:CQ58))</f>
        <v/>
      </c>
    </row>
    <row r="59" spans="7:96" x14ac:dyDescent="0.25">
      <c r="G59" s="28"/>
      <c r="J59" s="4" t="str">
        <f>IF(K58='Adjustment Surface'!C$8,"",K58)</f>
        <v/>
      </c>
      <c r="K59" s="4" t="str">
        <f>IF(J59="","",IF(J59&lt;'Adjustment Surface'!C$7,EDATE(J$5,COUNT(J$5:J59)),IF(J59='Adjustment Surface'!C$7,'Adjustment Surface'!C$8,'Adjustment Surface'!C$7)))</f>
        <v/>
      </c>
      <c r="L59" s="3" t="str">
        <f t="shared" si="1"/>
        <v/>
      </c>
      <c r="M59" s="5" t="str">
        <f>IF(I59="","",(K59-'Rate &amp; Vol Update'!$C$2)/360)</f>
        <v/>
      </c>
      <c r="N59" s="15" t="str">
        <f>IF(I59="","",IF('Adjustment Surface'!C$3='Data Validation'!$C$2,'Adjustment Surface'!C$4,IF(INDEX(Schedules!$E$3:$E$123,MATCH('Bachelier Model'!J59,Schedules!$B$3:$B$123,0))="",N58,INDEX(Schedules!$E$3:$E$123,MATCH('Bachelier Model'!J59,Schedules!$B$3:$B$123,0)))))</f>
        <v/>
      </c>
      <c r="O59" s="16" t="str">
        <f>IF(I59="","",IF('Adjustment Surface'!C$9='Data Validation'!$D$2,'Adjustment Surface'!C$10,IF(INDEX(Schedules!$H$3:$H$123,MATCH('Bachelier Model'!J59,Schedules!$B$3:$B$123,0))="",O58,INDEX(Schedules!$H$3:$H$123,MATCH('Bachelier Model'!J59,Schedules!$B$3:$B$123,0)))))</f>
        <v/>
      </c>
      <c r="P59" s="16" t="str" cm="1">
        <f t="array" ref="P59">IF(I59="","",FORECAST(J59,INDEX('Rate &amp; Vol Update'!$C$6:$C$127,MATCH(INDEX('Rate &amp; Vol Update'!$B$6:$B$127,MATCH(J59,'Rate &amp; Vol Update'!$B$6:$B$127,1)),'Rate &amp; Vol Update'!$B$6:$B$127,0)+IF('Adjustment Surface'!C$11='Data Validation'!$E$3,-1,0)):INDEX('Rate &amp; Vol Update'!$C$6:$C$127,MATCH(INDEX('Rate &amp; Vol Update'!$B$6:$B$127,MATCH(J59,'Rate &amp; Vol Update'!$B$6:$B$127,1)+1),'Rate &amp; Vol Update'!$B$6:$B$127,0)+IF('Adjustment Surface'!C$11='Data Validation'!$E$3,-1,0)),INDEX('Rate &amp; Vol Update'!$B$6:$B$127,MATCH(J59,'Rate &amp; Vol Update'!$B$6:$B$127,1)):INDEX('Rate &amp; Vol Update'!$B$6:$B$127,MATCH(J59,'Rate &amp; Vol Update'!$B$6:$B$127,1)+1))/100)</f>
        <v/>
      </c>
      <c r="Q59" s="16" t="str" cm="1">
        <f t="array" ref="Q59">IF(I59="","",IF(J59&lt;'Rate &amp; Vol Update'!$C$2,0.001%,(1/((INDEX('Rate &amp; Vol Update'!$E$6:$Z$6,1,MATCH(O59,'Rate &amp; Vol Update'!$E$6:$Z$6,1)+1)-INDEX('Rate &amp; Vol Update'!$E$6:$Z$6,1,MATCH(O59,'Rate &amp; Vol Update'!$E$6:$Z$6,1)))*(INDEX('Rate &amp; Vol Update'!$B$8:$B$127,MATCH(J59,'Rate &amp; Vol Update'!$B$8:$B$127,1)+1)-INDEX('Rate &amp; Vol Update'!$B$8:$B$127,MATCH(J59,'Rate &amp; Vol Update'!$B$8:$B$127,1))))*(INDEX('Rate &amp; Vol Update'!$E$8:$Z$127,MATCH(INDEX('Rate &amp; Vol Update'!$B$8:$B$127,MATCH(J59,'Rate &amp; Vol Update'!$B$8:$B$127,1)),'Rate &amp; Vol Update'!$B$8:$B$127,0),MATCH(INDEX('Rate &amp; Vol Update'!$E$6:$Z$6,1,MATCH(O59,'Rate &amp; Vol Update'!$E$6:$Z$6,1)),'Rate &amp; Vol Update'!$E$6:$Z$6,0))*(INDEX('Rate &amp; Vol Update'!$E$6:$Z$6,1,MATCH(O59,'Rate &amp; Vol Update'!$E$6:$Z$6,1)+1)-O59)*(INDEX('Rate &amp; Vol Update'!$B$8:$B$127,MATCH(J59,'Rate &amp; Vol Update'!$B$8:$B$127,1)+1)-J59)+INDEX('Rate &amp; Vol Update'!$E$8:$Z$127,MATCH(INDEX('Rate &amp; Vol Update'!$B$8:$B$127,MATCH(J59,'Rate &amp; Vol Update'!$B$8:$B$127,1)),'Rate &amp; Vol Update'!$B$8:$B$127,0),MATCH(INDEX('Rate &amp; Vol Update'!$E$6:$Z$6,1,MATCH(O59,'Rate &amp; Vol Update'!$E$6:$Z$6,1)+1),'Rate &amp; Vol Update'!$E$6:$Z$6,0))*(O59-INDEX('Rate &amp; Vol Update'!$E$6:$Z$6,1,MATCH(O59,'Rate &amp; Vol Update'!$E$6:$Z$6,1)))*(INDEX('Rate &amp; Vol Update'!$B$8:$B$127,MATCH(J59,'Rate &amp; Vol Update'!$B$8:$B$127,1)+1)-J59)+INDEX('Rate &amp; Vol Update'!$E$8:$Z$127,MATCH(INDEX('Rate &amp; Vol Update'!$B$8:$B$127,MATCH(J59,'Rate &amp; Vol Update'!$B$8:$B$127,1)+1),'Rate &amp; Vol Update'!$B$8:$B$127,0),MATCH(INDEX('Rate &amp; Vol Update'!$E$6:$Z$6,1,MATCH(O59,'Rate &amp; Vol Update'!$E$6:$Z$6,1)),'Rate &amp; Vol Update'!$E$6:$Z$6,0))*(INDEX('Rate &amp; Vol Update'!$E$6:$Z$6,1,MATCH(O59,'Rate &amp; Vol Update'!$E$6:$Z$6,1)+1)-O59)*(J59-INDEX('Rate &amp; Vol Update'!$B$8:$B$127,MATCH(J59,'Rate &amp; Vol Update'!$B$8:$B$127,1)))+INDEX('Rate &amp; Vol Update'!$E$8:$Z$127,MATCH(INDEX('Rate &amp; Vol Update'!$B$8:$B$127,MATCH(J59,'Rate &amp; Vol Update'!$B$8:$B$127,1)+1),'Rate &amp; Vol Update'!$B$8:$B$127,0),MATCH(INDEX('Rate &amp; Vol Update'!$E$6:$Z$6,1,MATCH(O59,'Rate &amp; Vol Update'!$E$6:$Z$6,1)+1),'Rate &amp; Vol Update'!$E$6:$Z$6,0))*(O59-INDEX('Rate &amp; Vol Update'!$E$6:$Z$6,1,MATCH(O59,'Rate &amp; Vol Update'!$E$6:$Z$6,1)))*(J59-INDEX('Rate &amp; Vol Update'!$B$8:$B$127,MATCH(J59,'Rate &amp; Vol Update'!$B$8:$B$127,1)))))*0.01%))</f>
        <v/>
      </c>
      <c r="R59" s="5" t="str">
        <f>IF(I59="","",1/((1+P59)^((K59-'Rate &amp; Vol Update'!$C$2)/360)))</f>
        <v/>
      </c>
      <c r="T59" s="15" t="str">
        <f>IF(I59="","",IF(J59&lt;'Rate &amp; Vol Update'!$C$2,MAX(0,P59-O59)*(L59/360)*N59,(((IF('Adjustment Surface'!C$2='Data Validation'!$A$2,P59,IF('Adjustment Surface'!C$2='Data Validation'!$A$3,O59,"Unknown Option Type"))-IF('Adjustment Surface'!C$2='Data Validation'!$A$2,O59,IF('Adjustment Surface'!C$2='Data Validation'!$A$3,P59,"Unknown Option Type")))*(NORMDIST((IF('Adjustment Surface'!C$2='Data Validation'!$A$2,P59,IF('Adjustment Surface'!C$2='Data Validation'!$A$3,O59,"Unknown Option Type"))-IF('Adjustment Surface'!C$2='Data Validation'!$A$2,O59,IF('Adjustment Surface'!C$2='Data Validation'!$A$3,P59,"Unknown Option Type")))/(Q59*SQRT(M59)),0,1,TRUE)))+((Q59*SQRT(M59))*(NORMDIST((IF('Adjustment Surface'!C$2='Data Validation'!$A$2,P59,IF('Adjustment Surface'!C$2='Data Validation'!$A$3,O59,"Unknown Option Type"))-IF('Adjustment Surface'!C$2='Data Validation'!$A$2,O59,IF('Adjustment Surface'!C$2='Data Validation'!$A$3,P59,"Unknown Option Type")))/(Q59*SQRT(M59)),0,1,FALSE))))*R59*(L59/360)*N59))</f>
        <v/>
      </c>
      <c r="U59" s="15" t="str">
        <f>IF(I59="","",SUM(T$4:T59))</f>
        <v/>
      </c>
      <c r="W59" s="15" t="str">
        <f>IF(I59="","",IF(J59&lt;'Rate &amp; Vol Update'!$C$2,0,((((((IF('Adjustment Surface'!C$2='Data Validation'!$A$2,P59,IF('Adjustment Surface'!C$2='Data Validation'!$A$3,O59,"Unknown Option Type"))-IF('Adjustment Surface'!C$2='Data Validation'!$A$2,O59,IF('Adjustment Surface'!C$2='Data Validation'!$A$3,P59,"Unknown Option Type")))*(NORMDIST((IF('Adjustment Surface'!C$2='Data Validation'!$A$2,P59,IF('Adjustment Surface'!C$2='Data Validation'!$A$3,O59,"Unknown Option Type"))-IF('Adjustment Surface'!C$2='Data Validation'!$A$2,O59,IF('Adjustment Surface'!C$2='Data Validation'!$A$3,P59,"Unknown Option Type")))/((Q59+0.01%)*SQRT(M59)),0,1,TRUE)))+(((Q59+0.01%)*SQRT(M59))*(NORMDIST((IF('Adjustment Surface'!C$2='Data Validation'!$A$2,P59,IF('Adjustment Surface'!C$2='Data Validation'!$A$3,O59,"Unknown Option Type"))-IF('Adjustment Surface'!C$2='Data Validation'!$A$2,O59,IF('Adjustment Surface'!C$2='Data Validation'!$A$3,P59,"Unknown Option Type")))/((Q59+0.01%)*SQRT(M59)),0,1,FALSE))))*R59*(L59/360))-(T59/N59))*N59)*R59))</f>
        <v/>
      </c>
      <c r="X59" s="15" t="str">
        <f>IF(I59="","",SUM(W$4:W59))</f>
        <v/>
      </c>
      <c r="Y59" s="15"/>
      <c r="Z59" s="20"/>
      <c r="AB59" s="4" t="str">
        <f>IF(AC58=MAX('Adjustment Surface'!$C$14:$F$14),"",AC58)</f>
        <v/>
      </c>
      <c r="AC59" s="4" t="str">
        <f>IF(AB59="","",IF(AB59&lt;EDATE('Adjustment Surface'!$C$6,DATEDIF('Adjustment Surface'!$C$6,MAX('Adjustment Surface'!$C$14:$F$14),"M")),EDATE(AB$5,COUNT(AB$5:AB59)),IF(AB59=EDATE('Adjustment Surface'!$C$6,DATEDIF('Adjustment Surface'!$C$6,MAX('Adjustment Surface'!$C$14:$F$14),"M")),MAX('Adjustment Surface'!$C$14:$F$14),EDATE('Adjustment Surface'!$C$6,DATEDIF('Adjustment Surface'!$C$6,MAX('Adjustment Surface'!$C$14:$F$14),"M")))))</f>
        <v/>
      </c>
      <c r="AD59" s="3" t="str">
        <f t="shared" si="2"/>
        <v/>
      </c>
      <c r="AE59" s="5" t="str">
        <f>IF(AA59="","",(AC59-'Rate &amp; Vol Update'!$C$2)/360)</f>
        <v/>
      </c>
      <c r="AF59" s="15" t="str">
        <f>IF(AA59="","",IF('Adjustment Surface'!$C$3='Data Validation'!$C$2,'Adjustment Surface'!$C$4,_xlfn.IFNA(IF(INDEX(Schedules!$E$3:$E$123,MATCH('Bachelier Model'!AB59,Schedules!$B$3:$B$123,0))="",AF58,INDEX(Schedules!$E$3:$E$123,MATCH('Bachelier Model'!AB59,Schedules!$B$3:$B$123,0))),AF58)))</f>
        <v/>
      </c>
      <c r="AG59" s="16" t="str">
        <f>IF(AA59="","",'Adjustment Surface'!B$15)</f>
        <v/>
      </c>
      <c r="AH59" s="16" t="str" cm="1">
        <f t="array" ref="AH59">IF(AA59="","",FORECAST(AB59,INDEX('Rate &amp; Vol Update'!$C$6:$C$127,MATCH(INDEX('Rate &amp; Vol Update'!$B$6:$B$127,MATCH(AB59,'Rate &amp; Vol Update'!$B$6:$B$127,1)),'Rate &amp; Vol Update'!$B$6:$B$127,0)+IF('Adjustment Surface'!$C$11='Data Validation'!$E$3,-1,0)):INDEX('Rate &amp; Vol Update'!$C$6:$C$127,MATCH(INDEX('Rate &amp; Vol Update'!$B$6:$B$127,MATCH(AB59,'Rate &amp; Vol Update'!$B$6:$B$127,1)+1),'Rate &amp; Vol Update'!$B$6:$B$127,0)+IF('Adjustment Surface'!$C$11='Data Validation'!$E$3,-1,0)),INDEX('Rate &amp; Vol Update'!$B$6:$B$127,MATCH(AB59,'Rate &amp; Vol Update'!$B$6:$B$127,1)):INDEX('Rate &amp; Vol Update'!$B$6:$B$127,MATCH(AB59,'Rate &amp; Vol Update'!$B$6:$B$127,1)+1))/100)</f>
        <v/>
      </c>
      <c r="AI59" s="16" t="str" cm="1">
        <f t="array" ref="AI59">IF(AA59="","",IF(AB59&lt;'Rate &amp; Vol Update'!$C$2,0.001%,(1/((INDEX('Rate &amp; Vol Update'!$E$6:$Z$6,1,MATCH(AG59,'Rate &amp; Vol Update'!$E$6:$Z$6,1)+1)-INDEX('Rate &amp; Vol Update'!$E$6:$Z$6,1,MATCH(AG59,'Rate &amp; Vol Update'!$E$6:$Z$6,1)))*(INDEX('Rate &amp; Vol Update'!$B$8:$B$127,MATCH(AB59,'Rate &amp; Vol Update'!$B$8:$B$127,1)+1)-INDEX('Rate &amp; Vol Update'!$B$8:$B$127,MATCH(AB59,'Rate &amp; Vol Update'!$B$8:$B$127,1))))*(INDEX('Rate &amp; Vol Update'!$E$8:$Z$127,MATCH(INDEX('Rate &amp; Vol Update'!$B$8:$B$127,MATCH(AB59,'Rate &amp; Vol Update'!$B$8:$B$127,1)),'Rate &amp; Vol Update'!$B$8:$B$127,0),MATCH(INDEX('Rate &amp; Vol Update'!$E$6:$Z$6,1,MATCH(AG59,'Rate &amp; Vol Update'!$E$6:$Z$6,1)),'Rate &amp; Vol Update'!$E$6:$Z$6,0))*(INDEX('Rate &amp; Vol Update'!$E$6:$Z$6,1,MATCH(AG59,'Rate &amp; Vol Update'!$E$6:$Z$6,1)+1)-AG59)*(INDEX('Rate &amp; Vol Update'!$B$8:$B$127,MATCH(AB59,'Rate &amp; Vol Update'!$B$8:$B$127,1)+1)-AB59)+INDEX('Rate &amp; Vol Update'!$E$8:$Z$127,MATCH(INDEX('Rate &amp; Vol Update'!$B$8:$B$127,MATCH(AB59,'Rate &amp; Vol Update'!$B$8:$B$127,1)),'Rate &amp; Vol Update'!$B$8:$B$127,0),MATCH(INDEX('Rate &amp; Vol Update'!$E$6:$Z$6,1,MATCH(AG59,'Rate &amp; Vol Update'!$E$6:$Z$6,1)+1),'Rate &amp; Vol Update'!$E$6:$Z$6,0))*(AG59-INDEX('Rate &amp; Vol Update'!$E$6:$Z$6,1,MATCH(AG59,'Rate &amp; Vol Update'!$E$6:$Z$6,1)))*(INDEX('Rate &amp; Vol Update'!$B$8:$B$127,MATCH(AB59,'Rate &amp; Vol Update'!$B$8:$B$127,1)+1)-AB59)+INDEX('Rate &amp; Vol Update'!$E$8:$Z$127,MATCH(INDEX('Rate &amp; Vol Update'!$B$8:$B$127,MATCH(AB59,'Rate &amp; Vol Update'!$B$8:$B$127,1)+1),'Rate &amp; Vol Update'!$B$8:$B$127,0),MATCH(INDEX('Rate &amp; Vol Update'!$E$6:$Z$6,1,MATCH(AG59,'Rate &amp; Vol Update'!$E$6:$Z$6,1)),'Rate &amp; Vol Update'!$E$6:$Z$6,0))*(INDEX('Rate &amp; Vol Update'!$E$6:$Z$6,1,MATCH(AG59,'Rate &amp; Vol Update'!$E$6:$Z$6,1)+1)-AG59)*(AB59-INDEX('Rate &amp; Vol Update'!$B$8:$B$127,MATCH(AB59,'Rate &amp; Vol Update'!$B$8:$B$127,1)))+INDEX('Rate &amp; Vol Update'!$E$8:$Z$127,MATCH(INDEX('Rate &amp; Vol Update'!$B$8:$B$127,MATCH(AB59,'Rate &amp; Vol Update'!$B$8:$B$127,1)+1),'Rate &amp; Vol Update'!$B$8:$B$127,0),MATCH(INDEX('Rate &amp; Vol Update'!$E$6:$Z$6,1,MATCH(AG59,'Rate &amp; Vol Update'!$E$6:$Z$6,1)+1),'Rate &amp; Vol Update'!$E$6:$Z$6,0))*(AG59-INDEX('Rate &amp; Vol Update'!$E$6:$Z$6,1,MATCH(AG59,'Rate &amp; Vol Update'!$E$6:$Z$6,1)))*(AB59-INDEX('Rate &amp; Vol Update'!$B$8:$B$127,MATCH(AB59,'Rate &amp; Vol Update'!$B$8:$B$127,1)))))*0.01%))</f>
        <v/>
      </c>
      <c r="AJ59" s="5" t="str">
        <f>IF(AA59="","",1/((1+AH59)^((AC59-'Rate &amp; Vol Update'!$C$2)/360)))</f>
        <v/>
      </c>
      <c r="AL59" s="15" t="str">
        <f>IF(AA59="","",IF(AB59&lt;'Rate &amp; Vol Update'!$C$2,MAX(0,AH59-AG59)*(AD59/360)*AF59,(((IF('Adjustment Surface'!$C$2='Data Validation'!$A$2,AH59,IF('Adjustment Surface'!$C$2='Data Validation'!$A$3,AG59,"Unknown Option Type"))-IF('Adjustment Surface'!$C$2='Data Validation'!$A$2,AG59,IF('Adjustment Surface'!$C$2='Data Validation'!$A$3,AH59,"Unknown Option Type")))*(NORMDIST((IF('Adjustment Surface'!$C$2='Data Validation'!$A$2,AH59,IF('Adjustment Surface'!$C$2='Data Validation'!$A$3,AG59,"Unknown Option Type"))-IF('Adjustment Surface'!$C$2='Data Validation'!$A$2,AG59,IF('Adjustment Surface'!$C$2='Data Validation'!$A$3,AH59,"Unknown Option Type")))/(AI59*SQRT(AE59)),0,1,TRUE)))+((AI59*SQRT(AE59))*(NORMDIST((IF('Adjustment Surface'!$C$2='Data Validation'!$A$2,AH59,IF('Adjustment Surface'!$C$2='Data Validation'!$A$3,AG59,"Unknown Option Type"))-IF('Adjustment Surface'!$C$2='Data Validation'!$A$2,AG59,IF('Adjustment Surface'!$C$2='Data Validation'!$A$3,AH59,"Unknown Option Type")))/(AI59*SQRT(AE59)),0,1,FALSE))))*AJ59*(AD59/360)*AF59))</f>
        <v/>
      </c>
      <c r="AM59" s="15" t="str">
        <f>IF(AA59="","",SUM(AL$4:AL59))</f>
        <v/>
      </c>
      <c r="AO59" s="15" t="str">
        <f>IF(AA59="","",IF(AB59&lt;'Rate &amp; Vol Update'!$C$2,0,((((((IF('Adjustment Surface'!$C$2='Data Validation'!$A$2,AH59,IF('Adjustment Surface'!$C$2='Data Validation'!$A$3,AG59,"Unknown Option Type"))-IF('Adjustment Surface'!$C$2='Data Validation'!$A$2,AG59,IF('Adjustment Surface'!$C$2='Data Validation'!$A$3,AH59,"Unknown Option Type")))*(NORMDIST((IF('Adjustment Surface'!$C$2='Data Validation'!$A$2,AH59,IF('Adjustment Surface'!$C$2='Data Validation'!$A$3,AG59,"Unknown Option Type"))-IF('Adjustment Surface'!$C$2='Data Validation'!$A$2,AG59,IF('Adjustment Surface'!$C$2='Data Validation'!$A$3,AH59,"Unknown Option Type")))/((AI59+0.01%)*SQRT(AE59)),0,1,TRUE)))+(((AI59+0.01%)*SQRT(AE59))*(NORMDIST((IF('Adjustment Surface'!$C$2='Data Validation'!$A$2,AH59,IF('Adjustment Surface'!$C$2='Data Validation'!$A$3,AG59,"Unknown Option Type"))-IF('Adjustment Surface'!$C$2='Data Validation'!$A$2,AG59,IF('Adjustment Surface'!$C$2='Data Validation'!$A$3,AH59,"Unknown Option Type")))/((AI59+0.01%)*SQRT(AE59)),0,1,FALSE))))*AJ59*(AD59/360))-(AL59/AF59))*AF59)*AJ59))</f>
        <v/>
      </c>
      <c r="AP59" s="15" t="str">
        <f>IF(AA59="","",SUM(AO$4:AO59))</f>
        <v/>
      </c>
      <c r="AQ59" s="15"/>
      <c r="AR59" s="20"/>
      <c r="AT59" s="4" t="str">
        <f>IF(AU58=MAX('Adjustment Surface'!$C$14:$F$14),"",AU58)</f>
        <v/>
      </c>
      <c r="AU59" s="4" t="str">
        <f>IF(AT59="","",IF(AT59&lt;EDATE('Adjustment Surface'!$C$6,DATEDIF('Adjustment Surface'!$C$6,MAX('Adjustment Surface'!$C$14:$F$14),"M")),EDATE(AT$5,COUNT(AT$5:AT59)),IF(AT59=EDATE('Adjustment Surface'!$C$6,DATEDIF('Adjustment Surface'!$C$6,MAX('Adjustment Surface'!$C$14:$F$14),"M")),MAX('Adjustment Surface'!$C$14:$F$14),EDATE('Adjustment Surface'!$C$6,DATEDIF('Adjustment Surface'!$C$6,MAX('Adjustment Surface'!$C$14:$F$14),"M")))))</f>
        <v/>
      </c>
      <c r="AV59" s="3" t="str">
        <f t="shared" si="3"/>
        <v/>
      </c>
      <c r="AW59" s="5" t="str">
        <f>IF(AS59="","",(AU59-'Rate &amp; Vol Update'!$C$2)/360)</f>
        <v/>
      </c>
      <c r="AX59" s="15" t="str">
        <f>IF(AS59="","",IF('Adjustment Surface'!$C$3='Data Validation'!$C$2,'Adjustment Surface'!$C$4,_xlfn.IFNA(IF(INDEX(Schedules!$E$3:$E$123,MATCH('Bachelier Model'!AT59,Schedules!$B$3:$B$123,0))="",AX58,INDEX(Schedules!$E$3:$E$123,MATCH('Bachelier Model'!AT59,Schedules!$B$3:$B$123,0))),AX58)))</f>
        <v/>
      </c>
      <c r="AY59" s="16" t="str">
        <f>IF(AS59="","",'Adjustment Surface'!B$16)</f>
        <v/>
      </c>
      <c r="AZ59" s="16" t="str" cm="1">
        <f t="array" ref="AZ59">IF(AS59="","",FORECAST(AT59,INDEX('Rate &amp; Vol Update'!$C$6:$C$127,MATCH(INDEX('Rate &amp; Vol Update'!$B$6:$B$127,MATCH(AT59,'Rate &amp; Vol Update'!$B$6:$B$127,1)),'Rate &amp; Vol Update'!$B$6:$B$127,0)+IF('Adjustment Surface'!$C$11='Data Validation'!$E$3,-1,0)):INDEX('Rate &amp; Vol Update'!$C$6:$C$127,MATCH(INDEX('Rate &amp; Vol Update'!$B$6:$B$127,MATCH(AT59,'Rate &amp; Vol Update'!$B$6:$B$127,1)+1),'Rate &amp; Vol Update'!$B$6:$B$127,0)+IF('Adjustment Surface'!$C$11='Data Validation'!$E$3,-1,0)),INDEX('Rate &amp; Vol Update'!$B$6:$B$127,MATCH(AT59,'Rate &amp; Vol Update'!$B$6:$B$127,1)):INDEX('Rate &amp; Vol Update'!$B$6:$B$127,MATCH(AT59,'Rate &amp; Vol Update'!$B$6:$B$127,1)+1))/100)</f>
        <v/>
      </c>
      <c r="BA59" s="16" t="str" cm="1">
        <f t="array" ref="BA59">IF(AS59="","",IF(AT59&lt;'Rate &amp; Vol Update'!$C$2,0.001%,(1/((INDEX('Rate &amp; Vol Update'!$E$6:$Z$6,1,MATCH(AY59,'Rate &amp; Vol Update'!$E$6:$Z$6,1)+1)-INDEX('Rate &amp; Vol Update'!$E$6:$Z$6,1,MATCH(AY59,'Rate &amp; Vol Update'!$E$6:$Z$6,1)))*(INDEX('Rate &amp; Vol Update'!$B$8:$B$127,MATCH(AT59,'Rate &amp; Vol Update'!$B$8:$B$127,1)+1)-INDEX('Rate &amp; Vol Update'!$B$8:$B$127,MATCH(AT59,'Rate &amp; Vol Update'!$B$8:$B$127,1))))*(INDEX('Rate &amp; Vol Update'!$E$8:$Z$127,MATCH(INDEX('Rate &amp; Vol Update'!$B$8:$B$127,MATCH(AT59,'Rate &amp; Vol Update'!$B$8:$B$127,1)),'Rate &amp; Vol Update'!$B$8:$B$127,0),MATCH(INDEX('Rate &amp; Vol Update'!$E$6:$Z$6,1,MATCH(AY59,'Rate &amp; Vol Update'!$E$6:$Z$6,1)),'Rate &amp; Vol Update'!$E$6:$Z$6,0))*(INDEX('Rate &amp; Vol Update'!$E$6:$Z$6,1,MATCH(AY59,'Rate &amp; Vol Update'!$E$6:$Z$6,1)+1)-AY59)*(INDEX('Rate &amp; Vol Update'!$B$8:$B$127,MATCH(AT59,'Rate &amp; Vol Update'!$B$8:$B$127,1)+1)-AT59)+INDEX('Rate &amp; Vol Update'!$E$8:$Z$127,MATCH(INDEX('Rate &amp; Vol Update'!$B$8:$B$127,MATCH(AT59,'Rate &amp; Vol Update'!$B$8:$B$127,1)),'Rate &amp; Vol Update'!$B$8:$B$127,0),MATCH(INDEX('Rate &amp; Vol Update'!$E$6:$Z$6,1,MATCH(AY59,'Rate &amp; Vol Update'!$E$6:$Z$6,1)+1),'Rate &amp; Vol Update'!$E$6:$Z$6,0))*(AY59-INDEX('Rate &amp; Vol Update'!$E$6:$Z$6,1,MATCH(AY59,'Rate &amp; Vol Update'!$E$6:$Z$6,1)))*(INDEX('Rate &amp; Vol Update'!$B$8:$B$127,MATCH(AT59,'Rate &amp; Vol Update'!$B$8:$B$127,1)+1)-AT59)+INDEX('Rate &amp; Vol Update'!$E$8:$Z$127,MATCH(INDEX('Rate &amp; Vol Update'!$B$8:$B$127,MATCH(AT59,'Rate &amp; Vol Update'!$B$8:$B$127,1)+1),'Rate &amp; Vol Update'!$B$8:$B$127,0),MATCH(INDEX('Rate &amp; Vol Update'!$E$6:$Z$6,1,MATCH(AY59,'Rate &amp; Vol Update'!$E$6:$Z$6,1)),'Rate &amp; Vol Update'!$E$6:$Z$6,0))*(INDEX('Rate &amp; Vol Update'!$E$6:$Z$6,1,MATCH(AY59,'Rate &amp; Vol Update'!$E$6:$Z$6,1)+1)-AY59)*(AT59-INDEX('Rate &amp; Vol Update'!$B$8:$B$127,MATCH(AT59,'Rate &amp; Vol Update'!$B$8:$B$127,1)))+INDEX('Rate &amp; Vol Update'!$E$8:$Z$127,MATCH(INDEX('Rate &amp; Vol Update'!$B$8:$B$127,MATCH(AT59,'Rate &amp; Vol Update'!$B$8:$B$127,1)+1),'Rate &amp; Vol Update'!$B$8:$B$127,0),MATCH(INDEX('Rate &amp; Vol Update'!$E$6:$Z$6,1,MATCH(AY59,'Rate &amp; Vol Update'!$E$6:$Z$6,1)+1),'Rate &amp; Vol Update'!$E$6:$Z$6,0))*(AY59-INDEX('Rate &amp; Vol Update'!$E$6:$Z$6,1,MATCH(AY59,'Rate &amp; Vol Update'!$E$6:$Z$6,1)))*(AT59-INDEX('Rate &amp; Vol Update'!$B$8:$B$127,MATCH(AT59,'Rate &amp; Vol Update'!$B$8:$B$127,1)))))*0.01%))</f>
        <v/>
      </c>
      <c r="BB59" s="5" t="str">
        <f>IF(AS59="","",1/((1+AZ59)^((AU59-'Rate &amp; Vol Update'!$C$2)/360)))</f>
        <v/>
      </c>
      <c r="BD59" s="15" t="str">
        <f>IF(AS59="","",IF(AT59&lt;'Rate &amp; Vol Update'!$C$2,MAX(0,AZ59-AY59)*(AV59/360)*AX59,(((IF('Adjustment Surface'!$C$2='Data Validation'!$A$2,AZ59,IF('Adjustment Surface'!$C$2='Data Validation'!$A$3,AY59,"Unknown Option Type"))-IF('Adjustment Surface'!$C$2='Data Validation'!$A$2,AY59,IF('Adjustment Surface'!$C$2='Data Validation'!$A$3,AZ59,"Unknown Option Type")))*(NORMDIST((IF('Adjustment Surface'!$C$2='Data Validation'!$A$2,AZ59,IF('Adjustment Surface'!$C$2='Data Validation'!$A$3,AY59,"Unknown Option Type"))-IF('Adjustment Surface'!$C$2='Data Validation'!$A$2,AY59,IF('Adjustment Surface'!$C$2='Data Validation'!$A$3,AZ59,"Unknown Option Type")))/(BA59*SQRT(AW59)),0,1,TRUE)))+((BA59*SQRT(AW59))*(NORMDIST((IF('Adjustment Surface'!$C$2='Data Validation'!$A$2,AZ59,IF('Adjustment Surface'!$C$2='Data Validation'!$A$3,AY59,"Unknown Option Type"))-IF('Adjustment Surface'!$C$2='Data Validation'!$A$2,AY59,IF('Adjustment Surface'!$C$2='Data Validation'!$A$3,AZ59,"Unknown Option Type")))/(BA59*SQRT(AW59)),0,1,FALSE))))*BB59*(AV59/360)*AX59))</f>
        <v/>
      </c>
      <c r="BE59" s="15" t="str">
        <f>IF(AS59="","",SUM(BD$4:BD59))</f>
        <v/>
      </c>
      <c r="BG59" s="15" t="str">
        <f>IF(AS59="","",IF(AT59&lt;'Rate &amp; Vol Update'!$C$2,0,((((((IF('Adjustment Surface'!$C$2='Data Validation'!$A$2,AZ59,IF('Adjustment Surface'!$C$2='Data Validation'!$A$3,AY59,"Unknown Option Type"))-IF('Adjustment Surface'!$C$2='Data Validation'!$A$2,AY59,IF('Adjustment Surface'!$C$2='Data Validation'!$A$3,AZ59,"Unknown Option Type")))*(NORMDIST((IF('Adjustment Surface'!$C$2='Data Validation'!$A$2,AZ59,IF('Adjustment Surface'!$C$2='Data Validation'!$A$3,AY59,"Unknown Option Type"))-IF('Adjustment Surface'!$C$2='Data Validation'!$A$2,AY59,IF('Adjustment Surface'!$C$2='Data Validation'!$A$3,AZ59,"Unknown Option Type")))/((BA59+0.01%)*SQRT(AW59)),0,1,TRUE)))+(((BA59+0.01%)*SQRT(AW59))*(NORMDIST((IF('Adjustment Surface'!$C$2='Data Validation'!$A$2,AZ59,IF('Adjustment Surface'!$C$2='Data Validation'!$A$3,AY59,"Unknown Option Type"))-IF('Adjustment Surface'!$C$2='Data Validation'!$A$2,AY59,IF('Adjustment Surface'!$C$2='Data Validation'!$A$3,AZ59,"Unknown Option Type")))/((BA59+0.01%)*SQRT(AW59)),0,1,FALSE))))*BB59*(AV59/360))-(BD59/AX59))*AX59)*BB59))</f>
        <v/>
      </c>
      <c r="BH59" s="15" t="str">
        <f>IF(AS59="","",SUM(BG$4:BG59))</f>
        <v/>
      </c>
      <c r="BI59" s="15"/>
      <c r="BJ59" s="20"/>
      <c r="BL59" s="4" t="str">
        <f>IF(BM58=MAX('Adjustment Surface'!$C$14:$F$14),"",BM58)</f>
        <v/>
      </c>
      <c r="BM59" s="4" t="str">
        <f>IF(BL59="","",IF(BL59&lt;EDATE('Adjustment Surface'!$C$6,DATEDIF('Adjustment Surface'!$C$6,MAX('Adjustment Surface'!$C$14:$F$14),"M")),EDATE(BL$5,COUNT(BL$5:BL59)),IF(BL59=EDATE('Adjustment Surface'!$C$6,DATEDIF('Adjustment Surface'!$C$6,MAX('Adjustment Surface'!$C$14:$F$14),"M")),MAX('Adjustment Surface'!$C$14:$F$14),EDATE('Adjustment Surface'!$C$6,DATEDIF('Adjustment Surface'!$C$6,MAX('Adjustment Surface'!$C$14:$F$14),"M")))))</f>
        <v/>
      </c>
      <c r="BN59" s="3" t="str">
        <f t="shared" si="4"/>
        <v/>
      </c>
      <c r="BO59" s="5" t="str">
        <f>IF(BK59="","",(BM59-'Rate &amp; Vol Update'!$C$2)/360)</f>
        <v/>
      </c>
      <c r="BP59" s="15" t="str">
        <f>IF(BK59="","",IF('Adjustment Surface'!$C$3='Data Validation'!$C$2,'Adjustment Surface'!$C$4,_xlfn.IFNA(IF(INDEX(Schedules!$E$3:$E$123,MATCH('Bachelier Model'!BL59,Schedules!$B$3:$B$123,0))="",BP58,INDEX(Schedules!$E$3:$E$123,MATCH('Bachelier Model'!BL59,Schedules!$B$3:$B$123,0))),BP58)))</f>
        <v/>
      </c>
      <c r="BQ59" s="16" t="str">
        <f>IF(BK59="","",'Adjustment Surface'!B$17)</f>
        <v/>
      </c>
      <c r="BR59" s="16" t="str" cm="1">
        <f t="array" ref="BR59">IF(BK59="","",FORECAST(BL59,INDEX('Rate &amp; Vol Update'!$C$6:$C$127,MATCH(INDEX('Rate &amp; Vol Update'!$B$6:$B$127,MATCH(BL59,'Rate &amp; Vol Update'!$B$6:$B$127,1)),'Rate &amp; Vol Update'!$B$6:$B$127,0)+IF('Adjustment Surface'!$C$11='Data Validation'!$E$3,-1,0)):INDEX('Rate &amp; Vol Update'!$C$6:$C$127,MATCH(INDEX('Rate &amp; Vol Update'!$B$6:$B$127,MATCH(BL59,'Rate &amp; Vol Update'!$B$6:$B$127,1)+1),'Rate &amp; Vol Update'!$B$6:$B$127,0)+IF('Adjustment Surface'!$C$11='Data Validation'!$E$3,-1,0)),INDEX('Rate &amp; Vol Update'!$B$6:$B$127,MATCH(BL59,'Rate &amp; Vol Update'!$B$6:$B$127,1)):INDEX('Rate &amp; Vol Update'!$B$6:$B$127,MATCH(BL59,'Rate &amp; Vol Update'!$B$6:$B$127,1)+1))/100)</f>
        <v/>
      </c>
      <c r="BS59" s="16" t="str" cm="1">
        <f t="array" ref="BS59">IF(BK59="","",IF(BL59&lt;'Rate &amp; Vol Update'!$C$2,0.001%,(1/((INDEX('Rate &amp; Vol Update'!$E$6:$Z$6,1,MATCH(BQ59,'Rate &amp; Vol Update'!$E$6:$Z$6,1)+1)-INDEX('Rate &amp; Vol Update'!$E$6:$Z$6,1,MATCH(BQ59,'Rate &amp; Vol Update'!$E$6:$Z$6,1)))*(INDEX('Rate &amp; Vol Update'!$B$8:$B$127,MATCH(BL59,'Rate &amp; Vol Update'!$B$8:$B$127,1)+1)-INDEX('Rate &amp; Vol Update'!$B$8:$B$127,MATCH(BL59,'Rate &amp; Vol Update'!$B$8:$B$127,1))))*(INDEX('Rate &amp; Vol Update'!$E$8:$Z$127,MATCH(INDEX('Rate &amp; Vol Update'!$B$8:$B$127,MATCH(BL59,'Rate &amp; Vol Update'!$B$8:$B$127,1)),'Rate &amp; Vol Update'!$B$8:$B$127,0),MATCH(INDEX('Rate &amp; Vol Update'!$E$6:$Z$6,1,MATCH(BQ59,'Rate &amp; Vol Update'!$E$6:$Z$6,1)),'Rate &amp; Vol Update'!$E$6:$Z$6,0))*(INDEX('Rate &amp; Vol Update'!$E$6:$Z$6,1,MATCH(BQ59,'Rate &amp; Vol Update'!$E$6:$Z$6,1)+1)-BQ59)*(INDEX('Rate &amp; Vol Update'!$B$8:$B$127,MATCH(BL59,'Rate &amp; Vol Update'!$B$8:$B$127,1)+1)-BL59)+INDEX('Rate &amp; Vol Update'!$E$8:$Z$127,MATCH(INDEX('Rate &amp; Vol Update'!$B$8:$B$127,MATCH(BL59,'Rate &amp; Vol Update'!$B$8:$B$127,1)),'Rate &amp; Vol Update'!$B$8:$B$127,0),MATCH(INDEX('Rate &amp; Vol Update'!$E$6:$Z$6,1,MATCH(BQ59,'Rate &amp; Vol Update'!$E$6:$Z$6,1)+1),'Rate &amp; Vol Update'!$E$6:$Z$6,0))*(BQ59-INDEX('Rate &amp; Vol Update'!$E$6:$Z$6,1,MATCH(BQ59,'Rate &amp; Vol Update'!$E$6:$Z$6,1)))*(INDEX('Rate &amp; Vol Update'!$B$8:$B$127,MATCH(BL59,'Rate &amp; Vol Update'!$B$8:$B$127,1)+1)-BL59)+INDEX('Rate &amp; Vol Update'!$E$8:$Z$127,MATCH(INDEX('Rate &amp; Vol Update'!$B$8:$B$127,MATCH(BL59,'Rate &amp; Vol Update'!$B$8:$B$127,1)+1),'Rate &amp; Vol Update'!$B$8:$B$127,0),MATCH(INDEX('Rate &amp; Vol Update'!$E$6:$Z$6,1,MATCH(BQ59,'Rate &amp; Vol Update'!$E$6:$Z$6,1)),'Rate &amp; Vol Update'!$E$6:$Z$6,0))*(INDEX('Rate &amp; Vol Update'!$E$6:$Z$6,1,MATCH(BQ59,'Rate &amp; Vol Update'!$E$6:$Z$6,1)+1)-BQ59)*(BL59-INDEX('Rate &amp; Vol Update'!$B$8:$B$127,MATCH(BL59,'Rate &amp; Vol Update'!$B$8:$B$127,1)))+INDEX('Rate &amp; Vol Update'!$E$8:$Z$127,MATCH(INDEX('Rate &amp; Vol Update'!$B$8:$B$127,MATCH(BL59,'Rate &amp; Vol Update'!$B$8:$B$127,1)+1),'Rate &amp; Vol Update'!$B$8:$B$127,0),MATCH(INDEX('Rate &amp; Vol Update'!$E$6:$Z$6,1,MATCH(BQ59,'Rate &amp; Vol Update'!$E$6:$Z$6,1)+1),'Rate &amp; Vol Update'!$E$6:$Z$6,0))*(BQ59-INDEX('Rate &amp; Vol Update'!$E$6:$Z$6,1,MATCH(BQ59,'Rate &amp; Vol Update'!$E$6:$Z$6,1)))*(BL59-INDEX('Rate &amp; Vol Update'!$B$8:$B$127,MATCH(BL59,'Rate &amp; Vol Update'!$B$8:$B$127,1)))))*0.01%))</f>
        <v/>
      </c>
      <c r="BT59" s="5" t="str">
        <f>IF(BK59="","",1/((1+BR59)^((BM59-'Rate &amp; Vol Update'!$C$2)/360)))</f>
        <v/>
      </c>
      <c r="BV59" s="15" t="str">
        <f>IF(BK59="","",IF(BL59&lt;'Rate &amp; Vol Update'!$C$2,MAX(0,BR59-BQ59)*(BN59/360)*BP59,(((IF('Adjustment Surface'!$C$2='Data Validation'!$A$2,BR59,IF('Adjustment Surface'!$C$2='Data Validation'!$A$3,BQ59,"Unknown Option Type"))-IF('Adjustment Surface'!$C$2='Data Validation'!$A$2,BQ59,IF('Adjustment Surface'!$C$2='Data Validation'!$A$3,BR59,"Unknown Option Type")))*(NORMDIST((IF('Adjustment Surface'!$C$2='Data Validation'!$A$2,BR59,IF('Adjustment Surface'!$C$2='Data Validation'!$A$3,BQ59,"Unknown Option Type"))-IF('Adjustment Surface'!$C$2='Data Validation'!$A$2,BQ59,IF('Adjustment Surface'!$C$2='Data Validation'!$A$3,BR59,"Unknown Option Type")))/(BS59*SQRT(BO59)),0,1,TRUE)))+((BS59*SQRT(BO59))*(NORMDIST((IF('Adjustment Surface'!$C$2='Data Validation'!$A$2,BR59,IF('Adjustment Surface'!$C$2='Data Validation'!$A$3,BQ59,"Unknown Option Type"))-IF('Adjustment Surface'!$C$2='Data Validation'!$A$2,BQ59,IF('Adjustment Surface'!$C$2='Data Validation'!$A$3,BR59,"Unknown Option Type")))/(BS59*SQRT(BO59)),0,1,FALSE))))*BT59*(BN59/360)*BP59))</f>
        <v/>
      </c>
      <c r="BW59" s="15" t="str">
        <f>IF(BK59="","",SUM(BV$4:BV59))</f>
        <v/>
      </c>
      <c r="BY59" s="15" t="str">
        <f>IF(BK59="","",IF(BL59&lt;'Rate &amp; Vol Update'!$C$2,0,((((((IF('Adjustment Surface'!$C$2='Data Validation'!$A$2,BR59,IF('Adjustment Surface'!$C$2='Data Validation'!$A$3,BQ59,"Unknown Option Type"))-IF('Adjustment Surface'!$C$2='Data Validation'!$A$2,BQ59,IF('Adjustment Surface'!$C$2='Data Validation'!$A$3,BR59,"Unknown Option Type")))*(NORMDIST((IF('Adjustment Surface'!$C$2='Data Validation'!$A$2,BR59,IF('Adjustment Surface'!$C$2='Data Validation'!$A$3,BQ59,"Unknown Option Type"))-IF('Adjustment Surface'!$C$2='Data Validation'!$A$2,BQ59,IF('Adjustment Surface'!$C$2='Data Validation'!$A$3,BR59,"Unknown Option Type")))/((BS59+0.01%)*SQRT(BO59)),0,1,TRUE)))+(((BS59+0.01%)*SQRT(BO59))*(NORMDIST((IF('Adjustment Surface'!$C$2='Data Validation'!$A$2,BR59,IF('Adjustment Surface'!$C$2='Data Validation'!$A$3,BQ59,"Unknown Option Type"))-IF('Adjustment Surface'!$C$2='Data Validation'!$A$2,BQ59,IF('Adjustment Surface'!$C$2='Data Validation'!$A$3,BR59,"Unknown Option Type")))/((BS59+0.01%)*SQRT(BO59)),0,1,FALSE))))*BT59*(BN59/360))-(BV59/BP59))*BP59)*BT59))</f>
        <v/>
      </c>
      <c r="BZ59" s="15" t="str">
        <f>IF(BK59="","",SUM(BY$4:BY59))</f>
        <v/>
      </c>
      <c r="CA59" s="15"/>
      <c r="CB59" s="20"/>
      <c r="CD59" s="4" t="str">
        <f>IF(CE58=MAX('Adjustment Surface'!$C$14:$F$14),"",CE58)</f>
        <v/>
      </c>
      <c r="CE59" s="4" t="str">
        <f>IF(CD59="","",IF(CD59&lt;EDATE('Adjustment Surface'!$C$6,DATEDIF('Adjustment Surface'!$C$6,MAX('Adjustment Surface'!$C$14:$F$14),"M")),EDATE(CD$5,COUNT(CD$5:CD59)),IF(CD59=EDATE('Adjustment Surface'!$C$6,DATEDIF('Adjustment Surface'!$C$6,MAX('Adjustment Surface'!$C$14:$F$14),"M")),MAX('Adjustment Surface'!$C$14:$F$14),EDATE('Adjustment Surface'!$C$6,DATEDIF('Adjustment Surface'!$C$6,MAX('Adjustment Surface'!$C$14:$F$14),"M")))))</f>
        <v/>
      </c>
      <c r="CF59" s="3" t="str">
        <f t="shared" si="5"/>
        <v/>
      </c>
      <c r="CG59" s="5" t="str">
        <f>IF(CC59="","",(CE59-'Rate &amp; Vol Update'!$C$2)/360)</f>
        <v/>
      </c>
      <c r="CH59" s="15" t="str">
        <f>IF(CC59="","",IF('Adjustment Surface'!$C$3='Data Validation'!$C$2,'Adjustment Surface'!$C$4,_xlfn.IFNA(IF(INDEX(Schedules!$E$3:$E$123,MATCH('Bachelier Model'!CD59,Schedules!$B$3:$B$123,0))="",CH58,INDEX(Schedules!$E$3:$E$123,MATCH('Bachelier Model'!CD59,Schedules!$B$3:$B$123,0))),CH58)))</f>
        <v/>
      </c>
      <c r="CI59" s="16" t="str">
        <f>IF(CC59="","",'Adjustment Surface'!B$18)</f>
        <v/>
      </c>
      <c r="CJ59" s="16" t="str" cm="1">
        <f t="array" ref="CJ59">IF(CC59="","",FORECAST(CD59,INDEX('Rate &amp; Vol Update'!$C$6:$C$127,MATCH(INDEX('Rate &amp; Vol Update'!$B$6:$B$127,MATCH(CD59,'Rate &amp; Vol Update'!$B$6:$B$127,1)),'Rate &amp; Vol Update'!$B$6:$B$127,0)+IF('Adjustment Surface'!$C$11='Data Validation'!$E$3,-1,0)):INDEX('Rate &amp; Vol Update'!$C$6:$C$127,MATCH(INDEX('Rate &amp; Vol Update'!$B$6:$B$127,MATCH(CD59,'Rate &amp; Vol Update'!$B$6:$B$127,1)+1),'Rate &amp; Vol Update'!$B$6:$B$127,0)+IF('Adjustment Surface'!$C$11='Data Validation'!$E$3,-1,0)),INDEX('Rate &amp; Vol Update'!$B$6:$B$127,MATCH(CD59,'Rate &amp; Vol Update'!$B$6:$B$127,1)):INDEX('Rate &amp; Vol Update'!$B$6:$B$127,MATCH(CD59,'Rate &amp; Vol Update'!$B$6:$B$127,1)+1))/100)</f>
        <v/>
      </c>
      <c r="CK59" s="16" t="str" cm="1">
        <f t="array" ref="CK59">IF(CC59="","",IF(CD59&lt;'Rate &amp; Vol Update'!$C$2,0.001%,(1/((INDEX('Rate &amp; Vol Update'!$E$6:$Z$6,1,MATCH(CI59,'Rate &amp; Vol Update'!$E$6:$Z$6,1)+1)-INDEX('Rate &amp; Vol Update'!$E$6:$Z$6,1,MATCH(CI59,'Rate &amp; Vol Update'!$E$6:$Z$6,1)))*(INDEX('Rate &amp; Vol Update'!$B$8:$B$127,MATCH(CD59,'Rate &amp; Vol Update'!$B$8:$B$127,1)+1)-INDEX('Rate &amp; Vol Update'!$B$8:$B$127,MATCH(CD59,'Rate &amp; Vol Update'!$B$8:$B$127,1))))*(INDEX('Rate &amp; Vol Update'!$E$8:$Z$127,MATCH(INDEX('Rate &amp; Vol Update'!$B$8:$B$127,MATCH(CD59,'Rate &amp; Vol Update'!$B$8:$B$127,1)),'Rate &amp; Vol Update'!$B$8:$B$127,0),MATCH(INDEX('Rate &amp; Vol Update'!$E$6:$Z$6,1,MATCH(CI59,'Rate &amp; Vol Update'!$E$6:$Z$6,1)),'Rate &amp; Vol Update'!$E$6:$Z$6,0))*(INDEX('Rate &amp; Vol Update'!$E$6:$Z$6,1,MATCH(CI59,'Rate &amp; Vol Update'!$E$6:$Z$6,1)+1)-CI59)*(INDEX('Rate &amp; Vol Update'!$B$8:$B$127,MATCH(CD59,'Rate &amp; Vol Update'!$B$8:$B$127,1)+1)-CD59)+INDEX('Rate &amp; Vol Update'!$E$8:$Z$127,MATCH(INDEX('Rate &amp; Vol Update'!$B$8:$B$127,MATCH(CD59,'Rate &amp; Vol Update'!$B$8:$B$127,1)),'Rate &amp; Vol Update'!$B$8:$B$127,0),MATCH(INDEX('Rate &amp; Vol Update'!$E$6:$Z$6,1,MATCH(CI59,'Rate &amp; Vol Update'!$E$6:$Z$6,1)+1),'Rate &amp; Vol Update'!$E$6:$Z$6,0))*(CI59-INDEX('Rate &amp; Vol Update'!$E$6:$Z$6,1,MATCH(CI59,'Rate &amp; Vol Update'!$E$6:$Z$6,1)))*(INDEX('Rate &amp; Vol Update'!$B$8:$B$127,MATCH(CD59,'Rate &amp; Vol Update'!$B$8:$B$127,1)+1)-CD59)+INDEX('Rate &amp; Vol Update'!$E$8:$Z$127,MATCH(INDEX('Rate &amp; Vol Update'!$B$8:$B$127,MATCH(CD59,'Rate &amp; Vol Update'!$B$8:$B$127,1)+1),'Rate &amp; Vol Update'!$B$8:$B$127,0),MATCH(INDEX('Rate &amp; Vol Update'!$E$6:$Z$6,1,MATCH(CI59,'Rate &amp; Vol Update'!$E$6:$Z$6,1)),'Rate &amp; Vol Update'!$E$6:$Z$6,0))*(INDEX('Rate &amp; Vol Update'!$E$6:$Z$6,1,MATCH(CI59,'Rate &amp; Vol Update'!$E$6:$Z$6,1)+1)-CI59)*(CD59-INDEX('Rate &amp; Vol Update'!$B$8:$B$127,MATCH(CD59,'Rate &amp; Vol Update'!$B$8:$B$127,1)))+INDEX('Rate &amp; Vol Update'!$E$8:$Z$127,MATCH(INDEX('Rate &amp; Vol Update'!$B$8:$B$127,MATCH(CD59,'Rate &amp; Vol Update'!$B$8:$B$127,1)+1),'Rate &amp; Vol Update'!$B$8:$B$127,0),MATCH(INDEX('Rate &amp; Vol Update'!$E$6:$Z$6,1,MATCH(CI59,'Rate &amp; Vol Update'!$E$6:$Z$6,1)+1),'Rate &amp; Vol Update'!$E$6:$Z$6,0))*(CI59-INDEX('Rate &amp; Vol Update'!$E$6:$Z$6,1,MATCH(CI59,'Rate &amp; Vol Update'!$E$6:$Z$6,1)))*(CD59-INDEX('Rate &amp; Vol Update'!$B$8:$B$127,MATCH(CD59,'Rate &amp; Vol Update'!$B$8:$B$127,1)))))*0.01%))</f>
        <v/>
      </c>
      <c r="CL59" s="5" t="str">
        <f>IF(CC59="","",1/((1+CJ59)^((CE59-'Rate &amp; Vol Update'!$C$2)/360)))</f>
        <v/>
      </c>
      <c r="CN59" s="15" t="str">
        <f>IF(CC59="","",IF(CD59&lt;'Rate &amp; Vol Update'!$C$2,MAX(0,CJ59-CI59)*(CF59/360)*CH59,(((IF('Adjustment Surface'!$C$2='Data Validation'!$A$2,CJ59,IF('Adjustment Surface'!$C$2='Data Validation'!$A$3,CI59,"Unknown Option Type"))-IF('Adjustment Surface'!$C$2='Data Validation'!$A$2,CI59,IF('Adjustment Surface'!$C$2='Data Validation'!$A$3,CJ59,"Unknown Option Type")))*(NORMDIST((IF('Adjustment Surface'!$C$2='Data Validation'!$A$2,CJ59,IF('Adjustment Surface'!$C$2='Data Validation'!$A$3,CI59,"Unknown Option Type"))-IF('Adjustment Surface'!$C$2='Data Validation'!$A$2,CI59,IF('Adjustment Surface'!$C$2='Data Validation'!$A$3,CJ59,"Unknown Option Type")))/(CK59*SQRT(CG59)),0,1,TRUE)))+((CK59*SQRT(CG59))*(NORMDIST((IF('Adjustment Surface'!$C$2='Data Validation'!$A$2,CJ59,IF('Adjustment Surface'!$C$2='Data Validation'!$A$3,CI59,"Unknown Option Type"))-IF('Adjustment Surface'!$C$2='Data Validation'!$A$2,CI59,IF('Adjustment Surface'!$C$2='Data Validation'!$A$3,CJ59,"Unknown Option Type")))/(CK59*SQRT(CG59)),0,1,FALSE))))*CL59*(CF59/360)*CH59))</f>
        <v/>
      </c>
      <c r="CO59" s="15" t="str">
        <f>IF(CC59="","",SUM(CN$4:CN59))</f>
        <v/>
      </c>
      <c r="CQ59" s="15" t="str">
        <f>IF(CC59="","",IF(CD59&lt;'Rate &amp; Vol Update'!$C$2,0,((((((IF('Adjustment Surface'!$C$2='Data Validation'!$A$2,CJ59,IF('Adjustment Surface'!$C$2='Data Validation'!$A$3,CI59,"Unknown Option Type"))-IF('Adjustment Surface'!$C$2='Data Validation'!$A$2,CI59,IF('Adjustment Surface'!$C$2='Data Validation'!$A$3,CJ59,"Unknown Option Type")))*(NORMDIST((IF('Adjustment Surface'!$C$2='Data Validation'!$A$2,CJ59,IF('Adjustment Surface'!$C$2='Data Validation'!$A$3,CI59,"Unknown Option Type"))-IF('Adjustment Surface'!$C$2='Data Validation'!$A$2,CI59,IF('Adjustment Surface'!$C$2='Data Validation'!$A$3,CJ59,"Unknown Option Type")))/((CK59+0.01%)*SQRT(CG59)),0,1,TRUE)))+(((CK59+0.01%)*SQRT(CG59))*(NORMDIST((IF('Adjustment Surface'!$C$2='Data Validation'!$A$2,CJ59,IF('Adjustment Surface'!$C$2='Data Validation'!$A$3,CI59,"Unknown Option Type"))-IF('Adjustment Surface'!$C$2='Data Validation'!$A$2,CI59,IF('Adjustment Surface'!$C$2='Data Validation'!$A$3,CJ59,"Unknown Option Type")))/((CK59+0.01%)*SQRT(CG59)),0,1,FALSE))))*CL59*(CF59/360))-(CN59/CH59))*CH59)*CL59))</f>
        <v/>
      </c>
      <c r="CR59" s="15" t="str">
        <f>IF(CC59="","",SUM(CQ$4:CQ59))</f>
        <v/>
      </c>
    </row>
    <row r="60" spans="7:96" x14ac:dyDescent="0.25">
      <c r="G60" s="28"/>
      <c r="J60" s="4" t="str">
        <f>IF(K59='Adjustment Surface'!C$8,"",K59)</f>
        <v/>
      </c>
      <c r="K60" s="4" t="str">
        <f>IF(J60="","",IF(J60&lt;'Adjustment Surface'!C$7,EDATE(J$5,COUNT(J$5:J60)),IF(J60='Adjustment Surface'!C$7,'Adjustment Surface'!C$8,'Adjustment Surface'!C$7)))</f>
        <v/>
      </c>
      <c r="L60" s="3" t="str">
        <f t="shared" si="1"/>
        <v/>
      </c>
      <c r="M60" s="5" t="str">
        <f>IF(I60="","",(K60-'Rate &amp; Vol Update'!$C$2)/360)</f>
        <v/>
      </c>
      <c r="N60" s="15" t="str">
        <f>IF(I60="","",IF('Adjustment Surface'!C$3='Data Validation'!$C$2,'Adjustment Surface'!C$4,IF(INDEX(Schedules!$E$3:$E$123,MATCH('Bachelier Model'!J60,Schedules!$B$3:$B$123,0))="",N59,INDEX(Schedules!$E$3:$E$123,MATCH('Bachelier Model'!J60,Schedules!$B$3:$B$123,0)))))</f>
        <v/>
      </c>
      <c r="O60" s="16" t="str">
        <f>IF(I60="","",IF('Adjustment Surface'!C$9='Data Validation'!$D$2,'Adjustment Surface'!C$10,IF(INDEX(Schedules!$H$3:$H$123,MATCH('Bachelier Model'!J60,Schedules!$B$3:$B$123,0))="",O59,INDEX(Schedules!$H$3:$H$123,MATCH('Bachelier Model'!J60,Schedules!$B$3:$B$123,0)))))</f>
        <v/>
      </c>
      <c r="P60" s="16" t="str" cm="1">
        <f t="array" ref="P60">IF(I60="","",FORECAST(J60,INDEX('Rate &amp; Vol Update'!$C$6:$C$127,MATCH(INDEX('Rate &amp; Vol Update'!$B$6:$B$127,MATCH(J60,'Rate &amp; Vol Update'!$B$6:$B$127,1)),'Rate &amp; Vol Update'!$B$6:$B$127,0)+IF('Adjustment Surface'!C$11='Data Validation'!$E$3,-1,0)):INDEX('Rate &amp; Vol Update'!$C$6:$C$127,MATCH(INDEX('Rate &amp; Vol Update'!$B$6:$B$127,MATCH(J60,'Rate &amp; Vol Update'!$B$6:$B$127,1)+1),'Rate &amp; Vol Update'!$B$6:$B$127,0)+IF('Adjustment Surface'!C$11='Data Validation'!$E$3,-1,0)),INDEX('Rate &amp; Vol Update'!$B$6:$B$127,MATCH(J60,'Rate &amp; Vol Update'!$B$6:$B$127,1)):INDEX('Rate &amp; Vol Update'!$B$6:$B$127,MATCH(J60,'Rate &amp; Vol Update'!$B$6:$B$127,1)+1))/100)</f>
        <v/>
      </c>
      <c r="Q60" s="16" t="str" cm="1">
        <f t="array" ref="Q60">IF(I60="","",IF(J60&lt;'Rate &amp; Vol Update'!$C$2,0.001%,(1/((INDEX('Rate &amp; Vol Update'!$E$6:$Z$6,1,MATCH(O60,'Rate &amp; Vol Update'!$E$6:$Z$6,1)+1)-INDEX('Rate &amp; Vol Update'!$E$6:$Z$6,1,MATCH(O60,'Rate &amp; Vol Update'!$E$6:$Z$6,1)))*(INDEX('Rate &amp; Vol Update'!$B$8:$B$127,MATCH(J60,'Rate &amp; Vol Update'!$B$8:$B$127,1)+1)-INDEX('Rate &amp; Vol Update'!$B$8:$B$127,MATCH(J60,'Rate &amp; Vol Update'!$B$8:$B$127,1))))*(INDEX('Rate &amp; Vol Update'!$E$8:$Z$127,MATCH(INDEX('Rate &amp; Vol Update'!$B$8:$B$127,MATCH(J60,'Rate &amp; Vol Update'!$B$8:$B$127,1)),'Rate &amp; Vol Update'!$B$8:$B$127,0),MATCH(INDEX('Rate &amp; Vol Update'!$E$6:$Z$6,1,MATCH(O60,'Rate &amp; Vol Update'!$E$6:$Z$6,1)),'Rate &amp; Vol Update'!$E$6:$Z$6,0))*(INDEX('Rate &amp; Vol Update'!$E$6:$Z$6,1,MATCH(O60,'Rate &amp; Vol Update'!$E$6:$Z$6,1)+1)-O60)*(INDEX('Rate &amp; Vol Update'!$B$8:$B$127,MATCH(J60,'Rate &amp; Vol Update'!$B$8:$B$127,1)+1)-J60)+INDEX('Rate &amp; Vol Update'!$E$8:$Z$127,MATCH(INDEX('Rate &amp; Vol Update'!$B$8:$B$127,MATCH(J60,'Rate &amp; Vol Update'!$B$8:$B$127,1)),'Rate &amp; Vol Update'!$B$8:$B$127,0),MATCH(INDEX('Rate &amp; Vol Update'!$E$6:$Z$6,1,MATCH(O60,'Rate &amp; Vol Update'!$E$6:$Z$6,1)+1),'Rate &amp; Vol Update'!$E$6:$Z$6,0))*(O60-INDEX('Rate &amp; Vol Update'!$E$6:$Z$6,1,MATCH(O60,'Rate &amp; Vol Update'!$E$6:$Z$6,1)))*(INDEX('Rate &amp; Vol Update'!$B$8:$B$127,MATCH(J60,'Rate &amp; Vol Update'!$B$8:$B$127,1)+1)-J60)+INDEX('Rate &amp; Vol Update'!$E$8:$Z$127,MATCH(INDEX('Rate &amp; Vol Update'!$B$8:$B$127,MATCH(J60,'Rate &amp; Vol Update'!$B$8:$B$127,1)+1),'Rate &amp; Vol Update'!$B$8:$B$127,0),MATCH(INDEX('Rate &amp; Vol Update'!$E$6:$Z$6,1,MATCH(O60,'Rate &amp; Vol Update'!$E$6:$Z$6,1)),'Rate &amp; Vol Update'!$E$6:$Z$6,0))*(INDEX('Rate &amp; Vol Update'!$E$6:$Z$6,1,MATCH(O60,'Rate &amp; Vol Update'!$E$6:$Z$6,1)+1)-O60)*(J60-INDEX('Rate &amp; Vol Update'!$B$8:$B$127,MATCH(J60,'Rate &amp; Vol Update'!$B$8:$B$127,1)))+INDEX('Rate &amp; Vol Update'!$E$8:$Z$127,MATCH(INDEX('Rate &amp; Vol Update'!$B$8:$B$127,MATCH(J60,'Rate &amp; Vol Update'!$B$8:$B$127,1)+1),'Rate &amp; Vol Update'!$B$8:$B$127,0),MATCH(INDEX('Rate &amp; Vol Update'!$E$6:$Z$6,1,MATCH(O60,'Rate &amp; Vol Update'!$E$6:$Z$6,1)+1),'Rate &amp; Vol Update'!$E$6:$Z$6,0))*(O60-INDEX('Rate &amp; Vol Update'!$E$6:$Z$6,1,MATCH(O60,'Rate &amp; Vol Update'!$E$6:$Z$6,1)))*(J60-INDEX('Rate &amp; Vol Update'!$B$8:$B$127,MATCH(J60,'Rate &amp; Vol Update'!$B$8:$B$127,1)))))*0.01%))</f>
        <v/>
      </c>
      <c r="R60" s="5" t="str">
        <f>IF(I60="","",1/((1+P60)^((K60-'Rate &amp; Vol Update'!$C$2)/360)))</f>
        <v/>
      </c>
      <c r="T60" s="15" t="str">
        <f>IF(I60="","",IF(J60&lt;'Rate &amp; Vol Update'!$C$2,MAX(0,P60-O60)*(L60/360)*N60,(((IF('Adjustment Surface'!C$2='Data Validation'!$A$2,P60,IF('Adjustment Surface'!C$2='Data Validation'!$A$3,O60,"Unknown Option Type"))-IF('Adjustment Surface'!C$2='Data Validation'!$A$2,O60,IF('Adjustment Surface'!C$2='Data Validation'!$A$3,P60,"Unknown Option Type")))*(NORMDIST((IF('Adjustment Surface'!C$2='Data Validation'!$A$2,P60,IF('Adjustment Surface'!C$2='Data Validation'!$A$3,O60,"Unknown Option Type"))-IF('Adjustment Surface'!C$2='Data Validation'!$A$2,O60,IF('Adjustment Surface'!C$2='Data Validation'!$A$3,P60,"Unknown Option Type")))/(Q60*SQRT(M60)),0,1,TRUE)))+((Q60*SQRT(M60))*(NORMDIST((IF('Adjustment Surface'!C$2='Data Validation'!$A$2,P60,IF('Adjustment Surface'!C$2='Data Validation'!$A$3,O60,"Unknown Option Type"))-IF('Adjustment Surface'!C$2='Data Validation'!$A$2,O60,IF('Adjustment Surface'!C$2='Data Validation'!$A$3,P60,"Unknown Option Type")))/(Q60*SQRT(M60)),0,1,FALSE))))*R60*(L60/360)*N60))</f>
        <v/>
      </c>
      <c r="U60" s="15" t="str">
        <f>IF(I60="","",SUM(T$4:T60))</f>
        <v/>
      </c>
      <c r="W60" s="15" t="str">
        <f>IF(I60="","",IF(J60&lt;'Rate &amp; Vol Update'!$C$2,0,((((((IF('Adjustment Surface'!C$2='Data Validation'!$A$2,P60,IF('Adjustment Surface'!C$2='Data Validation'!$A$3,O60,"Unknown Option Type"))-IF('Adjustment Surface'!C$2='Data Validation'!$A$2,O60,IF('Adjustment Surface'!C$2='Data Validation'!$A$3,P60,"Unknown Option Type")))*(NORMDIST((IF('Adjustment Surface'!C$2='Data Validation'!$A$2,P60,IF('Adjustment Surface'!C$2='Data Validation'!$A$3,O60,"Unknown Option Type"))-IF('Adjustment Surface'!C$2='Data Validation'!$A$2,O60,IF('Adjustment Surface'!C$2='Data Validation'!$A$3,P60,"Unknown Option Type")))/((Q60+0.01%)*SQRT(M60)),0,1,TRUE)))+(((Q60+0.01%)*SQRT(M60))*(NORMDIST((IF('Adjustment Surface'!C$2='Data Validation'!$A$2,P60,IF('Adjustment Surface'!C$2='Data Validation'!$A$3,O60,"Unknown Option Type"))-IF('Adjustment Surface'!C$2='Data Validation'!$A$2,O60,IF('Adjustment Surface'!C$2='Data Validation'!$A$3,P60,"Unknown Option Type")))/((Q60+0.01%)*SQRT(M60)),0,1,FALSE))))*R60*(L60/360))-(T60/N60))*N60)*R60))</f>
        <v/>
      </c>
      <c r="X60" s="15" t="str">
        <f>IF(I60="","",SUM(W$4:W60))</f>
        <v/>
      </c>
      <c r="Y60" s="15"/>
      <c r="Z60" s="20"/>
      <c r="AB60" s="4" t="str">
        <f>IF(AC59=MAX('Adjustment Surface'!$C$14:$F$14),"",AC59)</f>
        <v/>
      </c>
      <c r="AC60" s="4" t="str">
        <f>IF(AB60="","",IF(AB60&lt;EDATE('Adjustment Surface'!$C$6,DATEDIF('Adjustment Surface'!$C$6,MAX('Adjustment Surface'!$C$14:$F$14),"M")),EDATE(AB$5,COUNT(AB$5:AB60)),IF(AB60=EDATE('Adjustment Surface'!$C$6,DATEDIF('Adjustment Surface'!$C$6,MAX('Adjustment Surface'!$C$14:$F$14),"M")),MAX('Adjustment Surface'!$C$14:$F$14),EDATE('Adjustment Surface'!$C$6,DATEDIF('Adjustment Surface'!$C$6,MAX('Adjustment Surface'!$C$14:$F$14),"M")))))</f>
        <v/>
      </c>
      <c r="AD60" s="3" t="str">
        <f t="shared" si="2"/>
        <v/>
      </c>
      <c r="AE60" s="5" t="str">
        <f>IF(AA60="","",(AC60-'Rate &amp; Vol Update'!$C$2)/360)</f>
        <v/>
      </c>
      <c r="AF60" s="15" t="str">
        <f>IF(AA60="","",IF('Adjustment Surface'!$C$3='Data Validation'!$C$2,'Adjustment Surface'!$C$4,_xlfn.IFNA(IF(INDEX(Schedules!$E$3:$E$123,MATCH('Bachelier Model'!AB60,Schedules!$B$3:$B$123,0))="",AF59,INDEX(Schedules!$E$3:$E$123,MATCH('Bachelier Model'!AB60,Schedules!$B$3:$B$123,0))),AF59)))</f>
        <v/>
      </c>
      <c r="AG60" s="16" t="str">
        <f>IF(AA60="","",'Adjustment Surface'!B$15)</f>
        <v/>
      </c>
      <c r="AH60" s="16" t="str" cm="1">
        <f t="array" ref="AH60">IF(AA60="","",FORECAST(AB60,INDEX('Rate &amp; Vol Update'!$C$6:$C$127,MATCH(INDEX('Rate &amp; Vol Update'!$B$6:$B$127,MATCH(AB60,'Rate &amp; Vol Update'!$B$6:$B$127,1)),'Rate &amp; Vol Update'!$B$6:$B$127,0)+IF('Adjustment Surface'!$C$11='Data Validation'!$E$3,-1,0)):INDEX('Rate &amp; Vol Update'!$C$6:$C$127,MATCH(INDEX('Rate &amp; Vol Update'!$B$6:$B$127,MATCH(AB60,'Rate &amp; Vol Update'!$B$6:$B$127,1)+1),'Rate &amp; Vol Update'!$B$6:$B$127,0)+IF('Adjustment Surface'!$C$11='Data Validation'!$E$3,-1,0)),INDEX('Rate &amp; Vol Update'!$B$6:$B$127,MATCH(AB60,'Rate &amp; Vol Update'!$B$6:$B$127,1)):INDEX('Rate &amp; Vol Update'!$B$6:$B$127,MATCH(AB60,'Rate &amp; Vol Update'!$B$6:$B$127,1)+1))/100)</f>
        <v/>
      </c>
      <c r="AI60" s="16" t="str" cm="1">
        <f t="array" ref="AI60">IF(AA60="","",IF(AB60&lt;'Rate &amp; Vol Update'!$C$2,0.001%,(1/((INDEX('Rate &amp; Vol Update'!$E$6:$Z$6,1,MATCH(AG60,'Rate &amp; Vol Update'!$E$6:$Z$6,1)+1)-INDEX('Rate &amp; Vol Update'!$E$6:$Z$6,1,MATCH(AG60,'Rate &amp; Vol Update'!$E$6:$Z$6,1)))*(INDEX('Rate &amp; Vol Update'!$B$8:$B$127,MATCH(AB60,'Rate &amp; Vol Update'!$B$8:$B$127,1)+1)-INDEX('Rate &amp; Vol Update'!$B$8:$B$127,MATCH(AB60,'Rate &amp; Vol Update'!$B$8:$B$127,1))))*(INDEX('Rate &amp; Vol Update'!$E$8:$Z$127,MATCH(INDEX('Rate &amp; Vol Update'!$B$8:$B$127,MATCH(AB60,'Rate &amp; Vol Update'!$B$8:$B$127,1)),'Rate &amp; Vol Update'!$B$8:$B$127,0),MATCH(INDEX('Rate &amp; Vol Update'!$E$6:$Z$6,1,MATCH(AG60,'Rate &amp; Vol Update'!$E$6:$Z$6,1)),'Rate &amp; Vol Update'!$E$6:$Z$6,0))*(INDEX('Rate &amp; Vol Update'!$E$6:$Z$6,1,MATCH(AG60,'Rate &amp; Vol Update'!$E$6:$Z$6,1)+1)-AG60)*(INDEX('Rate &amp; Vol Update'!$B$8:$B$127,MATCH(AB60,'Rate &amp; Vol Update'!$B$8:$B$127,1)+1)-AB60)+INDEX('Rate &amp; Vol Update'!$E$8:$Z$127,MATCH(INDEX('Rate &amp; Vol Update'!$B$8:$B$127,MATCH(AB60,'Rate &amp; Vol Update'!$B$8:$B$127,1)),'Rate &amp; Vol Update'!$B$8:$B$127,0),MATCH(INDEX('Rate &amp; Vol Update'!$E$6:$Z$6,1,MATCH(AG60,'Rate &amp; Vol Update'!$E$6:$Z$6,1)+1),'Rate &amp; Vol Update'!$E$6:$Z$6,0))*(AG60-INDEX('Rate &amp; Vol Update'!$E$6:$Z$6,1,MATCH(AG60,'Rate &amp; Vol Update'!$E$6:$Z$6,1)))*(INDEX('Rate &amp; Vol Update'!$B$8:$B$127,MATCH(AB60,'Rate &amp; Vol Update'!$B$8:$B$127,1)+1)-AB60)+INDEX('Rate &amp; Vol Update'!$E$8:$Z$127,MATCH(INDEX('Rate &amp; Vol Update'!$B$8:$B$127,MATCH(AB60,'Rate &amp; Vol Update'!$B$8:$B$127,1)+1),'Rate &amp; Vol Update'!$B$8:$B$127,0),MATCH(INDEX('Rate &amp; Vol Update'!$E$6:$Z$6,1,MATCH(AG60,'Rate &amp; Vol Update'!$E$6:$Z$6,1)),'Rate &amp; Vol Update'!$E$6:$Z$6,0))*(INDEX('Rate &amp; Vol Update'!$E$6:$Z$6,1,MATCH(AG60,'Rate &amp; Vol Update'!$E$6:$Z$6,1)+1)-AG60)*(AB60-INDEX('Rate &amp; Vol Update'!$B$8:$B$127,MATCH(AB60,'Rate &amp; Vol Update'!$B$8:$B$127,1)))+INDEX('Rate &amp; Vol Update'!$E$8:$Z$127,MATCH(INDEX('Rate &amp; Vol Update'!$B$8:$B$127,MATCH(AB60,'Rate &amp; Vol Update'!$B$8:$B$127,1)+1),'Rate &amp; Vol Update'!$B$8:$B$127,0),MATCH(INDEX('Rate &amp; Vol Update'!$E$6:$Z$6,1,MATCH(AG60,'Rate &amp; Vol Update'!$E$6:$Z$6,1)+1),'Rate &amp; Vol Update'!$E$6:$Z$6,0))*(AG60-INDEX('Rate &amp; Vol Update'!$E$6:$Z$6,1,MATCH(AG60,'Rate &amp; Vol Update'!$E$6:$Z$6,1)))*(AB60-INDEX('Rate &amp; Vol Update'!$B$8:$B$127,MATCH(AB60,'Rate &amp; Vol Update'!$B$8:$B$127,1)))))*0.01%))</f>
        <v/>
      </c>
      <c r="AJ60" s="5" t="str">
        <f>IF(AA60="","",1/((1+AH60)^((AC60-'Rate &amp; Vol Update'!$C$2)/360)))</f>
        <v/>
      </c>
      <c r="AL60" s="15" t="str">
        <f>IF(AA60="","",IF(AB60&lt;'Rate &amp; Vol Update'!$C$2,MAX(0,AH60-AG60)*(AD60/360)*AF60,(((IF('Adjustment Surface'!$C$2='Data Validation'!$A$2,AH60,IF('Adjustment Surface'!$C$2='Data Validation'!$A$3,AG60,"Unknown Option Type"))-IF('Adjustment Surface'!$C$2='Data Validation'!$A$2,AG60,IF('Adjustment Surface'!$C$2='Data Validation'!$A$3,AH60,"Unknown Option Type")))*(NORMDIST((IF('Adjustment Surface'!$C$2='Data Validation'!$A$2,AH60,IF('Adjustment Surface'!$C$2='Data Validation'!$A$3,AG60,"Unknown Option Type"))-IF('Adjustment Surface'!$C$2='Data Validation'!$A$2,AG60,IF('Adjustment Surface'!$C$2='Data Validation'!$A$3,AH60,"Unknown Option Type")))/(AI60*SQRT(AE60)),0,1,TRUE)))+((AI60*SQRT(AE60))*(NORMDIST((IF('Adjustment Surface'!$C$2='Data Validation'!$A$2,AH60,IF('Adjustment Surface'!$C$2='Data Validation'!$A$3,AG60,"Unknown Option Type"))-IF('Adjustment Surface'!$C$2='Data Validation'!$A$2,AG60,IF('Adjustment Surface'!$C$2='Data Validation'!$A$3,AH60,"Unknown Option Type")))/(AI60*SQRT(AE60)),0,1,FALSE))))*AJ60*(AD60/360)*AF60))</f>
        <v/>
      </c>
      <c r="AM60" s="15" t="str">
        <f>IF(AA60="","",SUM(AL$4:AL60))</f>
        <v/>
      </c>
      <c r="AO60" s="15" t="str">
        <f>IF(AA60="","",IF(AB60&lt;'Rate &amp; Vol Update'!$C$2,0,((((((IF('Adjustment Surface'!$C$2='Data Validation'!$A$2,AH60,IF('Adjustment Surface'!$C$2='Data Validation'!$A$3,AG60,"Unknown Option Type"))-IF('Adjustment Surface'!$C$2='Data Validation'!$A$2,AG60,IF('Adjustment Surface'!$C$2='Data Validation'!$A$3,AH60,"Unknown Option Type")))*(NORMDIST((IF('Adjustment Surface'!$C$2='Data Validation'!$A$2,AH60,IF('Adjustment Surface'!$C$2='Data Validation'!$A$3,AG60,"Unknown Option Type"))-IF('Adjustment Surface'!$C$2='Data Validation'!$A$2,AG60,IF('Adjustment Surface'!$C$2='Data Validation'!$A$3,AH60,"Unknown Option Type")))/((AI60+0.01%)*SQRT(AE60)),0,1,TRUE)))+(((AI60+0.01%)*SQRT(AE60))*(NORMDIST((IF('Adjustment Surface'!$C$2='Data Validation'!$A$2,AH60,IF('Adjustment Surface'!$C$2='Data Validation'!$A$3,AG60,"Unknown Option Type"))-IF('Adjustment Surface'!$C$2='Data Validation'!$A$2,AG60,IF('Adjustment Surface'!$C$2='Data Validation'!$A$3,AH60,"Unknown Option Type")))/((AI60+0.01%)*SQRT(AE60)),0,1,FALSE))))*AJ60*(AD60/360))-(AL60/AF60))*AF60)*AJ60))</f>
        <v/>
      </c>
      <c r="AP60" s="15" t="str">
        <f>IF(AA60="","",SUM(AO$4:AO60))</f>
        <v/>
      </c>
      <c r="AQ60" s="15"/>
      <c r="AR60" s="20"/>
      <c r="AT60" s="4" t="str">
        <f>IF(AU59=MAX('Adjustment Surface'!$C$14:$F$14),"",AU59)</f>
        <v/>
      </c>
      <c r="AU60" s="4" t="str">
        <f>IF(AT60="","",IF(AT60&lt;EDATE('Adjustment Surface'!$C$6,DATEDIF('Adjustment Surface'!$C$6,MAX('Adjustment Surface'!$C$14:$F$14),"M")),EDATE(AT$5,COUNT(AT$5:AT60)),IF(AT60=EDATE('Adjustment Surface'!$C$6,DATEDIF('Adjustment Surface'!$C$6,MAX('Adjustment Surface'!$C$14:$F$14),"M")),MAX('Adjustment Surface'!$C$14:$F$14),EDATE('Adjustment Surface'!$C$6,DATEDIF('Adjustment Surface'!$C$6,MAX('Adjustment Surface'!$C$14:$F$14),"M")))))</f>
        <v/>
      </c>
      <c r="AV60" s="3" t="str">
        <f t="shared" si="3"/>
        <v/>
      </c>
      <c r="AW60" s="5" t="str">
        <f>IF(AS60="","",(AU60-'Rate &amp; Vol Update'!$C$2)/360)</f>
        <v/>
      </c>
      <c r="AX60" s="15" t="str">
        <f>IF(AS60="","",IF('Adjustment Surface'!$C$3='Data Validation'!$C$2,'Adjustment Surface'!$C$4,_xlfn.IFNA(IF(INDEX(Schedules!$E$3:$E$123,MATCH('Bachelier Model'!AT60,Schedules!$B$3:$B$123,0))="",AX59,INDEX(Schedules!$E$3:$E$123,MATCH('Bachelier Model'!AT60,Schedules!$B$3:$B$123,0))),AX59)))</f>
        <v/>
      </c>
      <c r="AY60" s="16" t="str">
        <f>IF(AS60="","",'Adjustment Surface'!B$16)</f>
        <v/>
      </c>
      <c r="AZ60" s="16" t="str" cm="1">
        <f t="array" ref="AZ60">IF(AS60="","",FORECAST(AT60,INDEX('Rate &amp; Vol Update'!$C$6:$C$127,MATCH(INDEX('Rate &amp; Vol Update'!$B$6:$B$127,MATCH(AT60,'Rate &amp; Vol Update'!$B$6:$B$127,1)),'Rate &amp; Vol Update'!$B$6:$B$127,0)+IF('Adjustment Surface'!$C$11='Data Validation'!$E$3,-1,0)):INDEX('Rate &amp; Vol Update'!$C$6:$C$127,MATCH(INDEX('Rate &amp; Vol Update'!$B$6:$B$127,MATCH(AT60,'Rate &amp; Vol Update'!$B$6:$B$127,1)+1),'Rate &amp; Vol Update'!$B$6:$B$127,0)+IF('Adjustment Surface'!$C$11='Data Validation'!$E$3,-1,0)),INDEX('Rate &amp; Vol Update'!$B$6:$B$127,MATCH(AT60,'Rate &amp; Vol Update'!$B$6:$B$127,1)):INDEX('Rate &amp; Vol Update'!$B$6:$B$127,MATCH(AT60,'Rate &amp; Vol Update'!$B$6:$B$127,1)+1))/100)</f>
        <v/>
      </c>
      <c r="BA60" s="16" t="str" cm="1">
        <f t="array" ref="BA60">IF(AS60="","",IF(AT60&lt;'Rate &amp; Vol Update'!$C$2,0.001%,(1/((INDEX('Rate &amp; Vol Update'!$E$6:$Z$6,1,MATCH(AY60,'Rate &amp; Vol Update'!$E$6:$Z$6,1)+1)-INDEX('Rate &amp; Vol Update'!$E$6:$Z$6,1,MATCH(AY60,'Rate &amp; Vol Update'!$E$6:$Z$6,1)))*(INDEX('Rate &amp; Vol Update'!$B$8:$B$127,MATCH(AT60,'Rate &amp; Vol Update'!$B$8:$B$127,1)+1)-INDEX('Rate &amp; Vol Update'!$B$8:$B$127,MATCH(AT60,'Rate &amp; Vol Update'!$B$8:$B$127,1))))*(INDEX('Rate &amp; Vol Update'!$E$8:$Z$127,MATCH(INDEX('Rate &amp; Vol Update'!$B$8:$B$127,MATCH(AT60,'Rate &amp; Vol Update'!$B$8:$B$127,1)),'Rate &amp; Vol Update'!$B$8:$B$127,0),MATCH(INDEX('Rate &amp; Vol Update'!$E$6:$Z$6,1,MATCH(AY60,'Rate &amp; Vol Update'!$E$6:$Z$6,1)),'Rate &amp; Vol Update'!$E$6:$Z$6,0))*(INDEX('Rate &amp; Vol Update'!$E$6:$Z$6,1,MATCH(AY60,'Rate &amp; Vol Update'!$E$6:$Z$6,1)+1)-AY60)*(INDEX('Rate &amp; Vol Update'!$B$8:$B$127,MATCH(AT60,'Rate &amp; Vol Update'!$B$8:$B$127,1)+1)-AT60)+INDEX('Rate &amp; Vol Update'!$E$8:$Z$127,MATCH(INDEX('Rate &amp; Vol Update'!$B$8:$B$127,MATCH(AT60,'Rate &amp; Vol Update'!$B$8:$B$127,1)),'Rate &amp; Vol Update'!$B$8:$B$127,0),MATCH(INDEX('Rate &amp; Vol Update'!$E$6:$Z$6,1,MATCH(AY60,'Rate &amp; Vol Update'!$E$6:$Z$6,1)+1),'Rate &amp; Vol Update'!$E$6:$Z$6,0))*(AY60-INDEX('Rate &amp; Vol Update'!$E$6:$Z$6,1,MATCH(AY60,'Rate &amp; Vol Update'!$E$6:$Z$6,1)))*(INDEX('Rate &amp; Vol Update'!$B$8:$B$127,MATCH(AT60,'Rate &amp; Vol Update'!$B$8:$B$127,1)+1)-AT60)+INDEX('Rate &amp; Vol Update'!$E$8:$Z$127,MATCH(INDEX('Rate &amp; Vol Update'!$B$8:$B$127,MATCH(AT60,'Rate &amp; Vol Update'!$B$8:$B$127,1)+1),'Rate &amp; Vol Update'!$B$8:$B$127,0),MATCH(INDEX('Rate &amp; Vol Update'!$E$6:$Z$6,1,MATCH(AY60,'Rate &amp; Vol Update'!$E$6:$Z$6,1)),'Rate &amp; Vol Update'!$E$6:$Z$6,0))*(INDEX('Rate &amp; Vol Update'!$E$6:$Z$6,1,MATCH(AY60,'Rate &amp; Vol Update'!$E$6:$Z$6,1)+1)-AY60)*(AT60-INDEX('Rate &amp; Vol Update'!$B$8:$B$127,MATCH(AT60,'Rate &amp; Vol Update'!$B$8:$B$127,1)))+INDEX('Rate &amp; Vol Update'!$E$8:$Z$127,MATCH(INDEX('Rate &amp; Vol Update'!$B$8:$B$127,MATCH(AT60,'Rate &amp; Vol Update'!$B$8:$B$127,1)+1),'Rate &amp; Vol Update'!$B$8:$B$127,0),MATCH(INDEX('Rate &amp; Vol Update'!$E$6:$Z$6,1,MATCH(AY60,'Rate &amp; Vol Update'!$E$6:$Z$6,1)+1),'Rate &amp; Vol Update'!$E$6:$Z$6,0))*(AY60-INDEX('Rate &amp; Vol Update'!$E$6:$Z$6,1,MATCH(AY60,'Rate &amp; Vol Update'!$E$6:$Z$6,1)))*(AT60-INDEX('Rate &amp; Vol Update'!$B$8:$B$127,MATCH(AT60,'Rate &amp; Vol Update'!$B$8:$B$127,1)))))*0.01%))</f>
        <v/>
      </c>
      <c r="BB60" s="5" t="str">
        <f>IF(AS60="","",1/((1+AZ60)^((AU60-'Rate &amp; Vol Update'!$C$2)/360)))</f>
        <v/>
      </c>
      <c r="BD60" s="15" t="str">
        <f>IF(AS60="","",IF(AT60&lt;'Rate &amp; Vol Update'!$C$2,MAX(0,AZ60-AY60)*(AV60/360)*AX60,(((IF('Adjustment Surface'!$C$2='Data Validation'!$A$2,AZ60,IF('Adjustment Surface'!$C$2='Data Validation'!$A$3,AY60,"Unknown Option Type"))-IF('Adjustment Surface'!$C$2='Data Validation'!$A$2,AY60,IF('Adjustment Surface'!$C$2='Data Validation'!$A$3,AZ60,"Unknown Option Type")))*(NORMDIST((IF('Adjustment Surface'!$C$2='Data Validation'!$A$2,AZ60,IF('Adjustment Surface'!$C$2='Data Validation'!$A$3,AY60,"Unknown Option Type"))-IF('Adjustment Surface'!$C$2='Data Validation'!$A$2,AY60,IF('Adjustment Surface'!$C$2='Data Validation'!$A$3,AZ60,"Unknown Option Type")))/(BA60*SQRT(AW60)),0,1,TRUE)))+((BA60*SQRT(AW60))*(NORMDIST((IF('Adjustment Surface'!$C$2='Data Validation'!$A$2,AZ60,IF('Adjustment Surface'!$C$2='Data Validation'!$A$3,AY60,"Unknown Option Type"))-IF('Adjustment Surface'!$C$2='Data Validation'!$A$2,AY60,IF('Adjustment Surface'!$C$2='Data Validation'!$A$3,AZ60,"Unknown Option Type")))/(BA60*SQRT(AW60)),0,1,FALSE))))*BB60*(AV60/360)*AX60))</f>
        <v/>
      </c>
      <c r="BE60" s="15" t="str">
        <f>IF(AS60="","",SUM(BD$4:BD60))</f>
        <v/>
      </c>
      <c r="BG60" s="15" t="str">
        <f>IF(AS60="","",IF(AT60&lt;'Rate &amp; Vol Update'!$C$2,0,((((((IF('Adjustment Surface'!$C$2='Data Validation'!$A$2,AZ60,IF('Adjustment Surface'!$C$2='Data Validation'!$A$3,AY60,"Unknown Option Type"))-IF('Adjustment Surface'!$C$2='Data Validation'!$A$2,AY60,IF('Adjustment Surface'!$C$2='Data Validation'!$A$3,AZ60,"Unknown Option Type")))*(NORMDIST((IF('Adjustment Surface'!$C$2='Data Validation'!$A$2,AZ60,IF('Adjustment Surface'!$C$2='Data Validation'!$A$3,AY60,"Unknown Option Type"))-IF('Adjustment Surface'!$C$2='Data Validation'!$A$2,AY60,IF('Adjustment Surface'!$C$2='Data Validation'!$A$3,AZ60,"Unknown Option Type")))/((BA60+0.01%)*SQRT(AW60)),0,1,TRUE)))+(((BA60+0.01%)*SQRT(AW60))*(NORMDIST((IF('Adjustment Surface'!$C$2='Data Validation'!$A$2,AZ60,IF('Adjustment Surface'!$C$2='Data Validation'!$A$3,AY60,"Unknown Option Type"))-IF('Adjustment Surface'!$C$2='Data Validation'!$A$2,AY60,IF('Adjustment Surface'!$C$2='Data Validation'!$A$3,AZ60,"Unknown Option Type")))/((BA60+0.01%)*SQRT(AW60)),0,1,FALSE))))*BB60*(AV60/360))-(BD60/AX60))*AX60)*BB60))</f>
        <v/>
      </c>
      <c r="BH60" s="15" t="str">
        <f>IF(AS60="","",SUM(BG$4:BG60))</f>
        <v/>
      </c>
      <c r="BI60" s="15"/>
      <c r="BJ60" s="20"/>
      <c r="BL60" s="4" t="str">
        <f>IF(BM59=MAX('Adjustment Surface'!$C$14:$F$14),"",BM59)</f>
        <v/>
      </c>
      <c r="BM60" s="4" t="str">
        <f>IF(BL60="","",IF(BL60&lt;EDATE('Adjustment Surface'!$C$6,DATEDIF('Adjustment Surface'!$C$6,MAX('Adjustment Surface'!$C$14:$F$14),"M")),EDATE(BL$5,COUNT(BL$5:BL60)),IF(BL60=EDATE('Adjustment Surface'!$C$6,DATEDIF('Adjustment Surface'!$C$6,MAX('Adjustment Surface'!$C$14:$F$14),"M")),MAX('Adjustment Surface'!$C$14:$F$14),EDATE('Adjustment Surface'!$C$6,DATEDIF('Adjustment Surface'!$C$6,MAX('Adjustment Surface'!$C$14:$F$14),"M")))))</f>
        <v/>
      </c>
      <c r="BN60" s="3" t="str">
        <f t="shared" si="4"/>
        <v/>
      </c>
      <c r="BO60" s="5" t="str">
        <f>IF(BK60="","",(BM60-'Rate &amp; Vol Update'!$C$2)/360)</f>
        <v/>
      </c>
      <c r="BP60" s="15" t="str">
        <f>IF(BK60="","",IF('Adjustment Surface'!$C$3='Data Validation'!$C$2,'Adjustment Surface'!$C$4,_xlfn.IFNA(IF(INDEX(Schedules!$E$3:$E$123,MATCH('Bachelier Model'!BL60,Schedules!$B$3:$B$123,0))="",BP59,INDEX(Schedules!$E$3:$E$123,MATCH('Bachelier Model'!BL60,Schedules!$B$3:$B$123,0))),BP59)))</f>
        <v/>
      </c>
      <c r="BQ60" s="16" t="str">
        <f>IF(BK60="","",'Adjustment Surface'!B$17)</f>
        <v/>
      </c>
      <c r="BR60" s="16" t="str" cm="1">
        <f t="array" ref="BR60">IF(BK60="","",FORECAST(BL60,INDEX('Rate &amp; Vol Update'!$C$6:$C$127,MATCH(INDEX('Rate &amp; Vol Update'!$B$6:$B$127,MATCH(BL60,'Rate &amp; Vol Update'!$B$6:$B$127,1)),'Rate &amp; Vol Update'!$B$6:$B$127,0)+IF('Adjustment Surface'!$C$11='Data Validation'!$E$3,-1,0)):INDEX('Rate &amp; Vol Update'!$C$6:$C$127,MATCH(INDEX('Rate &amp; Vol Update'!$B$6:$B$127,MATCH(BL60,'Rate &amp; Vol Update'!$B$6:$B$127,1)+1),'Rate &amp; Vol Update'!$B$6:$B$127,0)+IF('Adjustment Surface'!$C$11='Data Validation'!$E$3,-1,0)),INDEX('Rate &amp; Vol Update'!$B$6:$B$127,MATCH(BL60,'Rate &amp; Vol Update'!$B$6:$B$127,1)):INDEX('Rate &amp; Vol Update'!$B$6:$B$127,MATCH(BL60,'Rate &amp; Vol Update'!$B$6:$B$127,1)+1))/100)</f>
        <v/>
      </c>
      <c r="BS60" s="16" t="str" cm="1">
        <f t="array" ref="BS60">IF(BK60="","",IF(BL60&lt;'Rate &amp; Vol Update'!$C$2,0.001%,(1/((INDEX('Rate &amp; Vol Update'!$E$6:$Z$6,1,MATCH(BQ60,'Rate &amp; Vol Update'!$E$6:$Z$6,1)+1)-INDEX('Rate &amp; Vol Update'!$E$6:$Z$6,1,MATCH(BQ60,'Rate &amp; Vol Update'!$E$6:$Z$6,1)))*(INDEX('Rate &amp; Vol Update'!$B$8:$B$127,MATCH(BL60,'Rate &amp; Vol Update'!$B$8:$B$127,1)+1)-INDEX('Rate &amp; Vol Update'!$B$8:$B$127,MATCH(BL60,'Rate &amp; Vol Update'!$B$8:$B$127,1))))*(INDEX('Rate &amp; Vol Update'!$E$8:$Z$127,MATCH(INDEX('Rate &amp; Vol Update'!$B$8:$B$127,MATCH(BL60,'Rate &amp; Vol Update'!$B$8:$B$127,1)),'Rate &amp; Vol Update'!$B$8:$B$127,0),MATCH(INDEX('Rate &amp; Vol Update'!$E$6:$Z$6,1,MATCH(BQ60,'Rate &amp; Vol Update'!$E$6:$Z$6,1)),'Rate &amp; Vol Update'!$E$6:$Z$6,0))*(INDEX('Rate &amp; Vol Update'!$E$6:$Z$6,1,MATCH(BQ60,'Rate &amp; Vol Update'!$E$6:$Z$6,1)+1)-BQ60)*(INDEX('Rate &amp; Vol Update'!$B$8:$B$127,MATCH(BL60,'Rate &amp; Vol Update'!$B$8:$B$127,1)+1)-BL60)+INDEX('Rate &amp; Vol Update'!$E$8:$Z$127,MATCH(INDEX('Rate &amp; Vol Update'!$B$8:$B$127,MATCH(BL60,'Rate &amp; Vol Update'!$B$8:$B$127,1)),'Rate &amp; Vol Update'!$B$8:$B$127,0),MATCH(INDEX('Rate &amp; Vol Update'!$E$6:$Z$6,1,MATCH(BQ60,'Rate &amp; Vol Update'!$E$6:$Z$6,1)+1),'Rate &amp; Vol Update'!$E$6:$Z$6,0))*(BQ60-INDEX('Rate &amp; Vol Update'!$E$6:$Z$6,1,MATCH(BQ60,'Rate &amp; Vol Update'!$E$6:$Z$6,1)))*(INDEX('Rate &amp; Vol Update'!$B$8:$B$127,MATCH(BL60,'Rate &amp; Vol Update'!$B$8:$B$127,1)+1)-BL60)+INDEX('Rate &amp; Vol Update'!$E$8:$Z$127,MATCH(INDEX('Rate &amp; Vol Update'!$B$8:$B$127,MATCH(BL60,'Rate &amp; Vol Update'!$B$8:$B$127,1)+1),'Rate &amp; Vol Update'!$B$8:$B$127,0),MATCH(INDEX('Rate &amp; Vol Update'!$E$6:$Z$6,1,MATCH(BQ60,'Rate &amp; Vol Update'!$E$6:$Z$6,1)),'Rate &amp; Vol Update'!$E$6:$Z$6,0))*(INDEX('Rate &amp; Vol Update'!$E$6:$Z$6,1,MATCH(BQ60,'Rate &amp; Vol Update'!$E$6:$Z$6,1)+1)-BQ60)*(BL60-INDEX('Rate &amp; Vol Update'!$B$8:$B$127,MATCH(BL60,'Rate &amp; Vol Update'!$B$8:$B$127,1)))+INDEX('Rate &amp; Vol Update'!$E$8:$Z$127,MATCH(INDEX('Rate &amp; Vol Update'!$B$8:$B$127,MATCH(BL60,'Rate &amp; Vol Update'!$B$8:$B$127,1)+1),'Rate &amp; Vol Update'!$B$8:$B$127,0),MATCH(INDEX('Rate &amp; Vol Update'!$E$6:$Z$6,1,MATCH(BQ60,'Rate &amp; Vol Update'!$E$6:$Z$6,1)+1),'Rate &amp; Vol Update'!$E$6:$Z$6,0))*(BQ60-INDEX('Rate &amp; Vol Update'!$E$6:$Z$6,1,MATCH(BQ60,'Rate &amp; Vol Update'!$E$6:$Z$6,1)))*(BL60-INDEX('Rate &amp; Vol Update'!$B$8:$B$127,MATCH(BL60,'Rate &amp; Vol Update'!$B$8:$B$127,1)))))*0.01%))</f>
        <v/>
      </c>
      <c r="BT60" s="5" t="str">
        <f>IF(BK60="","",1/((1+BR60)^((BM60-'Rate &amp; Vol Update'!$C$2)/360)))</f>
        <v/>
      </c>
      <c r="BV60" s="15" t="str">
        <f>IF(BK60="","",IF(BL60&lt;'Rate &amp; Vol Update'!$C$2,MAX(0,BR60-BQ60)*(BN60/360)*BP60,(((IF('Adjustment Surface'!$C$2='Data Validation'!$A$2,BR60,IF('Adjustment Surface'!$C$2='Data Validation'!$A$3,BQ60,"Unknown Option Type"))-IF('Adjustment Surface'!$C$2='Data Validation'!$A$2,BQ60,IF('Adjustment Surface'!$C$2='Data Validation'!$A$3,BR60,"Unknown Option Type")))*(NORMDIST((IF('Adjustment Surface'!$C$2='Data Validation'!$A$2,BR60,IF('Adjustment Surface'!$C$2='Data Validation'!$A$3,BQ60,"Unknown Option Type"))-IF('Adjustment Surface'!$C$2='Data Validation'!$A$2,BQ60,IF('Adjustment Surface'!$C$2='Data Validation'!$A$3,BR60,"Unknown Option Type")))/(BS60*SQRT(BO60)),0,1,TRUE)))+((BS60*SQRT(BO60))*(NORMDIST((IF('Adjustment Surface'!$C$2='Data Validation'!$A$2,BR60,IF('Adjustment Surface'!$C$2='Data Validation'!$A$3,BQ60,"Unknown Option Type"))-IF('Adjustment Surface'!$C$2='Data Validation'!$A$2,BQ60,IF('Adjustment Surface'!$C$2='Data Validation'!$A$3,BR60,"Unknown Option Type")))/(BS60*SQRT(BO60)),0,1,FALSE))))*BT60*(BN60/360)*BP60))</f>
        <v/>
      </c>
      <c r="BW60" s="15" t="str">
        <f>IF(BK60="","",SUM(BV$4:BV60))</f>
        <v/>
      </c>
      <c r="BY60" s="15" t="str">
        <f>IF(BK60="","",IF(BL60&lt;'Rate &amp; Vol Update'!$C$2,0,((((((IF('Adjustment Surface'!$C$2='Data Validation'!$A$2,BR60,IF('Adjustment Surface'!$C$2='Data Validation'!$A$3,BQ60,"Unknown Option Type"))-IF('Adjustment Surface'!$C$2='Data Validation'!$A$2,BQ60,IF('Adjustment Surface'!$C$2='Data Validation'!$A$3,BR60,"Unknown Option Type")))*(NORMDIST((IF('Adjustment Surface'!$C$2='Data Validation'!$A$2,BR60,IF('Adjustment Surface'!$C$2='Data Validation'!$A$3,BQ60,"Unknown Option Type"))-IF('Adjustment Surface'!$C$2='Data Validation'!$A$2,BQ60,IF('Adjustment Surface'!$C$2='Data Validation'!$A$3,BR60,"Unknown Option Type")))/((BS60+0.01%)*SQRT(BO60)),0,1,TRUE)))+(((BS60+0.01%)*SQRT(BO60))*(NORMDIST((IF('Adjustment Surface'!$C$2='Data Validation'!$A$2,BR60,IF('Adjustment Surface'!$C$2='Data Validation'!$A$3,BQ60,"Unknown Option Type"))-IF('Adjustment Surface'!$C$2='Data Validation'!$A$2,BQ60,IF('Adjustment Surface'!$C$2='Data Validation'!$A$3,BR60,"Unknown Option Type")))/((BS60+0.01%)*SQRT(BO60)),0,1,FALSE))))*BT60*(BN60/360))-(BV60/BP60))*BP60)*BT60))</f>
        <v/>
      </c>
      <c r="BZ60" s="15" t="str">
        <f>IF(BK60="","",SUM(BY$4:BY60))</f>
        <v/>
      </c>
      <c r="CA60" s="15"/>
      <c r="CB60" s="20"/>
      <c r="CD60" s="4" t="str">
        <f>IF(CE59=MAX('Adjustment Surface'!$C$14:$F$14),"",CE59)</f>
        <v/>
      </c>
      <c r="CE60" s="4" t="str">
        <f>IF(CD60="","",IF(CD60&lt;EDATE('Adjustment Surface'!$C$6,DATEDIF('Adjustment Surface'!$C$6,MAX('Adjustment Surface'!$C$14:$F$14),"M")),EDATE(CD$5,COUNT(CD$5:CD60)),IF(CD60=EDATE('Adjustment Surface'!$C$6,DATEDIF('Adjustment Surface'!$C$6,MAX('Adjustment Surface'!$C$14:$F$14),"M")),MAX('Adjustment Surface'!$C$14:$F$14),EDATE('Adjustment Surface'!$C$6,DATEDIF('Adjustment Surface'!$C$6,MAX('Adjustment Surface'!$C$14:$F$14),"M")))))</f>
        <v/>
      </c>
      <c r="CF60" s="3" t="str">
        <f t="shared" si="5"/>
        <v/>
      </c>
      <c r="CG60" s="5" t="str">
        <f>IF(CC60="","",(CE60-'Rate &amp; Vol Update'!$C$2)/360)</f>
        <v/>
      </c>
      <c r="CH60" s="15" t="str">
        <f>IF(CC60="","",IF('Adjustment Surface'!$C$3='Data Validation'!$C$2,'Adjustment Surface'!$C$4,_xlfn.IFNA(IF(INDEX(Schedules!$E$3:$E$123,MATCH('Bachelier Model'!CD60,Schedules!$B$3:$B$123,0))="",CH59,INDEX(Schedules!$E$3:$E$123,MATCH('Bachelier Model'!CD60,Schedules!$B$3:$B$123,0))),CH59)))</f>
        <v/>
      </c>
      <c r="CI60" s="16" t="str">
        <f>IF(CC60="","",'Adjustment Surface'!B$18)</f>
        <v/>
      </c>
      <c r="CJ60" s="16" t="str" cm="1">
        <f t="array" ref="CJ60">IF(CC60="","",FORECAST(CD60,INDEX('Rate &amp; Vol Update'!$C$6:$C$127,MATCH(INDEX('Rate &amp; Vol Update'!$B$6:$B$127,MATCH(CD60,'Rate &amp; Vol Update'!$B$6:$B$127,1)),'Rate &amp; Vol Update'!$B$6:$B$127,0)+IF('Adjustment Surface'!$C$11='Data Validation'!$E$3,-1,0)):INDEX('Rate &amp; Vol Update'!$C$6:$C$127,MATCH(INDEX('Rate &amp; Vol Update'!$B$6:$B$127,MATCH(CD60,'Rate &amp; Vol Update'!$B$6:$B$127,1)+1),'Rate &amp; Vol Update'!$B$6:$B$127,0)+IF('Adjustment Surface'!$C$11='Data Validation'!$E$3,-1,0)),INDEX('Rate &amp; Vol Update'!$B$6:$B$127,MATCH(CD60,'Rate &amp; Vol Update'!$B$6:$B$127,1)):INDEX('Rate &amp; Vol Update'!$B$6:$B$127,MATCH(CD60,'Rate &amp; Vol Update'!$B$6:$B$127,1)+1))/100)</f>
        <v/>
      </c>
      <c r="CK60" s="16" t="str" cm="1">
        <f t="array" ref="CK60">IF(CC60="","",IF(CD60&lt;'Rate &amp; Vol Update'!$C$2,0.001%,(1/((INDEX('Rate &amp; Vol Update'!$E$6:$Z$6,1,MATCH(CI60,'Rate &amp; Vol Update'!$E$6:$Z$6,1)+1)-INDEX('Rate &amp; Vol Update'!$E$6:$Z$6,1,MATCH(CI60,'Rate &amp; Vol Update'!$E$6:$Z$6,1)))*(INDEX('Rate &amp; Vol Update'!$B$8:$B$127,MATCH(CD60,'Rate &amp; Vol Update'!$B$8:$B$127,1)+1)-INDEX('Rate &amp; Vol Update'!$B$8:$B$127,MATCH(CD60,'Rate &amp; Vol Update'!$B$8:$B$127,1))))*(INDEX('Rate &amp; Vol Update'!$E$8:$Z$127,MATCH(INDEX('Rate &amp; Vol Update'!$B$8:$B$127,MATCH(CD60,'Rate &amp; Vol Update'!$B$8:$B$127,1)),'Rate &amp; Vol Update'!$B$8:$B$127,0),MATCH(INDEX('Rate &amp; Vol Update'!$E$6:$Z$6,1,MATCH(CI60,'Rate &amp; Vol Update'!$E$6:$Z$6,1)),'Rate &amp; Vol Update'!$E$6:$Z$6,0))*(INDEX('Rate &amp; Vol Update'!$E$6:$Z$6,1,MATCH(CI60,'Rate &amp; Vol Update'!$E$6:$Z$6,1)+1)-CI60)*(INDEX('Rate &amp; Vol Update'!$B$8:$B$127,MATCH(CD60,'Rate &amp; Vol Update'!$B$8:$B$127,1)+1)-CD60)+INDEX('Rate &amp; Vol Update'!$E$8:$Z$127,MATCH(INDEX('Rate &amp; Vol Update'!$B$8:$B$127,MATCH(CD60,'Rate &amp; Vol Update'!$B$8:$B$127,1)),'Rate &amp; Vol Update'!$B$8:$B$127,0),MATCH(INDEX('Rate &amp; Vol Update'!$E$6:$Z$6,1,MATCH(CI60,'Rate &amp; Vol Update'!$E$6:$Z$6,1)+1),'Rate &amp; Vol Update'!$E$6:$Z$6,0))*(CI60-INDEX('Rate &amp; Vol Update'!$E$6:$Z$6,1,MATCH(CI60,'Rate &amp; Vol Update'!$E$6:$Z$6,1)))*(INDEX('Rate &amp; Vol Update'!$B$8:$B$127,MATCH(CD60,'Rate &amp; Vol Update'!$B$8:$B$127,1)+1)-CD60)+INDEX('Rate &amp; Vol Update'!$E$8:$Z$127,MATCH(INDEX('Rate &amp; Vol Update'!$B$8:$B$127,MATCH(CD60,'Rate &amp; Vol Update'!$B$8:$B$127,1)+1),'Rate &amp; Vol Update'!$B$8:$B$127,0),MATCH(INDEX('Rate &amp; Vol Update'!$E$6:$Z$6,1,MATCH(CI60,'Rate &amp; Vol Update'!$E$6:$Z$6,1)),'Rate &amp; Vol Update'!$E$6:$Z$6,0))*(INDEX('Rate &amp; Vol Update'!$E$6:$Z$6,1,MATCH(CI60,'Rate &amp; Vol Update'!$E$6:$Z$6,1)+1)-CI60)*(CD60-INDEX('Rate &amp; Vol Update'!$B$8:$B$127,MATCH(CD60,'Rate &amp; Vol Update'!$B$8:$B$127,1)))+INDEX('Rate &amp; Vol Update'!$E$8:$Z$127,MATCH(INDEX('Rate &amp; Vol Update'!$B$8:$B$127,MATCH(CD60,'Rate &amp; Vol Update'!$B$8:$B$127,1)+1),'Rate &amp; Vol Update'!$B$8:$B$127,0),MATCH(INDEX('Rate &amp; Vol Update'!$E$6:$Z$6,1,MATCH(CI60,'Rate &amp; Vol Update'!$E$6:$Z$6,1)+1),'Rate &amp; Vol Update'!$E$6:$Z$6,0))*(CI60-INDEX('Rate &amp; Vol Update'!$E$6:$Z$6,1,MATCH(CI60,'Rate &amp; Vol Update'!$E$6:$Z$6,1)))*(CD60-INDEX('Rate &amp; Vol Update'!$B$8:$B$127,MATCH(CD60,'Rate &amp; Vol Update'!$B$8:$B$127,1)))))*0.01%))</f>
        <v/>
      </c>
      <c r="CL60" s="5" t="str">
        <f>IF(CC60="","",1/((1+CJ60)^((CE60-'Rate &amp; Vol Update'!$C$2)/360)))</f>
        <v/>
      </c>
      <c r="CN60" s="15" t="str">
        <f>IF(CC60="","",IF(CD60&lt;'Rate &amp; Vol Update'!$C$2,MAX(0,CJ60-CI60)*(CF60/360)*CH60,(((IF('Adjustment Surface'!$C$2='Data Validation'!$A$2,CJ60,IF('Adjustment Surface'!$C$2='Data Validation'!$A$3,CI60,"Unknown Option Type"))-IF('Adjustment Surface'!$C$2='Data Validation'!$A$2,CI60,IF('Adjustment Surface'!$C$2='Data Validation'!$A$3,CJ60,"Unknown Option Type")))*(NORMDIST((IF('Adjustment Surface'!$C$2='Data Validation'!$A$2,CJ60,IF('Adjustment Surface'!$C$2='Data Validation'!$A$3,CI60,"Unknown Option Type"))-IF('Adjustment Surface'!$C$2='Data Validation'!$A$2,CI60,IF('Adjustment Surface'!$C$2='Data Validation'!$A$3,CJ60,"Unknown Option Type")))/(CK60*SQRT(CG60)),0,1,TRUE)))+((CK60*SQRT(CG60))*(NORMDIST((IF('Adjustment Surface'!$C$2='Data Validation'!$A$2,CJ60,IF('Adjustment Surface'!$C$2='Data Validation'!$A$3,CI60,"Unknown Option Type"))-IF('Adjustment Surface'!$C$2='Data Validation'!$A$2,CI60,IF('Adjustment Surface'!$C$2='Data Validation'!$A$3,CJ60,"Unknown Option Type")))/(CK60*SQRT(CG60)),0,1,FALSE))))*CL60*(CF60/360)*CH60))</f>
        <v/>
      </c>
      <c r="CO60" s="15" t="str">
        <f>IF(CC60="","",SUM(CN$4:CN60))</f>
        <v/>
      </c>
      <c r="CQ60" s="15" t="str">
        <f>IF(CC60="","",IF(CD60&lt;'Rate &amp; Vol Update'!$C$2,0,((((((IF('Adjustment Surface'!$C$2='Data Validation'!$A$2,CJ60,IF('Adjustment Surface'!$C$2='Data Validation'!$A$3,CI60,"Unknown Option Type"))-IF('Adjustment Surface'!$C$2='Data Validation'!$A$2,CI60,IF('Adjustment Surface'!$C$2='Data Validation'!$A$3,CJ60,"Unknown Option Type")))*(NORMDIST((IF('Adjustment Surface'!$C$2='Data Validation'!$A$2,CJ60,IF('Adjustment Surface'!$C$2='Data Validation'!$A$3,CI60,"Unknown Option Type"))-IF('Adjustment Surface'!$C$2='Data Validation'!$A$2,CI60,IF('Adjustment Surface'!$C$2='Data Validation'!$A$3,CJ60,"Unknown Option Type")))/((CK60+0.01%)*SQRT(CG60)),0,1,TRUE)))+(((CK60+0.01%)*SQRT(CG60))*(NORMDIST((IF('Adjustment Surface'!$C$2='Data Validation'!$A$2,CJ60,IF('Adjustment Surface'!$C$2='Data Validation'!$A$3,CI60,"Unknown Option Type"))-IF('Adjustment Surface'!$C$2='Data Validation'!$A$2,CI60,IF('Adjustment Surface'!$C$2='Data Validation'!$A$3,CJ60,"Unknown Option Type")))/((CK60+0.01%)*SQRT(CG60)),0,1,FALSE))))*CL60*(CF60/360))-(CN60/CH60))*CH60)*CL60))</f>
        <v/>
      </c>
      <c r="CR60" s="15" t="str">
        <f>IF(CC60="","",SUM(CQ$4:CQ60))</f>
        <v/>
      </c>
    </row>
    <row r="61" spans="7:96" x14ac:dyDescent="0.25">
      <c r="G61" s="28"/>
      <c r="J61" s="4" t="str">
        <f>IF(K60='Adjustment Surface'!C$8,"",K60)</f>
        <v/>
      </c>
      <c r="K61" s="4" t="str">
        <f>IF(J61="","",IF(J61&lt;'Adjustment Surface'!C$7,EDATE(J$5,COUNT(J$5:J61)),IF(J61='Adjustment Surface'!C$7,'Adjustment Surface'!C$8,'Adjustment Surface'!C$7)))</f>
        <v/>
      </c>
      <c r="L61" s="3" t="str">
        <f t="shared" si="1"/>
        <v/>
      </c>
      <c r="M61" s="5" t="str">
        <f>IF(I61="","",(K61-'Rate &amp; Vol Update'!$C$2)/360)</f>
        <v/>
      </c>
      <c r="N61" s="15" t="str">
        <f>IF(I61="","",IF('Adjustment Surface'!C$3='Data Validation'!$C$2,'Adjustment Surface'!C$4,IF(INDEX(Schedules!$E$3:$E$123,MATCH('Bachelier Model'!J61,Schedules!$B$3:$B$123,0))="",N60,INDEX(Schedules!$E$3:$E$123,MATCH('Bachelier Model'!J61,Schedules!$B$3:$B$123,0)))))</f>
        <v/>
      </c>
      <c r="O61" s="16" t="str">
        <f>IF(I61="","",IF('Adjustment Surface'!C$9='Data Validation'!$D$2,'Adjustment Surface'!C$10,IF(INDEX(Schedules!$H$3:$H$123,MATCH('Bachelier Model'!J61,Schedules!$B$3:$B$123,0))="",O60,INDEX(Schedules!$H$3:$H$123,MATCH('Bachelier Model'!J61,Schedules!$B$3:$B$123,0)))))</f>
        <v/>
      </c>
      <c r="P61" s="16" t="str" cm="1">
        <f t="array" ref="P61">IF(I61="","",FORECAST(J61,INDEX('Rate &amp; Vol Update'!$C$6:$C$127,MATCH(INDEX('Rate &amp; Vol Update'!$B$6:$B$127,MATCH(J61,'Rate &amp; Vol Update'!$B$6:$B$127,1)),'Rate &amp; Vol Update'!$B$6:$B$127,0)+IF('Adjustment Surface'!C$11='Data Validation'!$E$3,-1,0)):INDEX('Rate &amp; Vol Update'!$C$6:$C$127,MATCH(INDEX('Rate &amp; Vol Update'!$B$6:$B$127,MATCH(J61,'Rate &amp; Vol Update'!$B$6:$B$127,1)+1),'Rate &amp; Vol Update'!$B$6:$B$127,0)+IF('Adjustment Surface'!C$11='Data Validation'!$E$3,-1,0)),INDEX('Rate &amp; Vol Update'!$B$6:$B$127,MATCH(J61,'Rate &amp; Vol Update'!$B$6:$B$127,1)):INDEX('Rate &amp; Vol Update'!$B$6:$B$127,MATCH(J61,'Rate &amp; Vol Update'!$B$6:$B$127,1)+1))/100)</f>
        <v/>
      </c>
      <c r="Q61" s="16" t="str" cm="1">
        <f t="array" ref="Q61">IF(I61="","",IF(J61&lt;'Rate &amp; Vol Update'!$C$2,0.001%,(1/((INDEX('Rate &amp; Vol Update'!$E$6:$Z$6,1,MATCH(O61,'Rate &amp; Vol Update'!$E$6:$Z$6,1)+1)-INDEX('Rate &amp; Vol Update'!$E$6:$Z$6,1,MATCH(O61,'Rate &amp; Vol Update'!$E$6:$Z$6,1)))*(INDEX('Rate &amp; Vol Update'!$B$8:$B$127,MATCH(J61,'Rate &amp; Vol Update'!$B$8:$B$127,1)+1)-INDEX('Rate &amp; Vol Update'!$B$8:$B$127,MATCH(J61,'Rate &amp; Vol Update'!$B$8:$B$127,1))))*(INDEX('Rate &amp; Vol Update'!$E$8:$Z$127,MATCH(INDEX('Rate &amp; Vol Update'!$B$8:$B$127,MATCH(J61,'Rate &amp; Vol Update'!$B$8:$B$127,1)),'Rate &amp; Vol Update'!$B$8:$B$127,0),MATCH(INDEX('Rate &amp; Vol Update'!$E$6:$Z$6,1,MATCH(O61,'Rate &amp; Vol Update'!$E$6:$Z$6,1)),'Rate &amp; Vol Update'!$E$6:$Z$6,0))*(INDEX('Rate &amp; Vol Update'!$E$6:$Z$6,1,MATCH(O61,'Rate &amp; Vol Update'!$E$6:$Z$6,1)+1)-O61)*(INDEX('Rate &amp; Vol Update'!$B$8:$B$127,MATCH(J61,'Rate &amp; Vol Update'!$B$8:$B$127,1)+1)-J61)+INDEX('Rate &amp; Vol Update'!$E$8:$Z$127,MATCH(INDEX('Rate &amp; Vol Update'!$B$8:$B$127,MATCH(J61,'Rate &amp; Vol Update'!$B$8:$B$127,1)),'Rate &amp; Vol Update'!$B$8:$B$127,0),MATCH(INDEX('Rate &amp; Vol Update'!$E$6:$Z$6,1,MATCH(O61,'Rate &amp; Vol Update'!$E$6:$Z$6,1)+1),'Rate &amp; Vol Update'!$E$6:$Z$6,0))*(O61-INDEX('Rate &amp; Vol Update'!$E$6:$Z$6,1,MATCH(O61,'Rate &amp; Vol Update'!$E$6:$Z$6,1)))*(INDEX('Rate &amp; Vol Update'!$B$8:$B$127,MATCH(J61,'Rate &amp; Vol Update'!$B$8:$B$127,1)+1)-J61)+INDEX('Rate &amp; Vol Update'!$E$8:$Z$127,MATCH(INDEX('Rate &amp; Vol Update'!$B$8:$B$127,MATCH(J61,'Rate &amp; Vol Update'!$B$8:$B$127,1)+1),'Rate &amp; Vol Update'!$B$8:$B$127,0),MATCH(INDEX('Rate &amp; Vol Update'!$E$6:$Z$6,1,MATCH(O61,'Rate &amp; Vol Update'!$E$6:$Z$6,1)),'Rate &amp; Vol Update'!$E$6:$Z$6,0))*(INDEX('Rate &amp; Vol Update'!$E$6:$Z$6,1,MATCH(O61,'Rate &amp; Vol Update'!$E$6:$Z$6,1)+1)-O61)*(J61-INDEX('Rate &amp; Vol Update'!$B$8:$B$127,MATCH(J61,'Rate &amp; Vol Update'!$B$8:$B$127,1)))+INDEX('Rate &amp; Vol Update'!$E$8:$Z$127,MATCH(INDEX('Rate &amp; Vol Update'!$B$8:$B$127,MATCH(J61,'Rate &amp; Vol Update'!$B$8:$B$127,1)+1),'Rate &amp; Vol Update'!$B$8:$B$127,0),MATCH(INDEX('Rate &amp; Vol Update'!$E$6:$Z$6,1,MATCH(O61,'Rate &amp; Vol Update'!$E$6:$Z$6,1)+1),'Rate &amp; Vol Update'!$E$6:$Z$6,0))*(O61-INDEX('Rate &amp; Vol Update'!$E$6:$Z$6,1,MATCH(O61,'Rate &amp; Vol Update'!$E$6:$Z$6,1)))*(J61-INDEX('Rate &amp; Vol Update'!$B$8:$B$127,MATCH(J61,'Rate &amp; Vol Update'!$B$8:$B$127,1)))))*0.01%))</f>
        <v/>
      </c>
      <c r="R61" s="5" t="str">
        <f>IF(I61="","",1/((1+P61)^((K61-'Rate &amp; Vol Update'!$C$2)/360)))</f>
        <v/>
      </c>
      <c r="T61" s="15" t="str">
        <f>IF(I61="","",IF(J61&lt;'Rate &amp; Vol Update'!$C$2,MAX(0,P61-O61)*(L61/360)*N61,(((IF('Adjustment Surface'!C$2='Data Validation'!$A$2,P61,IF('Adjustment Surface'!C$2='Data Validation'!$A$3,O61,"Unknown Option Type"))-IF('Adjustment Surface'!C$2='Data Validation'!$A$2,O61,IF('Adjustment Surface'!C$2='Data Validation'!$A$3,P61,"Unknown Option Type")))*(NORMDIST((IF('Adjustment Surface'!C$2='Data Validation'!$A$2,P61,IF('Adjustment Surface'!C$2='Data Validation'!$A$3,O61,"Unknown Option Type"))-IF('Adjustment Surface'!C$2='Data Validation'!$A$2,O61,IF('Adjustment Surface'!C$2='Data Validation'!$A$3,P61,"Unknown Option Type")))/(Q61*SQRT(M61)),0,1,TRUE)))+((Q61*SQRT(M61))*(NORMDIST((IF('Adjustment Surface'!C$2='Data Validation'!$A$2,P61,IF('Adjustment Surface'!C$2='Data Validation'!$A$3,O61,"Unknown Option Type"))-IF('Adjustment Surface'!C$2='Data Validation'!$A$2,O61,IF('Adjustment Surface'!C$2='Data Validation'!$A$3,P61,"Unknown Option Type")))/(Q61*SQRT(M61)),0,1,FALSE))))*R61*(L61/360)*N61))</f>
        <v/>
      </c>
      <c r="U61" s="15" t="str">
        <f>IF(I61="","",SUM(T$4:T61))</f>
        <v/>
      </c>
      <c r="W61" s="15" t="str">
        <f>IF(I61="","",IF(J61&lt;'Rate &amp; Vol Update'!$C$2,0,((((((IF('Adjustment Surface'!C$2='Data Validation'!$A$2,P61,IF('Adjustment Surface'!C$2='Data Validation'!$A$3,O61,"Unknown Option Type"))-IF('Adjustment Surface'!C$2='Data Validation'!$A$2,O61,IF('Adjustment Surface'!C$2='Data Validation'!$A$3,P61,"Unknown Option Type")))*(NORMDIST((IF('Adjustment Surface'!C$2='Data Validation'!$A$2,P61,IF('Adjustment Surface'!C$2='Data Validation'!$A$3,O61,"Unknown Option Type"))-IF('Adjustment Surface'!C$2='Data Validation'!$A$2,O61,IF('Adjustment Surface'!C$2='Data Validation'!$A$3,P61,"Unknown Option Type")))/((Q61+0.01%)*SQRT(M61)),0,1,TRUE)))+(((Q61+0.01%)*SQRT(M61))*(NORMDIST((IF('Adjustment Surface'!C$2='Data Validation'!$A$2,P61,IF('Adjustment Surface'!C$2='Data Validation'!$A$3,O61,"Unknown Option Type"))-IF('Adjustment Surface'!C$2='Data Validation'!$A$2,O61,IF('Adjustment Surface'!C$2='Data Validation'!$A$3,P61,"Unknown Option Type")))/((Q61+0.01%)*SQRT(M61)),0,1,FALSE))))*R61*(L61/360))-(T61/N61))*N61)*R61))</f>
        <v/>
      </c>
      <c r="X61" s="15" t="str">
        <f>IF(I61="","",SUM(W$4:W61))</f>
        <v/>
      </c>
      <c r="Y61" s="15"/>
      <c r="Z61" s="20"/>
      <c r="AB61" s="4" t="str">
        <f>IF(AC60=MAX('Adjustment Surface'!$C$14:$F$14),"",AC60)</f>
        <v/>
      </c>
      <c r="AC61" s="4" t="str">
        <f>IF(AB61="","",IF(AB61&lt;EDATE('Adjustment Surface'!$C$6,DATEDIF('Adjustment Surface'!$C$6,MAX('Adjustment Surface'!$C$14:$F$14),"M")),EDATE(AB$5,COUNT(AB$5:AB61)),IF(AB61=EDATE('Adjustment Surface'!$C$6,DATEDIF('Adjustment Surface'!$C$6,MAX('Adjustment Surface'!$C$14:$F$14),"M")),MAX('Adjustment Surface'!$C$14:$F$14),EDATE('Adjustment Surface'!$C$6,DATEDIF('Adjustment Surface'!$C$6,MAX('Adjustment Surface'!$C$14:$F$14),"M")))))</f>
        <v/>
      </c>
      <c r="AD61" s="3" t="str">
        <f t="shared" si="2"/>
        <v/>
      </c>
      <c r="AE61" s="5" t="str">
        <f>IF(AA61="","",(AC61-'Rate &amp; Vol Update'!$C$2)/360)</f>
        <v/>
      </c>
      <c r="AF61" s="15" t="str">
        <f>IF(AA61="","",IF('Adjustment Surface'!$C$3='Data Validation'!$C$2,'Adjustment Surface'!$C$4,_xlfn.IFNA(IF(INDEX(Schedules!$E$3:$E$123,MATCH('Bachelier Model'!AB61,Schedules!$B$3:$B$123,0))="",AF60,INDEX(Schedules!$E$3:$E$123,MATCH('Bachelier Model'!AB61,Schedules!$B$3:$B$123,0))),AF60)))</f>
        <v/>
      </c>
      <c r="AG61" s="16" t="str">
        <f>IF(AA61="","",'Adjustment Surface'!B$15)</f>
        <v/>
      </c>
      <c r="AH61" s="16" t="str" cm="1">
        <f t="array" ref="AH61">IF(AA61="","",FORECAST(AB61,INDEX('Rate &amp; Vol Update'!$C$6:$C$127,MATCH(INDEX('Rate &amp; Vol Update'!$B$6:$B$127,MATCH(AB61,'Rate &amp; Vol Update'!$B$6:$B$127,1)),'Rate &amp; Vol Update'!$B$6:$B$127,0)+IF('Adjustment Surface'!$C$11='Data Validation'!$E$3,-1,0)):INDEX('Rate &amp; Vol Update'!$C$6:$C$127,MATCH(INDEX('Rate &amp; Vol Update'!$B$6:$B$127,MATCH(AB61,'Rate &amp; Vol Update'!$B$6:$B$127,1)+1),'Rate &amp; Vol Update'!$B$6:$B$127,0)+IF('Adjustment Surface'!$C$11='Data Validation'!$E$3,-1,0)),INDEX('Rate &amp; Vol Update'!$B$6:$B$127,MATCH(AB61,'Rate &amp; Vol Update'!$B$6:$B$127,1)):INDEX('Rate &amp; Vol Update'!$B$6:$B$127,MATCH(AB61,'Rate &amp; Vol Update'!$B$6:$B$127,1)+1))/100)</f>
        <v/>
      </c>
      <c r="AI61" s="16" t="str" cm="1">
        <f t="array" ref="AI61">IF(AA61="","",IF(AB61&lt;'Rate &amp; Vol Update'!$C$2,0.001%,(1/((INDEX('Rate &amp; Vol Update'!$E$6:$Z$6,1,MATCH(AG61,'Rate &amp; Vol Update'!$E$6:$Z$6,1)+1)-INDEX('Rate &amp; Vol Update'!$E$6:$Z$6,1,MATCH(AG61,'Rate &amp; Vol Update'!$E$6:$Z$6,1)))*(INDEX('Rate &amp; Vol Update'!$B$8:$B$127,MATCH(AB61,'Rate &amp; Vol Update'!$B$8:$B$127,1)+1)-INDEX('Rate &amp; Vol Update'!$B$8:$B$127,MATCH(AB61,'Rate &amp; Vol Update'!$B$8:$B$127,1))))*(INDEX('Rate &amp; Vol Update'!$E$8:$Z$127,MATCH(INDEX('Rate &amp; Vol Update'!$B$8:$B$127,MATCH(AB61,'Rate &amp; Vol Update'!$B$8:$B$127,1)),'Rate &amp; Vol Update'!$B$8:$B$127,0),MATCH(INDEX('Rate &amp; Vol Update'!$E$6:$Z$6,1,MATCH(AG61,'Rate &amp; Vol Update'!$E$6:$Z$6,1)),'Rate &amp; Vol Update'!$E$6:$Z$6,0))*(INDEX('Rate &amp; Vol Update'!$E$6:$Z$6,1,MATCH(AG61,'Rate &amp; Vol Update'!$E$6:$Z$6,1)+1)-AG61)*(INDEX('Rate &amp; Vol Update'!$B$8:$B$127,MATCH(AB61,'Rate &amp; Vol Update'!$B$8:$B$127,1)+1)-AB61)+INDEX('Rate &amp; Vol Update'!$E$8:$Z$127,MATCH(INDEX('Rate &amp; Vol Update'!$B$8:$B$127,MATCH(AB61,'Rate &amp; Vol Update'!$B$8:$B$127,1)),'Rate &amp; Vol Update'!$B$8:$B$127,0),MATCH(INDEX('Rate &amp; Vol Update'!$E$6:$Z$6,1,MATCH(AG61,'Rate &amp; Vol Update'!$E$6:$Z$6,1)+1),'Rate &amp; Vol Update'!$E$6:$Z$6,0))*(AG61-INDEX('Rate &amp; Vol Update'!$E$6:$Z$6,1,MATCH(AG61,'Rate &amp; Vol Update'!$E$6:$Z$6,1)))*(INDEX('Rate &amp; Vol Update'!$B$8:$B$127,MATCH(AB61,'Rate &amp; Vol Update'!$B$8:$B$127,1)+1)-AB61)+INDEX('Rate &amp; Vol Update'!$E$8:$Z$127,MATCH(INDEX('Rate &amp; Vol Update'!$B$8:$B$127,MATCH(AB61,'Rate &amp; Vol Update'!$B$8:$B$127,1)+1),'Rate &amp; Vol Update'!$B$8:$B$127,0),MATCH(INDEX('Rate &amp; Vol Update'!$E$6:$Z$6,1,MATCH(AG61,'Rate &amp; Vol Update'!$E$6:$Z$6,1)),'Rate &amp; Vol Update'!$E$6:$Z$6,0))*(INDEX('Rate &amp; Vol Update'!$E$6:$Z$6,1,MATCH(AG61,'Rate &amp; Vol Update'!$E$6:$Z$6,1)+1)-AG61)*(AB61-INDEX('Rate &amp; Vol Update'!$B$8:$B$127,MATCH(AB61,'Rate &amp; Vol Update'!$B$8:$B$127,1)))+INDEX('Rate &amp; Vol Update'!$E$8:$Z$127,MATCH(INDEX('Rate &amp; Vol Update'!$B$8:$B$127,MATCH(AB61,'Rate &amp; Vol Update'!$B$8:$B$127,1)+1),'Rate &amp; Vol Update'!$B$8:$B$127,0),MATCH(INDEX('Rate &amp; Vol Update'!$E$6:$Z$6,1,MATCH(AG61,'Rate &amp; Vol Update'!$E$6:$Z$6,1)+1),'Rate &amp; Vol Update'!$E$6:$Z$6,0))*(AG61-INDEX('Rate &amp; Vol Update'!$E$6:$Z$6,1,MATCH(AG61,'Rate &amp; Vol Update'!$E$6:$Z$6,1)))*(AB61-INDEX('Rate &amp; Vol Update'!$B$8:$B$127,MATCH(AB61,'Rate &amp; Vol Update'!$B$8:$B$127,1)))))*0.01%))</f>
        <v/>
      </c>
      <c r="AJ61" s="5" t="str">
        <f>IF(AA61="","",1/((1+AH61)^((AC61-'Rate &amp; Vol Update'!$C$2)/360)))</f>
        <v/>
      </c>
      <c r="AL61" s="15" t="str">
        <f>IF(AA61="","",IF(AB61&lt;'Rate &amp; Vol Update'!$C$2,MAX(0,AH61-AG61)*(AD61/360)*AF61,(((IF('Adjustment Surface'!$C$2='Data Validation'!$A$2,AH61,IF('Adjustment Surface'!$C$2='Data Validation'!$A$3,AG61,"Unknown Option Type"))-IF('Adjustment Surface'!$C$2='Data Validation'!$A$2,AG61,IF('Adjustment Surface'!$C$2='Data Validation'!$A$3,AH61,"Unknown Option Type")))*(NORMDIST((IF('Adjustment Surface'!$C$2='Data Validation'!$A$2,AH61,IF('Adjustment Surface'!$C$2='Data Validation'!$A$3,AG61,"Unknown Option Type"))-IF('Adjustment Surface'!$C$2='Data Validation'!$A$2,AG61,IF('Adjustment Surface'!$C$2='Data Validation'!$A$3,AH61,"Unknown Option Type")))/(AI61*SQRT(AE61)),0,1,TRUE)))+((AI61*SQRT(AE61))*(NORMDIST((IF('Adjustment Surface'!$C$2='Data Validation'!$A$2,AH61,IF('Adjustment Surface'!$C$2='Data Validation'!$A$3,AG61,"Unknown Option Type"))-IF('Adjustment Surface'!$C$2='Data Validation'!$A$2,AG61,IF('Adjustment Surface'!$C$2='Data Validation'!$A$3,AH61,"Unknown Option Type")))/(AI61*SQRT(AE61)),0,1,FALSE))))*AJ61*(AD61/360)*AF61))</f>
        <v/>
      </c>
      <c r="AM61" s="15" t="str">
        <f>IF(AA61="","",SUM(AL$4:AL61))</f>
        <v/>
      </c>
      <c r="AO61" s="15" t="str">
        <f>IF(AA61="","",IF(AB61&lt;'Rate &amp; Vol Update'!$C$2,0,((((((IF('Adjustment Surface'!$C$2='Data Validation'!$A$2,AH61,IF('Adjustment Surface'!$C$2='Data Validation'!$A$3,AG61,"Unknown Option Type"))-IF('Adjustment Surface'!$C$2='Data Validation'!$A$2,AG61,IF('Adjustment Surface'!$C$2='Data Validation'!$A$3,AH61,"Unknown Option Type")))*(NORMDIST((IF('Adjustment Surface'!$C$2='Data Validation'!$A$2,AH61,IF('Adjustment Surface'!$C$2='Data Validation'!$A$3,AG61,"Unknown Option Type"))-IF('Adjustment Surface'!$C$2='Data Validation'!$A$2,AG61,IF('Adjustment Surface'!$C$2='Data Validation'!$A$3,AH61,"Unknown Option Type")))/((AI61+0.01%)*SQRT(AE61)),0,1,TRUE)))+(((AI61+0.01%)*SQRT(AE61))*(NORMDIST((IF('Adjustment Surface'!$C$2='Data Validation'!$A$2,AH61,IF('Adjustment Surface'!$C$2='Data Validation'!$A$3,AG61,"Unknown Option Type"))-IF('Adjustment Surface'!$C$2='Data Validation'!$A$2,AG61,IF('Adjustment Surface'!$C$2='Data Validation'!$A$3,AH61,"Unknown Option Type")))/((AI61+0.01%)*SQRT(AE61)),0,1,FALSE))))*AJ61*(AD61/360))-(AL61/AF61))*AF61)*AJ61))</f>
        <v/>
      </c>
      <c r="AP61" s="15" t="str">
        <f>IF(AA61="","",SUM(AO$4:AO61))</f>
        <v/>
      </c>
      <c r="AQ61" s="15"/>
      <c r="AR61" s="20"/>
      <c r="AT61" s="4" t="str">
        <f>IF(AU60=MAX('Adjustment Surface'!$C$14:$F$14),"",AU60)</f>
        <v/>
      </c>
      <c r="AU61" s="4" t="str">
        <f>IF(AT61="","",IF(AT61&lt;EDATE('Adjustment Surface'!$C$6,DATEDIF('Adjustment Surface'!$C$6,MAX('Adjustment Surface'!$C$14:$F$14),"M")),EDATE(AT$5,COUNT(AT$5:AT61)),IF(AT61=EDATE('Adjustment Surface'!$C$6,DATEDIF('Adjustment Surface'!$C$6,MAX('Adjustment Surface'!$C$14:$F$14),"M")),MAX('Adjustment Surface'!$C$14:$F$14),EDATE('Adjustment Surface'!$C$6,DATEDIF('Adjustment Surface'!$C$6,MAX('Adjustment Surface'!$C$14:$F$14),"M")))))</f>
        <v/>
      </c>
      <c r="AV61" s="3" t="str">
        <f t="shared" si="3"/>
        <v/>
      </c>
      <c r="AW61" s="5" t="str">
        <f>IF(AS61="","",(AU61-'Rate &amp; Vol Update'!$C$2)/360)</f>
        <v/>
      </c>
      <c r="AX61" s="15" t="str">
        <f>IF(AS61="","",IF('Adjustment Surface'!$C$3='Data Validation'!$C$2,'Adjustment Surface'!$C$4,_xlfn.IFNA(IF(INDEX(Schedules!$E$3:$E$123,MATCH('Bachelier Model'!AT61,Schedules!$B$3:$B$123,0))="",AX60,INDEX(Schedules!$E$3:$E$123,MATCH('Bachelier Model'!AT61,Schedules!$B$3:$B$123,0))),AX60)))</f>
        <v/>
      </c>
      <c r="AY61" s="16" t="str">
        <f>IF(AS61="","",'Adjustment Surface'!B$16)</f>
        <v/>
      </c>
      <c r="AZ61" s="16" t="str" cm="1">
        <f t="array" ref="AZ61">IF(AS61="","",FORECAST(AT61,INDEX('Rate &amp; Vol Update'!$C$6:$C$127,MATCH(INDEX('Rate &amp; Vol Update'!$B$6:$B$127,MATCH(AT61,'Rate &amp; Vol Update'!$B$6:$B$127,1)),'Rate &amp; Vol Update'!$B$6:$B$127,0)+IF('Adjustment Surface'!$C$11='Data Validation'!$E$3,-1,0)):INDEX('Rate &amp; Vol Update'!$C$6:$C$127,MATCH(INDEX('Rate &amp; Vol Update'!$B$6:$B$127,MATCH(AT61,'Rate &amp; Vol Update'!$B$6:$B$127,1)+1),'Rate &amp; Vol Update'!$B$6:$B$127,0)+IF('Adjustment Surface'!$C$11='Data Validation'!$E$3,-1,0)),INDEX('Rate &amp; Vol Update'!$B$6:$B$127,MATCH(AT61,'Rate &amp; Vol Update'!$B$6:$B$127,1)):INDEX('Rate &amp; Vol Update'!$B$6:$B$127,MATCH(AT61,'Rate &amp; Vol Update'!$B$6:$B$127,1)+1))/100)</f>
        <v/>
      </c>
      <c r="BA61" s="16" t="str" cm="1">
        <f t="array" ref="BA61">IF(AS61="","",IF(AT61&lt;'Rate &amp; Vol Update'!$C$2,0.001%,(1/((INDEX('Rate &amp; Vol Update'!$E$6:$Z$6,1,MATCH(AY61,'Rate &amp; Vol Update'!$E$6:$Z$6,1)+1)-INDEX('Rate &amp; Vol Update'!$E$6:$Z$6,1,MATCH(AY61,'Rate &amp; Vol Update'!$E$6:$Z$6,1)))*(INDEX('Rate &amp; Vol Update'!$B$8:$B$127,MATCH(AT61,'Rate &amp; Vol Update'!$B$8:$B$127,1)+1)-INDEX('Rate &amp; Vol Update'!$B$8:$B$127,MATCH(AT61,'Rate &amp; Vol Update'!$B$8:$B$127,1))))*(INDEX('Rate &amp; Vol Update'!$E$8:$Z$127,MATCH(INDEX('Rate &amp; Vol Update'!$B$8:$B$127,MATCH(AT61,'Rate &amp; Vol Update'!$B$8:$B$127,1)),'Rate &amp; Vol Update'!$B$8:$B$127,0),MATCH(INDEX('Rate &amp; Vol Update'!$E$6:$Z$6,1,MATCH(AY61,'Rate &amp; Vol Update'!$E$6:$Z$6,1)),'Rate &amp; Vol Update'!$E$6:$Z$6,0))*(INDEX('Rate &amp; Vol Update'!$E$6:$Z$6,1,MATCH(AY61,'Rate &amp; Vol Update'!$E$6:$Z$6,1)+1)-AY61)*(INDEX('Rate &amp; Vol Update'!$B$8:$B$127,MATCH(AT61,'Rate &amp; Vol Update'!$B$8:$B$127,1)+1)-AT61)+INDEX('Rate &amp; Vol Update'!$E$8:$Z$127,MATCH(INDEX('Rate &amp; Vol Update'!$B$8:$B$127,MATCH(AT61,'Rate &amp; Vol Update'!$B$8:$B$127,1)),'Rate &amp; Vol Update'!$B$8:$B$127,0),MATCH(INDEX('Rate &amp; Vol Update'!$E$6:$Z$6,1,MATCH(AY61,'Rate &amp; Vol Update'!$E$6:$Z$6,1)+1),'Rate &amp; Vol Update'!$E$6:$Z$6,0))*(AY61-INDEX('Rate &amp; Vol Update'!$E$6:$Z$6,1,MATCH(AY61,'Rate &amp; Vol Update'!$E$6:$Z$6,1)))*(INDEX('Rate &amp; Vol Update'!$B$8:$B$127,MATCH(AT61,'Rate &amp; Vol Update'!$B$8:$B$127,1)+1)-AT61)+INDEX('Rate &amp; Vol Update'!$E$8:$Z$127,MATCH(INDEX('Rate &amp; Vol Update'!$B$8:$B$127,MATCH(AT61,'Rate &amp; Vol Update'!$B$8:$B$127,1)+1),'Rate &amp; Vol Update'!$B$8:$B$127,0),MATCH(INDEX('Rate &amp; Vol Update'!$E$6:$Z$6,1,MATCH(AY61,'Rate &amp; Vol Update'!$E$6:$Z$6,1)),'Rate &amp; Vol Update'!$E$6:$Z$6,0))*(INDEX('Rate &amp; Vol Update'!$E$6:$Z$6,1,MATCH(AY61,'Rate &amp; Vol Update'!$E$6:$Z$6,1)+1)-AY61)*(AT61-INDEX('Rate &amp; Vol Update'!$B$8:$B$127,MATCH(AT61,'Rate &amp; Vol Update'!$B$8:$B$127,1)))+INDEX('Rate &amp; Vol Update'!$E$8:$Z$127,MATCH(INDEX('Rate &amp; Vol Update'!$B$8:$B$127,MATCH(AT61,'Rate &amp; Vol Update'!$B$8:$B$127,1)+1),'Rate &amp; Vol Update'!$B$8:$B$127,0),MATCH(INDEX('Rate &amp; Vol Update'!$E$6:$Z$6,1,MATCH(AY61,'Rate &amp; Vol Update'!$E$6:$Z$6,1)+1),'Rate &amp; Vol Update'!$E$6:$Z$6,0))*(AY61-INDEX('Rate &amp; Vol Update'!$E$6:$Z$6,1,MATCH(AY61,'Rate &amp; Vol Update'!$E$6:$Z$6,1)))*(AT61-INDEX('Rate &amp; Vol Update'!$B$8:$B$127,MATCH(AT61,'Rate &amp; Vol Update'!$B$8:$B$127,1)))))*0.01%))</f>
        <v/>
      </c>
      <c r="BB61" s="5" t="str">
        <f>IF(AS61="","",1/((1+AZ61)^((AU61-'Rate &amp; Vol Update'!$C$2)/360)))</f>
        <v/>
      </c>
      <c r="BD61" s="15" t="str">
        <f>IF(AS61="","",IF(AT61&lt;'Rate &amp; Vol Update'!$C$2,MAX(0,AZ61-AY61)*(AV61/360)*AX61,(((IF('Adjustment Surface'!$C$2='Data Validation'!$A$2,AZ61,IF('Adjustment Surface'!$C$2='Data Validation'!$A$3,AY61,"Unknown Option Type"))-IF('Adjustment Surface'!$C$2='Data Validation'!$A$2,AY61,IF('Adjustment Surface'!$C$2='Data Validation'!$A$3,AZ61,"Unknown Option Type")))*(NORMDIST((IF('Adjustment Surface'!$C$2='Data Validation'!$A$2,AZ61,IF('Adjustment Surface'!$C$2='Data Validation'!$A$3,AY61,"Unknown Option Type"))-IF('Adjustment Surface'!$C$2='Data Validation'!$A$2,AY61,IF('Adjustment Surface'!$C$2='Data Validation'!$A$3,AZ61,"Unknown Option Type")))/(BA61*SQRT(AW61)),0,1,TRUE)))+((BA61*SQRT(AW61))*(NORMDIST((IF('Adjustment Surface'!$C$2='Data Validation'!$A$2,AZ61,IF('Adjustment Surface'!$C$2='Data Validation'!$A$3,AY61,"Unknown Option Type"))-IF('Adjustment Surface'!$C$2='Data Validation'!$A$2,AY61,IF('Adjustment Surface'!$C$2='Data Validation'!$A$3,AZ61,"Unknown Option Type")))/(BA61*SQRT(AW61)),0,1,FALSE))))*BB61*(AV61/360)*AX61))</f>
        <v/>
      </c>
      <c r="BE61" s="15" t="str">
        <f>IF(AS61="","",SUM(BD$4:BD61))</f>
        <v/>
      </c>
      <c r="BG61" s="15" t="str">
        <f>IF(AS61="","",IF(AT61&lt;'Rate &amp; Vol Update'!$C$2,0,((((((IF('Adjustment Surface'!$C$2='Data Validation'!$A$2,AZ61,IF('Adjustment Surface'!$C$2='Data Validation'!$A$3,AY61,"Unknown Option Type"))-IF('Adjustment Surface'!$C$2='Data Validation'!$A$2,AY61,IF('Adjustment Surface'!$C$2='Data Validation'!$A$3,AZ61,"Unknown Option Type")))*(NORMDIST((IF('Adjustment Surface'!$C$2='Data Validation'!$A$2,AZ61,IF('Adjustment Surface'!$C$2='Data Validation'!$A$3,AY61,"Unknown Option Type"))-IF('Adjustment Surface'!$C$2='Data Validation'!$A$2,AY61,IF('Adjustment Surface'!$C$2='Data Validation'!$A$3,AZ61,"Unknown Option Type")))/((BA61+0.01%)*SQRT(AW61)),0,1,TRUE)))+(((BA61+0.01%)*SQRT(AW61))*(NORMDIST((IF('Adjustment Surface'!$C$2='Data Validation'!$A$2,AZ61,IF('Adjustment Surface'!$C$2='Data Validation'!$A$3,AY61,"Unknown Option Type"))-IF('Adjustment Surface'!$C$2='Data Validation'!$A$2,AY61,IF('Adjustment Surface'!$C$2='Data Validation'!$A$3,AZ61,"Unknown Option Type")))/((BA61+0.01%)*SQRT(AW61)),0,1,FALSE))))*BB61*(AV61/360))-(BD61/AX61))*AX61)*BB61))</f>
        <v/>
      </c>
      <c r="BH61" s="15" t="str">
        <f>IF(AS61="","",SUM(BG$4:BG61))</f>
        <v/>
      </c>
      <c r="BI61" s="15"/>
      <c r="BJ61" s="20"/>
      <c r="BL61" s="4" t="str">
        <f>IF(BM60=MAX('Adjustment Surface'!$C$14:$F$14),"",BM60)</f>
        <v/>
      </c>
      <c r="BM61" s="4" t="str">
        <f>IF(BL61="","",IF(BL61&lt;EDATE('Adjustment Surface'!$C$6,DATEDIF('Adjustment Surface'!$C$6,MAX('Adjustment Surface'!$C$14:$F$14),"M")),EDATE(BL$5,COUNT(BL$5:BL61)),IF(BL61=EDATE('Adjustment Surface'!$C$6,DATEDIF('Adjustment Surface'!$C$6,MAX('Adjustment Surface'!$C$14:$F$14),"M")),MAX('Adjustment Surface'!$C$14:$F$14),EDATE('Adjustment Surface'!$C$6,DATEDIF('Adjustment Surface'!$C$6,MAX('Adjustment Surface'!$C$14:$F$14),"M")))))</f>
        <v/>
      </c>
      <c r="BN61" s="3" t="str">
        <f t="shared" si="4"/>
        <v/>
      </c>
      <c r="BO61" s="5" t="str">
        <f>IF(BK61="","",(BM61-'Rate &amp; Vol Update'!$C$2)/360)</f>
        <v/>
      </c>
      <c r="BP61" s="15" t="str">
        <f>IF(BK61="","",IF('Adjustment Surface'!$C$3='Data Validation'!$C$2,'Adjustment Surface'!$C$4,_xlfn.IFNA(IF(INDEX(Schedules!$E$3:$E$123,MATCH('Bachelier Model'!BL61,Schedules!$B$3:$B$123,0))="",BP60,INDEX(Schedules!$E$3:$E$123,MATCH('Bachelier Model'!BL61,Schedules!$B$3:$B$123,0))),BP60)))</f>
        <v/>
      </c>
      <c r="BQ61" s="16" t="str">
        <f>IF(BK61="","",'Adjustment Surface'!B$17)</f>
        <v/>
      </c>
      <c r="BR61" s="16" t="str" cm="1">
        <f t="array" ref="BR61">IF(BK61="","",FORECAST(BL61,INDEX('Rate &amp; Vol Update'!$C$6:$C$127,MATCH(INDEX('Rate &amp; Vol Update'!$B$6:$B$127,MATCH(BL61,'Rate &amp; Vol Update'!$B$6:$B$127,1)),'Rate &amp; Vol Update'!$B$6:$B$127,0)+IF('Adjustment Surface'!$C$11='Data Validation'!$E$3,-1,0)):INDEX('Rate &amp; Vol Update'!$C$6:$C$127,MATCH(INDEX('Rate &amp; Vol Update'!$B$6:$B$127,MATCH(BL61,'Rate &amp; Vol Update'!$B$6:$B$127,1)+1),'Rate &amp; Vol Update'!$B$6:$B$127,0)+IF('Adjustment Surface'!$C$11='Data Validation'!$E$3,-1,0)),INDEX('Rate &amp; Vol Update'!$B$6:$B$127,MATCH(BL61,'Rate &amp; Vol Update'!$B$6:$B$127,1)):INDEX('Rate &amp; Vol Update'!$B$6:$B$127,MATCH(BL61,'Rate &amp; Vol Update'!$B$6:$B$127,1)+1))/100)</f>
        <v/>
      </c>
      <c r="BS61" s="16" t="str" cm="1">
        <f t="array" ref="BS61">IF(BK61="","",IF(BL61&lt;'Rate &amp; Vol Update'!$C$2,0.001%,(1/((INDEX('Rate &amp; Vol Update'!$E$6:$Z$6,1,MATCH(BQ61,'Rate &amp; Vol Update'!$E$6:$Z$6,1)+1)-INDEX('Rate &amp; Vol Update'!$E$6:$Z$6,1,MATCH(BQ61,'Rate &amp; Vol Update'!$E$6:$Z$6,1)))*(INDEX('Rate &amp; Vol Update'!$B$8:$B$127,MATCH(BL61,'Rate &amp; Vol Update'!$B$8:$B$127,1)+1)-INDEX('Rate &amp; Vol Update'!$B$8:$B$127,MATCH(BL61,'Rate &amp; Vol Update'!$B$8:$B$127,1))))*(INDEX('Rate &amp; Vol Update'!$E$8:$Z$127,MATCH(INDEX('Rate &amp; Vol Update'!$B$8:$B$127,MATCH(BL61,'Rate &amp; Vol Update'!$B$8:$B$127,1)),'Rate &amp; Vol Update'!$B$8:$B$127,0),MATCH(INDEX('Rate &amp; Vol Update'!$E$6:$Z$6,1,MATCH(BQ61,'Rate &amp; Vol Update'!$E$6:$Z$6,1)),'Rate &amp; Vol Update'!$E$6:$Z$6,0))*(INDEX('Rate &amp; Vol Update'!$E$6:$Z$6,1,MATCH(BQ61,'Rate &amp; Vol Update'!$E$6:$Z$6,1)+1)-BQ61)*(INDEX('Rate &amp; Vol Update'!$B$8:$B$127,MATCH(BL61,'Rate &amp; Vol Update'!$B$8:$B$127,1)+1)-BL61)+INDEX('Rate &amp; Vol Update'!$E$8:$Z$127,MATCH(INDEX('Rate &amp; Vol Update'!$B$8:$B$127,MATCH(BL61,'Rate &amp; Vol Update'!$B$8:$B$127,1)),'Rate &amp; Vol Update'!$B$8:$B$127,0),MATCH(INDEX('Rate &amp; Vol Update'!$E$6:$Z$6,1,MATCH(BQ61,'Rate &amp; Vol Update'!$E$6:$Z$6,1)+1),'Rate &amp; Vol Update'!$E$6:$Z$6,0))*(BQ61-INDEX('Rate &amp; Vol Update'!$E$6:$Z$6,1,MATCH(BQ61,'Rate &amp; Vol Update'!$E$6:$Z$6,1)))*(INDEX('Rate &amp; Vol Update'!$B$8:$B$127,MATCH(BL61,'Rate &amp; Vol Update'!$B$8:$B$127,1)+1)-BL61)+INDEX('Rate &amp; Vol Update'!$E$8:$Z$127,MATCH(INDEX('Rate &amp; Vol Update'!$B$8:$B$127,MATCH(BL61,'Rate &amp; Vol Update'!$B$8:$B$127,1)+1),'Rate &amp; Vol Update'!$B$8:$B$127,0),MATCH(INDEX('Rate &amp; Vol Update'!$E$6:$Z$6,1,MATCH(BQ61,'Rate &amp; Vol Update'!$E$6:$Z$6,1)),'Rate &amp; Vol Update'!$E$6:$Z$6,0))*(INDEX('Rate &amp; Vol Update'!$E$6:$Z$6,1,MATCH(BQ61,'Rate &amp; Vol Update'!$E$6:$Z$6,1)+1)-BQ61)*(BL61-INDEX('Rate &amp; Vol Update'!$B$8:$B$127,MATCH(BL61,'Rate &amp; Vol Update'!$B$8:$B$127,1)))+INDEX('Rate &amp; Vol Update'!$E$8:$Z$127,MATCH(INDEX('Rate &amp; Vol Update'!$B$8:$B$127,MATCH(BL61,'Rate &amp; Vol Update'!$B$8:$B$127,1)+1),'Rate &amp; Vol Update'!$B$8:$B$127,0),MATCH(INDEX('Rate &amp; Vol Update'!$E$6:$Z$6,1,MATCH(BQ61,'Rate &amp; Vol Update'!$E$6:$Z$6,1)+1),'Rate &amp; Vol Update'!$E$6:$Z$6,0))*(BQ61-INDEX('Rate &amp; Vol Update'!$E$6:$Z$6,1,MATCH(BQ61,'Rate &amp; Vol Update'!$E$6:$Z$6,1)))*(BL61-INDEX('Rate &amp; Vol Update'!$B$8:$B$127,MATCH(BL61,'Rate &amp; Vol Update'!$B$8:$B$127,1)))))*0.01%))</f>
        <v/>
      </c>
      <c r="BT61" s="5" t="str">
        <f>IF(BK61="","",1/((1+BR61)^((BM61-'Rate &amp; Vol Update'!$C$2)/360)))</f>
        <v/>
      </c>
      <c r="BV61" s="15" t="str">
        <f>IF(BK61="","",IF(BL61&lt;'Rate &amp; Vol Update'!$C$2,MAX(0,BR61-BQ61)*(BN61/360)*BP61,(((IF('Adjustment Surface'!$C$2='Data Validation'!$A$2,BR61,IF('Adjustment Surface'!$C$2='Data Validation'!$A$3,BQ61,"Unknown Option Type"))-IF('Adjustment Surface'!$C$2='Data Validation'!$A$2,BQ61,IF('Adjustment Surface'!$C$2='Data Validation'!$A$3,BR61,"Unknown Option Type")))*(NORMDIST((IF('Adjustment Surface'!$C$2='Data Validation'!$A$2,BR61,IF('Adjustment Surface'!$C$2='Data Validation'!$A$3,BQ61,"Unknown Option Type"))-IF('Adjustment Surface'!$C$2='Data Validation'!$A$2,BQ61,IF('Adjustment Surface'!$C$2='Data Validation'!$A$3,BR61,"Unknown Option Type")))/(BS61*SQRT(BO61)),0,1,TRUE)))+((BS61*SQRT(BO61))*(NORMDIST((IF('Adjustment Surface'!$C$2='Data Validation'!$A$2,BR61,IF('Adjustment Surface'!$C$2='Data Validation'!$A$3,BQ61,"Unknown Option Type"))-IF('Adjustment Surface'!$C$2='Data Validation'!$A$2,BQ61,IF('Adjustment Surface'!$C$2='Data Validation'!$A$3,BR61,"Unknown Option Type")))/(BS61*SQRT(BO61)),0,1,FALSE))))*BT61*(BN61/360)*BP61))</f>
        <v/>
      </c>
      <c r="BW61" s="15" t="str">
        <f>IF(BK61="","",SUM(BV$4:BV61))</f>
        <v/>
      </c>
      <c r="BY61" s="15" t="str">
        <f>IF(BK61="","",IF(BL61&lt;'Rate &amp; Vol Update'!$C$2,0,((((((IF('Adjustment Surface'!$C$2='Data Validation'!$A$2,BR61,IF('Adjustment Surface'!$C$2='Data Validation'!$A$3,BQ61,"Unknown Option Type"))-IF('Adjustment Surface'!$C$2='Data Validation'!$A$2,BQ61,IF('Adjustment Surface'!$C$2='Data Validation'!$A$3,BR61,"Unknown Option Type")))*(NORMDIST((IF('Adjustment Surface'!$C$2='Data Validation'!$A$2,BR61,IF('Adjustment Surface'!$C$2='Data Validation'!$A$3,BQ61,"Unknown Option Type"))-IF('Adjustment Surface'!$C$2='Data Validation'!$A$2,BQ61,IF('Adjustment Surface'!$C$2='Data Validation'!$A$3,BR61,"Unknown Option Type")))/((BS61+0.01%)*SQRT(BO61)),0,1,TRUE)))+(((BS61+0.01%)*SQRT(BO61))*(NORMDIST((IF('Adjustment Surface'!$C$2='Data Validation'!$A$2,BR61,IF('Adjustment Surface'!$C$2='Data Validation'!$A$3,BQ61,"Unknown Option Type"))-IF('Adjustment Surface'!$C$2='Data Validation'!$A$2,BQ61,IF('Adjustment Surface'!$C$2='Data Validation'!$A$3,BR61,"Unknown Option Type")))/((BS61+0.01%)*SQRT(BO61)),0,1,FALSE))))*BT61*(BN61/360))-(BV61/BP61))*BP61)*BT61))</f>
        <v/>
      </c>
      <c r="BZ61" s="15" t="str">
        <f>IF(BK61="","",SUM(BY$4:BY61))</f>
        <v/>
      </c>
      <c r="CA61" s="15"/>
      <c r="CB61" s="20"/>
      <c r="CD61" s="4" t="str">
        <f>IF(CE60=MAX('Adjustment Surface'!$C$14:$F$14),"",CE60)</f>
        <v/>
      </c>
      <c r="CE61" s="4" t="str">
        <f>IF(CD61="","",IF(CD61&lt;EDATE('Adjustment Surface'!$C$6,DATEDIF('Adjustment Surface'!$C$6,MAX('Adjustment Surface'!$C$14:$F$14),"M")),EDATE(CD$5,COUNT(CD$5:CD61)),IF(CD61=EDATE('Adjustment Surface'!$C$6,DATEDIF('Adjustment Surface'!$C$6,MAX('Adjustment Surface'!$C$14:$F$14),"M")),MAX('Adjustment Surface'!$C$14:$F$14),EDATE('Adjustment Surface'!$C$6,DATEDIF('Adjustment Surface'!$C$6,MAX('Adjustment Surface'!$C$14:$F$14),"M")))))</f>
        <v/>
      </c>
      <c r="CF61" s="3" t="str">
        <f t="shared" si="5"/>
        <v/>
      </c>
      <c r="CG61" s="5" t="str">
        <f>IF(CC61="","",(CE61-'Rate &amp; Vol Update'!$C$2)/360)</f>
        <v/>
      </c>
      <c r="CH61" s="15" t="str">
        <f>IF(CC61="","",IF('Adjustment Surface'!$C$3='Data Validation'!$C$2,'Adjustment Surface'!$C$4,_xlfn.IFNA(IF(INDEX(Schedules!$E$3:$E$123,MATCH('Bachelier Model'!CD61,Schedules!$B$3:$B$123,0))="",CH60,INDEX(Schedules!$E$3:$E$123,MATCH('Bachelier Model'!CD61,Schedules!$B$3:$B$123,0))),CH60)))</f>
        <v/>
      </c>
      <c r="CI61" s="16" t="str">
        <f>IF(CC61="","",'Adjustment Surface'!B$18)</f>
        <v/>
      </c>
      <c r="CJ61" s="16" t="str" cm="1">
        <f t="array" ref="CJ61">IF(CC61="","",FORECAST(CD61,INDEX('Rate &amp; Vol Update'!$C$6:$C$127,MATCH(INDEX('Rate &amp; Vol Update'!$B$6:$B$127,MATCH(CD61,'Rate &amp; Vol Update'!$B$6:$B$127,1)),'Rate &amp; Vol Update'!$B$6:$B$127,0)+IF('Adjustment Surface'!$C$11='Data Validation'!$E$3,-1,0)):INDEX('Rate &amp; Vol Update'!$C$6:$C$127,MATCH(INDEX('Rate &amp; Vol Update'!$B$6:$B$127,MATCH(CD61,'Rate &amp; Vol Update'!$B$6:$B$127,1)+1),'Rate &amp; Vol Update'!$B$6:$B$127,0)+IF('Adjustment Surface'!$C$11='Data Validation'!$E$3,-1,0)),INDEX('Rate &amp; Vol Update'!$B$6:$B$127,MATCH(CD61,'Rate &amp; Vol Update'!$B$6:$B$127,1)):INDEX('Rate &amp; Vol Update'!$B$6:$B$127,MATCH(CD61,'Rate &amp; Vol Update'!$B$6:$B$127,1)+1))/100)</f>
        <v/>
      </c>
      <c r="CK61" s="16" t="str" cm="1">
        <f t="array" ref="CK61">IF(CC61="","",IF(CD61&lt;'Rate &amp; Vol Update'!$C$2,0.001%,(1/((INDEX('Rate &amp; Vol Update'!$E$6:$Z$6,1,MATCH(CI61,'Rate &amp; Vol Update'!$E$6:$Z$6,1)+1)-INDEX('Rate &amp; Vol Update'!$E$6:$Z$6,1,MATCH(CI61,'Rate &amp; Vol Update'!$E$6:$Z$6,1)))*(INDEX('Rate &amp; Vol Update'!$B$8:$B$127,MATCH(CD61,'Rate &amp; Vol Update'!$B$8:$B$127,1)+1)-INDEX('Rate &amp; Vol Update'!$B$8:$B$127,MATCH(CD61,'Rate &amp; Vol Update'!$B$8:$B$127,1))))*(INDEX('Rate &amp; Vol Update'!$E$8:$Z$127,MATCH(INDEX('Rate &amp; Vol Update'!$B$8:$B$127,MATCH(CD61,'Rate &amp; Vol Update'!$B$8:$B$127,1)),'Rate &amp; Vol Update'!$B$8:$B$127,0),MATCH(INDEX('Rate &amp; Vol Update'!$E$6:$Z$6,1,MATCH(CI61,'Rate &amp; Vol Update'!$E$6:$Z$6,1)),'Rate &amp; Vol Update'!$E$6:$Z$6,0))*(INDEX('Rate &amp; Vol Update'!$E$6:$Z$6,1,MATCH(CI61,'Rate &amp; Vol Update'!$E$6:$Z$6,1)+1)-CI61)*(INDEX('Rate &amp; Vol Update'!$B$8:$B$127,MATCH(CD61,'Rate &amp; Vol Update'!$B$8:$B$127,1)+1)-CD61)+INDEX('Rate &amp; Vol Update'!$E$8:$Z$127,MATCH(INDEX('Rate &amp; Vol Update'!$B$8:$B$127,MATCH(CD61,'Rate &amp; Vol Update'!$B$8:$B$127,1)),'Rate &amp; Vol Update'!$B$8:$B$127,0),MATCH(INDEX('Rate &amp; Vol Update'!$E$6:$Z$6,1,MATCH(CI61,'Rate &amp; Vol Update'!$E$6:$Z$6,1)+1),'Rate &amp; Vol Update'!$E$6:$Z$6,0))*(CI61-INDEX('Rate &amp; Vol Update'!$E$6:$Z$6,1,MATCH(CI61,'Rate &amp; Vol Update'!$E$6:$Z$6,1)))*(INDEX('Rate &amp; Vol Update'!$B$8:$B$127,MATCH(CD61,'Rate &amp; Vol Update'!$B$8:$B$127,1)+1)-CD61)+INDEX('Rate &amp; Vol Update'!$E$8:$Z$127,MATCH(INDEX('Rate &amp; Vol Update'!$B$8:$B$127,MATCH(CD61,'Rate &amp; Vol Update'!$B$8:$B$127,1)+1),'Rate &amp; Vol Update'!$B$8:$B$127,0),MATCH(INDEX('Rate &amp; Vol Update'!$E$6:$Z$6,1,MATCH(CI61,'Rate &amp; Vol Update'!$E$6:$Z$6,1)),'Rate &amp; Vol Update'!$E$6:$Z$6,0))*(INDEX('Rate &amp; Vol Update'!$E$6:$Z$6,1,MATCH(CI61,'Rate &amp; Vol Update'!$E$6:$Z$6,1)+1)-CI61)*(CD61-INDEX('Rate &amp; Vol Update'!$B$8:$B$127,MATCH(CD61,'Rate &amp; Vol Update'!$B$8:$B$127,1)))+INDEX('Rate &amp; Vol Update'!$E$8:$Z$127,MATCH(INDEX('Rate &amp; Vol Update'!$B$8:$B$127,MATCH(CD61,'Rate &amp; Vol Update'!$B$8:$B$127,1)+1),'Rate &amp; Vol Update'!$B$8:$B$127,0),MATCH(INDEX('Rate &amp; Vol Update'!$E$6:$Z$6,1,MATCH(CI61,'Rate &amp; Vol Update'!$E$6:$Z$6,1)+1),'Rate &amp; Vol Update'!$E$6:$Z$6,0))*(CI61-INDEX('Rate &amp; Vol Update'!$E$6:$Z$6,1,MATCH(CI61,'Rate &amp; Vol Update'!$E$6:$Z$6,1)))*(CD61-INDEX('Rate &amp; Vol Update'!$B$8:$B$127,MATCH(CD61,'Rate &amp; Vol Update'!$B$8:$B$127,1)))))*0.01%))</f>
        <v/>
      </c>
      <c r="CL61" s="5" t="str">
        <f>IF(CC61="","",1/((1+CJ61)^((CE61-'Rate &amp; Vol Update'!$C$2)/360)))</f>
        <v/>
      </c>
      <c r="CN61" s="15" t="str">
        <f>IF(CC61="","",IF(CD61&lt;'Rate &amp; Vol Update'!$C$2,MAX(0,CJ61-CI61)*(CF61/360)*CH61,(((IF('Adjustment Surface'!$C$2='Data Validation'!$A$2,CJ61,IF('Adjustment Surface'!$C$2='Data Validation'!$A$3,CI61,"Unknown Option Type"))-IF('Adjustment Surface'!$C$2='Data Validation'!$A$2,CI61,IF('Adjustment Surface'!$C$2='Data Validation'!$A$3,CJ61,"Unknown Option Type")))*(NORMDIST((IF('Adjustment Surface'!$C$2='Data Validation'!$A$2,CJ61,IF('Adjustment Surface'!$C$2='Data Validation'!$A$3,CI61,"Unknown Option Type"))-IF('Adjustment Surface'!$C$2='Data Validation'!$A$2,CI61,IF('Adjustment Surface'!$C$2='Data Validation'!$A$3,CJ61,"Unknown Option Type")))/(CK61*SQRT(CG61)),0,1,TRUE)))+((CK61*SQRT(CG61))*(NORMDIST((IF('Adjustment Surface'!$C$2='Data Validation'!$A$2,CJ61,IF('Adjustment Surface'!$C$2='Data Validation'!$A$3,CI61,"Unknown Option Type"))-IF('Adjustment Surface'!$C$2='Data Validation'!$A$2,CI61,IF('Adjustment Surface'!$C$2='Data Validation'!$A$3,CJ61,"Unknown Option Type")))/(CK61*SQRT(CG61)),0,1,FALSE))))*CL61*(CF61/360)*CH61))</f>
        <v/>
      </c>
      <c r="CO61" s="15" t="str">
        <f>IF(CC61="","",SUM(CN$4:CN61))</f>
        <v/>
      </c>
      <c r="CQ61" s="15" t="str">
        <f>IF(CC61="","",IF(CD61&lt;'Rate &amp; Vol Update'!$C$2,0,((((((IF('Adjustment Surface'!$C$2='Data Validation'!$A$2,CJ61,IF('Adjustment Surface'!$C$2='Data Validation'!$A$3,CI61,"Unknown Option Type"))-IF('Adjustment Surface'!$C$2='Data Validation'!$A$2,CI61,IF('Adjustment Surface'!$C$2='Data Validation'!$A$3,CJ61,"Unknown Option Type")))*(NORMDIST((IF('Adjustment Surface'!$C$2='Data Validation'!$A$2,CJ61,IF('Adjustment Surface'!$C$2='Data Validation'!$A$3,CI61,"Unknown Option Type"))-IF('Adjustment Surface'!$C$2='Data Validation'!$A$2,CI61,IF('Adjustment Surface'!$C$2='Data Validation'!$A$3,CJ61,"Unknown Option Type")))/((CK61+0.01%)*SQRT(CG61)),0,1,TRUE)))+(((CK61+0.01%)*SQRT(CG61))*(NORMDIST((IF('Adjustment Surface'!$C$2='Data Validation'!$A$2,CJ61,IF('Adjustment Surface'!$C$2='Data Validation'!$A$3,CI61,"Unknown Option Type"))-IF('Adjustment Surface'!$C$2='Data Validation'!$A$2,CI61,IF('Adjustment Surface'!$C$2='Data Validation'!$A$3,CJ61,"Unknown Option Type")))/((CK61+0.01%)*SQRT(CG61)),0,1,FALSE))))*CL61*(CF61/360))-(CN61/CH61))*CH61)*CL61))</f>
        <v/>
      </c>
      <c r="CR61" s="15" t="str">
        <f>IF(CC61="","",SUM(CQ$4:CQ61))</f>
        <v/>
      </c>
    </row>
    <row r="62" spans="7:96" x14ac:dyDescent="0.25">
      <c r="G62" s="28"/>
      <c r="J62" s="4" t="str">
        <f>IF(K61='Adjustment Surface'!C$8,"",K61)</f>
        <v/>
      </c>
      <c r="K62" s="4" t="str">
        <f>IF(J62="","",IF(J62&lt;'Adjustment Surface'!C$7,EDATE(J$5,COUNT(J$5:J62)),IF(J62='Adjustment Surface'!C$7,'Adjustment Surface'!C$8,'Adjustment Surface'!C$7)))</f>
        <v/>
      </c>
      <c r="L62" s="3" t="str">
        <f t="shared" si="1"/>
        <v/>
      </c>
      <c r="M62" s="5" t="str">
        <f>IF(I62="","",(K62-'Rate &amp; Vol Update'!$C$2)/360)</f>
        <v/>
      </c>
      <c r="N62" s="15" t="str">
        <f>IF(I62="","",IF('Adjustment Surface'!C$3='Data Validation'!$C$2,'Adjustment Surface'!C$4,IF(INDEX(Schedules!$E$3:$E$123,MATCH('Bachelier Model'!J62,Schedules!$B$3:$B$123,0))="",N61,INDEX(Schedules!$E$3:$E$123,MATCH('Bachelier Model'!J62,Schedules!$B$3:$B$123,0)))))</f>
        <v/>
      </c>
      <c r="O62" s="16" t="str">
        <f>IF(I62="","",IF('Adjustment Surface'!C$9='Data Validation'!$D$2,'Adjustment Surface'!C$10,IF(INDEX(Schedules!$H$3:$H$123,MATCH('Bachelier Model'!J62,Schedules!$B$3:$B$123,0))="",O61,INDEX(Schedules!$H$3:$H$123,MATCH('Bachelier Model'!J62,Schedules!$B$3:$B$123,0)))))</f>
        <v/>
      </c>
      <c r="P62" s="16" t="str" cm="1">
        <f t="array" ref="P62">IF(I62="","",FORECAST(J62,INDEX('Rate &amp; Vol Update'!$C$6:$C$127,MATCH(INDEX('Rate &amp; Vol Update'!$B$6:$B$127,MATCH(J62,'Rate &amp; Vol Update'!$B$6:$B$127,1)),'Rate &amp; Vol Update'!$B$6:$B$127,0)+IF('Adjustment Surface'!C$11='Data Validation'!$E$3,-1,0)):INDEX('Rate &amp; Vol Update'!$C$6:$C$127,MATCH(INDEX('Rate &amp; Vol Update'!$B$6:$B$127,MATCH(J62,'Rate &amp; Vol Update'!$B$6:$B$127,1)+1),'Rate &amp; Vol Update'!$B$6:$B$127,0)+IF('Adjustment Surface'!C$11='Data Validation'!$E$3,-1,0)),INDEX('Rate &amp; Vol Update'!$B$6:$B$127,MATCH(J62,'Rate &amp; Vol Update'!$B$6:$B$127,1)):INDEX('Rate &amp; Vol Update'!$B$6:$B$127,MATCH(J62,'Rate &amp; Vol Update'!$B$6:$B$127,1)+1))/100)</f>
        <v/>
      </c>
      <c r="Q62" s="16" t="str" cm="1">
        <f t="array" ref="Q62">IF(I62="","",IF(J62&lt;'Rate &amp; Vol Update'!$C$2,0.001%,(1/((INDEX('Rate &amp; Vol Update'!$E$6:$Z$6,1,MATCH(O62,'Rate &amp; Vol Update'!$E$6:$Z$6,1)+1)-INDEX('Rate &amp; Vol Update'!$E$6:$Z$6,1,MATCH(O62,'Rate &amp; Vol Update'!$E$6:$Z$6,1)))*(INDEX('Rate &amp; Vol Update'!$B$8:$B$127,MATCH(J62,'Rate &amp; Vol Update'!$B$8:$B$127,1)+1)-INDEX('Rate &amp; Vol Update'!$B$8:$B$127,MATCH(J62,'Rate &amp; Vol Update'!$B$8:$B$127,1))))*(INDEX('Rate &amp; Vol Update'!$E$8:$Z$127,MATCH(INDEX('Rate &amp; Vol Update'!$B$8:$B$127,MATCH(J62,'Rate &amp; Vol Update'!$B$8:$B$127,1)),'Rate &amp; Vol Update'!$B$8:$B$127,0),MATCH(INDEX('Rate &amp; Vol Update'!$E$6:$Z$6,1,MATCH(O62,'Rate &amp; Vol Update'!$E$6:$Z$6,1)),'Rate &amp; Vol Update'!$E$6:$Z$6,0))*(INDEX('Rate &amp; Vol Update'!$E$6:$Z$6,1,MATCH(O62,'Rate &amp; Vol Update'!$E$6:$Z$6,1)+1)-O62)*(INDEX('Rate &amp; Vol Update'!$B$8:$B$127,MATCH(J62,'Rate &amp; Vol Update'!$B$8:$B$127,1)+1)-J62)+INDEX('Rate &amp; Vol Update'!$E$8:$Z$127,MATCH(INDEX('Rate &amp; Vol Update'!$B$8:$B$127,MATCH(J62,'Rate &amp; Vol Update'!$B$8:$B$127,1)),'Rate &amp; Vol Update'!$B$8:$B$127,0),MATCH(INDEX('Rate &amp; Vol Update'!$E$6:$Z$6,1,MATCH(O62,'Rate &amp; Vol Update'!$E$6:$Z$6,1)+1),'Rate &amp; Vol Update'!$E$6:$Z$6,0))*(O62-INDEX('Rate &amp; Vol Update'!$E$6:$Z$6,1,MATCH(O62,'Rate &amp; Vol Update'!$E$6:$Z$6,1)))*(INDEX('Rate &amp; Vol Update'!$B$8:$B$127,MATCH(J62,'Rate &amp; Vol Update'!$B$8:$B$127,1)+1)-J62)+INDEX('Rate &amp; Vol Update'!$E$8:$Z$127,MATCH(INDEX('Rate &amp; Vol Update'!$B$8:$B$127,MATCH(J62,'Rate &amp; Vol Update'!$B$8:$B$127,1)+1),'Rate &amp; Vol Update'!$B$8:$B$127,0),MATCH(INDEX('Rate &amp; Vol Update'!$E$6:$Z$6,1,MATCH(O62,'Rate &amp; Vol Update'!$E$6:$Z$6,1)),'Rate &amp; Vol Update'!$E$6:$Z$6,0))*(INDEX('Rate &amp; Vol Update'!$E$6:$Z$6,1,MATCH(O62,'Rate &amp; Vol Update'!$E$6:$Z$6,1)+1)-O62)*(J62-INDEX('Rate &amp; Vol Update'!$B$8:$B$127,MATCH(J62,'Rate &amp; Vol Update'!$B$8:$B$127,1)))+INDEX('Rate &amp; Vol Update'!$E$8:$Z$127,MATCH(INDEX('Rate &amp; Vol Update'!$B$8:$B$127,MATCH(J62,'Rate &amp; Vol Update'!$B$8:$B$127,1)+1),'Rate &amp; Vol Update'!$B$8:$B$127,0),MATCH(INDEX('Rate &amp; Vol Update'!$E$6:$Z$6,1,MATCH(O62,'Rate &amp; Vol Update'!$E$6:$Z$6,1)+1),'Rate &amp; Vol Update'!$E$6:$Z$6,0))*(O62-INDEX('Rate &amp; Vol Update'!$E$6:$Z$6,1,MATCH(O62,'Rate &amp; Vol Update'!$E$6:$Z$6,1)))*(J62-INDEX('Rate &amp; Vol Update'!$B$8:$B$127,MATCH(J62,'Rate &amp; Vol Update'!$B$8:$B$127,1)))))*0.01%))</f>
        <v/>
      </c>
      <c r="R62" s="5" t="str">
        <f>IF(I62="","",1/((1+P62)^((K62-'Rate &amp; Vol Update'!$C$2)/360)))</f>
        <v/>
      </c>
      <c r="T62" s="15" t="str">
        <f>IF(I62="","",IF(J62&lt;'Rate &amp; Vol Update'!$C$2,MAX(0,P62-O62)*(L62/360)*N62,(((IF('Adjustment Surface'!C$2='Data Validation'!$A$2,P62,IF('Adjustment Surface'!C$2='Data Validation'!$A$3,O62,"Unknown Option Type"))-IF('Adjustment Surface'!C$2='Data Validation'!$A$2,O62,IF('Adjustment Surface'!C$2='Data Validation'!$A$3,P62,"Unknown Option Type")))*(NORMDIST((IF('Adjustment Surface'!C$2='Data Validation'!$A$2,P62,IF('Adjustment Surface'!C$2='Data Validation'!$A$3,O62,"Unknown Option Type"))-IF('Adjustment Surface'!C$2='Data Validation'!$A$2,O62,IF('Adjustment Surface'!C$2='Data Validation'!$A$3,P62,"Unknown Option Type")))/(Q62*SQRT(M62)),0,1,TRUE)))+((Q62*SQRT(M62))*(NORMDIST((IF('Adjustment Surface'!C$2='Data Validation'!$A$2,P62,IF('Adjustment Surface'!C$2='Data Validation'!$A$3,O62,"Unknown Option Type"))-IF('Adjustment Surface'!C$2='Data Validation'!$A$2,O62,IF('Adjustment Surface'!C$2='Data Validation'!$A$3,P62,"Unknown Option Type")))/(Q62*SQRT(M62)),0,1,FALSE))))*R62*(L62/360)*N62))</f>
        <v/>
      </c>
      <c r="U62" s="15" t="str">
        <f>IF(I62="","",SUM(T$4:T62))</f>
        <v/>
      </c>
      <c r="W62" s="15" t="str">
        <f>IF(I62="","",IF(J62&lt;'Rate &amp; Vol Update'!$C$2,0,((((((IF('Adjustment Surface'!C$2='Data Validation'!$A$2,P62,IF('Adjustment Surface'!C$2='Data Validation'!$A$3,O62,"Unknown Option Type"))-IF('Adjustment Surface'!C$2='Data Validation'!$A$2,O62,IF('Adjustment Surface'!C$2='Data Validation'!$A$3,P62,"Unknown Option Type")))*(NORMDIST((IF('Adjustment Surface'!C$2='Data Validation'!$A$2,P62,IF('Adjustment Surface'!C$2='Data Validation'!$A$3,O62,"Unknown Option Type"))-IF('Adjustment Surface'!C$2='Data Validation'!$A$2,O62,IF('Adjustment Surface'!C$2='Data Validation'!$A$3,P62,"Unknown Option Type")))/((Q62+0.01%)*SQRT(M62)),0,1,TRUE)))+(((Q62+0.01%)*SQRT(M62))*(NORMDIST((IF('Adjustment Surface'!C$2='Data Validation'!$A$2,P62,IF('Adjustment Surface'!C$2='Data Validation'!$A$3,O62,"Unknown Option Type"))-IF('Adjustment Surface'!C$2='Data Validation'!$A$2,O62,IF('Adjustment Surface'!C$2='Data Validation'!$A$3,P62,"Unknown Option Type")))/((Q62+0.01%)*SQRT(M62)),0,1,FALSE))))*R62*(L62/360))-(T62/N62))*N62)*R62))</f>
        <v/>
      </c>
      <c r="X62" s="15" t="str">
        <f>IF(I62="","",SUM(W$4:W62))</f>
        <v/>
      </c>
      <c r="Y62" s="15"/>
      <c r="Z62" s="20"/>
      <c r="AB62" s="4" t="str">
        <f>IF(AC61=MAX('Adjustment Surface'!$C$14:$F$14),"",AC61)</f>
        <v/>
      </c>
      <c r="AC62" s="4" t="str">
        <f>IF(AB62="","",IF(AB62&lt;EDATE('Adjustment Surface'!$C$6,DATEDIF('Adjustment Surface'!$C$6,MAX('Adjustment Surface'!$C$14:$F$14),"M")),EDATE(AB$5,COUNT(AB$5:AB62)),IF(AB62=EDATE('Adjustment Surface'!$C$6,DATEDIF('Adjustment Surface'!$C$6,MAX('Adjustment Surface'!$C$14:$F$14),"M")),MAX('Adjustment Surface'!$C$14:$F$14),EDATE('Adjustment Surface'!$C$6,DATEDIF('Adjustment Surface'!$C$6,MAX('Adjustment Surface'!$C$14:$F$14),"M")))))</f>
        <v/>
      </c>
      <c r="AD62" s="3" t="str">
        <f t="shared" si="2"/>
        <v/>
      </c>
      <c r="AE62" s="5" t="str">
        <f>IF(AA62="","",(AC62-'Rate &amp; Vol Update'!$C$2)/360)</f>
        <v/>
      </c>
      <c r="AF62" s="15" t="str">
        <f>IF(AA62="","",IF('Adjustment Surface'!$C$3='Data Validation'!$C$2,'Adjustment Surface'!$C$4,_xlfn.IFNA(IF(INDEX(Schedules!$E$3:$E$123,MATCH('Bachelier Model'!AB62,Schedules!$B$3:$B$123,0))="",AF61,INDEX(Schedules!$E$3:$E$123,MATCH('Bachelier Model'!AB62,Schedules!$B$3:$B$123,0))),AF61)))</f>
        <v/>
      </c>
      <c r="AG62" s="16" t="str">
        <f>IF(AA62="","",'Adjustment Surface'!B$15)</f>
        <v/>
      </c>
      <c r="AH62" s="16" t="str" cm="1">
        <f t="array" ref="AH62">IF(AA62="","",FORECAST(AB62,INDEX('Rate &amp; Vol Update'!$C$6:$C$127,MATCH(INDEX('Rate &amp; Vol Update'!$B$6:$B$127,MATCH(AB62,'Rate &amp; Vol Update'!$B$6:$B$127,1)),'Rate &amp; Vol Update'!$B$6:$B$127,0)+IF('Adjustment Surface'!$C$11='Data Validation'!$E$3,-1,0)):INDEX('Rate &amp; Vol Update'!$C$6:$C$127,MATCH(INDEX('Rate &amp; Vol Update'!$B$6:$B$127,MATCH(AB62,'Rate &amp; Vol Update'!$B$6:$B$127,1)+1),'Rate &amp; Vol Update'!$B$6:$B$127,0)+IF('Adjustment Surface'!$C$11='Data Validation'!$E$3,-1,0)),INDEX('Rate &amp; Vol Update'!$B$6:$B$127,MATCH(AB62,'Rate &amp; Vol Update'!$B$6:$B$127,1)):INDEX('Rate &amp; Vol Update'!$B$6:$B$127,MATCH(AB62,'Rate &amp; Vol Update'!$B$6:$B$127,1)+1))/100)</f>
        <v/>
      </c>
      <c r="AI62" s="16" t="str" cm="1">
        <f t="array" ref="AI62">IF(AA62="","",IF(AB62&lt;'Rate &amp; Vol Update'!$C$2,0.001%,(1/((INDEX('Rate &amp; Vol Update'!$E$6:$Z$6,1,MATCH(AG62,'Rate &amp; Vol Update'!$E$6:$Z$6,1)+1)-INDEX('Rate &amp; Vol Update'!$E$6:$Z$6,1,MATCH(AG62,'Rate &amp; Vol Update'!$E$6:$Z$6,1)))*(INDEX('Rate &amp; Vol Update'!$B$8:$B$127,MATCH(AB62,'Rate &amp; Vol Update'!$B$8:$B$127,1)+1)-INDEX('Rate &amp; Vol Update'!$B$8:$B$127,MATCH(AB62,'Rate &amp; Vol Update'!$B$8:$B$127,1))))*(INDEX('Rate &amp; Vol Update'!$E$8:$Z$127,MATCH(INDEX('Rate &amp; Vol Update'!$B$8:$B$127,MATCH(AB62,'Rate &amp; Vol Update'!$B$8:$B$127,1)),'Rate &amp; Vol Update'!$B$8:$B$127,0),MATCH(INDEX('Rate &amp; Vol Update'!$E$6:$Z$6,1,MATCH(AG62,'Rate &amp; Vol Update'!$E$6:$Z$6,1)),'Rate &amp; Vol Update'!$E$6:$Z$6,0))*(INDEX('Rate &amp; Vol Update'!$E$6:$Z$6,1,MATCH(AG62,'Rate &amp; Vol Update'!$E$6:$Z$6,1)+1)-AG62)*(INDEX('Rate &amp; Vol Update'!$B$8:$B$127,MATCH(AB62,'Rate &amp; Vol Update'!$B$8:$B$127,1)+1)-AB62)+INDEX('Rate &amp; Vol Update'!$E$8:$Z$127,MATCH(INDEX('Rate &amp; Vol Update'!$B$8:$B$127,MATCH(AB62,'Rate &amp; Vol Update'!$B$8:$B$127,1)),'Rate &amp; Vol Update'!$B$8:$B$127,0),MATCH(INDEX('Rate &amp; Vol Update'!$E$6:$Z$6,1,MATCH(AG62,'Rate &amp; Vol Update'!$E$6:$Z$6,1)+1),'Rate &amp; Vol Update'!$E$6:$Z$6,0))*(AG62-INDEX('Rate &amp; Vol Update'!$E$6:$Z$6,1,MATCH(AG62,'Rate &amp; Vol Update'!$E$6:$Z$6,1)))*(INDEX('Rate &amp; Vol Update'!$B$8:$B$127,MATCH(AB62,'Rate &amp; Vol Update'!$B$8:$B$127,1)+1)-AB62)+INDEX('Rate &amp; Vol Update'!$E$8:$Z$127,MATCH(INDEX('Rate &amp; Vol Update'!$B$8:$B$127,MATCH(AB62,'Rate &amp; Vol Update'!$B$8:$B$127,1)+1),'Rate &amp; Vol Update'!$B$8:$B$127,0),MATCH(INDEX('Rate &amp; Vol Update'!$E$6:$Z$6,1,MATCH(AG62,'Rate &amp; Vol Update'!$E$6:$Z$6,1)),'Rate &amp; Vol Update'!$E$6:$Z$6,0))*(INDEX('Rate &amp; Vol Update'!$E$6:$Z$6,1,MATCH(AG62,'Rate &amp; Vol Update'!$E$6:$Z$6,1)+1)-AG62)*(AB62-INDEX('Rate &amp; Vol Update'!$B$8:$B$127,MATCH(AB62,'Rate &amp; Vol Update'!$B$8:$B$127,1)))+INDEX('Rate &amp; Vol Update'!$E$8:$Z$127,MATCH(INDEX('Rate &amp; Vol Update'!$B$8:$B$127,MATCH(AB62,'Rate &amp; Vol Update'!$B$8:$B$127,1)+1),'Rate &amp; Vol Update'!$B$8:$B$127,0),MATCH(INDEX('Rate &amp; Vol Update'!$E$6:$Z$6,1,MATCH(AG62,'Rate &amp; Vol Update'!$E$6:$Z$6,1)+1),'Rate &amp; Vol Update'!$E$6:$Z$6,0))*(AG62-INDEX('Rate &amp; Vol Update'!$E$6:$Z$6,1,MATCH(AG62,'Rate &amp; Vol Update'!$E$6:$Z$6,1)))*(AB62-INDEX('Rate &amp; Vol Update'!$B$8:$B$127,MATCH(AB62,'Rate &amp; Vol Update'!$B$8:$B$127,1)))))*0.01%))</f>
        <v/>
      </c>
      <c r="AJ62" s="5" t="str">
        <f>IF(AA62="","",1/((1+AH62)^((AC62-'Rate &amp; Vol Update'!$C$2)/360)))</f>
        <v/>
      </c>
      <c r="AL62" s="15" t="str">
        <f>IF(AA62="","",IF(AB62&lt;'Rate &amp; Vol Update'!$C$2,MAX(0,AH62-AG62)*(AD62/360)*AF62,(((IF('Adjustment Surface'!$C$2='Data Validation'!$A$2,AH62,IF('Adjustment Surface'!$C$2='Data Validation'!$A$3,AG62,"Unknown Option Type"))-IF('Adjustment Surface'!$C$2='Data Validation'!$A$2,AG62,IF('Adjustment Surface'!$C$2='Data Validation'!$A$3,AH62,"Unknown Option Type")))*(NORMDIST((IF('Adjustment Surface'!$C$2='Data Validation'!$A$2,AH62,IF('Adjustment Surface'!$C$2='Data Validation'!$A$3,AG62,"Unknown Option Type"))-IF('Adjustment Surface'!$C$2='Data Validation'!$A$2,AG62,IF('Adjustment Surface'!$C$2='Data Validation'!$A$3,AH62,"Unknown Option Type")))/(AI62*SQRT(AE62)),0,1,TRUE)))+((AI62*SQRT(AE62))*(NORMDIST((IF('Adjustment Surface'!$C$2='Data Validation'!$A$2,AH62,IF('Adjustment Surface'!$C$2='Data Validation'!$A$3,AG62,"Unknown Option Type"))-IF('Adjustment Surface'!$C$2='Data Validation'!$A$2,AG62,IF('Adjustment Surface'!$C$2='Data Validation'!$A$3,AH62,"Unknown Option Type")))/(AI62*SQRT(AE62)),0,1,FALSE))))*AJ62*(AD62/360)*AF62))</f>
        <v/>
      </c>
      <c r="AM62" s="15" t="str">
        <f>IF(AA62="","",SUM(AL$4:AL62))</f>
        <v/>
      </c>
      <c r="AO62" s="15" t="str">
        <f>IF(AA62="","",IF(AB62&lt;'Rate &amp; Vol Update'!$C$2,0,((((((IF('Adjustment Surface'!$C$2='Data Validation'!$A$2,AH62,IF('Adjustment Surface'!$C$2='Data Validation'!$A$3,AG62,"Unknown Option Type"))-IF('Adjustment Surface'!$C$2='Data Validation'!$A$2,AG62,IF('Adjustment Surface'!$C$2='Data Validation'!$A$3,AH62,"Unknown Option Type")))*(NORMDIST((IF('Adjustment Surface'!$C$2='Data Validation'!$A$2,AH62,IF('Adjustment Surface'!$C$2='Data Validation'!$A$3,AG62,"Unknown Option Type"))-IF('Adjustment Surface'!$C$2='Data Validation'!$A$2,AG62,IF('Adjustment Surface'!$C$2='Data Validation'!$A$3,AH62,"Unknown Option Type")))/((AI62+0.01%)*SQRT(AE62)),0,1,TRUE)))+(((AI62+0.01%)*SQRT(AE62))*(NORMDIST((IF('Adjustment Surface'!$C$2='Data Validation'!$A$2,AH62,IF('Adjustment Surface'!$C$2='Data Validation'!$A$3,AG62,"Unknown Option Type"))-IF('Adjustment Surface'!$C$2='Data Validation'!$A$2,AG62,IF('Adjustment Surface'!$C$2='Data Validation'!$A$3,AH62,"Unknown Option Type")))/((AI62+0.01%)*SQRT(AE62)),0,1,FALSE))))*AJ62*(AD62/360))-(AL62/AF62))*AF62)*AJ62))</f>
        <v/>
      </c>
      <c r="AP62" s="15" t="str">
        <f>IF(AA62="","",SUM(AO$4:AO62))</f>
        <v/>
      </c>
      <c r="AQ62" s="15"/>
      <c r="AR62" s="20"/>
      <c r="AT62" s="4" t="str">
        <f>IF(AU61=MAX('Adjustment Surface'!$C$14:$F$14),"",AU61)</f>
        <v/>
      </c>
      <c r="AU62" s="4" t="str">
        <f>IF(AT62="","",IF(AT62&lt;EDATE('Adjustment Surface'!$C$6,DATEDIF('Adjustment Surface'!$C$6,MAX('Adjustment Surface'!$C$14:$F$14),"M")),EDATE(AT$5,COUNT(AT$5:AT62)),IF(AT62=EDATE('Adjustment Surface'!$C$6,DATEDIF('Adjustment Surface'!$C$6,MAX('Adjustment Surface'!$C$14:$F$14),"M")),MAX('Adjustment Surface'!$C$14:$F$14),EDATE('Adjustment Surface'!$C$6,DATEDIF('Adjustment Surface'!$C$6,MAX('Adjustment Surface'!$C$14:$F$14),"M")))))</f>
        <v/>
      </c>
      <c r="AV62" s="3" t="str">
        <f t="shared" si="3"/>
        <v/>
      </c>
      <c r="AW62" s="5" t="str">
        <f>IF(AS62="","",(AU62-'Rate &amp; Vol Update'!$C$2)/360)</f>
        <v/>
      </c>
      <c r="AX62" s="15" t="str">
        <f>IF(AS62="","",IF('Adjustment Surface'!$C$3='Data Validation'!$C$2,'Adjustment Surface'!$C$4,_xlfn.IFNA(IF(INDEX(Schedules!$E$3:$E$123,MATCH('Bachelier Model'!AT62,Schedules!$B$3:$B$123,0))="",AX61,INDEX(Schedules!$E$3:$E$123,MATCH('Bachelier Model'!AT62,Schedules!$B$3:$B$123,0))),AX61)))</f>
        <v/>
      </c>
      <c r="AY62" s="16" t="str">
        <f>IF(AS62="","",'Adjustment Surface'!B$16)</f>
        <v/>
      </c>
      <c r="AZ62" s="16" t="str" cm="1">
        <f t="array" ref="AZ62">IF(AS62="","",FORECAST(AT62,INDEX('Rate &amp; Vol Update'!$C$6:$C$127,MATCH(INDEX('Rate &amp; Vol Update'!$B$6:$B$127,MATCH(AT62,'Rate &amp; Vol Update'!$B$6:$B$127,1)),'Rate &amp; Vol Update'!$B$6:$B$127,0)+IF('Adjustment Surface'!$C$11='Data Validation'!$E$3,-1,0)):INDEX('Rate &amp; Vol Update'!$C$6:$C$127,MATCH(INDEX('Rate &amp; Vol Update'!$B$6:$B$127,MATCH(AT62,'Rate &amp; Vol Update'!$B$6:$B$127,1)+1),'Rate &amp; Vol Update'!$B$6:$B$127,0)+IF('Adjustment Surface'!$C$11='Data Validation'!$E$3,-1,0)),INDEX('Rate &amp; Vol Update'!$B$6:$B$127,MATCH(AT62,'Rate &amp; Vol Update'!$B$6:$B$127,1)):INDEX('Rate &amp; Vol Update'!$B$6:$B$127,MATCH(AT62,'Rate &amp; Vol Update'!$B$6:$B$127,1)+1))/100)</f>
        <v/>
      </c>
      <c r="BA62" s="16" t="str" cm="1">
        <f t="array" ref="BA62">IF(AS62="","",IF(AT62&lt;'Rate &amp; Vol Update'!$C$2,0.001%,(1/((INDEX('Rate &amp; Vol Update'!$E$6:$Z$6,1,MATCH(AY62,'Rate &amp; Vol Update'!$E$6:$Z$6,1)+1)-INDEX('Rate &amp; Vol Update'!$E$6:$Z$6,1,MATCH(AY62,'Rate &amp; Vol Update'!$E$6:$Z$6,1)))*(INDEX('Rate &amp; Vol Update'!$B$8:$B$127,MATCH(AT62,'Rate &amp; Vol Update'!$B$8:$B$127,1)+1)-INDEX('Rate &amp; Vol Update'!$B$8:$B$127,MATCH(AT62,'Rate &amp; Vol Update'!$B$8:$B$127,1))))*(INDEX('Rate &amp; Vol Update'!$E$8:$Z$127,MATCH(INDEX('Rate &amp; Vol Update'!$B$8:$B$127,MATCH(AT62,'Rate &amp; Vol Update'!$B$8:$B$127,1)),'Rate &amp; Vol Update'!$B$8:$B$127,0),MATCH(INDEX('Rate &amp; Vol Update'!$E$6:$Z$6,1,MATCH(AY62,'Rate &amp; Vol Update'!$E$6:$Z$6,1)),'Rate &amp; Vol Update'!$E$6:$Z$6,0))*(INDEX('Rate &amp; Vol Update'!$E$6:$Z$6,1,MATCH(AY62,'Rate &amp; Vol Update'!$E$6:$Z$6,1)+1)-AY62)*(INDEX('Rate &amp; Vol Update'!$B$8:$B$127,MATCH(AT62,'Rate &amp; Vol Update'!$B$8:$B$127,1)+1)-AT62)+INDEX('Rate &amp; Vol Update'!$E$8:$Z$127,MATCH(INDEX('Rate &amp; Vol Update'!$B$8:$B$127,MATCH(AT62,'Rate &amp; Vol Update'!$B$8:$B$127,1)),'Rate &amp; Vol Update'!$B$8:$B$127,0),MATCH(INDEX('Rate &amp; Vol Update'!$E$6:$Z$6,1,MATCH(AY62,'Rate &amp; Vol Update'!$E$6:$Z$6,1)+1),'Rate &amp; Vol Update'!$E$6:$Z$6,0))*(AY62-INDEX('Rate &amp; Vol Update'!$E$6:$Z$6,1,MATCH(AY62,'Rate &amp; Vol Update'!$E$6:$Z$6,1)))*(INDEX('Rate &amp; Vol Update'!$B$8:$B$127,MATCH(AT62,'Rate &amp; Vol Update'!$B$8:$B$127,1)+1)-AT62)+INDEX('Rate &amp; Vol Update'!$E$8:$Z$127,MATCH(INDEX('Rate &amp; Vol Update'!$B$8:$B$127,MATCH(AT62,'Rate &amp; Vol Update'!$B$8:$B$127,1)+1),'Rate &amp; Vol Update'!$B$8:$B$127,0),MATCH(INDEX('Rate &amp; Vol Update'!$E$6:$Z$6,1,MATCH(AY62,'Rate &amp; Vol Update'!$E$6:$Z$6,1)),'Rate &amp; Vol Update'!$E$6:$Z$6,0))*(INDEX('Rate &amp; Vol Update'!$E$6:$Z$6,1,MATCH(AY62,'Rate &amp; Vol Update'!$E$6:$Z$6,1)+1)-AY62)*(AT62-INDEX('Rate &amp; Vol Update'!$B$8:$B$127,MATCH(AT62,'Rate &amp; Vol Update'!$B$8:$B$127,1)))+INDEX('Rate &amp; Vol Update'!$E$8:$Z$127,MATCH(INDEX('Rate &amp; Vol Update'!$B$8:$B$127,MATCH(AT62,'Rate &amp; Vol Update'!$B$8:$B$127,1)+1),'Rate &amp; Vol Update'!$B$8:$B$127,0),MATCH(INDEX('Rate &amp; Vol Update'!$E$6:$Z$6,1,MATCH(AY62,'Rate &amp; Vol Update'!$E$6:$Z$6,1)+1),'Rate &amp; Vol Update'!$E$6:$Z$6,0))*(AY62-INDEX('Rate &amp; Vol Update'!$E$6:$Z$6,1,MATCH(AY62,'Rate &amp; Vol Update'!$E$6:$Z$6,1)))*(AT62-INDEX('Rate &amp; Vol Update'!$B$8:$B$127,MATCH(AT62,'Rate &amp; Vol Update'!$B$8:$B$127,1)))))*0.01%))</f>
        <v/>
      </c>
      <c r="BB62" s="5" t="str">
        <f>IF(AS62="","",1/((1+AZ62)^((AU62-'Rate &amp; Vol Update'!$C$2)/360)))</f>
        <v/>
      </c>
      <c r="BD62" s="15" t="str">
        <f>IF(AS62="","",IF(AT62&lt;'Rate &amp; Vol Update'!$C$2,MAX(0,AZ62-AY62)*(AV62/360)*AX62,(((IF('Adjustment Surface'!$C$2='Data Validation'!$A$2,AZ62,IF('Adjustment Surface'!$C$2='Data Validation'!$A$3,AY62,"Unknown Option Type"))-IF('Adjustment Surface'!$C$2='Data Validation'!$A$2,AY62,IF('Adjustment Surface'!$C$2='Data Validation'!$A$3,AZ62,"Unknown Option Type")))*(NORMDIST((IF('Adjustment Surface'!$C$2='Data Validation'!$A$2,AZ62,IF('Adjustment Surface'!$C$2='Data Validation'!$A$3,AY62,"Unknown Option Type"))-IF('Adjustment Surface'!$C$2='Data Validation'!$A$2,AY62,IF('Adjustment Surface'!$C$2='Data Validation'!$A$3,AZ62,"Unknown Option Type")))/(BA62*SQRT(AW62)),0,1,TRUE)))+((BA62*SQRT(AW62))*(NORMDIST((IF('Adjustment Surface'!$C$2='Data Validation'!$A$2,AZ62,IF('Adjustment Surface'!$C$2='Data Validation'!$A$3,AY62,"Unknown Option Type"))-IF('Adjustment Surface'!$C$2='Data Validation'!$A$2,AY62,IF('Adjustment Surface'!$C$2='Data Validation'!$A$3,AZ62,"Unknown Option Type")))/(BA62*SQRT(AW62)),0,1,FALSE))))*BB62*(AV62/360)*AX62))</f>
        <v/>
      </c>
      <c r="BE62" s="15" t="str">
        <f>IF(AS62="","",SUM(BD$4:BD62))</f>
        <v/>
      </c>
      <c r="BG62" s="15" t="str">
        <f>IF(AS62="","",IF(AT62&lt;'Rate &amp; Vol Update'!$C$2,0,((((((IF('Adjustment Surface'!$C$2='Data Validation'!$A$2,AZ62,IF('Adjustment Surface'!$C$2='Data Validation'!$A$3,AY62,"Unknown Option Type"))-IF('Adjustment Surface'!$C$2='Data Validation'!$A$2,AY62,IF('Adjustment Surface'!$C$2='Data Validation'!$A$3,AZ62,"Unknown Option Type")))*(NORMDIST((IF('Adjustment Surface'!$C$2='Data Validation'!$A$2,AZ62,IF('Adjustment Surface'!$C$2='Data Validation'!$A$3,AY62,"Unknown Option Type"))-IF('Adjustment Surface'!$C$2='Data Validation'!$A$2,AY62,IF('Adjustment Surface'!$C$2='Data Validation'!$A$3,AZ62,"Unknown Option Type")))/((BA62+0.01%)*SQRT(AW62)),0,1,TRUE)))+(((BA62+0.01%)*SQRT(AW62))*(NORMDIST((IF('Adjustment Surface'!$C$2='Data Validation'!$A$2,AZ62,IF('Adjustment Surface'!$C$2='Data Validation'!$A$3,AY62,"Unknown Option Type"))-IF('Adjustment Surface'!$C$2='Data Validation'!$A$2,AY62,IF('Adjustment Surface'!$C$2='Data Validation'!$A$3,AZ62,"Unknown Option Type")))/((BA62+0.01%)*SQRT(AW62)),0,1,FALSE))))*BB62*(AV62/360))-(BD62/AX62))*AX62)*BB62))</f>
        <v/>
      </c>
      <c r="BH62" s="15" t="str">
        <f>IF(AS62="","",SUM(BG$4:BG62))</f>
        <v/>
      </c>
      <c r="BI62" s="15"/>
      <c r="BJ62" s="20"/>
      <c r="BL62" s="4" t="str">
        <f>IF(BM61=MAX('Adjustment Surface'!$C$14:$F$14),"",BM61)</f>
        <v/>
      </c>
      <c r="BM62" s="4" t="str">
        <f>IF(BL62="","",IF(BL62&lt;EDATE('Adjustment Surface'!$C$6,DATEDIF('Adjustment Surface'!$C$6,MAX('Adjustment Surface'!$C$14:$F$14),"M")),EDATE(BL$5,COUNT(BL$5:BL62)),IF(BL62=EDATE('Adjustment Surface'!$C$6,DATEDIF('Adjustment Surface'!$C$6,MAX('Adjustment Surface'!$C$14:$F$14),"M")),MAX('Adjustment Surface'!$C$14:$F$14),EDATE('Adjustment Surface'!$C$6,DATEDIF('Adjustment Surface'!$C$6,MAX('Adjustment Surface'!$C$14:$F$14),"M")))))</f>
        <v/>
      </c>
      <c r="BN62" s="3" t="str">
        <f t="shared" si="4"/>
        <v/>
      </c>
      <c r="BO62" s="5" t="str">
        <f>IF(BK62="","",(BM62-'Rate &amp; Vol Update'!$C$2)/360)</f>
        <v/>
      </c>
      <c r="BP62" s="15" t="str">
        <f>IF(BK62="","",IF('Adjustment Surface'!$C$3='Data Validation'!$C$2,'Adjustment Surface'!$C$4,_xlfn.IFNA(IF(INDEX(Schedules!$E$3:$E$123,MATCH('Bachelier Model'!BL62,Schedules!$B$3:$B$123,0))="",BP61,INDEX(Schedules!$E$3:$E$123,MATCH('Bachelier Model'!BL62,Schedules!$B$3:$B$123,0))),BP61)))</f>
        <v/>
      </c>
      <c r="BQ62" s="16" t="str">
        <f>IF(BK62="","",'Adjustment Surface'!B$17)</f>
        <v/>
      </c>
      <c r="BR62" s="16" t="str" cm="1">
        <f t="array" ref="BR62">IF(BK62="","",FORECAST(BL62,INDEX('Rate &amp; Vol Update'!$C$6:$C$127,MATCH(INDEX('Rate &amp; Vol Update'!$B$6:$B$127,MATCH(BL62,'Rate &amp; Vol Update'!$B$6:$B$127,1)),'Rate &amp; Vol Update'!$B$6:$B$127,0)+IF('Adjustment Surface'!$C$11='Data Validation'!$E$3,-1,0)):INDEX('Rate &amp; Vol Update'!$C$6:$C$127,MATCH(INDEX('Rate &amp; Vol Update'!$B$6:$B$127,MATCH(BL62,'Rate &amp; Vol Update'!$B$6:$B$127,1)+1),'Rate &amp; Vol Update'!$B$6:$B$127,0)+IF('Adjustment Surface'!$C$11='Data Validation'!$E$3,-1,0)),INDEX('Rate &amp; Vol Update'!$B$6:$B$127,MATCH(BL62,'Rate &amp; Vol Update'!$B$6:$B$127,1)):INDEX('Rate &amp; Vol Update'!$B$6:$B$127,MATCH(BL62,'Rate &amp; Vol Update'!$B$6:$B$127,1)+1))/100)</f>
        <v/>
      </c>
      <c r="BS62" s="16" t="str" cm="1">
        <f t="array" ref="BS62">IF(BK62="","",IF(BL62&lt;'Rate &amp; Vol Update'!$C$2,0.001%,(1/((INDEX('Rate &amp; Vol Update'!$E$6:$Z$6,1,MATCH(BQ62,'Rate &amp; Vol Update'!$E$6:$Z$6,1)+1)-INDEX('Rate &amp; Vol Update'!$E$6:$Z$6,1,MATCH(BQ62,'Rate &amp; Vol Update'!$E$6:$Z$6,1)))*(INDEX('Rate &amp; Vol Update'!$B$8:$B$127,MATCH(BL62,'Rate &amp; Vol Update'!$B$8:$B$127,1)+1)-INDEX('Rate &amp; Vol Update'!$B$8:$B$127,MATCH(BL62,'Rate &amp; Vol Update'!$B$8:$B$127,1))))*(INDEX('Rate &amp; Vol Update'!$E$8:$Z$127,MATCH(INDEX('Rate &amp; Vol Update'!$B$8:$B$127,MATCH(BL62,'Rate &amp; Vol Update'!$B$8:$B$127,1)),'Rate &amp; Vol Update'!$B$8:$B$127,0),MATCH(INDEX('Rate &amp; Vol Update'!$E$6:$Z$6,1,MATCH(BQ62,'Rate &amp; Vol Update'!$E$6:$Z$6,1)),'Rate &amp; Vol Update'!$E$6:$Z$6,0))*(INDEX('Rate &amp; Vol Update'!$E$6:$Z$6,1,MATCH(BQ62,'Rate &amp; Vol Update'!$E$6:$Z$6,1)+1)-BQ62)*(INDEX('Rate &amp; Vol Update'!$B$8:$B$127,MATCH(BL62,'Rate &amp; Vol Update'!$B$8:$B$127,1)+1)-BL62)+INDEX('Rate &amp; Vol Update'!$E$8:$Z$127,MATCH(INDEX('Rate &amp; Vol Update'!$B$8:$B$127,MATCH(BL62,'Rate &amp; Vol Update'!$B$8:$B$127,1)),'Rate &amp; Vol Update'!$B$8:$B$127,0),MATCH(INDEX('Rate &amp; Vol Update'!$E$6:$Z$6,1,MATCH(BQ62,'Rate &amp; Vol Update'!$E$6:$Z$6,1)+1),'Rate &amp; Vol Update'!$E$6:$Z$6,0))*(BQ62-INDEX('Rate &amp; Vol Update'!$E$6:$Z$6,1,MATCH(BQ62,'Rate &amp; Vol Update'!$E$6:$Z$6,1)))*(INDEX('Rate &amp; Vol Update'!$B$8:$B$127,MATCH(BL62,'Rate &amp; Vol Update'!$B$8:$B$127,1)+1)-BL62)+INDEX('Rate &amp; Vol Update'!$E$8:$Z$127,MATCH(INDEX('Rate &amp; Vol Update'!$B$8:$B$127,MATCH(BL62,'Rate &amp; Vol Update'!$B$8:$B$127,1)+1),'Rate &amp; Vol Update'!$B$8:$B$127,0),MATCH(INDEX('Rate &amp; Vol Update'!$E$6:$Z$6,1,MATCH(BQ62,'Rate &amp; Vol Update'!$E$6:$Z$6,1)),'Rate &amp; Vol Update'!$E$6:$Z$6,0))*(INDEX('Rate &amp; Vol Update'!$E$6:$Z$6,1,MATCH(BQ62,'Rate &amp; Vol Update'!$E$6:$Z$6,1)+1)-BQ62)*(BL62-INDEX('Rate &amp; Vol Update'!$B$8:$B$127,MATCH(BL62,'Rate &amp; Vol Update'!$B$8:$B$127,1)))+INDEX('Rate &amp; Vol Update'!$E$8:$Z$127,MATCH(INDEX('Rate &amp; Vol Update'!$B$8:$B$127,MATCH(BL62,'Rate &amp; Vol Update'!$B$8:$B$127,1)+1),'Rate &amp; Vol Update'!$B$8:$B$127,0),MATCH(INDEX('Rate &amp; Vol Update'!$E$6:$Z$6,1,MATCH(BQ62,'Rate &amp; Vol Update'!$E$6:$Z$6,1)+1),'Rate &amp; Vol Update'!$E$6:$Z$6,0))*(BQ62-INDEX('Rate &amp; Vol Update'!$E$6:$Z$6,1,MATCH(BQ62,'Rate &amp; Vol Update'!$E$6:$Z$6,1)))*(BL62-INDEX('Rate &amp; Vol Update'!$B$8:$B$127,MATCH(BL62,'Rate &amp; Vol Update'!$B$8:$B$127,1)))))*0.01%))</f>
        <v/>
      </c>
      <c r="BT62" s="5" t="str">
        <f>IF(BK62="","",1/((1+BR62)^((BM62-'Rate &amp; Vol Update'!$C$2)/360)))</f>
        <v/>
      </c>
      <c r="BV62" s="15" t="str">
        <f>IF(BK62="","",IF(BL62&lt;'Rate &amp; Vol Update'!$C$2,MAX(0,BR62-BQ62)*(BN62/360)*BP62,(((IF('Adjustment Surface'!$C$2='Data Validation'!$A$2,BR62,IF('Adjustment Surface'!$C$2='Data Validation'!$A$3,BQ62,"Unknown Option Type"))-IF('Adjustment Surface'!$C$2='Data Validation'!$A$2,BQ62,IF('Adjustment Surface'!$C$2='Data Validation'!$A$3,BR62,"Unknown Option Type")))*(NORMDIST((IF('Adjustment Surface'!$C$2='Data Validation'!$A$2,BR62,IF('Adjustment Surface'!$C$2='Data Validation'!$A$3,BQ62,"Unknown Option Type"))-IF('Adjustment Surface'!$C$2='Data Validation'!$A$2,BQ62,IF('Adjustment Surface'!$C$2='Data Validation'!$A$3,BR62,"Unknown Option Type")))/(BS62*SQRT(BO62)),0,1,TRUE)))+((BS62*SQRT(BO62))*(NORMDIST((IF('Adjustment Surface'!$C$2='Data Validation'!$A$2,BR62,IF('Adjustment Surface'!$C$2='Data Validation'!$A$3,BQ62,"Unknown Option Type"))-IF('Adjustment Surface'!$C$2='Data Validation'!$A$2,BQ62,IF('Adjustment Surface'!$C$2='Data Validation'!$A$3,BR62,"Unknown Option Type")))/(BS62*SQRT(BO62)),0,1,FALSE))))*BT62*(BN62/360)*BP62))</f>
        <v/>
      </c>
      <c r="BW62" s="15" t="str">
        <f>IF(BK62="","",SUM(BV$4:BV62))</f>
        <v/>
      </c>
      <c r="BY62" s="15" t="str">
        <f>IF(BK62="","",IF(BL62&lt;'Rate &amp; Vol Update'!$C$2,0,((((((IF('Adjustment Surface'!$C$2='Data Validation'!$A$2,BR62,IF('Adjustment Surface'!$C$2='Data Validation'!$A$3,BQ62,"Unknown Option Type"))-IF('Adjustment Surface'!$C$2='Data Validation'!$A$2,BQ62,IF('Adjustment Surface'!$C$2='Data Validation'!$A$3,BR62,"Unknown Option Type")))*(NORMDIST((IF('Adjustment Surface'!$C$2='Data Validation'!$A$2,BR62,IF('Adjustment Surface'!$C$2='Data Validation'!$A$3,BQ62,"Unknown Option Type"))-IF('Adjustment Surface'!$C$2='Data Validation'!$A$2,BQ62,IF('Adjustment Surface'!$C$2='Data Validation'!$A$3,BR62,"Unknown Option Type")))/((BS62+0.01%)*SQRT(BO62)),0,1,TRUE)))+(((BS62+0.01%)*SQRT(BO62))*(NORMDIST((IF('Adjustment Surface'!$C$2='Data Validation'!$A$2,BR62,IF('Adjustment Surface'!$C$2='Data Validation'!$A$3,BQ62,"Unknown Option Type"))-IF('Adjustment Surface'!$C$2='Data Validation'!$A$2,BQ62,IF('Adjustment Surface'!$C$2='Data Validation'!$A$3,BR62,"Unknown Option Type")))/((BS62+0.01%)*SQRT(BO62)),0,1,FALSE))))*BT62*(BN62/360))-(BV62/BP62))*BP62)*BT62))</f>
        <v/>
      </c>
      <c r="BZ62" s="15" t="str">
        <f>IF(BK62="","",SUM(BY$4:BY62))</f>
        <v/>
      </c>
      <c r="CA62" s="15"/>
      <c r="CB62" s="20"/>
      <c r="CD62" s="4" t="str">
        <f>IF(CE61=MAX('Adjustment Surface'!$C$14:$F$14),"",CE61)</f>
        <v/>
      </c>
      <c r="CE62" s="4" t="str">
        <f>IF(CD62="","",IF(CD62&lt;EDATE('Adjustment Surface'!$C$6,DATEDIF('Adjustment Surface'!$C$6,MAX('Adjustment Surface'!$C$14:$F$14),"M")),EDATE(CD$5,COUNT(CD$5:CD62)),IF(CD62=EDATE('Adjustment Surface'!$C$6,DATEDIF('Adjustment Surface'!$C$6,MAX('Adjustment Surface'!$C$14:$F$14),"M")),MAX('Adjustment Surface'!$C$14:$F$14),EDATE('Adjustment Surface'!$C$6,DATEDIF('Adjustment Surface'!$C$6,MAX('Adjustment Surface'!$C$14:$F$14),"M")))))</f>
        <v/>
      </c>
      <c r="CF62" s="3" t="str">
        <f t="shared" si="5"/>
        <v/>
      </c>
      <c r="CG62" s="5" t="str">
        <f>IF(CC62="","",(CE62-'Rate &amp; Vol Update'!$C$2)/360)</f>
        <v/>
      </c>
      <c r="CH62" s="15" t="str">
        <f>IF(CC62="","",IF('Adjustment Surface'!$C$3='Data Validation'!$C$2,'Adjustment Surface'!$C$4,_xlfn.IFNA(IF(INDEX(Schedules!$E$3:$E$123,MATCH('Bachelier Model'!CD62,Schedules!$B$3:$B$123,0))="",CH61,INDEX(Schedules!$E$3:$E$123,MATCH('Bachelier Model'!CD62,Schedules!$B$3:$B$123,0))),CH61)))</f>
        <v/>
      </c>
      <c r="CI62" s="16" t="str">
        <f>IF(CC62="","",'Adjustment Surface'!B$18)</f>
        <v/>
      </c>
      <c r="CJ62" s="16" t="str" cm="1">
        <f t="array" ref="CJ62">IF(CC62="","",FORECAST(CD62,INDEX('Rate &amp; Vol Update'!$C$6:$C$127,MATCH(INDEX('Rate &amp; Vol Update'!$B$6:$B$127,MATCH(CD62,'Rate &amp; Vol Update'!$B$6:$B$127,1)),'Rate &amp; Vol Update'!$B$6:$B$127,0)+IF('Adjustment Surface'!$C$11='Data Validation'!$E$3,-1,0)):INDEX('Rate &amp; Vol Update'!$C$6:$C$127,MATCH(INDEX('Rate &amp; Vol Update'!$B$6:$B$127,MATCH(CD62,'Rate &amp; Vol Update'!$B$6:$B$127,1)+1),'Rate &amp; Vol Update'!$B$6:$B$127,0)+IF('Adjustment Surface'!$C$11='Data Validation'!$E$3,-1,0)),INDEX('Rate &amp; Vol Update'!$B$6:$B$127,MATCH(CD62,'Rate &amp; Vol Update'!$B$6:$B$127,1)):INDEX('Rate &amp; Vol Update'!$B$6:$B$127,MATCH(CD62,'Rate &amp; Vol Update'!$B$6:$B$127,1)+1))/100)</f>
        <v/>
      </c>
      <c r="CK62" s="16" t="str" cm="1">
        <f t="array" ref="CK62">IF(CC62="","",IF(CD62&lt;'Rate &amp; Vol Update'!$C$2,0.001%,(1/((INDEX('Rate &amp; Vol Update'!$E$6:$Z$6,1,MATCH(CI62,'Rate &amp; Vol Update'!$E$6:$Z$6,1)+1)-INDEX('Rate &amp; Vol Update'!$E$6:$Z$6,1,MATCH(CI62,'Rate &amp; Vol Update'!$E$6:$Z$6,1)))*(INDEX('Rate &amp; Vol Update'!$B$8:$B$127,MATCH(CD62,'Rate &amp; Vol Update'!$B$8:$B$127,1)+1)-INDEX('Rate &amp; Vol Update'!$B$8:$B$127,MATCH(CD62,'Rate &amp; Vol Update'!$B$8:$B$127,1))))*(INDEX('Rate &amp; Vol Update'!$E$8:$Z$127,MATCH(INDEX('Rate &amp; Vol Update'!$B$8:$B$127,MATCH(CD62,'Rate &amp; Vol Update'!$B$8:$B$127,1)),'Rate &amp; Vol Update'!$B$8:$B$127,0),MATCH(INDEX('Rate &amp; Vol Update'!$E$6:$Z$6,1,MATCH(CI62,'Rate &amp; Vol Update'!$E$6:$Z$6,1)),'Rate &amp; Vol Update'!$E$6:$Z$6,0))*(INDEX('Rate &amp; Vol Update'!$E$6:$Z$6,1,MATCH(CI62,'Rate &amp; Vol Update'!$E$6:$Z$6,1)+1)-CI62)*(INDEX('Rate &amp; Vol Update'!$B$8:$B$127,MATCH(CD62,'Rate &amp; Vol Update'!$B$8:$B$127,1)+1)-CD62)+INDEX('Rate &amp; Vol Update'!$E$8:$Z$127,MATCH(INDEX('Rate &amp; Vol Update'!$B$8:$B$127,MATCH(CD62,'Rate &amp; Vol Update'!$B$8:$B$127,1)),'Rate &amp; Vol Update'!$B$8:$B$127,0),MATCH(INDEX('Rate &amp; Vol Update'!$E$6:$Z$6,1,MATCH(CI62,'Rate &amp; Vol Update'!$E$6:$Z$6,1)+1),'Rate &amp; Vol Update'!$E$6:$Z$6,0))*(CI62-INDEX('Rate &amp; Vol Update'!$E$6:$Z$6,1,MATCH(CI62,'Rate &amp; Vol Update'!$E$6:$Z$6,1)))*(INDEX('Rate &amp; Vol Update'!$B$8:$B$127,MATCH(CD62,'Rate &amp; Vol Update'!$B$8:$B$127,1)+1)-CD62)+INDEX('Rate &amp; Vol Update'!$E$8:$Z$127,MATCH(INDEX('Rate &amp; Vol Update'!$B$8:$B$127,MATCH(CD62,'Rate &amp; Vol Update'!$B$8:$B$127,1)+1),'Rate &amp; Vol Update'!$B$8:$B$127,0),MATCH(INDEX('Rate &amp; Vol Update'!$E$6:$Z$6,1,MATCH(CI62,'Rate &amp; Vol Update'!$E$6:$Z$6,1)),'Rate &amp; Vol Update'!$E$6:$Z$6,0))*(INDEX('Rate &amp; Vol Update'!$E$6:$Z$6,1,MATCH(CI62,'Rate &amp; Vol Update'!$E$6:$Z$6,1)+1)-CI62)*(CD62-INDEX('Rate &amp; Vol Update'!$B$8:$B$127,MATCH(CD62,'Rate &amp; Vol Update'!$B$8:$B$127,1)))+INDEX('Rate &amp; Vol Update'!$E$8:$Z$127,MATCH(INDEX('Rate &amp; Vol Update'!$B$8:$B$127,MATCH(CD62,'Rate &amp; Vol Update'!$B$8:$B$127,1)+1),'Rate &amp; Vol Update'!$B$8:$B$127,0),MATCH(INDEX('Rate &amp; Vol Update'!$E$6:$Z$6,1,MATCH(CI62,'Rate &amp; Vol Update'!$E$6:$Z$6,1)+1),'Rate &amp; Vol Update'!$E$6:$Z$6,0))*(CI62-INDEX('Rate &amp; Vol Update'!$E$6:$Z$6,1,MATCH(CI62,'Rate &amp; Vol Update'!$E$6:$Z$6,1)))*(CD62-INDEX('Rate &amp; Vol Update'!$B$8:$B$127,MATCH(CD62,'Rate &amp; Vol Update'!$B$8:$B$127,1)))))*0.01%))</f>
        <v/>
      </c>
      <c r="CL62" s="5" t="str">
        <f>IF(CC62="","",1/((1+CJ62)^((CE62-'Rate &amp; Vol Update'!$C$2)/360)))</f>
        <v/>
      </c>
      <c r="CN62" s="15" t="str">
        <f>IF(CC62="","",IF(CD62&lt;'Rate &amp; Vol Update'!$C$2,MAX(0,CJ62-CI62)*(CF62/360)*CH62,(((IF('Adjustment Surface'!$C$2='Data Validation'!$A$2,CJ62,IF('Adjustment Surface'!$C$2='Data Validation'!$A$3,CI62,"Unknown Option Type"))-IF('Adjustment Surface'!$C$2='Data Validation'!$A$2,CI62,IF('Adjustment Surface'!$C$2='Data Validation'!$A$3,CJ62,"Unknown Option Type")))*(NORMDIST((IF('Adjustment Surface'!$C$2='Data Validation'!$A$2,CJ62,IF('Adjustment Surface'!$C$2='Data Validation'!$A$3,CI62,"Unknown Option Type"))-IF('Adjustment Surface'!$C$2='Data Validation'!$A$2,CI62,IF('Adjustment Surface'!$C$2='Data Validation'!$A$3,CJ62,"Unknown Option Type")))/(CK62*SQRT(CG62)),0,1,TRUE)))+((CK62*SQRT(CG62))*(NORMDIST((IF('Adjustment Surface'!$C$2='Data Validation'!$A$2,CJ62,IF('Adjustment Surface'!$C$2='Data Validation'!$A$3,CI62,"Unknown Option Type"))-IF('Adjustment Surface'!$C$2='Data Validation'!$A$2,CI62,IF('Adjustment Surface'!$C$2='Data Validation'!$A$3,CJ62,"Unknown Option Type")))/(CK62*SQRT(CG62)),0,1,FALSE))))*CL62*(CF62/360)*CH62))</f>
        <v/>
      </c>
      <c r="CO62" s="15" t="str">
        <f>IF(CC62="","",SUM(CN$4:CN62))</f>
        <v/>
      </c>
      <c r="CQ62" s="15" t="str">
        <f>IF(CC62="","",IF(CD62&lt;'Rate &amp; Vol Update'!$C$2,0,((((((IF('Adjustment Surface'!$C$2='Data Validation'!$A$2,CJ62,IF('Adjustment Surface'!$C$2='Data Validation'!$A$3,CI62,"Unknown Option Type"))-IF('Adjustment Surface'!$C$2='Data Validation'!$A$2,CI62,IF('Adjustment Surface'!$C$2='Data Validation'!$A$3,CJ62,"Unknown Option Type")))*(NORMDIST((IF('Adjustment Surface'!$C$2='Data Validation'!$A$2,CJ62,IF('Adjustment Surface'!$C$2='Data Validation'!$A$3,CI62,"Unknown Option Type"))-IF('Adjustment Surface'!$C$2='Data Validation'!$A$2,CI62,IF('Adjustment Surface'!$C$2='Data Validation'!$A$3,CJ62,"Unknown Option Type")))/((CK62+0.01%)*SQRT(CG62)),0,1,TRUE)))+(((CK62+0.01%)*SQRT(CG62))*(NORMDIST((IF('Adjustment Surface'!$C$2='Data Validation'!$A$2,CJ62,IF('Adjustment Surface'!$C$2='Data Validation'!$A$3,CI62,"Unknown Option Type"))-IF('Adjustment Surface'!$C$2='Data Validation'!$A$2,CI62,IF('Adjustment Surface'!$C$2='Data Validation'!$A$3,CJ62,"Unknown Option Type")))/((CK62+0.01%)*SQRT(CG62)),0,1,FALSE))))*CL62*(CF62/360))-(CN62/CH62))*CH62)*CL62))</f>
        <v/>
      </c>
      <c r="CR62" s="15" t="str">
        <f>IF(CC62="","",SUM(CQ$4:CQ62))</f>
        <v/>
      </c>
    </row>
    <row r="63" spans="7:96" x14ac:dyDescent="0.25">
      <c r="G63" s="28"/>
      <c r="J63" s="4" t="str">
        <f>IF(K62='Adjustment Surface'!C$8,"",K62)</f>
        <v/>
      </c>
      <c r="K63" s="4" t="str">
        <f>IF(J63="","",IF(J63&lt;'Adjustment Surface'!C$7,EDATE(J$5,COUNT(J$5:J63)),IF(J63='Adjustment Surface'!C$7,'Adjustment Surface'!C$8,'Adjustment Surface'!C$7)))</f>
        <v/>
      </c>
      <c r="L63" s="3" t="str">
        <f t="shared" si="1"/>
        <v/>
      </c>
      <c r="M63" s="5" t="str">
        <f>IF(I63="","",(K63-'Rate &amp; Vol Update'!$C$2)/360)</f>
        <v/>
      </c>
      <c r="N63" s="15" t="str">
        <f>IF(I63="","",IF('Adjustment Surface'!C$3='Data Validation'!$C$2,'Adjustment Surface'!C$4,IF(INDEX(Schedules!$E$3:$E$123,MATCH('Bachelier Model'!J63,Schedules!$B$3:$B$123,0))="",N62,INDEX(Schedules!$E$3:$E$123,MATCH('Bachelier Model'!J63,Schedules!$B$3:$B$123,0)))))</f>
        <v/>
      </c>
      <c r="O63" s="16" t="str">
        <f>IF(I63="","",IF('Adjustment Surface'!C$9='Data Validation'!$D$2,'Adjustment Surface'!C$10,IF(INDEX(Schedules!$H$3:$H$123,MATCH('Bachelier Model'!J63,Schedules!$B$3:$B$123,0))="",O62,INDEX(Schedules!$H$3:$H$123,MATCH('Bachelier Model'!J63,Schedules!$B$3:$B$123,0)))))</f>
        <v/>
      </c>
      <c r="P63" s="16" t="str" cm="1">
        <f t="array" ref="P63">IF(I63="","",FORECAST(J63,INDEX('Rate &amp; Vol Update'!$C$6:$C$127,MATCH(INDEX('Rate &amp; Vol Update'!$B$6:$B$127,MATCH(J63,'Rate &amp; Vol Update'!$B$6:$B$127,1)),'Rate &amp; Vol Update'!$B$6:$B$127,0)+IF('Adjustment Surface'!C$11='Data Validation'!$E$3,-1,0)):INDEX('Rate &amp; Vol Update'!$C$6:$C$127,MATCH(INDEX('Rate &amp; Vol Update'!$B$6:$B$127,MATCH(J63,'Rate &amp; Vol Update'!$B$6:$B$127,1)+1),'Rate &amp; Vol Update'!$B$6:$B$127,0)+IF('Adjustment Surface'!C$11='Data Validation'!$E$3,-1,0)),INDEX('Rate &amp; Vol Update'!$B$6:$B$127,MATCH(J63,'Rate &amp; Vol Update'!$B$6:$B$127,1)):INDEX('Rate &amp; Vol Update'!$B$6:$B$127,MATCH(J63,'Rate &amp; Vol Update'!$B$6:$B$127,1)+1))/100)</f>
        <v/>
      </c>
      <c r="Q63" s="16" t="str" cm="1">
        <f t="array" ref="Q63">IF(I63="","",IF(J63&lt;'Rate &amp; Vol Update'!$C$2,0.001%,(1/((INDEX('Rate &amp; Vol Update'!$E$6:$Z$6,1,MATCH(O63,'Rate &amp; Vol Update'!$E$6:$Z$6,1)+1)-INDEX('Rate &amp; Vol Update'!$E$6:$Z$6,1,MATCH(O63,'Rate &amp; Vol Update'!$E$6:$Z$6,1)))*(INDEX('Rate &amp; Vol Update'!$B$8:$B$127,MATCH(J63,'Rate &amp; Vol Update'!$B$8:$B$127,1)+1)-INDEX('Rate &amp; Vol Update'!$B$8:$B$127,MATCH(J63,'Rate &amp; Vol Update'!$B$8:$B$127,1))))*(INDEX('Rate &amp; Vol Update'!$E$8:$Z$127,MATCH(INDEX('Rate &amp; Vol Update'!$B$8:$B$127,MATCH(J63,'Rate &amp; Vol Update'!$B$8:$B$127,1)),'Rate &amp; Vol Update'!$B$8:$B$127,0),MATCH(INDEX('Rate &amp; Vol Update'!$E$6:$Z$6,1,MATCH(O63,'Rate &amp; Vol Update'!$E$6:$Z$6,1)),'Rate &amp; Vol Update'!$E$6:$Z$6,0))*(INDEX('Rate &amp; Vol Update'!$E$6:$Z$6,1,MATCH(O63,'Rate &amp; Vol Update'!$E$6:$Z$6,1)+1)-O63)*(INDEX('Rate &amp; Vol Update'!$B$8:$B$127,MATCH(J63,'Rate &amp; Vol Update'!$B$8:$B$127,1)+1)-J63)+INDEX('Rate &amp; Vol Update'!$E$8:$Z$127,MATCH(INDEX('Rate &amp; Vol Update'!$B$8:$B$127,MATCH(J63,'Rate &amp; Vol Update'!$B$8:$B$127,1)),'Rate &amp; Vol Update'!$B$8:$B$127,0),MATCH(INDEX('Rate &amp; Vol Update'!$E$6:$Z$6,1,MATCH(O63,'Rate &amp; Vol Update'!$E$6:$Z$6,1)+1),'Rate &amp; Vol Update'!$E$6:$Z$6,0))*(O63-INDEX('Rate &amp; Vol Update'!$E$6:$Z$6,1,MATCH(O63,'Rate &amp; Vol Update'!$E$6:$Z$6,1)))*(INDEX('Rate &amp; Vol Update'!$B$8:$B$127,MATCH(J63,'Rate &amp; Vol Update'!$B$8:$B$127,1)+1)-J63)+INDEX('Rate &amp; Vol Update'!$E$8:$Z$127,MATCH(INDEX('Rate &amp; Vol Update'!$B$8:$B$127,MATCH(J63,'Rate &amp; Vol Update'!$B$8:$B$127,1)+1),'Rate &amp; Vol Update'!$B$8:$B$127,0),MATCH(INDEX('Rate &amp; Vol Update'!$E$6:$Z$6,1,MATCH(O63,'Rate &amp; Vol Update'!$E$6:$Z$6,1)),'Rate &amp; Vol Update'!$E$6:$Z$6,0))*(INDEX('Rate &amp; Vol Update'!$E$6:$Z$6,1,MATCH(O63,'Rate &amp; Vol Update'!$E$6:$Z$6,1)+1)-O63)*(J63-INDEX('Rate &amp; Vol Update'!$B$8:$B$127,MATCH(J63,'Rate &amp; Vol Update'!$B$8:$B$127,1)))+INDEX('Rate &amp; Vol Update'!$E$8:$Z$127,MATCH(INDEX('Rate &amp; Vol Update'!$B$8:$B$127,MATCH(J63,'Rate &amp; Vol Update'!$B$8:$B$127,1)+1),'Rate &amp; Vol Update'!$B$8:$B$127,0),MATCH(INDEX('Rate &amp; Vol Update'!$E$6:$Z$6,1,MATCH(O63,'Rate &amp; Vol Update'!$E$6:$Z$6,1)+1),'Rate &amp; Vol Update'!$E$6:$Z$6,0))*(O63-INDEX('Rate &amp; Vol Update'!$E$6:$Z$6,1,MATCH(O63,'Rate &amp; Vol Update'!$E$6:$Z$6,1)))*(J63-INDEX('Rate &amp; Vol Update'!$B$8:$B$127,MATCH(J63,'Rate &amp; Vol Update'!$B$8:$B$127,1)))))*0.01%))</f>
        <v/>
      </c>
      <c r="R63" s="5" t="str">
        <f>IF(I63="","",1/((1+P63)^((K63-'Rate &amp; Vol Update'!$C$2)/360)))</f>
        <v/>
      </c>
      <c r="T63" s="15" t="str">
        <f>IF(I63="","",IF(J63&lt;'Rate &amp; Vol Update'!$C$2,MAX(0,P63-O63)*(L63/360)*N63,(((IF('Adjustment Surface'!C$2='Data Validation'!$A$2,P63,IF('Adjustment Surface'!C$2='Data Validation'!$A$3,O63,"Unknown Option Type"))-IF('Adjustment Surface'!C$2='Data Validation'!$A$2,O63,IF('Adjustment Surface'!C$2='Data Validation'!$A$3,P63,"Unknown Option Type")))*(NORMDIST((IF('Adjustment Surface'!C$2='Data Validation'!$A$2,P63,IF('Adjustment Surface'!C$2='Data Validation'!$A$3,O63,"Unknown Option Type"))-IF('Adjustment Surface'!C$2='Data Validation'!$A$2,O63,IF('Adjustment Surface'!C$2='Data Validation'!$A$3,P63,"Unknown Option Type")))/(Q63*SQRT(M63)),0,1,TRUE)))+((Q63*SQRT(M63))*(NORMDIST((IF('Adjustment Surface'!C$2='Data Validation'!$A$2,P63,IF('Adjustment Surface'!C$2='Data Validation'!$A$3,O63,"Unknown Option Type"))-IF('Adjustment Surface'!C$2='Data Validation'!$A$2,O63,IF('Adjustment Surface'!C$2='Data Validation'!$A$3,P63,"Unknown Option Type")))/(Q63*SQRT(M63)),0,1,FALSE))))*R63*(L63/360)*N63))</f>
        <v/>
      </c>
      <c r="U63" s="15" t="str">
        <f>IF(I63="","",SUM(T$4:T63))</f>
        <v/>
      </c>
      <c r="W63" s="15" t="str">
        <f>IF(I63="","",IF(J63&lt;'Rate &amp; Vol Update'!$C$2,0,((((((IF('Adjustment Surface'!C$2='Data Validation'!$A$2,P63,IF('Adjustment Surface'!C$2='Data Validation'!$A$3,O63,"Unknown Option Type"))-IF('Adjustment Surface'!C$2='Data Validation'!$A$2,O63,IF('Adjustment Surface'!C$2='Data Validation'!$A$3,P63,"Unknown Option Type")))*(NORMDIST((IF('Adjustment Surface'!C$2='Data Validation'!$A$2,P63,IF('Adjustment Surface'!C$2='Data Validation'!$A$3,O63,"Unknown Option Type"))-IF('Adjustment Surface'!C$2='Data Validation'!$A$2,O63,IF('Adjustment Surface'!C$2='Data Validation'!$A$3,P63,"Unknown Option Type")))/((Q63+0.01%)*SQRT(M63)),0,1,TRUE)))+(((Q63+0.01%)*SQRT(M63))*(NORMDIST((IF('Adjustment Surface'!C$2='Data Validation'!$A$2,P63,IF('Adjustment Surface'!C$2='Data Validation'!$A$3,O63,"Unknown Option Type"))-IF('Adjustment Surface'!C$2='Data Validation'!$A$2,O63,IF('Adjustment Surface'!C$2='Data Validation'!$A$3,P63,"Unknown Option Type")))/((Q63+0.01%)*SQRT(M63)),0,1,FALSE))))*R63*(L63/360))-(T63/N63))*N63)*R63))</f>
        <v/>
      </c>
      <c r="X63" s="15" t="str">
        <f>IF(I63="","",SUM(W$4:W63))</f>
        <v/>
      </c>
      <c r="Y63" s="15"/>
      <c r="Z63" s="20"/>
      <c r="AB63" s="4" t="str">
        <f>IF(AC62=MAX('Adjustment Surface'!$C$14:$F$14),"",AC62)</f>
        <v/>
      </c>
      <c r="AC63" s="4" t="str">
        <f>IF(AB63="","",IF(AB63&lt;EDATE('Adjustment Surface'!$C$6,DATEDIF('Adjustment Surface'!$C$6,MAX('Adjustment Surface'!$C$14:$F$14),"M")),EDATE(AB$5,COUNT(AB$5:AB63)),IF(AB63=EDATE('Adjustment Surface'!$C$6,DATEDIF('Adjustment Surface'!$C$6,MAX('Adjustment Surface'!$C$14:$F$14),"M")),MAX('Adjustment Surface'!$C$14:$F$14),EDATE('Adjustment Surface'!$C$6,DATEDIF('Adjustment Surface'!$C$6,MAX('Adjustment Surface'!$C$14:$F$14),"M")))))</f>
        <v/>
      </c>
      <c r="AD63" s="3" t="str">
        <f t="shared" si="2"/>
        <v/>
      </c>
      <c r="AE63" s="5" t="str">
        <f>IF(AA63="","",(AC63-'Rate &amp; Vol Update'!$C$2)/360)</f>
        <v/>
      </c>
      <c r="AF63" s="15" t="str">
        <f>IF(AA63="","",IF('Adjustment Surface'!$C$3='Data Validation'!$C$2,'Adjustment Surface'!$C$4,_xlfn.IFNA(IF(INDEX(Schedules!$E$3:$E$123,MATCH('Bachelier Model'!AB63,Schedules!$B$3:$B$123,0))="",AF62,INDEX(Schedules!$E$3:$E$123,MATCH('Bachelier Model'!AB63,Schedules!$B$3:$B$123,0))),AF62)))</f>
        <v/>
      </c>
      <c r="AG63" s="16" t="str">
        <f>IF(AA63="","",'Adjustment Surface'!B$15)</f>
        <v/>
      </c>
      <c r="AH63" s="16" t="str" cm="1">
        <f t="array" ref="AH63">IF(AA63="","",FORECAST(AB63,INDEX('Rate &amp; Vol Update'!$C$6:$C$127,MATCH(INDEX('Rate &amp; Vol Update'!$B$6:$B$127,MATCH(AB63,'Rate &amp; Vol Update'!$B$6:$B$127,1)),'Rate &amp; Vol Update'!$B$6:$B$127,0)+IF('Adjustment Surface'!$C$11='Data Validation'!$E$3,-1,0)):INDEX('Rate &amp; Vol Update'!$C$6:$C$127,MATCH(INDEX('Rate &amp; Vol Update'!$B$6:$B$127,MATCH(AB63,'Rate &amp; Vol Update'!$B$6:$B$127,1)+1),'Rate &amp; Vol Update'!$B$6:$B$127,0)+IF('Adjustment Surface'!$C$11='Data Validation'!$E$3,-1,0)),INDEX('Rate &amp; Vol Update'!$B$6:$B$127,MATCH(AB63,'Rate &amp; Vol Update'!$B$6:$B$127,1)):INDEX('Rate &amp; Vol Update'!$B$6:$B$127,MATCH(AB63,'Rate &amp; Vol Update'!$B$6:$B$127,1)+1))/100)</f>
        <v/>
      </c>
      <c r="AI63" s="16" t="str" cm="1">
        <f t="array" ref="AI63">IF(AA63="","",IF(AB63&lt;'Rate &amp; Vol Update'!$C$2,0.001%,(1/((INDEX('Rate &amp; Vol Update'!$E$6:$Z$6,1,MATCH(AG63,'Rate &amp; Vol Update'!$E$6:$Z$6,1)+1)-INDEX('Rate &amp; Vol Update'!$E$6:$Z$6,1,MATCH(AG63,'Rate &amp; Vol Update'!$E$6:$Z$6,1)))*(INDEX('Rate &amp; Vol Update'!$B$8:$B$127,MATCH(AB63,'Rate &amp; Vol Update'!$B$8:$B$127,1)+1)-INDEX('Rate &amp; Vol Update'!$B$8:$B$127,MATCH(AB63,'Rate &amp; Vol Update'!$B$8:$B$127,1))))*(INDEX('Rate &amp; Vol Update'!$E$8:$Z$127,MATCH(INDEX('Rate &amp; Vol Update'!$B$8:$B$127,MATCH(AB63,'Rate &amp; Vol Update'!$B$8:$B$127,1)),'Rate &amp; Vol Update'!$B$8:$B$127,0),MATCH(INDEX('Rate &amp; Vol Update'!$E$6:$Z$6,1,MATCH(AG63,'Rate &amp; Vol Update'!$E$6:$Z$6,1)),'Rate &amp; Vol Update'!$E$6:$Z$6,0))*(INDEX('Rate &amp; Vol Update'!$E$6:$Z$6,1,MATCH(AG63,'Rate &amp; Vol Update'!$E$6:$Z$6,1)+1)-AG63)*(INDEX('Rate &amp; Vol Update'!$B$8:$B$127,MATCH(AB63,'Rate &amp; Vol Update'!$B$8:$B$127,1)+1)-AB63)+INDEX('Rate &amp; Vol Update'!$E$8:$Z$127,MATCH(INDEX('Rate &amp; Vol Update'!$B$8:$B$127,MATCH(AB63,'Rate &amp; Vol Update'!$B$8:$B$127,1)),'Rate &amp; Vol Update'!$B$8:$B$127,0),MATCH(INDEX('Rate &amp; Vol Update'!$E$6:$Z$6,1,MATCH(AG63,'Rate &amp; Vol Update'!$E$6:$Z$6,1)+1),'Rate &amp; Vol Update'!$E$6:$Z$6,0))*(AG63-INDEX('Rate &amp; Vol Update'!$E$6:$Z$6,1,MATCH(AG63,'Rate &amp; Vol Update'!$E$6:$Z$6,1)))*(INDEX('Rate &amp; Vol Update'!$B$8:$B$127,MATCH(AB63,'Rate &amp; Vol Update'!$B$8:$B$127,1)+1)-AB63)+INDEX('Rate &amp; Vol Update'!$E$8:$Z$127,MATCH(INDEX('Rate &amp; Vol Update'!$B$8:$B$127,MATCH(AB63,'Rate &amp; Vol Update'!$B$8:$B$127,1)+1),'Rate &amp; Vol Update'!$B$8:$B$127,0),MATCH(INDEX('Rate &amp; Vol Update'!$E$6:$Z$6,1,MATCH(AG63,'Rate &amp; Vol Update'!$E$6:$Z$6,1)),'Rate &amp; Vol Update'!$E$6:$Z$6,0))*(INDEX('Rate &amp; Vol Update'!$E$6:$Z$6,1,MATCH(AG63,'Rate &amp; Vol Update'!$E$6:$Z$6,1)+1)-AG63)*(AB63-INDEX('Rate &amp; Vol Update'!$B$8:$B$127,MATCH(AB63,'Rate &amp; Vol Update'!$B$8:$B$127,1)))+INDEX('Rate &amp; Vol Update'!$E$8:$Z$127,MATCH(INDEX('Rate &amp; Vol Update'!$B$8:$B$127,MATCH(AB63,'Rate &amp; Vol Update'!$B$8:$B$127,1)+1),'Rate &amp; Vol Update'!$B$8:$B$127,0),MATCH(INDEX('Rate &amp; Vol Update'!$E$6:$Z$6,1,MATCH(AG63,'Rate &amp; Vol Update'!$E$6:$Z$6,1)+1),'Rate &amp; Vol Update'!$E$6:$Z$6,0))*(AG63-INDEX('Rate &amp; Vol Update'!$E$6:$Z$6,1,MATCH(AG63,'Rate &amp; Vol Update'!$E$6:$Z$6,1)))*(AB63-INDEX('Rate &amp; Vol Update'!$B$8:$B$127,MATCH(AB63,'Rate &amp; Vol Update'!$B$8:$B$127,1)))))*0.01%))</f>
        <v/>
      </c>
      <c r="AJ63" s="5" t="str">
        <f>IF(AA63="","",1/((1+AH63)^((AC63-'Rate &amp; Vol Update'!$C$2)/360)))</f>
        <v/>
      </c>
      <c r="AL63" s="15" t="str">
        <f>IF(AA63="","",IF(AB63&lt;'Rate &amp; Vol Update'!$C$2,MAX(0,AH63-AG63)*(AD63/360)*AF63,(((IF('Adjustment Surface'!$C$2='Data Validation'!$A$2,AH63,IF('Adjustment Surface'!$C$2='Data Validation'!$A$3,AG63,"Unknown Option Type"))-IF('Adjustment Surface'!$C$2='Data Validation'!$A$2,AG63,IF('Adjustment Surface'!$C$2='Data Validation'!$A$3,AH63,"Unknown Option Type")))*(NORMDIST((IF('Adjustment Surface'!$C$2='Data Validation'!$A$2,AH63,IF('Adjustment Surface'!$C$2='Data Validation'!$A$3,AG63,"Unknown Option Type"))-IF('Adjustment Surface'!$C$2='Data Validation'!$A$2,AG63,IF('Adjustment Surface'!$C$2='Data Validation'!$A$3,AH63,"Unknown Option Type")))/(AI63*SQRT(AE63)),0,1,TRUE)))+((AI63*SQRT(AE63))*(NORMDIST((IF('Adjustment Surface'!$C$2='Data Validation'!$A$2,AH63,IF('Adjustment Surface'!$C$2='Data Validation'!$A$3,AG63,"Unknown Option Type"))-IF('Adjustment Surface'!$C$2='Data Validation'!$A$2,AG63,IF('Adjustment Surface'!$C$2='Data Validation'!$A$3,AH63,"Unknown Option Type")))/(AI63*SQRT(AE63)),0,1,FALSE))))*AJ63*(AD63/360)*AF63))</f>
        <v/>
      </c>
      <c r="AM63" s="15" t="str">
        <f>IF(AA63="","",SUM(AL$4:AL63))</f>
        <v/>
      </c>
      <c r="AO63" s="15" t="str">
        <f>IF(AA63="","",IF(AB63&lt;'Rate &amp; Vol Update'!$C$2,0,((((((IF('Adjustment Surface'!$C$2='Data Validation'!$A$2,AH63,IF('Adjustment Surface'!$C$2='Data Validation'!$A$3,AG63,"Unknown Option Type"))-IF('Adjustment Surface'!$C$2='Data Validation'!$A$2,AG63,IF('Adjustment Surface'!$C$2='Data Validation'!$A$3,AH63,"Unknown Option Type")))*(NORMDIST((IF('Adjustment Surface'!$C$2='Data Validation'!$A$2,AH63,IF('Adjustment Surface'!$C$2='Data Validation'!$A$3,AG63,"Unknown Option Type"))-IF('Adjustment Surface'!$C$2='Data Validation'!$A$2,AG63,IF('Adjustment Surface'!$C$2='Data Validation'!$A$3,AH63,"Unknown Option Type")))/((AI63+0.01%)*SQRT(AE63)),0,1,TRUE)))+(((AI63+0.01%)*SQRT(AE63))*(NORMDIST((IF('Adjustment Surface'!$C$2='Data Validation'!$A$2,AH63,IF('Adjustment Surface'!$C$2='Data Validation'!$A$3,AG63,"Unknown Option Type"))-IF('Adjustment Surface'!$C$2='Data Validation'!$A$2,AG63,IF('Adjustment Surface'!$C$2='Data Validation'!$A$3,AH63,"Unknown Option Type")))/((AI63+0.01%)*SQRT(AE63)),0,1,FALSE))))*AJ63*(AD63/360))-(AL63/AF63))*AF63)*AJ63))</f>
        <v/>
      </c>
      <c r="AP63" s="15" t="str">
        <f>IF(AA63="","",SUM(AO$4:AO63))</f>
        <v/>
      </c>
      <c r="AQ63" s="15"/>
      <c r="AR63" s="20"/>
      <c r="AT63" s="4" t="str">
        <f>IF(AU62=MAX('Adjustment Surface'!$C$14:$F$14),"",AU62)</f>
        <v/>
      </c>
      <c r="AU63" s="4" t="str">
        <f>IF(AT63="","",IF(AT63&lt;EDATE('Adjustment Surface'!$C$6,DATEDIF('Adjustment Surface'!$C$6,MAX('Adjustment Surface'!$C$14:$F$14),"M")),EDATE(AT$5,COUNT(AT$5:AT63)),IF(AT63=EDATE('Adjustment Surface'!$C$6,DATEDIF('Adjustment Surface'!$C$6,MAX('Adjustment Surface'!$C$14:$F$14),"M")),MAX('Adjustment Surface'!$C$14:$F$14),EDATE('Adjustment Surface'!$C$6,DATEDIF('Adjustment Surface'!$C$6,MAX('Adjustment Surface'!$C$14:$F$14),"M")))))</f>
        <v/>
      </c>
      <c r="AV63" s="3" t="str">
        <f t="shared" si="3"/>
        <v/>
      </c>
      <c r="AW63" s="5" t="str">
        <f>IF(AS63="","",(AU63-'Rate &amp; Vol Update'!$C$2)/360)</f>
        <v/>
      </c>
      <c r="AX63" s="15" t="str">
        <f>IF(AS63="","",IF('Adjustment Surface'!$C$3='Data Validation'!$C$2,'Adjustment Surface'!$C$4,_xlfn.IFNA(IF(INDEX(Schedules!$E$3:$E$123,MATCH('Bachelier Model'!AT63,Schedules!$B$3:$B$123,0))="",AX62,INDEX(Schedules!$E$3:$E$123,MATCH('Bachelier Model'!AT63,Schedules!$B$3:$B$123,0))),AX62)))</f>
        <v/>
      </c>
      <c r="AY63" s="16" t="str">
        <f>IF(AS63="","",'Adjustment Surface'!B$16)</f>
        <v/>
      </c>
      <c r="AZ63" s="16" t="str" cm="1">
        <f t="array" ref="AZ63">IF(AS63="","",FORECAST(AT63,INDEX('Rate &amp; Vol Update'!$C$6:$C$127,MATCH(INDEX('Rate &amp; Vol Update'!$B$6:$B$127,MATCH(AT63,'Rate &amp; Vol Update'!$B$6:$B$127,1)),'Rate &amp; Vol Update'!$B$6:$B$127,0)+IF('Adjustment Surface'!$C$11='Data Validation'!$E$3,-1,0)):INDEX('Rate &amp; Vol Update'!$C$6:$C$127,MATCH(INDEX('Rate &amp; Vol Update'!$B$6:$B$127,MATCH(AT63,'Rate &amp; Vol Update'!$B$6:$B$127,1)+1),'Rate &amp; Vol Update'!$B$6:$B$127,0)+IF('Adjustment Surface'!$C$11='Data Validation'!$E$3,-1,0)),INDEX('Rate &amp; Vol Update'!$B$6:$B$127,MATCH(AT63,'Rate &amp; Vol Update'!$B$6:$B$127,1)):INDEX('Rate &amp; Vol Update'!$B$6:$B$127,MATCH(AT63,'Rate &amp; Vol Update'!$B$6:$B$127,1)+1))/100)</f>
        <v/>
      </c>
      <c r="BA63" s="16" t="str" cm="1">
        <f t="array" ref="BA63">IF(AS63="","",IF(AT63&lt;'Rate &amp; Vol Update'!$C$2,0.001%,(1/((INDEX('Rate &amp; Vol Update'!$E$6:$Z$6,1,MATCH(AY63,'Rate &amp; Vol Update'!$E$6:$Z$6,1)+1)-INDEX('Rate &amp; Vol Update'!$E$6:$Z$6,1,MATCH(AY63,'Rate &amp; Vol Update'!$E$6:$Z$6,1)))*(INDEX('Rate &amp; Vol Update'!$B$8:$B$127,MATCH(AT63,'Rate &amp; Vol Update'!$B$8:$B$127,1)+1)-INDEX('Rate &amp; Vol Update'!$B$8:$B$127,MATCH(AT63,'Rate &amp; Vol Update'!$B$8:$B$127,1))))*(INDEX('Rate &amp; Vol Update'!$E$8:$Z$127,MATCH(INDEX('Rate &amp; Vol Update'!$B$8:$B$127,MATCH(AT63,'Rate &amp; Vol Update'!$B$8:$B$127,1)),'Rate &amp; Vol Update'!$B$8:$B$127,0),MATCH(INDEX('Rate &amp; Vol Update'!$E$6:$Z$6,1,MATCH(AY63,'Rate &amp; Vol Update'!$E$6:$Z$6,1)),'Rate &amp; Vol Update'!$E$6:$Z$6,0))*(INDEX('Rate &amp; Vol Update'!$E$6:$Z$6,1,MATCH(AY63,'Rate &amp; Vol Update'!$E$6:$Z$6,1)+1)-AY63)*(INDEX('Rate &amp; Vol Update'!$B$8:$B$127,MATCH(AT63,'Rate &amp; Vol Update'!$B$8:$B$127,1)+1)-AT63)+INDEX('Rate &amp; Vol Update'!$E$8:$Z$127,MATCH(INDEX('Rate &amp; Vol Update'!$B$8:$B$127,MATCH(AT63,'Rate &amp; Vol Update'!$B$8:$B$127,1)),'Rate &amp; Vol Update'!$B$8:$B$127,0),MATCH(INDEX('Rate &amp; Vol Update'!$E$6:$Z$6,1,MATCH(AY63,'Rate &amp; Vol Update'!$E$6:$Z$6,1)+1),'Rate &amp; Vol Update'!$E$6:$Z$6,0))*(AY63-INDEX('Rate &amp; Vol Update'!$E$6:$Z$6,1,MATCH(AY63,'Rate &amp; Vol Update'!$E$6:$Z$6,1)))*(INDEX('Rate &amp; Vol Update'!$B$8:$B$127,MATCH(AT63,'Rate &amp; Vol Update'!$B$8:$B$127,1)+1)-AT63)+INDEX('Rate &amp; Vol Update'!$E$8:$Z$127,MATCH(INDEX('Rate &amp; Vol Update'!$B$8:$B$127,MATCH(AT63,'Rate &amp; Vol Update'!$B$8:$B$127,1)+1),'Rate &amp; Vol Update'!$B$8:$B$127,0),MATCH(INDEX('Rate &amp; Vol Update'!$E$6:$Z$6,1,MATCH(AY63,'Rate &amp; Vol Update'!$E$6:$Z$6,1)),'Rate &amp; Vol Update'!$E$6:$Z$6,0))*(INDEX('Rate &amp; Vol Update'!$E$6:$Z$6,1,MATCH(AY63,'Rate &amp; Vol Update'!$E$6:$Z$6,1)+1)-AY63)*(AT63-INDEX('Rate &amp; Vol Update'!$B$8:$B$127,MATCH(AT63,'Rate &amp; Vol Update'!$B$8:$B$127,1)))+INDEX('Rate &amp; Vol Update'!$E$8:$Z$127,MATCH(INDEX('Rate &amp; Vol Update'!$B$8:$B$127,MATCH(AT63,'Rate &amp; Vol Update'!$B$8:$B$127,1)+1),'Rate &amp; Vol Update'!$B$8:$B$127,0),MATCH(INDEX('Rate &amp; Vol Update'!$E$6:$Z$6,1,MATCH(AY63,'Rate &amp; Vol Update'!$E$6:$Z$6,1)+1),'Rate &amp; Vol Update'!$E$6:$Z$6,0))*(AY63-INDEX('Rate &amp; Vol Update'!$E$6:$Z$6,1,MATCH(AY63,'Rate &amp; Vol Update'!$E$6:$Z$6,1)))*(AT63-INDEX('Rate &amp; Vol Update'!$B$8:$B$127,MATCH(AT63,'Rate &amp; Vol Update'!$B$8:$B$127,1)))))*0.01%))</f>
        <v/>
      </c>
      <c r="BB63" s="5" t="str">
        <f>IF(AS63="","",1/((1+AZ63)^((AU63-'Rate &amp; Vol Update'!$C$2)/360)))</f>
        <v/>
      </c>
      <c r="BD63" s="15" t="str">
        <f>IF(AS63="","",IF(AT63&lt;'Rate &amp; Vol Update'!$C$2,MAX(0,AZ63-AY63)*(AV63/360)*AX63,(((IF('Adjustment Surface'!$C$2='Data Validation'!$A$2,AZ63,IF('Adjustment Surface'!$C$2='Data Validation'!$A$3,AY63,"Unknown Option Type"))-IF('Adjustment Surface'!$C$2='Data Validation'!$A$2,AY63,IF('Adjustment Surface'!$C$2='Data Validation'!$A$3,AZ63,"Unknown Option Type")))*(NORMDIST((IF('Adjustment Surface'!$C$2='Data Validation'!$A$2,AZ63,IF('Adjustment Surface'!$C$2='Data Validation'!$A$3,AY63,"Unknown Option Type"))-IF('Adjustment Surface'!$C$2='Data Validation'!$A$2,AY63,IF('Adjustment Surface'!$C$2='Data Validation'!$A$3,AZ63,"Unknown Option Type")))/(BA63*SQRT(AW63)),0,1,TRUE)))+((BA63*SQRT(AW63))*(NORMDIST((IF('Adjustment Surface'!$C$2='Data Validation'!$A$2,AZ63,IF('Adjustment Surface'!$C$2='Data Validation'!$A$3,AY63,"Unknown Option Type"))-IF('Adjustment Surface'!$C$2='Data Validation'!$A$2,AY63,IF('Adjustment Surface'!$C$2='Data Validation'!$A$3,AZ63,"Unknown Option Type")))/(BA63*SQRT(AW63)),0,1,FALSE))))*BB63*(AV63/360)*AX63))</f>
        <v/>
      </c>
      <c r="BE63" s="15" t="str">
        <f>IF(AS63="","",SUM(BD$4:BD63))</f>
        <v/>
      </c>
      <c r="BG63" s="15" t="str">
        <f>IF(AS63="","",IF(AT63&lt;'Rate &amp; Vol Update'!$C$2,0,((((((IF('Adjustment Surface'!$C$2='Data Validation'!$A$2,AZ63,IF('Adjustment Surface'!$C$2='Data Validation'!$A$3,AY63,"Unknown Option Type"))-IF('Adjustment Surface'!$C$2='Data Validation'!$A$2,AY63,IF('Adjustment Surface'!$C$2='Data Validation'!$A$3,AZ63,"Unknown Option Type")))*(NORMDIST((IF('Adjustment Surface'!$C$2='Data Validation'!$A$2,AZ63,IF('Adjustment Surface'!$C$2='Data Validation'!$A$3,AY63,"Unknown Option Type"))-IF('Adjustment Surface'!$C$2='Data Validation'!$A$2,AY63,IF('Adjustment Surface'!$C$2='Data Validation'!$A$3,AZ63,"Unknown Option Type")))/((BA63+0.01%)*SQRT(AW63)),0,1,TRUE)))+(((BA63+0.01%)*SQRT(AW63))*(NORMDIST((IF('Adjustment Surface'!$C$2='Data Validation'!$A$2,AZ63,IF('Adjustment Surface'!$C$2='Data Validation'!$A$3,AY63,"Unknown Option Type"))-IF('Adjustment Surface'!$C$2='Data Validation'!$A$2,AY63,IF('Adjustment Surface'!$C$2='Data Validation'!$A$3,AZ63,"Unknown Option Type")))/((BA63+0.01%)*SQRT(AW63)),0,1,FALSE))))*BB63*(AV63/360))-(BD63/AX63))*AX63)*BB63))</f>
        <v/>
      </c>
      <c r="BH63" s="15" t="str">
        <f>IF(AS63="","",SUM(BG$4:BG63))</f>
        <v/>
      </c>
      <c r="BI63" s="15"/>
      <c r="BJ63" s="20"/>
      <c r="BL63" s="4" t="str">
        <f>IF(BM62=MAX('Adjustment Surface'!$C$14:$F$14),"",BM62)</f>
        <v/>
      </c>
      <c r="BM63" s="4" t="str">
        <f>IF(BL63="","",IF(BL63&lt;EDATE('Adjustment Surface'!$C$6,DATEDIF('Adjustment Surface'!$C$6,MAX('Adjustment Surface'!$C$14:$F$14),"M")),EDATE(BL$5,COUNT(BL$5:BL63)),IF(BL63=EDATE('Adjustment Surface'!$C$6,DATEDIF('Adjustment Surface'!$C$6,MAX('Adjustment Surface'!$C$14:$F$14),"M")),MAX('Adjustment Surface'!$C$14:$F$14),EDATE('Adjustment Surface'!$C$6,DATEDIF('Adjustment Surface'!$C$6,MAX('Adjustment Surface'!$C$14:$F$14),"M")))))</f>
        <v/>
      </c>
      <c r="BN63" s="3" t="str">
        <f t="shared" si="4"/>
        <v/>
      </c>
      <c r="BO63" s="5" t="str">
        <f>IF(BK63="","",(BM63-'Rate &amp; Vol Update'!$C$2)/360)</f>
        <v/>
      </c>
      <c r="BP63" s="15" t="str">
        <f>IF(BK63="","",IF('Adjustment Surface'!$C$3='Data Validation'!$C$2,'Adjustment Surface'!$C$4,_xlfn.IFNA(IF(INDEX(Schedules!$E$3:$E$123,MATCH('Bachelier Model'!BL63,Schedules!$B$3:$B$123,0))="",BP62,INDEX(Schedules!$E$3:$E$123,MATCH('Bachelier Model'!BL63,Schedules!$B$3:$B$123,0))),BP62)))</f>
        <v/>
      </c>
      <c r="BQ63" s="16" t="str">
        <f>IF(BK63="","",'Adjustment Surface'!B$17)</f>
        <v/>
      </c>
      <c r="BR63" s="16" t="str" cm="1">
        <f t="array" ref="BR63">IF(BK63="","",FORECAST(BL63,INDEX('Rate &amp; Vol Update'!$C$6:$C$127,MATCH(INDEX('Rate &amp; Vol Update'!$B$6:$B$127,MATCH(BL63,'Rate &amp; Vol Update'!$B$6:$B$127,1)),'Rate &amp; Vol Update'!$B$6:$B$127,0)+IF('Adjustment Surface'!$C$11='Data Validation'!$E$3,-1,0)):INDEX('Rate &amp; Vol Update'!$C$6:$C$127,MATCH(INDEX('Rate &amp; Vol Update'!$B$6:$B$127,MATCH(BL63,'Rate &amp; Vol Update'!$B$6:$B$127,1)+1),'Rate &amp; Vol Update'!$B$6:$B$127,0)+IF('Adjustment Surface'!$C$11='Data Validation'!$E$3,-1,0)),INDEX('Rate &amp; Vol Update'!$B$6:$B$127,MATCH(BL63,'Rate &amp; Vol Update'!$B$6:$B$127,1)):INDEX('Rate &amp; Vol Update'!$B$6:$B$127,MATCH(BL63,'Rate &amp; Vol Update'!$B$6:$B$127,1)+1))/100)</f>
        <v/>
      </c>
      <c r="BS63" s="16" t="str" cm="1">
        <f t="array" ref="BS63">IF(BK63="","",IF(BL63&lt;'Rate &amp; Vol Update'!$C$2,0.001%,(1/((INDEX('Rate &amp; Vol Update'!$E$6:$Z$6,1,MATCH(BQ63,'Rate &amp; Vol Update'!$E$6:$Z$6,1)+1)-INDEX('Rate &amp; Vol Update'!$E$6:$Z$6,1,MATCH(BQ63,'Rate &amp; Vol Update'!$E$6:$Z$6,1)))*(INDEX('Rate &amp; Vol Update'!$B$8:$B$127,MATCH(BL63,'Rate &amp; Vol Update'!$B$8:$B$127,1)+1)-INDEX('Rate &amp; Vol Update'!$B$8:$B$127,MATCH(BL63,'Rate &amp; Vol Update'!$B$8:$B$127,1))))*(INDEX('Rate &amp; Vol Update'!$E$8:$Z$127,MATCH(INDEX('Rate &amp; Vol Update'!$B$8:$B$127,MATCH(BL63,'Rate &amp; Vol Update'!$B$8:$B$127,1)),'Rate &amp; Vol Update'!$B$8:$B$127,0),MATCH(INDEX('Rate &amp; Vol Update'!$E$6:$Z$6,1,MATCH(BQ63,'Rate &amp; Vol Update'!$E$6:$Z$6,1)),'Rate &amp; Vol Update'!$E$6:$Z$6,0))*(INDEX('Rate &amp; Vol Update'!$E$6:$Z$6,1,MATCH(BQ63,'Rate &amp; Vol Update'!$E$6:$Z$6,1)+1)-BQ63)*(INDEX('Rate &amp; Vol Update'!$B$8:$B$127,MATCH(BL63,'Rate &amp; Vol Update'!$B$8:$B$127,1)+1)-BL63)+INDEX('Rate &amp; Vol Update'!$E$8:$Z$127,MATCH(INDEX('Rate &amp; Vol Update'!$B$8:$B$127,MATCH(BL63,'Rate &amp; Vol Update'!$B$8:$B$127,1)),'Rate &amp; Vol Update'!$B$8:$B$127,0),MATCH(INDEX('Rate &amp; Vol Update'!$E$6:$Z$6,1,MATCH(BQ63,'Rate &amp; Vol Update'!$E$6:$Z$6,1)+1),'Rate &amp; Vol Update'!$E$6:$Z$6,0))*(BQ63-INDEX('Rate &amp; Vol Update'!$E$6:$Z$6,1,MATCH(BQ63,'Rate &amp; Vol Update'!$E$6:$Z$6,1)))*(INDEX('Rate &amp; Vol Update'!$B$8:$B$127,MATCH(BL63,'Rate &amp; Vol Update'!$B$8:$B$127,1)+1)-BL63)+INDEX('Rate &amp; Vol Update'!$E$8:$Z$127,MATCH(INDEX('Rate &amp; Vol Update'!$B$8:$B$127,MATCH(BL63,'Rate &amp; Vol Update'!$B$8:$B$127,1)+1),'Rate &amp; Vol Update'!$B$8:$B$127,0),MATCH(INDEX('Rate &amp; Vol Update'!$E$6:$Z$6,1,MATCH(BQ63,'Rate &amp; Vol Update'!$E$6:$Z$6,1)),'Rate &amp; Vol Update'!$E$6:$Z$6,0))*(INDEX('Rate &amp; Vol Update'!$E$6:$Z$6,1,MATCH(BQ63,'Rate &amp; Vol Update'!$E$6:$Z$6,1)+1)-BQ63)*(BL63-INDEX('Rate &amp; Vol Update'!$B$8:$B$127,MATCH(BL63,'Rate &amp; Vol Update'!$B$8:$B$127,1)))+INDEX('Rate &amp; Vol Update'!$E$8:$Z$127,MATCH(INDEX('Rate &amp; Vol Update'!$B$8:$B$127,MATCH(BL63,'Rate &amp; Vol Update'!$B$8:$B$127,1)+1),'Rate &amp; Vol Update'!$B$8:$B$127,0),MATCH(INDEX('Rate &amp; Vol Update'!$E$6:$Z$6,1,MATCH(BQ63,'Rate &amp; Vol Update'!$E$6:$Z$6,1)+1),'Rate &amp; Vol Update'!$E$6:$Z$6,0))*(BQ63-INDEX('Rate &amp; Vol Update'!$E$6:$Z$6,1,MATCH(BQ63,'Rate &amp; Vol Update'!$E$6:$Z$6,1)))*(BL63-INDEX('Rate &amp; Vol Update'!$B$8:$B$127,MATCH(BL63,'Rate &amp; Vol Update'!$B$8:$B$127,1)))))*0.01%))</f>
        <v/>
      </c>
      <c r="BT63" s="5" t="str">
        <f>IF(BK63="","",1/((1+BR63)^((BM63-'Rate &amp; Vol Update'!$C$2)/360)))</f>
        <v/>
      </c>
      <c r="BV63" s="15" t="str">
        <f>IF(BK63="","",IF(BL63&lt;'Rate &amp; Vol Update'!$C$2,MAX(0,BR63-BQ63)*(BN63/360)*BP63,(((IF('Adjustment Surface'!$C$2='Data Validation'!$A$2,BR63,IF('Adjustment Surface'!$C$2='Data Validation'!$A$3,BQ63,"Unknown Option Type"))-IF('Adjustment Surface'!$C$2='Data Validation'!$A$2,BQ63,IF('Adjustment Surface'!$C$2='Data Validation'!$A$3,BR63,"Unknown Option Type")))*(NORMDIST((IF('Adjustment Surface'!$C$2='Data Validation'!$A$2,BR63,IF('Adjustment Surface'!$C$2='Data Validation'!$A$3,BQ63,"Unknown Option Type"))-IF('Adjustment Surface'!$C$2='Data Validation'!$A$2,BQ63,IF('Adjustment Surface'!$C$2='Data Validation'!$A$3,BR63,"Unknown Option Type")))/(BS63*SQRT(BO63)),0,1,TRUE)))+((BS63*SQRT(BO63))*(NORMDIST((IF('Adjustment Surface'!$C$2='Data Validation'!$A$2,BR63,IF('Adjustment Surface'!$C$2='Data Validation'!$A$3,BQ63,"Unknown Option Type"))-IF('Adjustment Surface'!$C$2='Data Validation'!$A$2,BQ63,IF('Adjustment Surface'!$C$2='Data Validation'!$A$3,BR63,"Unknown Option Type")))/(BS63*SQRT(BO63)),0,1,FALSE))))*BT63*(BN63/360)*BP63))</f>
        <v/>
      </c>
      <c r="BW63" s="15" t="str">
        <f>IF(BK63="","",SUM(BV$4:BV63))</f>
        <v/>
      </c>
      <c r="BY63" s="15" t="str">
        <f>IF(BK63="","",IF(BL63&lt;'Rate &amp; Vol Update'!$C$2,0,((((((IF('Adjustment Surface'!$C$2='Data Validation'!$A$2,BR63,IF('Adjustment Surface'!$C$2='Data Validation'!$A$3,BQ63,"Unknown Option Type"))-IF('Adjustment Surface'!$C$2='Data Validation'!$A$2,BQ63,IF('Adjustment Surface'!$C$2='Data Validation'!$A$3,BR63,"Unknown Option Type")))*(NORMDIST((IF('Adjustment Surface'!$C$2='Data Validation'!$A$2,BR63,IF('Adjustment Surface'!$C$2='Data Validation'!$A$3,BQ63,"Unknown Option Type"))-IF('Adjustment Surface'!$C$2='Data Validation'!$A$2,BQ63,IF('Adjustment Surface'!$C$2='Data Validation'!$A$3,BR63,"Unknown Option Type")))/((BS63+0.01%)*SQRT(BO63)),0,1,TRUE)))+(((BS63+0.01%)*SQRT(BO63))*(NORMDIST((IF('Adjustment Surface'!$C$2='Data Validation'!$A$2,BR63,IF('Adjustment Surface'!$C$2='Data Validation'!$A$3,BQ63,"Unknown Option Type"))-IF('Adjustment Surface'!$C$2='Data Validation'!$A$2,BQ63,IF('Adjustment Surface'!$C$2='Data Validation'!$A$3,BR63,"Unknown Option Type")))/((BS63+0.01%)*SQRT(BO63)),0,1,FALSE))))*BT63*(BN63/360))-(BV63/BP63))*BP63)*BT63))</f>
        <v/>
      </c>
      <c r="BZ63" s="15" t="str">
        <f>IF(BK63="","",SUM(BY$4:BY63))</f>
        <v/>
      </c>
      <c r="CA63" s="15"/>
      <c r="CB63" s="20"/>
      <c r="CD63" s="4" t="str">
        <f>IF(CE62=MAX('Adjustment Surface'!$C$14:$F$14),"",CE62)</f>
        <v/>
      </c>
      <c r="CE63" s="4" t="str">
        <f>IF(CD63="","",IF(CD63&lt;EDATE('Adjustment Surface'!$C$6,DATEDIF('Adjustment Surface'!$C$6,MAX('Adjustment Surface'!$C$14:$F$14),"M")),EDATE(CD$5,COUNT(CD$5:CD63)),IF(CD63=EDATE('Adjustment Surface'!$C$6,DATEDIF('Adjustment Surface'!$C$6,MAX('Adjustment Surface'!$C$14:$F$14),"M")),MAX('Adjustment Surface'!$C$14:$F$14),EDATE('Adjustment Surface'!$C$6,DATEDIF('Adjustment Surface'!$C$6,MAX('Adjustment Surface'!$C$14:$F$14),"M")))))</f>
        <v/>
      </c>
      <c r="CF63" s="3" t="str">
        <f t="shared" si="5"/>
        <v/>
      </c>
      <c r="CG63" s="5" t="str">
        <f>IF(CC63="","",(CE63-'Rate &amp; Vol Update'!$C$2)/360)</f>
        <v/>
      </c>
      <c r="CH63" s="15" t="str">
        <f>IF(CC63="","",IF('Adjustment Surface'!$C$3='Data Validation'!$C$2,'Adjustment Surface'!$C$4,_xlfn.IFNA(IF(INDEX(Schedules!$E$3:$E$123,MATCH('Bachelier Model'!CD63,Schedules!$B$3:$B$123,0))="",CH62,INDEX(Schedules!$E$3:$E$123,MATCH('Bachelier Model'!CD63,Schedules!$B$3:$B$123,0))),CH62)))</f>
        <v/>
      </c>
      <c r="CI63" s="16" t="str">
        <f>IF(CC63="","",'Adjustment Surface'!B$18)</f>
        <v/>
      </c>
      <c r="CJ63" s="16" t="str" cm="1">
        <f t="array" ref="CJ63">IF(CC63="","",FORECAST(CD63,INDEX('Rate &amp; Vol Update'!$C$6:$C$127,MATCH(INDEX('Rate &amp; Vol Update'!$B$6:$B$127,MATCH(CD63,'Rate &amp; Vol Update'!$B$6:$B$127,1)),'Rate &amp; Vol Update'!$B$6:$B$127,0)+IF('Adjustment Surface'!$C$11='Data Validation'!$E$3,-1,0)):INDEX('Rate &amp; Vol Update'!$C$6:$C$127,MATCH(INDEX('Rate &amp; Vol Update'!$B$6:$B$127,MATCH(CD63,'Rate &amp; Vol Update'!$B$6:$B$127,1)+1),'Rate &amp; Vol Update'!$B$6:$B$127,0)+IF('Adjustment Surface'!$C$11='Data Validation'!$E$3,-1,0)),INDEX('Rate &amp; Vol Update'!$B$6:$B$127,MATCH(CD63,'Rate &amp; Vol Update'!$B$6:$B$127,1)):INDEX('Rate &amp; Vol Update'!$B$6:$B$127,MATCH(CD63,'Rate &amp; Vol Update'!$B$6:$B$127,1)+1))/100)</f>
        <v/>
      </c>
      <c r="CK63" s="16" t="str" cm="1">
        <f t="array" ref="CK63">IF(CC63="","",IF(CD63&lt;'Rate &amp; Vol Update'!$C$2,0.001%,(1/((INDEX('Rate &amp; Vol Update'!$E$6:$Z$6,1,MATCH(CI63,'Rate &amp; Vol Update'!$E$6:$Z$6,1)+1)-INDEX('Rate &amp; Vol Update'!$E$6:$Z$6,1,MATCH(CI63,'Rate &amp; Vol Update'!$E$6:$Z$6,1)))*(INDEX('Rate &amp; Vol Update'!$B$8:$B$127,MATCH(CD63,'Rate &amp; Vol Update'!$B$8:$B$127,1)+1)-INDEX('Rate &amp; Vol Update'!$B$8:$B$127,MATCH(CD63,'Rate &amp; Vol Update'!$B$8:$B$127,1))))*(INDEX('Rate &amp; Vol Update'!$E$8:$Z$127,MATCH(INDEX('Rate &amp; Vol Update'!$B$8:$B$127,MATCH(CD63,'Rate &amp; Vol Update'!$B$8:$B$127,1)),'Rate &amp; Vol Update'!$B$8:$B$127,0),MATCH(INDEX('Rate &amp; Vol Update'!$E$6:$Z$6,1,MATCH(CI63,'Rate &amp; Vol Update'!$E$6:$Z$6,1)),'Rate &amp; Vol Update'!$E$6:$Z$6,0))*(INDEX('Rate &amp; Vol Update'!$E$6:$Z$6,1,MATCH(CI63,'Rate &amp; Vol Update'!$E$6:$Z$6,1)+1)-CI63)*(INDEX('Rate &amp; Vol Update'!$B$8:$B$127,MATCH(CD63,'Rate &amp; Vol Update'!$B$8:$B$127,1)+1)-CD63)+INDEX('Rate &amp; Vol Update'!$E$8:$Z$127,MATCH(INDEX('Rate &amp; Vol Update'!$B$8:$B$127,MATCH(CD63,'Rate &amp; Vol Update'!$B$8:$B$127,1)),'Rate &amp; Vol Update'!$B$8:$B$127,0),MATCH(INDEX('Rate &amp; Vol Update'!$E$6:$Z$6,1,MATCH(CI63,'Rate &amp; Vol Update'!$E$6:$Z$6,1)+1),'Rate &amp; Vol Update'!$E$6:$Z$6,0))*(CI63-INDEX('Rate &amp; Vol Update'!$E$6:$Z$6,1,MATCH(CI63,'Rate &amp; Vol Update'!$E$6:$Z$6,1)))*(INDEX('Rate &amp; Vol Update'!$B$8:$B$127,MATCH(CD63,'Rate &amp; Vol Update'!$B$8:$B$127,1)+1)-CD63)+INDEX('Rate &amp; Vol Update'!$E$8:$Z$127,MATCH(INDEX('Rate &amp; Vol Update'!$B$8:$B$127,MATCH(CD63,'Rate &amp; Vol Update'!$B$8:$B$127,1)+1),'Rate &amp; Vol Update'!$B$8:$B$127,0),MATCH(INDEX('Rate &amp; Vol Update'!$E$6:$Z$6,1,MATCH(CI63,'Rate &amp; Vol Update'!$E$6:$Z$6,1)),'Rate &amp; Vol Update'!$E$6:$Z$6,0))*(INDEX('Rate &amp; Vol Update'!$E$6:$Z$6,1,MATCH(CI63,'Rate &amp; Vol Update'!$E$6:$Z$6,1)+1)-CI63)*(CD63-INDEX('Rate &amp; Vol Update'!$B$8:$B$127,MATCH(CD63,'Rate &amp; Vol Update'!$B$8:$B$127,1)))+INDEX('Rate &amp; Vol Update'!$E$8:$Z$127,MATCH(INDEX('Rate &amp; Vol Update'!$B$8:$B$127,MATCH(CD63,'Rate &amp; Vol Update'!$B$8:$B$127,1)+1),'Rate &amp; Vol Update'!$B$8:$B$127,0),MATCH(INDEX('Rate &amp; Vol Update'!$E$6:$Z$6,1,MATCH(CI63,'Rate &amp; Vol Update'!$E$6:$Z$6,1)+1),'Rate &amp; Vol Update'!$E$6:$Z$6,0))*(CI63-INDEX('Rate &amp; Vol Update'!$E$6:$Z$6,1,MATCH(CI63,'Rate &amp; Vol Update'!$E$6:$Z$6,1)))*(CD63-INDEX('Rate &amp; Vol Update'!$B$8:$B$127,MATCH(CD63,'Rate &amp; Vol Update'!$B$8:$B$127,1)))))*0.01%))</f>
        <v/>
      </c>
      <c r="CL63" s="5" t="str">
        <f>IF(CC63="","",1/((1+CJ63)^((CE63-'Rate &amp; Vol Update'!$C$2)/360)))</f>
        <v/>
      </c>
      <c r="CN63" s="15" t="str">
        <f>IF(CC63="","",IF(CD63&lt;'Rate &amp; Vol Update'!$C$2,MAX(0,CJ63-CI63)*(CF63/360)*CH63,(((IF('Adjustment Surface'!$C$2='Data Validation'!$A$2,CJ63,IF('Adjustment Surface'!$C$2='Data Validation'!$A$3,CI63,"Unknown Option Type"))-IF('Adjustment Surface'!$C$2='Data Validation'!$A$2,CI63,IF('Adjustment Surface'!$C$2='Data Validation'!$A$3,CJ63,"Unknown Option Type")))*(NORMDIST((IF('Adjustment Surface'!$C$2='Data Validation'!$A$2,CJ63,IF('Adjustment Surface'!$C$2='Data Validation'!$A$3,CI63,"Unknown Option Type"))-IF('Adjustment Surface'!$C$2='Data Validation'!$A$2,CI63,IF('Adjustment Surface'!$C$2='Data Validation'!$A$3,CJ63,"Unknown Option Type")))/(CK63*SQRT(CG63)),0,1,TRUE)))+((CK63*SQRT(CG63))*(NORMDIST((IF('Adjustment Surface'!$C$2='Data Validation'!$A$2,CJ63,IF('Adjustment Surface'!$C$2='Data Validation'!$A$3,CI63,"Unknown Option Type"))-IF('Adjustment Surface'!$C$2='Data Validation'!$A$2,CI63,IF('Adjustment Surface'!$C$2='Data Validation'!$A$3,CJ63,"Unknown Option Type")))/(CK63*SQRT(CG63)),0,1,FALSE))))*CL63*(CF63/360)*CH63))</f>
        <v/>
      </c>
      <c r="CO63" s="15" t="str">
        <f>IF(CC63="","",SUM(CN$4:CN63))</f>
        <v/>
      </c>
      <c r="CQ63" s="15" t="str">
        <f>IF(CC63="","",IF(CD63&lt;'Rate &amp; Vol Update'!$C$2,0,((((((IF('Adjustment Surface'!$C$2='Data Validation'!$A$2,CJ63,IF('Adjustment Surface'!$C$2='Data Validation'!$A$3,CI63,"Unknown Option Type"))-IF('Adjustment Surface'!$C$2='Data Validation'!$A$2,CI63,IF('Adjustment Surface'!$C$2='Data Validation'!$A$3,CJ63,"Unknown Option Type")))*(NORMDIST((IF('Adjustment Surface'!$C$2='Data Validation'!$A$2,CJ63,IF('Adjustment Surface'!$C$2='Data Validation'!$A$3,CI63,"Unknown Option Type"))-IF('Adjustment Surface'!$C$2='Data Validation'!$A$2,CI63,IF('Adjustment Surface'!$C$2='Data Validation'!$A$3,CJ63,"Unknown Option Type")))/((CK63+0.01%)*SQRT(CG63)),0,1,TRUE)))+(((CK63+0.01%)*SQRT(CG63))*(NORMDIST((IF('Adjustment Surface'!$C$2='Data Validation'!$A$2,CJ63,IF('Adjustment Surface'!$C$2='Data Validation'!$A$3,CI63,"Unknown Option Type"))-IF('Adjustment Surface'!$C$2='Data Validation'!$A$2,CI63,IF('Adjustment Surface'!$C$2='Data Validation'!$A$3,CJ63,"Unknown Option Type")))/((CK63+0.01%)*SQRT(CG63)),0,1,FALSE))))*CL63*(CF63/360))-(CN63/CH63))*CH63)*CL63))</f>
        <v/>
      </c>
      <c r="CR63" s="15" t="str">
        <f>IF(CC63="","",SUM(CQ$4:CQ63))</f>
        <v/>
      </c>
    </row>
    <row r="64" spans="7:96" x14ac:dyDescent="0.25">
      <c r="G64" s="28"/>
      <c r="J64" s="4" t="str">
        <f>IF(K63='Adjustment Surface'!C$8,"",K63)</f>
        <v/>
      </c>
      <c r="K64" s="4" t="str">
        <f>IF(J64="","",IF(J64&lt;'Adjustment Surface'!C$7,EDATE(J$5,COUNT(J$5:J64)),IF(J64='Adjustment Surface'!C$7,'Adjustment Surface'!C$8,'Adjustment Surface'!C$7)))</f>
        <v/>
      </c>
      <c r="L64" s="3" t="str">
        <f t="shared" si="1"/>
        <v/>
      </c>
      <c r="M64" s="5" t="str">
        <f>IF(I64="","",(K64-'Rate &amp; Vol Update'!$C$2)/360)</f>
        <v/>
      </c>
      <c r="N64" s="15" t="str">
        <f>IF(I64="","",IF('Adjustment Surface'!C$3='Data Validation'!$C$2,'Adjustment Surface'!C$4,IF(INDEX(Schedules!$E$3:$E$123,MATCH('Bachelier Model'!J64,Schedules!$B$3:$B$123,0))="",N63,INDEX(Schedules!$E$3:$E$123,MATCH('Bachelier Model'!J64,Schedules!$B$3:$B$123,0)))))</f>
        <v/>
      </c>
      <c r="O64" s="16" t="str">
        <f>IF(I64="","",IF('Adjustment Surface'!C$9='Data Validation'!$D$2,'Adjustment Surface'!C$10,IF(INDEX(Schedules!$H$3:$H$123,MATCH('Bachelier Model'!J64,Schedules!$B$3:$B$123,0))="",O63,INDEX(Schedules!$H$3:$H$123,MATCH('Bachelier Model'!J64,Schedules!$B$3:$B$123,0)))))</f>
        <v/>
      </c>
      <c r="P64" s="16" t="str" cm="1">
        <f t="array" ref="P64">IF(I64="","",FORECAST(J64,INDEX('Rate &amp; Vol Update'!$C$6:$C$127,MATCH(INDEX('Rate &amp; Vol Update'!$B$6:$B$127,MATCH(J64,'Rate &amp; Vol Update'!$B$6:$B$127,1)),'Rate &amp; Vol Update'!$B$6:$B$127,0)+IF('Adjustment Surface'!C$11='Data Validation'!$E$3,-1,0)):INDEX('Rate &amp; Vol Update'!$C$6:$C$127,MATCH(INDEX('Rate &amp; Vol Update'!$B$6:$B$127,MATCH(J64,'Rate &amp; Vol Update'!$B$6:$B$127,1)+1),'Rate &amp; Vol Update'!$B$6:$B$127,0)+IF('Adjustment Surface'!C$11='Data Validation'!$E$3,-1,0)),INDEX('Rate &amp; Vol Update'!$B$6:$B$127,MATCH(J64,'Rate &amp; Vol Update'!$B$6:$B$127,1)):INDEX('Rate &amp; Vol Update'!$B$6:$B$127,MATCH(J64,'Rate &amp; Vol Update'!$B$6:$B$127,1)+1))/100)</f>
        <v/>
      </c>
      <c r="Q64" s="16" t="str" cm="1">
        <f t="array" ref="Q64">IF(I64="","",IF(J64&lt;'Rate &amp; Vol Update'!$C$2,0.001%,(1/((INDEX('Rate &amp; Vol Update'!$E$6:$Z$6,1,MATCH(O64,'Rate &amp; Vol Update'!$E$6:$Z$6,1)+1)-INDEX('Rate &amp; Vol Update'!$E$6:$Z$6,1,MATCH(O64,'Rate &amp; Vol Update'!$E$6:$Z$6,1)))*(INDEX('Rate &amp; Vol Update'!$B$8:$B$127,MATCH(J64,'Rate &amp; Vol Update'!$B$8:$B$127,1)+1)-INDEX('Rate &amp; Vol Update'!$B$8:$B$127,MATCH(J64,'Rate &amp; Vol Update'!$B$8:$B$127,1))))*(INDEX('Rate &amp; Vol Update'!$E$8:$Z$127,MATCH(INDEX('Rate &amp; Vol Update'!$B$8:$B$127,MATCH(J64,'Rate &amp; Vol Update'!$B$8:$B$127,1)),'Rate &amp; Vol Update'!$B$8:$B$127,0),MATCH(INDEX('Rate &amp; Vol Update'!$E$6:$Z$6,1,MATCH(O64,'Rate &amp; Vol Update'!$E$6:$Z$6,1)),'Rate &amp; Vol Update'!$E$6:$Z$6,0))*(INDEX('Rate &amp; Vol Update'!$E$6:$Z$6,1,MATCH(O64,'Rate &amp; Vol Update'!$E$6:$Z$6,1)+1)-O64)*(INDEX('Rate &amp; Vol Update'!$B$8:$B$127,MATCH(J64,'Rate &amp; Vol Update'!$B$8:$B$127,1)+1)-J64)+INDEX('Rate &amp; Vol Update'!$E$8:$Z$127,MATCH(INDEX('Rate &amp; Vol Update'!$B$8:$B$127,MATCH(J64,'Rate &amp; Vol Update'!$B$8:$B$127,1)),'Rate &amp; Vol Update'!$B$8:$B$127,0),MATCH(INDEX('Rate &amp; Vol Update'!$E$6:$Z$6,1,MATCH(O64,'Rate &amp; Vol Update'!$E$6:$Z$6,1)+1),'Rate &amp; Vol Update'!$E$6:$Z$6,0))*(O64-INDEX('Rate &amp; Vol Update'!$E$6:$Z$6,1,MATCH(O64,'Rate &amp; Vol Update'!$E$6:$Z$6,1)))*(INDEX('Rate &amp; Vol Update'!$B$8:$B$127,MATCH(J64,'Rate &amp; Vol Update'!$B$8:$B$127,1)+1)-J64)+INDEX('Rate &amp; Vol Update'!$E$8:$Z$127,MATCH(INDEX('Rate &amp; Vol Update'!$B$8:$B$127,MATCH(J64,'Rate &amp; Vol Update'!$B$8:$B$127,1)+1),'Rate &amp; Vol Update'!$B$8:$B$127,0),MATCH(INDEX('Rate &amp; Vol Update'!$E$6:$Z$6,1,MATCH(O64,'Rate &amp; Vol Update'!$E$6:$Z$6,1)),'Rate &amp; Vol Update'!$E$6:$Z$6,0))*(INDEX('Rate &amp; Vol Update'!$E$6:$Z$6,1,MATCH(O64,'Rate &amp; Vol Update'!$E$6:$Z$6,1)+1)-O64)*(J64-INDEX('Rate &amp; Vol Update'!$B$8:$B$127,MATCH(J64,'Rate &amp; Vol Update'!$B$8:$B$127,1)))+INDEX('Rate &amp; Vol Update'!$E$8:$Z$127,MATCH(INDEX('Rate &amp; Vol Update'!$B$8:$B$127,MATCH(J64,'Rate &amp; Vol Update'!$B$8:$B$127,1)+1),'Rate &amp; Vol Update'!$B$8:$B$127,0),MATCH(INDEX('Rate &amp; Vol Update'!$E$6:$Z$6,1,MATCH(O64,'Rate &amp; Vol Update'!$E$6:$Z$6,1)+1),'Rate &amp; Vol Update'!$E$6:$Z$6,0))*(O64-INDEX('Rate &amp; Vol Update'!$E$6:$Z$6,1,MATCH(O64,'Rate &amp; Vol Update'!$E$6:$Z$6,1)))*(J64-INDEX('Rate &amp; Vol Update'!$B$8:$B$127,MATCH(J64,'Rate &amp; Vol Update'!$B$8:$B$127,1)))))*0.01%))</f>
        <v/>
      </c>
      <c r="R64" s="5" t="str">
        <f>IF(I64="","",1/((1+P64)^((K64-'Rate &amp; Vol Update'!$C$2)/360)))</f>
        <v/>
      </c>
      <c r="T64" s="15" t="str">
        <f>IF(I64="","",IF(J64&lt;'Rate &amp; Vol Update'!$C$2,MAX(0,P64-O64)*(L64/360)*N64,(((IF('Adjustment Surface'!C$2='Data Validation'!$A$2,P64,IF('Adjustment Surface'!C$2='Data Validation'!$A$3,O64,"Unknown Option Type"))-IF('Adjustment Surface'!C$2='Data Validation'!$A$2,O64,IF('Adjustment Surface'!C$2='Data Validation'!$A$3,P64,"Unknown Option Type")))*(NORMDIST((IF('Adjustment Surface'!C$2='Data Validation'!$A$2,P64,IF('Adjustment Surface'!C$2='Data Validation'!$A$3,O64,"Unknown Option Type"))-IF('Adjustment Surface'!C$2='Data Validation'!$A$2,O64,IF('Adjustment Surface'!C$2='Data Validation'!$A$3,P64,"Unknown Option Type")))/(Q64*SQRT(M64)),0,1,TRUE)))+((Q64*SQRT(M64))*(NORMDIST((IF('Adjustment Surface'!C$2='Data Validation'!$A$2,P64,IF('Adjustment Surface'!C$2='Data Validation'!$A$3,O64,"Unknown Option Type"))-IF('Adjustment Surface'!C$2='Data Validation'!$A$2,O64,IF('Adjustment Surface'!C$2='Data Validation'!$A$3,P64,"Unknown Option Type")))/(Q64*SQRT(M64)),0,1,FALSE))))*R64*(L64/360)*N64))</f>
        <v/>
      </c>
      <c r="U64" s="15" t="str">
        <f>IF(I64="","",SUM(T$4:T64))</f>
        <v/>
      </c>
      <c r="W64" s="15" t="str">
        <f>IF(I64="","",IF(J64&lt;'Rate &amp; Vol Update'!$C$2,0,((((((IF('Adjustment Surface'!C$2='Data Validation'!$A$2,P64,IF('Adjustment Surface'!C$2='Data Validation'!$A$3,O64,"Unknown Option Type"))-IF('Adjustment Surface'!C$2='Data Validation'!$A$2,O64,IF('Adjustment Surface'!C$2='Data Validation'!$A$3,P64,"Unknown Option Type")))*(NORMDIST((IF('Adjustment Surface'!C$2='Data Validation'!$A$2,P64,IF('Adjustment Surface'!C$2='Data Validation'!$A$3,O64,"Unknown Option Type"))-IF('Adjustment Surface'!C$2='Data Validation'!$A$2,O64,IF('Adjustment Surface'!C$2='Data Validation'!$A$3,P64,"Unknown Option Type")))/((Q64+0.01%)*SQRT(M64)),0,1,TRUE)))+(((Q64+0.01%)*SQRT(M64))*(NORMDIST((IF('Adjustment Surface'!C$2='Data Validation'!$A$2,P64,IF('Adjustment Surface'!C$2='Data Validation'!$A$3,O64,"Unknown Option Type"))-IF('Adjustment Surface'!C$2='Data Validation'!$A$2,O64,IF('Adjustment Surface'!C$2='Data Validation'!$A$3,P64,"Unknown Option Type")))/((Q64+0.01%)*SQRT(M64)),0,1,FALSE))))*R64*(L64/360))-(T64/N64))*N64)*R64))</f>
        <v/>
      </c>
      <c r="X64" s="15" t="str">
        <f>IF(I64="","",SUM(W$4:W64))</f>
        <v/>
      </c>
      <c r="Y64" s="15"/>
      <c r="Z64" s="20"/>
      <c r="AB64" s="4" t="str">
        <f>IF(AC63=MAX('Adjustment Surface'!$C$14:$F$14),"",AC63)</f>
        <v/>
      </c>
      <c r="AC64" s="4" t="str">
        <f>IF(AB64="","",IF(AB64&lt;EDATE('Adjustment Surface'!$C$6,DATEDIF('Adjustment Surface'!$C$6,MAX('Adjustment Surface'!$C$14:$F$14),"M")),EDATE(AB$5,COUNT(AB$5:AB64)),IF(AB64=EDATE('Adjustment Surface'!$C$6,DATEDIF('Adjustment Surface'!$C$6,MAX('Adjustment Surface'!$C$14:$F$14),"M")),MAX('Adjustment Surface'!$C$14:$F$14),EDATE('Adjustment Surface'!$C$6,DATEDIF('Adjustment Surface'!$C$6,MAX('Adjustment Surface'!$C$14:$F$14),"M")))))</f>
        <v/>
      </c>
      <c r="AD64" s="3" t="str">
        <f t="shared" si="2"/>
        <v/>
      </c>
      <c r="AE64" s="5" t="str">
        <f>IF(AA64="","",(AC64-'Rate &amp; Vol Update'!$C$2)/360)</f>
        <v/>
      </c>
      <c r="AF64" s="15" t="str">
        <f>IF(AA64="","",IF('Adjustment Surface'!$C$3='Data Validation'!$C$2,'Adjustment Surface'!$C$4,_xlfn.IFNA(IF(INDEX(Schedules!$E$3:$E$123,MATCH('Bachelier Model'!AB64,Schedules!$B$3:$B$123,0))="",AF63,INDEX(Schedules!$E$3:$E$123,MATCH('Bachelier Model'!AB64,Schedules!$B$3:$B$123,0))),AF63)))</f>
        <v/>
      </c>
      <c r="AG64" s="16" t="str">
        <f>IF(AA64="","",'Adjustment Surface'!B$15)</f>
        <v/>
      </c>
      <c r="AH64" s="16" t="str" cm="1">
        <f t="array" ref="AH64">IF(AA64="","",FORECAST(AB64,INDEX('Rate &amp; Vol Update'!$C$6:$C$127,MATCH(INDEX('Rate &amp; Vol Update'!$B$6:$B$127,MATCH(AB64,'Rate &amp; Vol Update'!$B$6:$B$127,1)),'Rate &amp; Vol Update'!$B$6:$B$127,0)+IF('Adjustment Surface'!$C$11='Data Validation'!$E$3,-1,0)):INDEX('Rate &amp; Vol Update'!$C$6:$C$127,MATCH(INDEX('Rate &amp; Vol Update'!$B$6:$B$127,MATCH(AB64,'Rate &amp; Vol Update'!$B$6:$B$127,1)+1),'Rate &amp; Vol Update'!$B$6:$B$127,0)+IF('Adjustment Surface'!$C$11='Data Validation'!$E$3,-1,0)),INDEX('Rate &amp; Vol Update'!$B$6:$B$127,MATCH(AB64,'Rate &amp; Vol Update'!$B$6:$B$127,1)):INDEX('Rate &amp; Vol Update'!$B$6:$B$127,MATCH(AB64,'Rate &amp; Vol Update'!$B$6:$B$127,1)+1))/100)</f>
        <v/>
      </c>
      <c r="AI64" s="16" t="str" cm="1">
        <f t="array" ref="AI64">IF(AA64="","",IF(AB64&lt;'Rate &amp; Vol Update'!$C$2,0.001%,(1/((INDEX('Rate &amp; Vol Update'!$E$6:$Z$6,1,MATCH(AG64,'Rate &amp; Vol Update'!$E$6:$Z$6,1)+1)-INDEX('Rate &amp; Vol Update'!$E$6:$Z$6,1,MATCH(AG64,'Rate &amp; Vol Update'!$E$6:$Z$6,1)))*(INDEX('Rate &amp; Vol Update'!$B$8:$B$127,MATCH(AB64,'Rate &amp; Vol Update'!$B$8:$B$127,1)+1)-INDEX('Rate &amp; Vol Update'!$B$8:$B$127,MATCH(AB64,'Rate &amp; Vol Update'!$B$8:$B$127,1))))*(INDEX('Rate &amp; Vol Update'!$E$8:$Z$127,MATCH(INDEX('Rate &amp; Vol Update'!$B$8:$B$127,MATCH(AB64,'Rate &amp; Vol Update'!$B$8:$B$127,1)),'Rate &amp; Vol Update'!$B$8:$B$127,0),MATCH(INDEX('Rate &amp; Vol Update'!$E$6:$Z$6,1,MATCH(AG64,'Rate &amp; Vol Update'!$E$6:$Z$6,1)),'Rate &amp; Vol Update'!$E$6:$Z$6,0))*(INDEX('Rate &amp; Vol Update'!$E$6:$Z$6,1,MATCH(AG64,'Rate &amp; Vol Update'!$E$6:$Z$6,1)+1)-AG64)*(INDEX('Rate &amp; Vol Update'!$B$8:$B$127,MATCH(AB64,'Rate &amp; Vol Update'!$B$8:$B$127,1)+1)-AB64)+INDEX('Rate &amp; Vol Update'!$E$8:$Z$127,MATCH(INDEX('Rate &amp; Vol Update'!$B$8:$B$127,MATCH(AB64,'Rate &amp; Vol Update'!$B$8:$B$127,1)),'Rate &amp; Vol Update'!$B$8:$B$127,0),MATCH(INDEX('Rate &amp; Vol Update'!$E$6:$Z$6,1,MATCH(AG64,'Rate &amp; Vol Update'!$E$6:$Z$6,1)+1),'Rate &amp; Vol Update'!$E$6:$Z$6,0))*(AG64-INDEX('Rate &amp; Vol Update'!$E$6:$Z$6,1,MATCH(AG64,'Rate &amp; Vol Update'!$E$6:$Z$6,1)))*(INDEX('Rate &amp; Vol Update'!$B$8:$B$127,MATCH(AB64,'Rate &amp; Vol Update'!$B$8:$B$127,1)+1)-AB64)+INDEX('Rate &amp; Vol Update'!$E$8:$Z$127,MATCH(INDEX('Rate &amp; Vol Update'!$B$8:$B$127,MATCH(AB64,'Rate &amp; Vol Update'!$B$8:$B$127,1)+1),'Rate &amp; Vol Update'!$B$8:$B$127,0),MATCH(INDEX('Rate &amp; Vol Update'!$E$6:$Z$6,1,MATCH(AG64,'Rate &amp; Vol Update'!$E$6:$Z$6,1)),'Rate &amp; Vol Update'!$E$6:$Z$6,0))*(INDEX('Rate &amp; Vol Update'!$E$6:$Z$6,1,MATCH(AG64,'Rate &amp; Vol Update'!$E$6:$Z$6,1)+1)-AG64)*(AB64-INDEX('Rate &amp; Vol Update'!$B$8:$B$127,MATCH(AB64,'Rate &amp; Vol Update'!$B$8:$B$127,1)))+INDEX('Rate &amp; Vol Update'!$E$8:$Z$127,MATCH(INDEX('Rate &amp; Vol Update'!$B$8:$B$127,MATCH(AB64,'Rate &amp; Vol Update'!$B$8:$B$127,1)+1),'Rate &amp; Vol Update'!$B$8:$B$127,0),MATCH(INDEX('Rate &amp; Vol Update'!$E$6:$Z$6,1,MATCH(AG64,'Rate &amp; Vol Update'!$E$6:$Z$6,1)+1),'Rate &amp; Vol Update'!$E$6:$Z$6,0))*(AG64-INDEX('Rate &amp; Vol Update'!$E$6:$Z$6,1,MATCH(AG64,'Rate &amp; Vol Update'!$E$6:$Z$6,1)))*(AB64-INDEX('Rate &amp; Vol Update'!$B$8:$B$127,MATCH(AB64,'Rate &amp; Vol Update'!$B$8:$B$127,1)))))*0.01%))</f>
        <v/>
      </c>
      <c r="AJ64" s="5" t="str">
        <f>IF(AA64="","",1/((1+AH64)^((AC64-'Rate &amp; Vol Update'!$C$2)/360)))</f>
        <v/>
      </c>
      <c r="AL64" s="15" t="str">
        <f>IF(AA64="","",IF(AB64&lt;'Rate &amp; Vol Update'!$C$2,MAX(0,AH64-AG64)*(AD64/360)*AF64,(((IF('Adjustment Surface'!$C$2='Data Validation'!$A$2,AH64,IF('Adjustment Surface'!$C$2='Data Validation'!$A$3,AG64,"Unknown Option Type"))-IF('Adjustment Surface'!$C$2='Data Validation'!$A$2,AG64,IF('Adjustment Surface'!$C$2='Data Validation'!$A$3,AH64,"Unknown Option Type")))*(NORMDIST((IF('Adjustment Surface'!$C$2='Data Validation'!$A$2,AH64,IF('Adjustment Surface'!$C$2='Data Validation'!$A$3,AG64,"Unknown Option Type"))-IF('Adjustment Surface'!$C$2='Data Validation'!$A$2,AG64,IF('Adjustment Surface'!$C$2='Data Validation'!$A$3,AH64,"Unknown Option Type")))/(AI64*SQRT(AE64)),0,1,TRUE)))+((AI64*SQRT(AE64))*(NORMDIST((IF('Adjustment Surface'!$C$2='Data Validation'!$A$2,AH64,IF('Adjustment Surface'!$C$2='Data Validation'!$A$3,AG64,"Unknown Option Type"))-IF('Adjustment Surface'!$C$2='Data Validation'!$A$2,AG64,IF('Adjustment Surface'!$C$2='Data Validation'!$A$3,AH64,"Unknown Option Type")))/(AI64*SQRT(AE64)),0,1,FALSE))))*AJ64*(AD64/360)*AF64))</f>
        <v/>
      </c>
      <c r="AM64" s="15" t="str">
        <f>IF(AA64="","",SUM(AL$4:AL64))</f>
        <v/>
      </c>
      <c r="AO64" s="15" t="str">
        <f>IF(AA64="","",IF(AB64&lt;'Rate &amp; Vol Update'!$C$2,0,((((((IF('Adjustment Surface'!$C$2='Data Validation'!$A$2,AH64,IF('Adjustment Surface'!$C$2='Data Validation'!$A$3,AG64,"Unknown Option Type"))-IF('Adjustment Surface'!$C$2='Data Validation'!$A$2,AG64,IF('Adjustment Surface'!$C$2='Data Validation'!$A$3,AH64,"Unknown Option Type")))*(NORMDIST((IF('Adjustment Surface'!$C$2='Data Validation'!$A$2,AH64,IF('Adjustment Surface'!$C$2='Data Validation'!$A$3,AG64,"Unknown Option Type"))-IF('Adjustment Surface'!$C$2='Data Validation'!$A$2,AG64,IF('Adjustment Surface'!$C$2='Data Validation'!$A$3,AH64,"Unknown Option Type")))/((AI64+0.01%)*SQRT(AE64)),0,1,TRUE)))+(((AI64+0.01%)*SQRT(AE64))*(NORMDIST((IF('Adjustment Surface'!$C$2='Data Validation'!$A$2,AH64,IF('Adjustment Surface'!$C$2='Data Validation'!$A$3,AG64,"Unknown Option Type"))-IF('Adjustment Surface'!$C$2='Data Validation'!$A$2,AG64,IF('Adjustment Surface'!$C$2='Data Validation'!$A$3,AH64,"Unknown Option Type")))/((AI64+0.01%)*SQRT(AE64)),0,1,FALSE))))*AJ64*(AD64/360))-(AL64/AF64))*AF64)*AJ64))</f>
        <v/>
      </c>
      <c r="AP64" s="15" t="str">
        <f>IF(AA64="","",SUM(AO$4:AO64))</f>
        <v/>
      </c>
      <c r="AQ64" s="15"/>
      <c r="AR64" s="20"/>
      <c r="AT64" s="4" t="str">
        <f>IF(AU63=MAX('Adjustment Surface'!$C$14:$F$14),"",AU63)</f>
        <v/>
      </c>
      <c r="AU64" s="4" t="str">
        <f>IF(AT64="","",IF(AT64&lt;EDATE('Adjustment Surface'!$C$6,DATEDIF('Adjustment Surface'!$C$6,MAX('Adjustment Surface'!$C$14:$F$14),"M")),EDATE(AT$5,COUNT(AT$5:AT64)),IF(AT64=EDATE('Adjustment Surface'!$C$6,DATEDIF('Adjustment Surface'!$C$6,MAX('Adjustment Surface'!$C$14:$F$14),"M")),MAX('Adjustment Surface'!$C$14:$F$14),EDATE('Adjustment Surface'!$C$6,DATEDIF('Adjustment Surface'!$C$6,MAX('Adjustment Surface'!$C$14:$F$14),"M")))))</f>
        <v/>
      </c>
      <c r="AV64" s="3" t="str">
        <f t="shared" si="3"/>
        <v/>
      </c>
      <c r="AW64" s="5" t="str">
        <f>IF(AS64="","",(AU64-'Rate &amp; Vol Update'!$C$2)/360)</f>
        <v/>
      </c>
      <c r="AX64" s="15" t="str">
        <f>IF(AS64="","",IF('Adjustment Surface'!$C$3='Data Validation'!$C$2,'Adjustment Surface'!$C$4,_xlfn.IFNA(IF(INDEX(Schedules!$E$3:$E$123,MATCH('Bachelier Model'!AT64,Schedules!$B$3:$B$123,0))="",AX63,INDEX(Schedules!$E$3:$E$123,MATCH('Bachelier Model'!AT64,Schedules!$B$3:$B$123,0))),AX63)))</f>
        <v/>
      </c>
      <c r="AY64" s="16" t="str">
        <f>IF(AS64="","",'Adjustment Surface'!B$16)</f>
        <v/>
      </c>
      <c r="AZ64" s="16" t="str" cm="1">
        <f t="array" ref="AZ64">IF(AS64="","",FORECAST(AT64,INDEX('Rate &amp; Vol Update'!$C$6:$C$127,MATCH(INDEX('Rate &amp; Vol Update'!$B$6:$B$127,MATCH(AT64,'Rate &amp; Vol Update'!$B$6:$B$127,1)),'Rate &amp; Vol Update'!$B$6:$B$127,0)+IF('Adjustment Surface'!$C$11='Data Validation'!$E$3,-1,0)):INDEX('Rate &amp; Vol Update'!$C$6:$C$127,MATCH(INDEX('Rate &amp; Vol Update'!$B$6:$B$127,MATCH(AT64,'Rate &amp; Vol Update'!$B$6:$B$127,1)+1),'Rate &amp; Vol Update'!$B$6:$B$127,0)+IF('Adjustment Surface'!$C$11='Data Validation'!$E$3,-1,0)),INDEX('Rate &amp; Vol Update'!$B$6:$B$127,MATCH(AT64,'Rate &amp; Vol Update'!$B$6:$B$127,1)):INDEX('Rate &amp; Vol Update'!$B$6:$B$127,MATCH(AT64,'Rate &amp; Vol Update'!$B$6:$B$127,1)+1))/100)</f>
        <v/>
      </c>
      <c r="BA64" s="16" t="str" cm="1">
        <f t="array" ref="BA64">IF(AS64="","",IF(AT64&lt;'Rate &amp; Vol Update'!$C$2,0.001%,(1/((INDEX('Rate &amp; Vol Update'!$E$6:$Z$6,1,MATCH(AY64,'Rate &amp; Vol Update'!$E$6:$Z$6,1)+1)-INDEX('Rate &amp; Vol Update'!$E$6:$Z$6,1,MATCH(AY64,'Rate &amp; Vol Update'!$E$6:$Z$6,1)))*(INDEX('Rate &amp; Vol Update'!$B$8:$B$127,MATCH(AT64,'Rate &amp; Vol Update'!$B$8:$B$127,1)+1)-INDEX('Rate &amp; Vol Update'!$B$8:$B$127,MATCH(AT64,'Rate &amp; Vol Update'!$B$8:$B$127,1))))*(INDEX('Rate &amp; Vol Update'!$E$8:$Z$127,MATCH(INDEX('Rate &amp; Vol Update'!$B$8:$B$127,MATCH(AT64,'Rate &amp; Vol Update'!$B$8:$B$127,1)),'Rate &amp; Vol Update'!$B$8:$B$127,0),MATCH(INDEX('Rate &amp; Vol Update'!$E$6:$Z$6,1,MATCH(AY64,'Rate &amp; Vol Update'!$E$6:$Z$6,1)),'Rate &amp; Vol Update'!$E$6:$Z$6,0))*(INDEX('Rate &amp; Vol Update'!$E$6:$Z$6,1,MATCH(AY64,'Rate &amp; Vol Update'!$E$6:$Z$6,1)+1)-AY64)*(INDEX('Rate &amp; Vol Update'!$B$8:$B$127,MATCH(AT64,'Rate &amp; Vol Update'!$B$8:$B$127,1)+1)-AT64)+INDEX('Rate &amp; Vol Update'!$E$8:$Z$127,MATCH(INDEX('Rate &amp; Vol Update'!$B$8:$B$127,MATCH(AT64,'Rate &amp; Vol Update'!$B$8:$B$127,1)),'Rate &amp; Vol Update'!$B$8:$B$127,0),MATCH(INDEX('Rate &amp; Vol Update'!$E$6:$Z$6,1,MATCH(AY64,'Rate &amp; Vol Update'!$E$6:$Z$6,1)+1),'Rate &amp; Vol Update'!$E$6:$Z$6,0))*(AY64-INDEX('Rate &amp; Vol Update'!$E$6:$Z$6,1,MATCH(AY64,'Rate &amp; Vol Update'!$E$6:$Z$6,1)))*(INDEX('Rate &amp; Vol Update'!$B$8:$B$127,MATCH(AT64,'Rate &amp; Vol Update'!$B$8:$B$127,1)+1)-AT64)+INDEX('Rate &amp; Vol Update'!$E$8:$Z$127,MATCH(INDEX('Rate &amp; Vol Update'!$B$8:$B$127,MATCH(AT64,'Rate &amp; Vol Update'!$B$8:$B$127,1)+1),'Rate &amp; Vol Update'!$B$8:$B$127,0),MATCH(INDEX('Rate &amp; Vol Update'!$E$6:$Z$6,1,MATCH(AY64,'Rate &amp; Vol Update'!$E$6:$Z$6,1)),'Rate &amp; Vol Update'!$E$6:$Z$6,0))*(INDEX('Rate &amp; Vol Update'!$E$6:$Z$6,1,MATCH(AY64,'Rate &amp; Vol Update'!$E$6:$Z$6,1)+1)-AY64)*(AT64-INDEX('Rate &amp; Vol Update'!$B$8:$B$127,MATCH(AT64,'Rate &amp; Vol Update'!$B$8:$B$127,1)))+INDEX('Rate &amp; Vol Update'!$E$8:$Z$127,MATCH(INDEX('Rate &amp; Vol Update'!$B$8:$B$127,MATCH(AT64,'Rate &amp; Vol Update'!$B$8:$B$127,1)+1),'Rate &amp; Vol Update'!$B$8:$B$127,0),MATCH(INDEX('Rate &amp; Vol Update'!$E$6:$Z$6,1,MATCH(AY64,'Rate &amp; Vol Update'!$E$6:$Z$6,1)+1),'Rate &amp; Vol Update'!$E$6:$Z$6,0))*(AY64-INDEX('Rate &amp; Vol Update'!$E$6:$Z$6,1,MATCH(AY64,'Rate &amp; Vol Update'!$E$6:$Z$6,1)))*(AT64-INDEX('Rate &amp; Vol Update'!$B$8:$B$127,MATCH(AT64,'Rate &amp; Vol Update'!$B$8:$B$127,1)))))*0.01%))</f>
        <v/>
      </c>
      <c r="BB64" s="5" t="str">
        <f>IF(AS64="","",1/((1+AZ64)^((AU64-'Rate &amp; Vol Update'!$C$2)/360)))</f>
        <v/>
      </c>
      <c r="BD64" s="15" t="str">
        <f>IF(AS64="","",IF(AT64&lt;'Rate &amp; Vol Update'!$C$2,MAX(0,AZ64-AY64)*(AV64/360)*AX64,(((IF('Adjustment Surface'!$C$2='Data Validation'!$A$2,AZ64,IF('Adjustment Surface'!$C$2='Data Validation'!$A$3,AY64,"Unknown Option Type"))-IF('Adjustment Surface'!$C$2='Data Validation'!$A$2,AY64,IF('Adjustment Surface'!$C$2='Data Validation'!$A$3,AZ64,"Unknown Option Type")))*(NORMDIST((IF('Adjustment Surface'!$C$2='Data Validation'!$A$2,AZ64,IF('Adjustment Surface'!$C$2='Data Validation'!$A$3,AY64,"Unknown Option Type"))-IF('Adjustment Surface'!$C$2='Data Validation'!$A$2,AY64,IF('Adjustment Surface'!$C$2='Data Validation'!$A$3,AZ64,"Unknown Option Type")))/(BA64*SQRT(AW64)),0,1,TRUE)))+((BA64*SQRT(AW64))*(NORMDIST((IF('Adjustment Surface'!$C$2='Data Validation'!$A$2,AZ64,IF('Adjustment Surface'!$C$2='Data Validation'!$A$3,AY64,"Unknown Option Type"))-IF('Adjustment Surface'!$C$2='Data Validation'!$A$2,AY64,IF('Adjustment Surface'!$C$2='Data Validation'!$A$3,AZ64,"Unknown Option Type")))/(BA64*SQRT(AW64)),0,1,FALSE))))*BB64*(AV64/360)*AX64))</f>
        <v/>
      </c>
      <c r="BE64" s="15" t="str">
        <f>IF(AS64="","",SUM(BD$4:BD64))</f>
        <v/>
      </c>
      <c r="BG64" s="15" t="str">
        <f>IF(AS64="","",IF(AT64&lt;'Rate &amp; Vol Update'!$C$2,0,((((((IF('Adjustment Surface'!$C$2='Data Validation'!$A$2,AZ64,IF('Adjustment Surface'!$C$2='Data Validation'!$A$3,AY64,"Unknown Option Type"))-IF('Adjustment Surface'!$C$2='Data Validation'!$A$2,AY64,IF('Adjustment Surface'!$C$2='Data Validation'!$A$3,AZ64,"Unknown Option Type")))*(NORMDIST((IF('Adjustment Surface'!$C$2='Data Validation'!$A$2,AZ64,IF('Adjustment Surface'!$C$2='Data Validation'!$A$3,AY64,"Unknown Option Type"))-IF('Adjustment Surface'!$C$2='Data Validation'!$A$2,AY64,IF('Adjustment Surface'!$C$2='Data Validation'!$A$3,AZ64,"Unknown Option Type")))/((BA64+0.01%)*SQRT(AW64)),0,1,TRUE)))+(((BA64+0.01%)*SQRT(AW64))*(NORMDIST((IF('Adjustment Surface'!$C$2='Data Validation'!$A$2,AZ64,IF('Adjustment Surface'!$C$2='Data Validation'!$A$3,AY64,"Unknown Option Type"))-IF('Adjustment Surface'!$C$2='Data Validation'!$A$2,AY64,IF('Adjustment Surface'!$C$2='Data Validation'!$A$3,AZ64,"Unknown Option Type")))/((BA64+0.01%)*SQRT(AW64)),0,1,FALSE))))*BB64*(AV64/360))-(BD64/AX64))*AX64)*BB64))</f>
        <v/>
      </c>
      <c r="BH64" s="15" t="str">
        <f>IF(AS64="","",SUM(BG$4:BG64))</f>
        <v/>
      </c>
      <c r="BI64" s="15"/>
      <c r="BJ64" s="20"/>
      <c r="BL64" s="4" t="str">
        <f>IF(BM63=MAX('Adjustment Surface'!$C$14:$F$14),"",BM63)</f>
        <v/>
      </c>
      <c r="BM64" s="4" t="str">
        <f>IF(BL64="","",IF(BL64&lt;EDATE('Adjustment Surface'!$C$6,DATEDIF('Adjustment Surface'!$C$6,MAX('Adjustment Surface'!$C$14:$F$14),"M")),EDATE(BL$5,COUNT(BL$5:BL64)),IF(BL64=EDATE('Adjustment Surface'!$C$6,DATEDIF('Adjustment Surface'!$C$6,MAX('Adjustment Surface'!$C$14:$F$14),"M")),MAX('Adjustment Surface'!$C$14:$F$14),EDATE('Adjustment Surface'!$C$6,DATEDIF('Adjustment Surface'!$C$6,MAX('Adjustment Surface'!$C$14:$F$14),"M")))))</f>
        <v/>
      </c>
      <c r="BN64" s="3" t="str">
        <f t="shared" si="4"/>
        <v/>
      </c>
      <c r="BO64" s="5" t="str">
        <f>IF(BK64="","",(BM64-'Rate &amp; Vol Update'!$C$2)/360)</f>
        <v/>
      </c>
      <c r="BP64" s="15" t="str">
        <f>IF(BK64="","",IF('Adjustment Surface'!$C$3='Data Validation'!$C$2,'Adjustment Surface'!$C$4,_xlfn.IFNA(IF(INDEX(Schedules!$E$3:$E$123,MATCH('Bachelier Model'!BL64,Schedules!$B$3:$B$123,0))="",BP63,INDEX(Schedules!$E$3:$E$123,MATCH('Bachelier Model'!BL64,Schedules!$B$3:$B$123,0))),BP63)))</f>
        <v/>
      </c>
      <c r="BQ64" s="16" t="str">
        <f>IF(BK64="","",'Adjustment Surface'!B$17)</f>
        <v/>
      </c>
      <c r="BR64" s="16" t="str" cm="1">
        <f t="array" ref="BR64">IF(BK64="","",FORECAST(BL64,INDEX('Rate &amp; Vol Update'!$C$6:$C$127,MATCH(INDEX('Rate &amp; Vol Update'!$B$6:$B$127,MATCH(BL64,'Rate &amp; Vol Update'!$B$6:$B$127,1)),'Rate &amp; Vol Update'!$B$6:$B$127,0)+IF('Adjustment Surface'!$C$11='Data Validation'!$E$3,-1,0)):INDEX('Rate &amp; Vol Update'!$C$6:$C$127,MATCH(INDEX('Rate &amp; Vol Update'!$B$6:$B$127,MATCH(BL64,'Rate &amp; Vol Update'!$B$6:$B$127,1)+1),'Rate &amp; Vol Update'!$B$6:$B$127,0)+IF('Adjustment Surface'!$C$11='Data Validation'!$E$3,-1,0)),INDEX('Rate &amp; Vol Update'!$B$6:$B$127,MATCH(BL64,'Rate &amp; Vol Update'!$B$6:$B$127,1)):INDEX('Rate &amp; Vol Update'!$B$6:$B$127,MATCH(BL64,'Rate &amp; Vol Update'!$B$6:$B$127,1)+1))/100)</f>
        <v/>
      </c>
      <c r="BS64" s="16" t="str" cm="1">
        <f t="array" ref="BS64">IF(BK64="","",IF(BL64&lt;'Rate &amp; Vol Update'!$C$2,0.001%,(1/((INDEX('Rate &amp; Vol Update'!$E$6:$Z$6,1,MATCH(BQ64,'Rate &amp; Vol Update'!$E$6:$Z$6,1)+1)-INDEX('Rate &amp; Vol Update'!$E$6:$Z$6,1,MATCH(BQ64,'Rate &amp; Vol Update'!$E$6:$Z$6,1)))*(INDEX('Rate &amp; Vol Update'!$B$8:$B$127,MATCH(BL64,'Rate &amp; Vol Update'!$B$8:$B$127,1)+1)-INDEX('Rate &amp; Vol Update'!$B$8:$B$127,MATCH(BL64,'Rate &amp; Vol Update'!$B$8:$B$127,1))))*(INDEX('Rate &amp; Vol Update'!$E$8:$Z$127,MATCH(INDEX('Rate &amp; Vol Update'!$B$8:$B$127,MATCH(BL64,'Rate &amp; Vol Update'!$B$8:$B$127,1)),'Rate &amp; Vol Update'!$B$8:$B$127,0),MATCH(INDEX('Rate &amp; Vol Update'!$E$6:$Z$6,1,MATCH(BQ64,'Rate &amp; Vol Update'!$E$6:$Z$6,1)),'Rate &amp; Vol Update'!$E$6:$Z$6,0))*(INDEX('Rate &amp; Vol Update'!$E$6:$Z$6,1,MATCH(BQ64,'Rate &amp; Vol Update'!$E$6:$Z$6,1)+1)-BQ64)*(INDEX('Rate &amp; Vol Update'!$B$8:$B$127,MATCH(BL64,'Rate &amp; Vol Update'!$B$8:$B$127,1)+1)-BL64)+INDEX('Rate &amp; Vol Update'!$E$8:$Z$127,MATCH(INDEX('Rate &amp; Vol Update'!$B$8:$B$127,MATCH(BL64,'Rate &amp; Vol Update'!$B$8:$B$127,1)),'Rate &amp; Vol Update'!$B$8:$B$127,0),MATCH(INDEX('Rate &amp; Vol Update'!$E$6:$Z$6,1,MATCH(BQ64,'Rate &amp; Vol Update'!$E$6:$Z$6,1)+1),'Rate &amp; Vol Update'!$E$6:$Z$6,0))*(BQ64-INDEX('Rate &amp; Vol Update'!$E$6:$Z$6,1,MATCH(BQ64,'Rate &amp; Vol Update'!$E$6:$Z$6,1)))*(INDEX('Rate &amp; Vol Update'!$B$8:$B$127,MATCH(BL64,'Rate &amp; Vol Update'!$B$8:$B$127,1)+1)-BL64)+INDEX('Rate &amp; Vol Update'!$E$8:$Z$127,MATCH(INDEX('Rate &amp; Vol Update'!$B$8:$B$127,MATCH(BL64,'Rate &amp; Vol Update'!$B$8:$B$127,1)+1),'Rate &amp; Vol Update'!$B$8:$B$127,0),MATCH(INDEX('Rate &amp; Vol Update'!$E$6:$Z$6,1,MATCH(BQ64,'Rate &amp; Vol Update'!$E$6:$Z$6,1)),'Rate &amp; Vol Update'!$E$6:$Z$6,0))*(INDEX('Rate &amp; Vol Update'!$E$6:$Z$6,1,MATCH(BQ64,'Rate &amp; Vol Update'!$E$6:$Z$6,1)+1)-BQ64)*(BL64-INDEX('Rate &amp; Vol Update'!$B$8:$B$127,MATCH(BL64,'Rate &amp; Vol Update'!$B$8:$B$127,1)))+INDEX('Rate &amp; Vol Update'!$E$8:$Z$127,MATCH(INDEX('Rate &amp; Vol Update'!$B$8:$B$127,MATCH(BL64,'Rate &amp; Vol Update'!$B$8:$B$127,1)+1),'Rate &amp; Vol Update'!$B$8:$B$127,0),MATCH(INDEX('Rate &amp; Vol Update'!$E$6:$Z$6,1,MATCH(BQ64,'Rate &amp; Vol Update'!$E$6:$Z$6,1)+1),'Rate &amp; Vol Update'!$E$6:$Z$6,0))*(BQ64-INDEX('Rate &amp; Vol Update'!$E$6:$Z$6,1,MATCH(BQ64,'Rate &amp; Vol Update'!$E$6:$Z$6,1)))*(BL64-INDEX('Rate &amp; Vol Update'!$B$8:$B$127,MATCH(BL64,'Rate &amp; Vol Update'!$B$8:$B$127,1)))))*0.01%))</f>
        <v/>
      </c>
      <c r="BT64" s="5" t="str">
        <f>IF(BK64="","",1/((1+BR64)^((BM64-'Rate &amp; Vol Update'!$C$2)/360)))</f>
        <v/>
      </c>
      <c r="BV64" s="15" t="str">
        <f>IF(BK64="","",IF(BL64&lt;'Rate &amp; Vol Update'!$C$2,MAX(0,BR64-BQ64)*(BN64/360)*BP64,(((IF('Adjustment Surface'!$C$2='Data Validation'!$A$2,BR64,IF('Adjustment Surface'!$C$2='Data Validation'!$A$3,BQ64,"Unknown Option Type"))-IF('Adjustment Surface'!$C$2='Data Validation'!$A$2,BQ64,IF('Adjustment Surface'!$C$2='Data Validation'!$A$3,BR64,"Unknown Option Type")))*(NORMDIST((IF('Adjustment Surface'!$C$2='Data Validation'!$A$2,BR64,IF('Adjustment Surface'!$C$2='Data Validation'!$A$3,BQ64,"Unknown Option Type"))-IF('Adjustment Surface'!$C$2='Data Validation'!$A$2,BQ64,IF('Adjustment Surface'!$C$2='Data Validation'!$A$3,BR64,"Unknown Option Type")))/(BS64*SQRT(BO64)),0,1,TRUE)))+((BS64*SQRT(BO64))*(NORMDIST((IF('Adjustment Surface'!$C$2='Data Validation'!$A$2,BR64,IF('Adjustment Surface'!$C$2='Data Validation'!$A$3,BQ64,"Unknown Option Type"))-IF('Adjustment Surface'!$C$2='Data Validation'!$A$2,BQ64,IF('Adjustment Surface'!$C$2='Data Validation'!$A$3,BR64,"Unknown Option Type")))/(BS64*SQRT(BO64)),0,1,FALSE))))*BT64*(BN64/360)*BP64))</f>
        <v/>
      </c>
      <c r="BW64" s="15" t="str">
        <f>IF(BK64="","",SUM(BV$4:BV64))</f>
        <v/>
      </c>
      <c r="BY64" s="15" t="str">
        <f>IF(BK64="","",IF(BL64&lt;'Rate &amp; Vol Update'!$C$2,0,((((((IF('Adjustment Surface'!$C$2='Data Validation'!$A$2,BR64,IF('Adjustment Surface'!$C$2='Data Validation'!$A$3,BQ64,"Unknown Option Type"))-IF('Adjustment Surface'!$C$2='Data Validation'!$A$2,BQ64,IF('Adjustment Surface'!$C$2='Data Validation'!$A$3,BR64,"Unknown Option Type")))*(NORMDIST((IF('Adjustment Surface'!$C$2='Data Validation'!$A$2,BR64,IF('Adjustment Surface'!$C$2='Data Validation'!$A$3,BQ64,"Unknown Option Type"))-IF('Adjustment Surface'!$C$2='Data Validation'!$A$2,BQ64,IF('Adjustment Surface'!$C$2='Data Validation'!$A$3,BR64,"Unknown Option Type")))/((BS64+0.01%)*SQRT(BO64)),0,1,TRUE)))+(((BS64+0.01%)*SQRT(BO64))*(NORMDIST((IF('Adjustment Surface'!$C$2='Data Validation'!$A$2,BR64,IF('Adjustment Surface'!$C$2='Data Validation'!$A$3,BQ64,"Unknown Option Type"))-IF('Adjustment Surface'!$C$2='Data Validation'!$A$2,BQ64,IF('Adjustment Surface'!$C$2='Data Validation'!$A$3,BR64,"Unknown Option Type")))/((BS64+0.01%)*SQRT(BO64)),0,1,FALSE))))*BT64*(BN64/360))-(BV64/BP64))*BP64)*BT64))</f>
        <v/>
      </c>
      <c r="BZ64" s="15" t="str">
        <f>IF(BK64="","",SUM(BY$4:BY64))</f>
        <v/>
      </c>
      <c r="CA64" s="15"/>
      <c r="CB64" s="20"/>
      <c r="CD64" s="4" t="str">
        <f>IF(CE63=MAX('Adjustment Surface'!$C$14:$F$14),"",CE63)</f>
        <v/>
      </c>
      <c r="CE64" s="4" t="str">
        <f>IF(CD64="","",IF(CD64&lt;EDATE('Adjustment Surface'!$C$6,DATEDIF('Adjustment Surface'!$C$6,MAX('Adjustment Surface'!$C$14:$F$14),"M")),EDATE(CD$5,COUNT(CD$5:CD64)),IF(CD64=EDATE('Adjustment Surface'!$C$6,DATEDIF('Adjustment Surface'!$C$6,MAX('Adjustment Surface'!$C$14:$F$14),"M")),MAX('Adjustment Surface'!$C$14:$F$14),EDATE('Adjustment Surface'!$C$6,DATEDIF('Adjustment Surface'!$C$6,MAX('Adjustment Surface'!$C$14:$F$14),"M")))))</f>
        <v/>
      </c>
      <c r="CF64" s="3" t="str">
        <f t="shared" si="5"/>
        <v/>
      </c>
      <c r="CG64" s="5" t="str">
        <f>IF(CC64="","",(CE64-'Rate &amp; Vol Update'!$C$2)/360)</f>
        <v/>
      </c>
      <c r="CH64" s="15" t="str">
        <f>IF(CC64="","",IF('Adjustment Surface'!$C$3='Data Validation'!$C$2,'Adjustment Surface'!$C$4,_xlfn.IFNA(IF(INDEX(Schedules!$E$3:$E$123,MATCH('Bachelier Model'!CD64,Schedules!$B$3:$B$123,0))="",CH63,INDEX(Schedules!$E$3:$E$123,MATCH('Bachelier Model'!CD64,Schedules!$B$3:$B$123,0))),CH63)))</f>
        <v/>
      </c>
      <c r="CI64" s="16" t="str">
        <f>IF(CC64="","",'Adjustment Surface'!B$18)</f>
        <v/>
      </c>
      <c r="CJ64" s="16" t="str" cm="1">
        <f t="array" ref="CJ64">IF(CC64="","",FORECAST(CD64,INDEX('Rate &amp; Vol Update'!$C$6:$C$127,MATCH(INDEX('Rate &amp; Vol Update'!$B$6:$B$127,MATCH(CD64,'Rate &amp; Vol Update'!$B$6:$B$127,1)),'Rate &amp; Vol Update'!$B$6:$B$127,0)+IF('Adjustment Surface'!$C$11='Data Validation'!$E$3,-1,0)):INDEX('Rate &amp; Vol Update'!$C$6:$C$127,MATCH(INDEX('Rate &amp; Vol Update'!$B$6:$B$127,MATCH(CD64,'Rate &amp; Vol Update'!$B$6:$B$127,1)+1),'Rate &amp; Vol Update'!$B$6:$B$127,0)+IF('Adjustment Surface'!$C$11='Data Validation'!$E$3,-1,0)),INDEX('Rate &amp; Vol Update'!$B$6:$B$127,MATCH(CD64,'Rate &amp; Vol Update'!$B$6:$B$127,1)):INDEX('Rate &amp; Vol Update'!$B$6:$B$127,MATCH(CD64,'Rate &amp; Vol Update'!$B$6:$B$127,1)+1))/100)</f>
        <v/>
      </c>
      <c r="CK64" s="16" t="str" cm="1">
        <f t="array" ref="CK64">IF(CC64="","",IF(CD64&lt;'Rate &amp; Vol Update'!$C$2,0.001%,(1/((INDEX('Rate &amp; Vol Update'!$E$6:$Z$6,1,MATCH(CI64,'Rate &amp; Vol Update'!$E$6:$Z$6,1)+1)-INDEX('Rate &amp; Vol Update'!$E$6:$Z$6,1,MATCH(CI64,'Rate &amp; Vol Update'!$E$6:$Z$6,1)))*(INDEX('Rate &amp; Vol Update'!$B$8:$B$127,MATCH(CD64,'Rate &amp; Vol Update'!$B$8:$B$127,1)+1)-INDEX('Rate &amp; Vol Update'!$B$8:$B$127,MATCH(CD64,'Rate &amp; Vol Update'!$B$8:$B$127,1))))*(INDEX('Rate &amp; Vol Update'!$E$8:$Z$127,MATCH(INDEX('Rate &amp; Vol Update'!$B$8:$B$127,MATCH(CD64,'Rate &amp; Vol Update'!$B$8:$B$127,1)),'Rate &amp; Vol Update'!$B$8:$B$127,0),MATCH(INDEX('Rate &amp; Vol Update'!$E$6:$Z$6,1,MATCH(CI64,'Rate &amp; Vol Update'!$E$6:$Z$6,1)),'Rate &amp; Vol Update'!$E$6:$Z$6,0))*(INDEX('Rate &amp; Vol Update'!$E$6:$Z$6,1,MATCH(CI64,'Rate &amp; Vol Update'!$E$6:$Z$6,1)+1)-CI64)*(INDEX('Rate &amp; Vol Update'!$B$8:$B$127,MATCH(CD64,'Rate &amp; Vol Update'!$B$8:$B$127,1)+1)-CD64)+INDEX('Rate &amp; Vol Update'!$E$8:$Z$127,MATCH(INDEX('Rate &amp; Vol Update'!$B$8:$B$127,MATCH(CD64,'Rate &amp; Vol Update'!$B$8:$B$127,1)),'Rate &amp; Vol Update'!$B$8:$B$127,0),MATCH(INDEX('Rate &amp; Vol Update'!$E$6:$Z$6,1,MATCH(CI64,'Rate &amp; Vol Update'!$E$6:$Z$6,1)+1),'Rate &amp; Vol Update'!$E$6:$Z$6,0))*(CI64-INDEX('Rate &amp; Vol Update'!$E$6:$Z$6,1,MATCH(CI64,'Rate &amp; Vol Update'!$E$6:$Z$6,1)))*(INDEX('Rate &amp; Vol Update'!$B$8:$B$127,MATCH(CD64,'Rate &amp; Vol Update'!$B$8:$B$127,1)+1)-CD64)+INDEX('Rate &amp; Vol Update'!$E$8:$Z$127,MATCH(INDEX('Rate &amp; Vol Update'!$B$8:$B$127,MATCH(CD64,'Rate &amp; Vol Update'!$B$8:$B$127,1)+1),'Rate &amp; Vol Update'!$B$8:$B$127,0),MATCH(INDEX('Rate &amp; Vol Update'!$E$6:$Z$6,1,MATCH(CI64,'Rate &amp; Vol Update'!$E$6:$Z$6,1)),'Rate &amp; Vol Update'!$E$6:$Z$6,0))*(INDEX('Rate &amp; Vol Update'!$E$6:$Z$6,1,MATCH(CI64,'Rate &amp; Vol Update'!$E$6:$Z$6,1)+1)-CI64)*(CD64-INDEX('Rate &amp; Vol Update'!$B$8:$B$127,MATCH(CD64,'Rate &amp; Vol Update'!$B$8:$B$127,1)))+INDEX('Rate &amp; Vol Update'!$E$8:$Z$127,MATCH(INDEX('Rate &amp; Vol Update'!$B$8:$B$127,MATCH(CD64,'Rate &amp; Vol Update'!$B$8:$B$127,1)+1),'Rate &amp; Vol Update'!$B$8:$B$127,0),MATCH(INDEX('Rate &amp; Vol Update'!$E$6:$Z$6,1,MATCH(CI64,'Rate &amp; Vol Update'!$E$6:$Z$6,1)+1),'Rate &amp; Vol Update'!$E$6:$Z$6,0))*(CI64-INDEX('Rate &amp; Vol Update'!$E$6:$Z$6,1,MATCH(CI64,'Rate &amp; Vol Update'!$E$6:$Z$6,1)))*(CD64-INDEX('Rate &amp; Vol Update'!$B$8:$B$127,MATCH(CD64,'Rate &amp; Vol Update'!$B$8:$B$127,1)))))*0.01%))</f>
        <v/>
      </c>
      <c r="CL64" s="5" t="str">
        <f>IF(CC64="","",1/((1+CJ64)^((CE64-'Rate &amp; Vol Update'!$C$2)/360)))</f>
        <v/>
      </c>
      <c r="CN64" s="15" t="str">
        <f>IF(CC64="","",IF(CD64&lt;'Rate &amp; Vol Update'!$C$2,MAX(0,CJ64-CI64)*(CF64/360)*CH64,(((IF('Adjustment Surface'!$C$2='Data Validation'!$A$2,CJ64,IF('Adjustment Surface'!$C$2='Data Validation'!$A$3,CI64,"Unknown Option Type"))-IF('Adjustment Surface'!$C$2='Data Validation'!$A$2,CI64,IF('Adjustment Surface'!$C$2='Data Validation'!$A$3,CJ64,"Unknown Option Type")))*(NORMDIST((IF('Adjustment Surface'!$C$2='Data Validation'!$A$2,CJ64,IF('Adjustment Surface'!$C$2='Data Validation'!$A$3,CI64,"Unknown Option Type"))-IF('Adjustment Surface'!$C$2='Data Validation'!$A$2,CI64,IF('Adjustment Surface'!$C$2='Data Validation'!$A$3,CJ64,"Unknown Option Type")))/(CK64*SQRT(CG64)),0,1,TRUE)))+((CK64*SQRT(CG64))*(NORMDIST((IF('Adjustment Surface'!$C$2='Data Validation'!$A$2,CJ64,IF('Adjustment Surface'!$C$2='Data Validation'!$A$3,CI64,"Unknown Option Type"))-IF('Adjustment Surface'!$C$2='Data Validation'!$A$2,CI64,IF('Adjustment Surface'!$C$2='Data Validation'!$A$3,CJ64,"Unknown Option Type")))/(CK64*SQRT(CG64)),0,1,FALSE))))*CL64*(CF64/360)*CH64))</f>
        <v/>
      </c>
      <c r="CO64" s="15" t="str">
        <f>IF(CC64="","",SUM(CN$4:CN64))</f>
        <v/>
      </c>
      <c r="CQ64" s="15" t="str">
        <f>IF(CC64="","",IF(CD64&lt;'Rate &amp; Vol Update'!$C$2,0,((((((IF('Adjustment Surface'!$C$2='Data Validation'!$A$2,CJ64,IF('Adjustment Surface'!$C$2='Data Validation'!$A$3,CI64,"Unknown Option Type"))-IF('Adjustment Surface'!$C$2='Data Validation'!$A$2,CI64,IF('Adjustment Surface'!$C$2='Data Validation'!$A$3,CJ64,"Unknown Option Type")))*(NORMDIST((IF('Adjustment Surface'!$C$2='Data Validation'!$A$2,CJ64,IF('Adjustment Surface'!$C$2='Data Validation'!$A$3,CI64,"Unknown Option Type"))-IF('Adjustment Surface'!$C$2='Data Validation'!$A$2,CI64,IF('Adjustment Surface'!$C$2='Data Validation'!$A$3,CJ64,"Unknown Option Type")))/((CK64+0.01%)*SQRT(CG64)),0,1,TRUE)))+(((CK64+0.01%)*SQRT(CG64))*(NORMDIST((IF('Adjustment Surface'!$C$2='Data Validation'!$A$2,CJ64,IF('Adjustment Surface'!$C$2='Data Validation'!$A$3,CI64,"Unknown Option Type"))-IF('Adjustment Surface'!$C$2='Data Validation'!$A$2,CI64,IF('Adjustment Surface'!$C$2='Data Validation'!$A$3,CJ64,"Unknown Option Type")))/((CK64+0.01%)*SQRT(CG64)),0,1,FALSE))))*CL64*(CF64/360))-(CN64/CH64))*CH64)*CL64))</f>
        <v/>
      </c>
      <c r="CR64" s="15" t="str">
        <f>IF(CC64="","",SUM(CQ$4:CQ64))</f>
        <v/>
      </c>
    </row>
    <row r="65" spans="7:96" x14ac:dyDescent="0.25">
      <c r="G65" s="28"/>
      <c r="J65" s="4" t="str">
        <f>IF(K64='Adjustment Surface'!C$8,"",K64)</f>
        <v/>
      </c>
      <c r="K65" s="4" t="str">
        <f>IF(J65="","",IF(J65&lt;'Adjustment Surface'!C$7,EDATE(J$5,COUNT(J$5:J65)),IF(J65='Adjustment Surface'!C$7,'Adjustment Surface'!C$8,'Adjustment Surface'!C$7)))</f>
        <v/>
      </c>
      <c r="L65" s="3" t="str">
        <f t="shared" si="1"/>
        <v/>
      </c>
      <c r="M65" s="5" t="str">
        <f>IF(I65="","",(K65-'Rate &amp; Vol Update'!$C$2)/360)</f>
        <v/>
      </c>
      <c r="N65" s="15" t="str">
        <f>IF(I65="","",IF('Adjustment Surface'!C$3='Data Validation'!$C$2,'Adjustment Surface'!C$4,IF(INDEX(Schedules!$E$3:$E$123,MATCH('Bachelier Model'!J65,Schedules!$B$3:$B$123,0))="",N64,INDEX(Schedules!$E$3:$E$123,MATCH('Bachelier Model'!J65,Schedules!$B$3:$B$123,0)))))</f>
        <v/>
      </c>
      <c r="O65" s="16" t="str">
        <f>IF(I65="","",IF('Adjustment Surface'!C$9='Data Validation'!$D$2,'Adjustment Surface'!C$10,IF(INDEX(Schedules!$H$3:$H$123,MATCH('Bachelier Model'!J65,Schedules!$B$3:$B$123,0))="",O64,INDEX(Schedules!$H$3:$H$123,MATCH('Bachelier Model'!J65,Schedules!$B$3:$B$123,0)))))</f>
        <v/>
      </c>
      <c r="P65" s="16" t="str" cm="1">
        <f t="array" ref="P65">IF(I65="","",FORECAST(J65,INDEX('Rate &amp; Vol Update'!$C$6:$C$127,MATCH(INDEX('Rate &amp; Vol Update'!$B$6:$B$127,MATCH(J65,'Rate &amp; Vol Update'!$B$6:$B$127,1)),'Rate &amp; Vol Update'!$B$6:$B$127,0)+IF('Adjustment Surface'!C$11='Data Validation'!$E$3,-1,0)):INDEX('Rate &amp; Vol Update'!$C$6:$C$127,MATCH(INDEX('Rate &amp; Vol Update'!$B$6:$B$127,MATCH(J65,'Rate &amp; Vol Update'!$B$6:$B$127,1)+1),'Rate &amp; Vol Update'!$B$6:$B$127,0)+IF('Adjustment Surface'!C$11='Data Validation'!$E$3,-1,0)),INDEX('Rate &amp; Vol Update'!$B$6:$B$127,MATCH(J65,'Rate &amp; Vol Update'!$B$6:$B$127,1)):INDEX('Rate &amp; Vol Update'!$B$6:$B$127,MATCH(J65,'Rate &amp; Vol Update'!$B$6:$B$127,1)+1))/100)</f>
        <v/>
      </c>
      <c r="Q65" s="16" t="str" cm="1">
        <f t="array" ref="Q65">IF(I65="","",IF(J65&lt;'Rate &amp; Vol Update'!$C$2,0.001%,(1/((INDEX('Rate &amp; Vol Update'!$E$6:$Z$6,1,MATCH(O65,'Rate &amp; Vol Update'!$E$6:$Z$6,1)+1)-INDEX('Rate &amp; Vol Update'!$E$6:$Z$6,1,MATCH(O65,'Rate &amp; Vol Update'!$E$6:$Z$6,1)))*(INDEX('Rate &amp; Vol Update'!$B$8:$B$127,MATCH(J65,'Rate &amp; Vol Update'!$B$8:$B$127,1)+1)-INDEX('Rate &amp; Vol Update'!$B$8:$B$127,MATCH(J65,'Rate &amp; Vol Update'!$B$8:$B$127,1))))*(INDEX('Rate &amp; Vol Update'!$E$8:$Z$127,MATCH(INDEX('Rate &amp; Vol Update'!$B$8:$B$127,MATCH(J65,'Rate &amp; Vol Update'!$B$8:$B$127,1)),'Rate &amp; Vol Update'!$B$8:$B$127,0),MATCH(INDEX('Rate &amp; Vol Update'!$E$6:$Z$6,1,MATCH(O65,'Rate &amp; Vol Update'!$E$6:$Z$6,1)),'Rate &amp; Vol Update'!$E$6:$Z$6,0))*(INDEX('Rate &amp; Vol Update'!$E$6:$Z$6,1,MATCH(O65,'Rate &amp; Vol Update'!$E$6:$Z$6,1)+1)-O65)*(INDEX('Rate &amp; Vol Update'!$B$8:$B$127,MATCH(J65,'Rate &amp; Vol Update'!$B$8:$B$127,1)+1)-J65)+INDEX('Rate &amp; Vol Update'!$E$8:$Z$127,MATCH(INDEX('Rate &amp; Vol Update'!$B$8:$B$127,MATCH(J65,'Rate &amp; Vol Update'!$B$8:$B$127,1)),'Rate &amp; Vol Update'!$B$8:$B$127,0),MATCH(INDEX('Rate &amp; Vol Update'!$E$6:$Z$6,1,MATCH(O65,'Rate &amp; Vol Update'!$E$6:$Z$6,1)+1),'Rate &amp; Vol Update'!$E$6:$Z$6,0))*(O65-INDEX('Rate &amp; Vol Update'!$E$6:$Z$6,1,MATCH(O65,'Rate &amp; Vol Update'!$E$6:$Z$6,1)))*(INDEX('Rate &amp; Vol Update'!$B$8:$B$127,MATCH(J65,'Rate &amp; Vol Update'!$B$8:$B$127,1)+1)-J65)+INDEX('Rate &amp; Vol Update'!$E$8:$Z$127,MATCH(INDEX('Rate &amp; Vol Update'!$B$8:$B$127,MATCH(J65,'Rate &amp; Vol Update'!$B$8:$B$127,1)+1),'Rate &amp; Vol Update'!$B$8:$B$127,0),MATCH(INDEX('Rate &amp; Vol Update'!$E$6:$Z$6,1,MATCH(O65,'Rate &amp; Vol Update'!$E$6:$Z$6,1)),'Rate &amp; Vol Update'!$E$6:$Z$6,0))*(INDEX('Rate &amp; Vol Update'!$E$6:$Z$6,1,MATCH(O65,'Rate &amp; Vol Update'!$E$6:$Z$6,1)+1)-O65)*(J65-INDEX('Rate &amp; Vol Update'!$B$8:$B$127,MATCH(J65,'Rate &amp; Vol Update'!$B$8:$B$127,1)))+INDEX('Rate &amp; Vol Update'!$E$8:$Z$127,MATCH(INDEX('Rate &amp; Vol Update'!$B$8:$B$127,MATCH(J65,'Rate &amp; Vol Update'!$B$8:$B$127,1)+1),'Rate &amp; Vol Update'!$B$8:$B$127,0),MATCH(INDEX('Rate &amp; Vol Update'!$E$6:$Z$6,1,MATCH(O65,'Rate &amp; Vol Update'!$E$6:$Z$6,1)+1),'Rate &amp; Vol Update'!$E$6:$Z$6,0))*(O65-INDEX('Rate &amp; Vol Update'!$E$6:$Z$6,1,MATCH(O65,'Rate &amp; Vol Update'!$E$6:$Z$6,1)))*(J65-INDEX('Rate &amp; Vol Update'!$B$8:$B$127,MATCH(J65,'Rate &amp; Vol Update'!$B$8:$B$127,1)))))*0.01%))</f>
        <v/>
      </c>
      <c r="R65" s="5" t="str">
        <f>IF(I65="","",1/((1+P65)^((K65-'Rate &amp; Vol Update'!$C$2)/360)))</f>
        <v/>
      </c>
      <c r="T65" s="15" t="str">
        <f>IF(I65="","",IF(J65&lt;'Rate &amp; Vol Update'!$C$2,MAX(0,P65-O65)*(L65/360)*N65,(((IF('Adjustment Surface'!C$2='Data Validation'!$A$2,P65,IF('Adjustment Surface'!C$2='Data Validation'!$A$3,O65,"Unknown Option Type"))-IF('Adjustment Surface'!C$2='Data Validation'!$A$2,O65,IF('Adjustment Surface'!C$2='Data Validation'!$A$3,P65,"Unknown Option Type")))*(NORMDIST((IF('Adjustment Surface'!C$2='Data Validation'!$A$2,P65,IF('Adjustment Surface'!C$2='Data Validation'!$A$3,O65,"Unknown Option Type"))-IF('Adjustment Surface'!C$2='Data Validation'!$A$2,O65,IF('Adjustment Surface'!C$2='Data Validation'!$A$3,P65,"Unknown Option Type")))/(Q65*SQRT(M65)),0,1,TRUE)))+((Q65*SQRT(M65))*(NORMDIST((IF('Adjustment Surface'!C$2='Data Validation'!$A$2,P65,IF('Adjustment Surface'!C$2='Data Validation'!$A$3,O65,"Unknown Option Type"))-IF('Adjustment Surface'!C$2='Data Validation'!$A$2,O65,IF('Adjustment Surface'!C$2='Data Validation'!$A$3,P65,"Unknown Option Type")))/(Q65*SQRT(M65)),0,1,FALSE))))*R65*(L65/360)*N65))</f>
        <v/>
      </c>
      <c r="U65" s="15" t="str">
        <f>IF(I65="","",SUM(T$4:T65))</f>
        <v/>
      </c>
      <c r="W65" s="15" t="str">
        <f>IF(I65="","",IF(J65&lt;'Rate &amp; Vol Update'!$C$2,0,((((((IF('Adjustment Surface'!C$2='Data Validation'!$A$2,P65,IF('Adjustment Surface'!C$2='Data Validation'!$A$3,O65,"Unknown Option Type"))-IF('Adjustment Surface'!C$2='Data Validation'!$A$2,O65,IF('Adjustment Surface'!C$2='Data Validation'!$A$3,P65,"Unknown Option Type")))*(NORMDIST((IF('Adjustment Surface'!C$2='Data Validation'!$A$2,P65,IF('Adjustment Surface'!C$2='Data Validation'!$A$3,O65,"Unknown Option Type"))-IF('Adjustment Surface'!C$2='Data Validation'!$A$2,O65,IF('Adjustment Surface'!C$2='Data Validation'!$A$3,P65,"Unknown Option Type")))/((Q65+0.01%)*SQRT(M65)),0,1,TRUE)))+(((Q65+0.01%)*SQRT(M65))*(NORMDIST((IF('Adjustment Surface'!C$2='Data Validation'!$A$2,P65,IF('Adjustment Surface'!C$2='Data Validation'!$A$3,O65,"Unknown Option Type"))-IF('Adjustment Surface'!C$2='Data Validation'!$A$2,O65,IF('Adjustment Surface'!C$2='Data Validation'!$A$3,P65,"Unknown Option Type")))/((Q65+0.01%)*SQRT(M65)),0,1,FALSE))))*R65*(L65/360))-(T65/N65))*N65)*R65))</f>
        <v/>
      </c>
      <c r="X65" s="15" t="str">
        <f>IF(I65="","",SUM(W$4:W65))</f>
        <v/>
      </c>
      <c r="Y65" s="15"/>
      <c r="Z65" s="20"/>
      <c r="AB65" s="4" t="str">
        <f>IF(AC64=MAX('Adjustment Surface'!$C$14:$F$14),"",AC64)</f>
        <v/>
      </c>
      <c r="AC65" s="4" t="str">
        <f>IF(AB65="","",IF(AB65&lt;EDATE('Adjustment Surface'!$C$6,DATEDIF('Adjustment Surface'!$C$6,MAX('Adjustment Surface'!$C$14:$F$14),"M")),EDATE(AB$5,COUNT(AB$5:AB65)),IF(AB65=EDATE('Adjustment Surface'!$C$6,DATEDIF('Adjustment Surface'!$C$6,MAX('Adjustment Surface'!$C$14:$F$14),"M")),MAX('Adjustment Surface'!$C$14:$F$14),EDATE('Adjustment Surface'!$C$6,DATEDIF('Adjustment Surface'!$C$6,MAX('Adjustment Surface'!$C$14:$F$14),"M")))))</f>
        <v/>
      </c>
      <c r="AD65" s="3" t="str">
        <f t="shared" si="2"/>
        <v/>
      </c>
      <c r="AE65" s="5" t="str">
        <f>IF(AA65="","",(AC65-'Rate &amp; Vol Update'!$C$2)/360)</f>
        <v/>
      </c>
      <c r="AF65" s="15" t="str">
        <f>IF(AA65="","",IF('Adjustment Surface'!$C$3='Data Validation'!$C$2,'Adjustment Surface'!$C$4,_xlfn.IFNA(IF(INDEX(Schedules!$E$3:$E$123,MATCH('Bachelier Model'!AB65,Schedules!$B$3:$B$123,0))="",AF64,INDEX(Schedules!$E$3:$E$123,MATCH('Bachelier Model'!AB65,Schedules!$B$3:$B$123,0))),AF64)))</f>
        <v/>
      </c>
      <c r="AG65" s="16" t="str">
        <f>IF(AA65="","",'Adjustment Surface'!B$15)</f>
        <v/>
      </c>
      <c r="AH65" s="16" t="str" cm="1">
        <f t="array" ref="AH65">IF(AA65="","",FORECAST(AB65,INDEX('Rate &amp; Vol Update'!$C$6:$C$127,MATCH(INDEX('Rate &amp; Vol Update'!$B$6:$B$127,MATCH(AB65,'Rate &amp; Vol Update'!$B$6:$B$127,1)),'Rate &amp; Vol Update'!$B$6:$B$127,0)+IF('Adjustment Surface'!$C$11='Data Validation'!$E$3,-1,0)):INDEX('Rate &amp; Vol Update'!$C$6:$C$127,MATCH(INDEX('Rate &amp; Vol Update'!$B$6:$B$127,MATCH(AB65,'Rate &amp; Vol Update'!$B$6:$B$127,1)+1),'Rate &amp; Vol Update'!$B$6:$B$127,0)+IF('Adjustment Surface'!$C$11='Data Validation'!$E$3,-1,0)),INDEX('Rate &amp; Vol Update'!$B$6:$B$127,MATCH(AB65,'Rate &amp; Vol Update'!$B$6:$B$127,1)):INDEX('Rate &amp; Vol Update'!$B$6:$B$127,MATCH(AB65,'Rate &amp; Vol Update'!$B$6:$B$127,1)+1))/100)</f>
        <v/>
      </c>
      <c r="AI65" s="16" t="str" cm="1">
        <f t="array" ref="AI65">IF(AA65="","",IF(AB65&lt;'Rate &amp; Vol Update'!$C$2,0.001%,(1/((INDEX('Rate &amp; Vol Update'!$E$6:$Z$6,1,MATCH(AG65,'Rate &amp; Vol Update'!$E$6:$Z$6,1)+1)-INDEX('Rate &amp; Vol Update'!$E$6:$Z$6,1,MATCH(AG65,'Rate &amp; Vol Update'!$E$6:$Z$6,1)))*(INDEX('Rate &amp; Vol Update'!$B$8:$B$127,MATCH(AB65,'Rate &amp; Vol Update'!$B$8:$B$127,1)+1)-INDEX('Rate &amp; Vol Update'!$B$8:$B$127,MATCH(AB65,'Rate &amp; Vol Update'!$B$8:$B$127,1))))*(INDEX('Rate &amp; Vol Update'!$E$8:$Z$127,MATCH(INDEX('Rate &amp; Vol Update'!$B$8:$B$127,MATCH(AB65,'Rate &amp; Vol Update'!$B$8:$B$127,1)),'Rate &amp; Vol Update'!$B$8:$B$127,0),MATCH(INDEX('Rate &amp; Vol Update'!$E$6:$Z$6,1,MATCH(AG65,'Rate &amp; Vol Update'!$E$6:$Z$6,1)),'Rate &amp; Vol Update'!$E$6:$Z$6,0))*(INDEX('Rate &amp; Vol Update'!$E$6:$Z$6,1,MATCH(AG65,'Rate &amp; Vol Update'!$E$6:$Z$6,1)+1)-AG65)*(INDEX('Rate &amp; Vol Update'!$B$8:$B$127,MATCH(AB65,'Rate &amp; Vol Update'!$B$8:$B$127,1)+1)-AB65)+INDEX('Rate &amp; Vol Update'!$E$8:$Z$127,MATCH(INDEX('Rate &amp; Vol Update'!$B$8:$B$127,MATCH(AB65,'Rate &amp; Vol Update'!$B$8:$B$127,1)),'Rate &amp; Vol Update'!$B$8:$B$127,0),MATCH(INDEX('Rate &amp; Vol Update'!$E$6:$Z$6,1,MATCH(AG65,'Rate &amp; Vol Update'!$E$6:$Z$6,1)+1),'Rate &amp; Vol Update'!$E$6:$Z$6,0))*(AG65-INDEX('Rate &amp; Vol Update'!$E$6:$Z$6,1,MATCH(AG65,'Rate &amp; Vol Update'!$E$6:$Z$6,1)))*(INDEX('Rate &amp; Vol Update'!$B$8:$B$127,MATCH(AB65,'Rate &amp; Vol Update'!$B$8:$B$127,1)+1)-AB65)+INDEX('Rate &amp; Vol Update'!$E$8:$Z$127,MATCH(INDEX('Rate &amp; Vol Update'!$B$8:$B$127,MATCH(AB65,'Rate &amp; Vol Update'!$B$8:$B$127,1)+1),'Rate &amp; Vol Update'!$B$8:$B$127,0),MATCH(INDEX('Rate &amp; Vol Update'!$E$6:$Z$6,1,MATCH(AG65,'Rate &amp; Vol Update'!$E$6:$Z$6,1)),'Rate &amp; Vol Update'!$E$6:$Z$6,0))*(INDEX('Rate &amp; Vol Update'!$E$6:$Z$6,1,MATCH(AG65,'Rate &amp; Vol Update'!$E$6:$Z$6,1)+1)-AG65)*(AB65-INDEX('Rate &amp; Vol Update'!$B$8:$B$127,MATCH(AB65,'Rate &amp; Vol Update'!$B$8:$B$127,1)))+INDEX('Rate &amp; Vol Update'!$E$8:$Z$127,MATCH(INDEX('Rate &amp; Vol Update'!$B$8:$B$127,MATCH(AB65,'Rate &amp; Vol Update'!$B$8:$B$127,1)+1),'Rate &amp; Vol Update'!$B$8:$B$127,0),MATCH(INDEX('Rate &amp; Vol Update'!$E$6:$Z$6,1,MATCH(AG65,'Rate &amp; Vol Update'!$E$6:$Z$6,1)+1),'Rate &amp; Vol Update'!$E$6:$Z$6,0))*(AG65-INDEX('Rate &amp; Vol Update'!$E$6:$Z$6,1,MATCH(AG65,'Rate &amp; Vol Update'!$E$6:$Z$6,1)))*(AB65-INDEX('Rate &amp; Vol Update'!$B$8:$B$127,MATCH(AB65,'Rate &amp; Vol Update'!$B$8:$B$127,1)))))*0.01%))</f>
        <v/>
      </c>
      <c r="AJ65" s="5" t="str">
        <f>IF(AA65="","",1/((1+AH65)^((AC65-'Rate &amp; Vol Update'!$C$2)/360)))</f>
        <v/>
      </c>
      <c r="AL65" s="15" t="str">
        <f>IF(AA65="","",IF(AB65&lt;'Rate &amp; Vol Update'!$C$2,MAX(0,AH65-AG65)*(AD65/360)*AF65,(((IF('Adjustment Surface'!$C$2='Data Validation'!$A$2,AH65,IF('Adjustment Surface'!$C$2='Data Validation'!$A$3,AG65,"Unknown Option Type"))-IF('Adjustment Surface'!$C$2='Data Validation'!$A$2,AG65,IF('Adjustment Surface'!$C$2='Data Validation'!$A$3,AH65,"Unknown Option Type")))*(NORMDIST((IF('Adjustment Surface'!$C$2='Data Validation'!$A$2,AH65,IF('Adjustment Surface'!$C$2='Data Validation'!$A$3,AG65,"Unknown Option Type"))-IF('Adjustment Surface'!$C$2='Data Validation'!$A$2,AG65,IF('Adjustment Surface'!$C$2='Data Validation'!$A$3,AH65,"Unknown Option Type")))/(AI65*SQRT(AE65)),0,1,TRUE)))+((AI65*SQRT(AE65))*(NORMDIST((IF('Adjustment Surface'!$C$2='Data Validation'!$A$2,AH65,IF('Adjustment Surface'!$C$2='Data Validation'!$A$3,AG65,"Unknown Option Type"))-IF('Adjustment Surface'!$C$2='Data Validation'!$A$2,AG65,IF('Adjustment Surface'!$C$2='Data Validation'!$A$3,AH65,"Unknown Option Type")))/(AI65*SQRT(AE65)),0,1,FALSE))))*AJ65*(AD65/360)*AF65))</f>
        <v/>
      </c>
      <c r="AM65" s="15" t="str">
        <f>IF(AA65="","",SUM(AL$4:AL65))</f>
        <v/>
      </c>
      <c r="AO65" s="15" t="str">
        <f>IF(AA65="","",IF(AB65&lt;'Rate &amp; Vol Update'!$C$2,0,((((((IF('Adjustment Surface'!$C$2='Data Validation'!$A$2,AH65,IF('Adjustment Surface'!$C$2='Data Validation'!$A$3,AG65,"Unknown Option Type"))-IF('Adjustment Surface'!$C$2='Data Validation'!$A$2,AG65,IF('Adjustment Surface'!$C$2='Data Validation'!$A$3,AH65,"Unknown Option Type")))*(NORMDIST((IF('Adjustment Surface'!$C$2='Data Validation'!$A$2,AH65,IF('Adjustment Surface'!$C$2='Data Validation'!$A$3,AG65,"Unknown Option Type"))-IF('Adjustment Surface'!$C$2='Data Validation'!$A$2,AG65,IF('Adjustment Surface'!$C$2='Data Validation'!$A$3,AH65,"Unknown Option Type")))/((AI65+0.01%)*SQRT(AE65)),0,1,TRUE)))+(((AI65+0.01%)*SQRT(AE65))*(NORMDIST((IF('Adjustment Surface'!$C$2='Data Validation'!$A$2,AH65,IF('Adjustment Surface'!$C$2='Data Validation'!$A$3,AG65,"Unknown Option Type"))-IF('Adjustment Surface'!$C$2='Data Validation'!$A$2,AG65,IF('Adjustment Surface'!$C$2='Data Validation'!$A$3,AH65,"Unknown Option Type")))/((AI65+0.01%)*SQRT(AE65)),0,1,FALSE))))*AJ65*(AD65/360))-(AL65/AF65))*AF65)*AJ65))</f>
        <v/>
      </c>
      <c r="AP65" s="15" t="str">
        <f>IF(AA65="","",SUM(AO$4:AO65))</f>
        <v/>
      </c>
      <c r="AQ65" s="15"/>
      <c r="AR65" s="20"/>
      <c r="AT65" s="4" t="str">
        <f>IF(AU64=MAX('Adjustment Surface'!$C$14:$F$14),"",AU64)</f>
        <v/>
      </c>
      <c r="AU65" s="4" t="str">
        <f>IF(AT65="","",IF(AT65&lt;EDATE('Adjustment Surface'!$C$6,DATEDIF('Adjustment Surface'!$C$6,MAX('Adjustment Surface'!$C$14:$F$14),"M")),EDATE(AT$5,COUNT(AT$5:AT65)),IF(AT65=EDATE('Adjustment Surface'!$C$6,DATEDIF('Adjustment Surface'!$C$6,MAX('Adjustment Surface'!$C$14:$F$14),"M")),MAX('Adjustment Surface'!$C$14:$F$14),EDATE('Adjustment Surface'!$C$6,DATEDIF('Adjustment Surface'!$C$6,MAX('Adjustment Surface'!$C$14:$F$14),"M")))))</f>
        <v/>
      </c>
      <c r="AV65" s="3" t="str">
        <f t="shared" si="3"/>
        <v/>
      </c>
      <c r="AW65" s="5" t="str">
        <f>IF(AS65="","",(AU65-'Rate &amp; Vol Update'!$C$2)/360)</f>
        <v/>
      </c>
      <c r="AX65" s="15" t="str">
        <f>IF(AS65="","",IF('Adjustment Surface'!$C$3='Data Validation'!$C$2,'Adjustment Surface'!$C$4,_xlfn.IFNA(IF(INDEX(Schedules!$E$3:$E$123,MATCH('Bachelier Model'!AT65,Schedules!$B$3:$B$123,0))="",AX64,INDEX(Schedules!$E$3:$E$123,MATCH('Bachelier Model'!AT65,Schedules!$B$3:$B$123,0))),AX64)))</f>
        <v/>
      </c>
      <c r="AY65" s="16" t="str">
        <f>IF(AS65="","",'Adjustment Surface'!B$16)</f>
        <v/>
      </c>
      <c r="AZ65" s="16" t="str" cm="1">
        <f t="array" ref="AZ65">IF(AS65="","",FORECAST(AT65,INDEX('Rate &amp; Vol Update'!$C$6:$C$127,MATCH(INDEX('Rate &amp; Vol Update'!$B$6:$B$127,MATCH(AT65,'Rate &amp; Vol Update'!$B$6:$B$127,1)),'Rate &amp; Vol Update'!$B$6:$B$127,0)+IF('Adjustment Surface'!$C$11='Data Validation'!$E$3,-1,0)):INDEX('Rate &amp; Vol Update'!$C$6:$C$127,MATCH(INDEX('Rate &amp; Vol Update'!$B$6:$B$127,MATCH(AT65,'Rate &amp; Vol Update'!$B$6:$B$127,1)+1),'Rate &amp; Vol Update'!$B$6:$B$127,0)+IF('Adjustment Surface'!$C$11='Data Validation'!$E$3,-1,0)),INDEX('Rate &amp; Vol Update'!$B$6:$B$127,MATCH(AT65,'Rate &amp; Vol Update'!$B$6:$B$127,1)):INDEX('Rate &amp; Vol Update'!$B$6:$B$127,MATCH(AT65,'Rate &amp; Vol Update'!$B$6:$B$127,1)+1))/100)</f>
        <v/>
      </c>
      <c r="BA65" s="16" t="str" cm="1">
        <f t="array" ref="BA65">IF(AS65="","",IF(AT65&lt;'Rate &amp; Vol Update'!$C$2,0.001%,(1/((INDEX('Rate &amp; Vol Update'!$E$6:$Z$6,1,MATCH(AY65,'Rate &amp; Vol Update'!$E$6:$Z$6,1)+1)-INDEX('Rate &amp; Vol Update'!$E$6:$Z$6,1,MATCH(AY65,'Rate &amp; Vol Update'!$E$6:$Z$6,1)))*(INDEX('Rate &amp; Vol Update'!$B$8:$B$127,MATCH(AT65,'Rate &amp; Vol Update'!$B$8:$B$127,1)+1)-INDEX('Rate &amp; Vol Update'!$B$8:$B$127,MATCH(AT65,'Rate &amp; Vol Update'!$B$8:$B$127,1))))*(INDEX('Rate &amp; Vol Update'!$E$8:$Z$127,MATCH(INDEX('Rate &amp; Vol Update'!$B$8:$B$127,MATCH(AT65,'Rate &amp; Vol Update'!$B$8:$B$127,1)),'Rate &amp; Vol Update'!$B$8:$B$127,0),MATCH(INDEX('Rate &amp; Vol Update'!$E$6:$Z$6,1,MATCH(AY65,'Rate &amp; Vol Update'!$E$6:$Z$6,1)),'Rate &amp; Vol Update'!$E$6:$Z$6,0))*(INDEX('Rate &amp; Vol Update'!$E$6:$Z$6,1,MATCH(AY65,'Rate &amp; Vol Update'!$E$6:$Z$6,1)+1)-AY65)*(INDEX('Rate &amp; Vol Update'!$B$8:$B$127,MATCH(AT65,'Rate &amp; Vol Update'!$B$8:$B$127,1)+1)-AT65)+INDEX('Rate &amp; Vol Update'!$E$8:$Z$127,MATCH(INDEX('Rate &amp; Vol Update'!$B$8:$B$127,MATCH(AT65,'Rate &amp; Vol Update'!$B$8:$B$127,1)),'Rate &amp; Vol Update'!$B$8:$B$127,0),MATCH(INDEX('Rate &amp; Vol Update'!$E$6:$Z$6,1,MATCH(AY65,'Rate &amp; Vol Update'!$E$6:$Z$6,1)+1),'Rate &amp; Vol Update'!$E$6:$Z$6,0))*(AY65-INDEX('Rate &amp; Vol Update'!$E$6:$Z$6,1,MATCH(AY65,'Rate &amp; Vol Update'!$E$6:$Z$6,1)))*(INDEX('Rate &amp; Vol Update'!$B$8:$B$127,MATCH(AT65,'Rate &amp; Vol Update'!$B$8:$B$127,1)+1)-AT65)+INDEX('Rate &amp; Vol Update'!$E$8:$Z$127,MATCH(INDEX('Rate &amp; Vol Update'!$B$8:$B$127,MATCH(AT65,'Rate &amp; Vol Update'!$B$8:$B$127,1)+1),'Rate &amp; Vol Update'!$B$8:$B$127,0),MATCH(INDEX('Rate &amp; Vol Update'!$E$6:$Z$6,1,MATCH(AY65,'Rate &amp; Vol Update'!$E$6:$Z$6,1)),'Rate &amp; Vol Update'!$E$6:$Z$6,0))*(INDEX('Rate &amp; Vol Update'!$E$6:$Z$6,1,MATCH(AY65,'Rate &amp; Vol Update'!$E$6:$Z$6,1)+1)-AY65)*(AT65-INDEX('Rate &amp; Vol Update'!$B$8:$B$127,MATCH(AT65,'Rate &amp; Vol Update'!$B$8:$B$127,1)))+INDEX('Rate &amp; Vol Update'!$E$8:$Z$127,MATCH(INDEX('Rate &amp; Vol Update'!$B$8:$B$127,MATCH(AT65,'Rate &amp; Vol Update'!$B$8:$B$127,1)+1),'Rate &amp; Vol Update'!$B$8:$B$127,0),MATCH(INDEX('Rate &amp; Vol Update'!$E$6:$Z$6,1,MATCH(AY65,'Rate &amp; Vol Update'!$E$6:$Z$6,1)+1),'Rate &amp; Vol Update'!$E$6:$Z$6,0))*(AY65-INDEX('Rate &amp; Vol Update'!$E$6:$Z$6,1,MATCH(AY65,'Rate &amp; Vol Update'!$E$6:$Z$6,1)))*(AT65-INDEX('Rate &amp; Vol Update'!$B$8:$B$127,MATCH(AT65,'Rate &amp; Vol Update'!$B$8:$B$127,1)))))*0.01%))</f>
        <v/>
      </c>
      <c r="BB65" s="5" t="str">
        <f>IF(AS65="","",1/((1+AZ65)^((AU65-'Rate &amp; Vol Update'!$C$2)/360)))</f>
        <v/>
      </c>
      <c r="BD65" s="15" t="str">
        <f>IF(AS65="","",IF(AT65&lt;'Rate &amp; Vol Update'!$C$2,MAX(0,AZ65-AY65)*(AV65/360)*AX65,(((IF('Adjustment Surface'!$C$2='Data Validation'!$A$2,AZ65,IF('Adjustment Surface'!$C$2='Data Validation'!$A$3,AY65,"Unknown Option Type"))-IF('Adjustment Surface'!$C$2='Data Validation'!$A$2,AY65,IF('Adjustment Surface'!$C$2='Data Validation'!$A$3,AZ65,"Unknown Option Type")))*(NORMDIST((IF('Adjustment Surface'!$C$2='Data Validation'!$A$2,AZ65,IF('Adjustment Surface'!$C$2='Data Validation'!$A$3,AY65,"Unknown Option Type"))-IF('Adjustment Surface'!$C$2='Data Validation'!$A$2,AY65,IF('Adjustment Surface'!$C$2='Data Validation'!$A$3,AZ65,"Unknown Option Type")))/(BA65*SQRT(AW65)),0,1,TRUE)))+((BA65*SQRT(AW65))*(NORMDIST((IF('Adjustment Surface'!$C$2='Data Validation'!$A$2,AZ65,IF('Adjustment Surface'!$C$2='Data Validation'!$A$3,AY65,"Unknown Option Type"))-IF('Adjustment Surface'!$C$2='Data Validation'!$A$2,AY65,IF('Adjustment Surface'!$C$2='Data Validation'!$A$3,AZ65,"Unknown Option Type")))/(BA65*SQRT(AW65)),0,1,FALSE))))*BB65*(AV65/360)*AX65))</f>
        <v/>
      </c>
      <c r="BE65" s="15" t="str">
        <f>IF(AS65="","",SUM(BD$4:BD65))</f>
        <v/>
      </c>
      <c r="BG65" s="15" t="str">
        <f>IF(AS65="","",IF(AT65&lt;'Rate &amp; Vol Update'!$C$2,0,((((((IF('Adjustment Surface'!$C$2='Data Validation'!$A$2,AZ65,IF('Adjustment Surface'!$C$2='Data Validation'!$A$3,AY65,"Unknown Option Type"))-IF('Adjustment Surface'!$C$2='Data Validation'!$A$2,AY65,IF('Adjustment Surface'!$C$2='Data Validation'!$A$3,AZ65,"Unknown Option Type")))*(NORMDIST((IF('Adjustment Surface'!$C$2='Data Validation'!$A$2,AZ65,IF('Adjustment Surface'!$C$2='Data Validation'!$A$3,AY65,"Unknown Option Type"))-IF('Adjustment Surface'!$C$2='Data Validation'!$A$2,AY65,IF('Adjustment Surface'!$C$2='Data Validation'!$A$3,AZ65,"Unknown Option Type")))/((BA65+0.01%)*SQRT(AW65)),0,1,TRUE)))+(((BA65+0.01%)*SQRT(AW65))*(NORMDIST((IF('Adjustment Surface'!$C$2='Data Validation'!$A$2,AZ65,IF('Adjustment Surface'!$C$2='Data Validation'!$A$3,AY65,"Unknown Option Type"))-IF('Adjustment Surface'!$C$2='Data Validation'!$A$2,AY65,IF('Adjustment Surface'!$C$2='Data Validation'!$A$3,AZ65,"Unknown Option Type")))/((BA65+0.01%)*SQRT(AW65)),0,1,FALSE))))*BB65*(AV65/360))-(BD65/AX65))*AX65)*BB65))</f>
        <v/>
      </c>
      <c r="BH65" s="15" t="str">
        <f>IF(AS65="","",SUM(BG$4:BG65))</f>
        <v/>
      </c>
      <c r="BI65" s="15"/>
      <c r="BJ65" s="20"/>
      <c r="BL65" s="4" t="str">
        <f>IF(BM64=MAX('Adjustment Surface'!$C$14:$F$14),"",BM64)</f>
        <v/>
      </c>
      <c r="BM65" s="4" t="str">
        <f>IF(BL65="","",IF(BL65&lt;EDATE('Adjustment Surface'!$C$6,DATEDIF('Adjustment Surface'!$C$6,MAX('Adjustment Surface'!$C$14:$F$14),"M")),EDATE(BL$5,COUNT(BL$5:BL65)),IF(BL65=EDATE('Adjustment Surface'!$C$6,DATEDIF('Adjustment Surface'!$C$6,MAX('Adjustment Surface'!$C$14:$F$14),"M")),MAX('Adjustment Surface'!$C$14:$F$14),EDATE('Adjustment Surface'!$C$6,DATEDIF('Adjustment Surface'!$C$6,MAX('Adjustment Surface'!$C$14:$F$14),"M")))))</f>
        <v/>
      </c>
      <c r="BN65" s="3" t="str">
        <f t="shared" si="4"/>
        <v/>
      </c>
      <c r="BO65" s="5" t="str">
        <f>IF(BK65="","",(BM65-'Rate &amp; Vol Update'!$C$2)/360)</f>
        <v/>
      </c>
      <c r="BP65" s="15" t="str">
        <f>IF(BK65="","",IF('Adjustment Surface'!$C$3='Data Validation'!$C$2,'Adjustment Surface'!$C$4,_xlfn.IFNA(IF(INDEX(Schedules!$E$3:$E$123,MATCH('Bachelier Model'!BL65,Schedules!$B$3:$B$123,0))="",BP64,INDEX(Schedules!$E$3:$E$123,MATCH('Bachelier Model'!BL65,Schedules!$B$3:$B$123,0))),BP64)))</f>
        <v/>
      </c>
      <c r="BQ65" s="16" t="str">
        <f>IF(BK65="","",'Adjustment Surface'!B$17)</f>
        <v/>
      </c>
      <c r="BR65" s="16" t="str" cm="1">
        <f t="array" ref="BR65">IF(BK65="","",FORECAST(BL65,INDEX('Rate &amp; Vol Update'!$C$6:$C$127,MATCH(INDEX('Rate &amp; Vol Update'!$B$6:$B$127,MATCH(BL65,'Rate &amp; Vol Update'!$B$6:$B$127,1)),'Rate &amp; Vol Update'!$B$6:$B$127,0)+IF('Adjustment Surface'!$C$11='Data Validation'!$E$3,-1,0)):INDEX('Rate &amp; Vol Update'!$C$6:$C$127,MATCH(INDEX('Rate &amp; Vol Update'!$B$6:$B$127,MATCH(BL65,'Rate &amp; Vol Update'!$B$6:$B$127,1)+1),'Rate &amp; Vol Update'!$B$6:$B$127,0)+IF('Adjustment Surface'!$C$11='Data Validation'!$E$3,-1,0)),INDEX('Rate &amp; Vol Update'!$B$6:$B$127,MATCH(BL65,'Rate &amp; Vol Update'!$B$6:$B$127,1)):INDEX('Rate &amp; Vol Update'!$B$6:$B$127,MATCH(BL65,'Rate &amp; Vol Update'!$B$6:$B$127,1)+1))/100)</f>
        <v/>
      </c>
      <c r="BS65" s="16" t="str" cm="1">
        <f t="array" ref="BS65">IF(BK65="","",IF(BL65&lt;'Rate &amp; Vol Update'!$C$2,0.001%,(1/((INDEX('Rate &amp; Vol Update'!$E$6:$Z$6,1,MATCH(BQ65,'Rate &amp; Vol Update'!$E$6:$Z$6,1)+1)-INDEX('Rate &amp; Vol Update'!$E$6:$Z$6,1,MATCH(BQ65,'Rate &amp; Vol Update'!$E$6:$Z$6,1)))*(INDEX('Rate &amp; Vol Update'!$B$8:$B$127,MATCH(BL65,'Rate &amp; Vol Update'!$B$8:$B$127,1)+1)-INDEX('Rate &amp; Vol Update'!$B$8:$B$127,MATCH(BL65,'Rate &amp; Vol Update'!$B$8:$B$127,1))))*(INDEX('Rate &amp; Vol Update'!$E$8:$Z$127,MATCH(INDEX('Rate &amp; Vol Update'!$B$8:$B$127,MATCH(BL65,'Rate &amp; Vol Update'!$B$8:$B$127,1)),'Rate &amp; Vol Update'!$B$8:$B$127,0),MATCH(INDEX('Rate &amp; Vol Update'!$E$6:$Z$6,1,MATCH(BQ65,'Rate &amp; Vol Update'!$E$6:$Z$6,1)),'Rate &amp; Vol Update'!$E$6:$Z$6,0))*(INDEX('Rate &amp; Vol Update'!$E$6:$Z$6,1,MATCH(BQ65,'Rate &amp; Vol Update'!$E$6:$Z$6,1)+1)-BQ65)*(INDEX('Rate &amp; Vol Update'!$B$8:$B$127,MATCH(BL65,'Rate &amp; Vol Update'!$B$8:$B$127,1)+1)-BL65)+INDEX('Rate &amp; Vol Update'!$E$8:$Z$127,MATCH(INDEX('Rate &amp; Vol Update'!$B$8:$B$127,MATCH(BL65,'Rate &amp; Vol Update'!$B$8:$B$127,1)),'Rate &amp; Vol Update'!$B$8:$B$127,0),MATCH(INDEX('Rate &amp; Vol Update'!$E$6:$Z$6,1,MATCH(BQ65,'Rate &amp; Vol Update'!$E$6:$Z$6,1)+1),'Rate &amp; Vol Update'!$E$6:$Z$6,0))*(BQ65-INDEX('Rate &amp; Vol Update'!$E$6:$Z$6,1,MATCH(BQ65,'Rate &amp; Vol Update'!$E$6:$Z$6,1)))*(INDEX('Rate &amp; Vol Update'!$B$8:$B$127,MATCH(BL65,'Rate &amp; Vol Update'!$B$8:$B$127,1)+1)-BL65)+INDEX('Rate &amp; Vol Update'!$E$8:$Z$127,MATCH(INDEX('Rate &amp; Vol Update'!$B$8:$B$127,MATCH(BL65,'Rate &amp; Vol Update'!$B$8:$B$127,1)+1),'Rate &amp; Vol Update'!$B$8:$B$127,0),MATCH(INDEX('Rate &amp; Vol Update'!$E$6:$Z$6,1,MATCH(BQ65,'Rate &amp; Vol Update'!$E$6:$Z$6,1)),'Rate &amp; Vol Update'!$E$6:$Z$6,0))*(INDEX('Rate &amp; Vol Update'!$E$6:$Z$6,1,MATCH(BQ65,'Rate &amp; Vol Update'!$E$6:$Z$6,1)+1)-BQ65)*(BL65-INDEX('Rate &amp; Vol Update'!$B$8:$B$127,MATCH(BL65,'Rate &amp; Vol Update'!$B$8:$B$127,1)))+INDEX('Rate &amp; Vol Update'!$E$8:$Z$127,MATCH(INDEX('Rate &amp; Vol Update'!$B$8:$B$127,MATCH(BL65,'Rate &amp; Vol Update'!$B$8:$B$127,1)+1),'Rate &amp; Vol Update'!$B$8:$B$127,0),MATCH(INDEX('Rate &amp; Vol Update'!$E$6:$Z$6,1,MATCH(BQ65,'Rate &amp; Vol Update'!$E$6:$Z$6,1)+1),'Rate &amp; Vol Update'!$E$6:$Z$6,0))*(BQ65-INDEX('Rate &amp; Vol Update'!$E$6:$Z$6,1,MATCH(BQ65,'Rate &amp; Vol Update'!$E$6:$Z$6,1)))*(BL65-INDEX('Rate &amp; Vol Update'!$B$8:$B$127,MATCH(BL65,'Rate &amp; Vol Update'!$B$8:$B$127,1)))))*0.01%))</f>
        <v/>
      </c>
      <c r="BT65" s="5" t="str">
        <f>IF(BK65="","",1/((1+BR65)^((BM65-'Rate &amp; Vol Update'!$C$2)/360)))</f>
        <v/>
      </c>
      <c r="BV65" s="15" t="str">
        <f>IF(BK65="","",IF(BL65&lt;'Rate &amp; Vol Update'!$C$2,MAX(0,BR65-BQ65)*(BN65/360)*BP65,(((IF('Adjustment Surface'!$C$2='Data Validation'!$A$2,BR65,IF('Adjustment Surface'!$C$2='Data Validation'!$A$3,BQ65,"Unknown Option Type"))-IF('Adjustment Surface'!$C$2='Data Validation'!$A$2,BQ65,IF('Adjustment Surface'!$C$2='Data Validation'!$A$3,BR65,"Unknown Option Type")))*(NORMDIST((IF('Adjustment Surface'!$C$2='Data Validation'!$A$2,BR65,IF('Adjustment Surface'!$C$2='Data Validation'!$A$3,BQ65,"Unknown Option Type"))-IF('Adjustment Surface'!$C$2='Data Validation'!$A$2,BQ65,IF('Adjustment Surface'!$C$2='Data Validation'!$A$3,BR65,"Unknown Option Type")))/(BS65*SQRT(BO65)),0,1,TRUE)))+((BS65*SQRT(BO65))*(NORMDIST((IF('Adjustment Surface'!$C$2='Data Validation'!$A$2,BR65,IF('Adjustment Surface'!$C$2='Data Validation'!$A$3,BQ65,"Unknown Option Type"))-IF('Adjustment Surface'!$C$2='Data Validation'!$A$2,BQ65,IF('Adjustment Surface'!$C$2='Data Validation'!$A$3,BR65,"Unknown Option Type")))/(BS65*SQRT(BO65)),0,1,FALSE))))*BT65*(BN65/360)*BP65))</f>
        <v/>
      </c>
      <c r="BW65" s="15" t="str">
        <f>IF(BK65="","",SUM(BV$4:BV65))</f>
        <v/>
      </c>
      <c r="BY65" s="15" t="str">
        <f>IF(BK65="","",IF(BL65&lt;'Rate &amp; Vol Update'!$C$2,0,((((((IF('Adjustment Surface'!$C$2='Data Validation'!$A$2,BR65,IF('Adjustment Surface'!$C$2='Data Validation'!$A$3,BQ65,"Unknown Option Type"))-IF('Adjustment Surface'!$C$2='Data Validation'!$A$2,BQ65,IF('Adjustment Surface'!$C$2='Data Validation'!$A$3,BR65,"Unknown Option Type")))*(NORMDIST((IF('Adjustment Surface'!$C$2='Data Validation'!$A$2,BR65,IF('Adjustment Surface'!$C$2='Data Validation'!$A$3,BQ65,"Unknown Option Type"))-IF('Adjustment Surface'!$C$2='Data Validation'!$A$2,BQ65,IF('Adjustment Surface'!$C$2='Data Validation'!$A$3,BR65,"Unknown Option Type")))/((BS65+0.01%)*SQRT(BO65)),0,1,TRUE)))+(((BS65+0.01%)*SQRT(BO65))*(NORMDIST((IF('Adjustment Surface'!$C$2='Data Validation'!$A$2,BR65,IF('Adjustment Surface'!$C$2='Data Validation'!$A$3,BQ65,"Unknown Option Type"))-IF('Adjustment Surface'!$C$2='Data Validation'!$A$2,BQ65,IF('Adjustment Surface'!$C$2='Data Validation'!$A$3,BR65,"Unknown Option Type")))/((BS65+0.01%)*SQRT(BO65)),0,1,FALSE))))*BT65*(BN65/360))-(BV65/BP65))*BP65)*BT65))</f>
        <v/>
      </c>
      <c r="BZ65" s="15" t="str">
        <f>IF(BK65="","",SUM(BY$4:BY65))</f>
        <v/>
      </c>
      <c r="CA65" s="15"/>
      <c r="CB65" s="20"/>
      <c r="CD65" s="4" t="str">
        <f>IF(CE64=MAX('Adjustment Surface'!$C$14:$F$14),"",CE64)</f>
        <v/>
      </c>
      <c r="CE65" s="4" t="str">
        <f>IF(CD65="","",IF(CD65&lt;EDATE('Adjustment Surface'!$C$6,DATEDIF('Adjustment Surface'!$C$6,MAX('Adjustment Surface'!$C$14:$F$14),"M")),EDATE(CD$5,COUNT(CD$5:CD65)),IF(CD65=EDATE('Adjustment Surface'!$C$6,DATEDIF('Adjustment Surface'!$C$6,MAX('Adjustment Surface'!$C$14:$F$14),"M")),MAX('Adjustment Surface'!$C$14:$F$14),EDATE('Adjustment Surface'!$C$6,DATEDIF('Adjustment Surface'!$C$6,MAX('Adjustment Surface'!$C$14:$F$14),"M")))))</f>
        <v/>
      </c>
      <c r="CF65" s="3" t="str">
        <f t="shared" si="5"/>
        <v/>
      </c>
      <c r="CG65" s="5" t="str">
        <f>IF(CC65="","",(CE65-'Rate &amp; Vol Update'!$C$2)/360)</f>
        <v/>
      </c>
      <c r="CH65" s="15" t="str">
        <f>IF(CC65="","",IF('Adjustment Surface'!$C$3='Data Validation'!$C$2,'Adjustment Surface'!$C$4,_xlfn.IFNA(IF(INDEX(Schedules!$E$3:$E$123,MATCH('Bachelier Model'!CD65,Schedules!$B$3:$B$123,0))="",CH64,INDEX(Schedules!$E$3:$E$123,MATCH('Bachelier Model'!CD65,Schedules!$B$3:$B$123,0))),CH64)))</f>
        <v/>
      </c>
      <c r="CI65" s="16" t="str">
        <f>IF(CC65="","",'Adjustment Surface'!B$18)</f>
        <v/>
      </c>
      <c r="CJ65" s="16" t="str" cm="1">
        <f t="array" ref="CJ65">IF(CC65="","",FORECAST(CD65,INDEX('Rate &amp; Vol Update'!$C$6:$C$127,MATCH(INDEX('Rate &amp; Vol Update'!$B$6:$B$127,MATCH(CD65,'Rate &amp; Vol Update'!$B$6:$B$127,1)),'Rate &amp; Vol Update'!$B$6:$B$127,0)+IF('Adjustment Surface'!$C$11='Data Validation'!$E$3,-1,0)):INDEX('Rate &amp; Vol Update'!$C$6:$C$127,MATCH(INDEX('Rate &amp; Vol Update'!$B$6:$B$127,MATCH(CD65,'Rate &amp; Vol Update'!$B$6:$B$127,1)+1),'Rate &amp; Vol Update'!$B$6:$B$127,0)+IF('Adjustment Surface'!$C$11='Data Validation'!$E$3,-1,0)),INDEX('Rate &amp; Vol Update'!$B$6:$B$127,MATCH(CD65,'Rate &amp; Vol Update'!$B$6:$B$127,1)):INDEX('Rate &amp; Vol Update'!$B$6:$B$127,MATCH(CD65,'Rate &amp; Vol Update'!$B$6:$B$127,1)+1))/100)</f>
        <v/>
      </c>
      <c r="CK65" s="16" t="str" cm="1">
        <f t="array" ref="CK65">IF(CC65="","",IF(CD65&lt;'Rate &amp; Vol Update'!$C$2,0.001%,(1/((INDEX('Rate &amp; Vol Update'!$E$6:$Z$6,1,MATCH(CI65,'Rate &amp; Vol Update'!$E$6:$Z$6,1)+1)-INDEX('Rate &amp; Vol Update'!$E$6:$Z$6,1,MATCH(CI65,'Rate &amp; Vol Update'!$E$6:$Z$6,1)))*(INDEX('Rate &amp; Vol Update'!$B$8:$B$127,MATCH(CD65,'Rate &amp; Vol Update'!$B$8:$B$127,1)+1)-INDEX('Rate &amp; Vol Update'!$B$8:$B$127,MATCH(CD65,'Rate &amp; Vol Update'!$B$8:$B$127,1))))*(INDEX('Rate &amp; Vol Update'!$E$8:$Z$127,MATCH(INDEX('Rate &amp; Vol Update'!$B$8:$B$127,MATCH(CD65,'Rate &amp; Vol Update'!$B$8:$B$127,1)),'Rate &amp; Vol Update'!$B$8:$B$127,0),MATCH(INDEX('Rate &amp; Vol Update'!$E$6:$Z$6,1,MATCH(CI65,'Rate &amp; Vol Update'!$E$6:$Z$6,1)),'Rate &amp; Vol Update'!$E$6:$Z$6,0))*(INDEX('Rate &amp; Vol Update'!$E$6:$Z$6,1,MATCH(CI65,'Rate &amp; Vol Update'!$E$6:$Z$6,1)+1)-CI65)*(INDEX('Rate &amp; Vol Update'!$B$8:$B$127,MATCH(CD65,'Rate &amp; Vol Update'!$B$8:$B$127,1)+1)-CD65)+INDEX('Rate &amp; Vol Update'!$E$8:$Z$127,MATCH(INDEX('Rate &amp; Vol Update'!$B$8:$B$127,MATCH(CD65,'Rate &amp; Vol Update'!$B$8:$B$127,1)),'Rate &amp; Vol Update'!$B$8:$B$127,0),MATCH(INDEX('Rate &amp; Vol Update'!$E$6:$Z$6,1,MATCH(CI65,'Rate &amp; Vol Update'!$E$6:$Z$6,1)+1),'Rate &amp; Vol Update'!$E$6:$Z$6,0))*(CI65-INDEX('Rate &amp; Vol Update'!$E$6:$Z$6,1,MATCH(CI65,'Rate &amp; Vol Update'!$E$6:$Z$6,1)))*(INDEX('Rate &amp; Vol Update'!$B$8:$B$127,MATCH(CD65,'Rate &amp; Vol Update'!$B$8:$B$127,1)+1)-CD65)+INDEX('Rate &amp; Vol Update'!$E$8:$Z$127,MATCH(INDEX('Rate &amp; Vol Update'!$B$8:$B$127,MATCH(CD65,'Rate &amp; Vol Update'!$B$8:$B$127,1)+1),'Rate &amp; Vol Update'!$B$8:$B$127,0),MATCH(INDEX('Rate &amp; Vol Update'!$E$6:$Z$6,1,MATCH(CI65,'Rate &amp; Vol Update'!$E$6:$Z$6,1)),'Rate &amp; Vol Update'!$E$6:$Z$6,0))*(INDEX('Rate &amp; Vol Update'!$E$6:$Z$6,1,MATCH(CI65,'Rate &amp; Vol Update'!$E$6:$Z$6,1)+1)-CI65)*(CD65-INDEX('Rate &amp; Vol Update'!$B$8:$B$127,MATCH(CD65,'Rate &amp; Vol Update'!$B$8:$B$127,1)))+INDEX('Rate &amp; Vol Update'!$E$8:$Z$127,MATCH(INDEX('Rate &amp; Vol Update'!$B$8:$B$127,MATCH(CD65,'Rate &amp; Vol Update'!$B$8:$B$127,1)+1),'Rate &amp; Vol Update'!$B$8:$B$127,0),MATCH(INDEX('Rate &amp; Vol Update'!$E$6:$Z$6,1,MATCH(CI65,'Rate &amp; Vol Update'!$E$6:$Z$6,1)+1),'Rate &amp; Vol Update'!$E$6:$Z$6,0))*(CI65-INDEX('Rate &amp; Vol Update'!$E$6:$Z$6,1,MATCH(CI65,'Rate &amp; Vol Update'!$E$6:$Z$6,1)))*(CD65-INDEX('Rate &amp; Vol Update'!$B$8:$B$127,MATCH(CD65,'Rate &amp; Vol Update'!$B$8:$B$127,1)))))*0.01%))</f>
        <v/>
      </c>
      <c r="CL65" s="5" t="str">
        <f>IF(CC65="","",1/((1+CJ65)^((CE65-'Rate &amp; Vol Update'!$C$2)/360)))</f>
        <v/>
      </c>
      <c r="CN65" s="15" t="str">
        <f>IF(CC65="","",IF(CD65&lt;'Rate &amp; Vol Update'!$C$2,MAX(0,CJ65-CI65)*(CF65/360)*CH65,(((IF('Adjustment Surface'!$C$2='Data Validation'!$A$2,CJ65,IF('Adjustment Surface'!$C$2='Data Validation'!$A$3,CI65,"Unknown Option Type"))-IF('Adjustment Surface'!$C$2='Data Validation'!$A$2,CI65,IF('Adjustment Surface'!$C$2='Data Validation'!$A$3,CJ65,"Unknown Option Type")))*(NORMDIST((IF('Adjustment Surface'!$C$2='Data Validation'!$A$2,CJ65,IF('Adjustment Surface'!$C$2='Data Validation'!$A$3,CI65,"Unknown Option Type"))-IF('Adjustment Surface'!$C$2='Data Validation'!$A$2,CI65,IF('Adjustment Surface'!$C$2='Data Validation'!$A$3,CJ65,"Unknown Option Type")))/(CK65*SQRT(CG65)),0,1,TRUE)))+((CK65*SQRT(CG65))*(NORMDIST((IF('Adjustment Surface'!$C$2='Data Validation'!$A$2,CJ65,IF('Adjustment Surface'!$C$2='Data Validation'!$A$3,CI65,"Unknown Option Type"))-IF('Adjustment Surface'!$C$2='Data Validation'!$A$2,CI65,IF('Adjustment Surface'!$C$2='Data Validation'!$A$3,CJ65,"Unknown Option Type")))/(CK65*SQRT(CG65)),0,1,FALSE))))*CL65*(CF65/360)*CH65))</f>
        <v/>
      </c>
      <c r="CO65" s="15" t="str">
        <f>IF(CC65="","",SUM(CN$4:CN65))</f>
        <v/>
      </c>
      <c r="CQ65" s="15" t="str">
        <f>IF(CC65="","",IF(CD65&lt;'Rate &amp; Vol Update'!$C$2,0,((((((IF('Adjustment Surface'!$C$2='Data Validation'!$A$2,CJ65,IF('Adjustment Surface'!$C$2='Data Validation'!$A$3,CI65,"Unknown Option Type"))-IF('Adjustment Surface'!$C$2='Data Validation'!$A$2,CI65,IF('Adjustment Surface'!$C$2='Data Validation'!$A$3,CJ65,"Unknown Option Type")))*(NORMDIST((IF('Adjustment Surface'!$C$2='Data Validation'!$A$2,CJ65,IF('Adjustment Surface'!$C$2='Data Validation'!$A$3,CI65,"Unknown Option Type"))-IF('Adjustment Surface'!$C$2='Data Validation'!$A$2,CI65,IF('Adjustment Surface'!$C$2='Data Validation'!$A$3,CJ65,"Unknown Option Type")))/((CK65+0.01%)*SQRT(CG65)),0,1,TRUE)))+(((CK65+0.01%)*SQRT(CG65))*(NORMDIST((IF('Adjustment Surface'!$C$2='Data Validation'!$A$2,CJ65,IF('Adjustment Surface'!$C$2='Data Validation'!$A$3,CI65,"Unknown Option Type"))-IF('Adjustment Surface'!$C$2='Data Validation'!$A$2,CI65,IF('Adjustment Surface'!$C$2='Data Validation'!$A$3,CJ65,"Unknown Option Type")))/((CK65+0.01%)*SQRT(CG65)),0,1,FALSE))))*CL65*(CF65/360))-(CN65/CH65))*CH65)*CL65))</f>
        <v/>
      </c>
      <c r="CR65" s="15" t="str">
        <f>IF(CC65="","",SUM(CQ$4:CQ65))</f>
        <v/>
      </c>
    </row>
    <row r="66" spans="7:96" x14ac:dyDescent="0.25">
      <c r="G66" s="28"/>
      <c r="J66" s="4" t="str">
        <f>IF(K65='Adjustment Surface'!C$8,"",K65)</f>
        <v/>
      </c>
      <c r="K66" s="4" t="str">
        <f>IF(J66="","",IF(J66&lt;'Adjustment Surface'!C$7,EDATE(J$5,COUNT(J$5:J66)),IF(J66='Adjustment Surface'!C$7,'Adjustment Surface'!C$8,'Adjustment Surface'!C$7)))</f>
        <v/>
      </c>
      <c r="L66" s="3" t="str">
        <f t="shared" si="1"/>
        <v/>
      </c>
      <c r="M66" s="5" t="str">
        <f>IF(I66="","",(K66-'Rate &amp; Vol Update'!$C$2)/360)</f>
        <v/>
      </c>
      <c r="N66" s="15" t="str">
        <f>IF(I66="","",IF('Adjustment Surface'!C$3='Data Validation'!$C$2,'Adjustment Surface'!C$4,IF(INDEX(Schedules!$E$3:$E$123,MATCH('Bachelier Model'!J66,Schedules!$B$3:$B$123,0))="",N65,INDEX(Schedules!$E$3:$E$123,MATCH('Bachelier Model'!J66,Schedules!$B$3:$B$123,0)))))</f>
        <v/>
      </c>
      <c r="O66" s="16" t="str">
        <f>IF(I66="","",IF('Adjustment Surface'!C$9='Data Validation'!$D$2,'Adjustment Surface'!C$10,IF(INDEX(Schedules!$H$3:$H$123,MATCH('Bachelier Model'!J66,Schedules!$B$3:$B$123,0))="",O65,INDEX(Schedules!$H$3:$H$123,MATCH('Bachelier Model'!J66,Schedules!$B$3:$B$123,0)))))</f>
        <v/>
      </c>
      <c r="P66" s="16" t="str" cm="1">
        <f t="array" ref="P66">IF(I66="","",FORECAST(J66,INDEX('Rate &amp; Vol Update'!$C$6:$C$127,MATCH(INDEX('Rate &amp; Vol Update'!$B$6:$B$127,MATCH(J66,'Rate &amp; Vol Update'!$B$6:$B$127,1)),'Rate &amp; Vol Update'!$B$6:$B$127,0)+IF('Adjustment Surface'!C$11='Data Validation'!$E$3,-1,0)):INDEX('Rate &amp; Vol Update'!$C$6:$C$127,MATCH(INDEX('Rate &amp; Vol Update'!$B$6:$B$127,MATCH(J66,'Rate &amp; Vol Update'!$B$6:$B$127,1)+1),'Rate &amp; Vol Update'!$B$6:$B$127,0)+IF('Adjustment Surface'!C$11='Data Validation'!$E$3,-1,0)),INDEX('Rate &amp; Vol Update'!$B$6:$B$127,MATCH(J66,'Rate &amp; Vol Update'!$B$6:$B$127,1)):INDEX('Rate &amp; Vol Update'!$B$6:$B$127,MATCH(J66,'Rate &amp; Vol Update'!$B$6:$B$127,1)+1))/100)</f>
        <v/>
      </c>
      <c r="Q66" s="16" t="str" cm="1">
        <f t="array" ref="Q66">IF(I66="","",IF(J66&lt;'Rate &amp; Vol Update'!$C$2,0.001%,(1/((INDEX('Rate &amp; Vol Update'!$E$6:$Z$6,1,MATCH(O66,'Rate &amp; Vol Update'!$E$6:$Z$6,1)+1)-INDEX('Rate &amp; Vol Update'!$E$6:$Z$6,1,MATCH(O66,'Rate &amp; Vol Update'!$E$6:$Z$6,1)))*(INDEX('Rate &amp; Vol Update'!$B$8:$B$127,MATCH(J66,'Rate &amp; Vol Update'!$B$8:$B$127,1)+1)-INDEX('Rate &amp; Vol Update'!$B$8:$B$127,MATCH(J66,'Rate &amp; Vol Update'!$B$8:$B$127,1))))*(INDEX('Rate &amp; Vol Update'!$E$8:$Z$127,MATCH(INDEX('Rate &amp; Vol Update'!$B$8:$B$127,MATCH(J66,'Rate &amp; Vol Update'!$B$8:$B$127,1)),'Rate &amp; Vol Update'!$B$8:$B$127,0),MATCH(INDEX('Rate &amp; Vol Update'!$E$6:$Z$6,1,MATCH(O66,'Rate &amp; Vol Update'!$E$6:$Z$6,1)),'Rate &amp; Vol Update'!$E$6:$Z$6,0))*(INDEX('Rate &amp; Vol Update'!$E$6:$Z$6,1,MATCH(O66,'Rate &amp; Vol Update'!$E$6:$Z$6,1)+1)-O66)*(INDEX('Rate &amp; Vol Update'!$B$8:$B$127,MATCH(J66,'Rate &amp; Vol Update'!$B$8:$B$127,1)+1)-J66)+INDEX('Rate &amp; Vol Update'!$E$8:$Z$127,MATCH(INDEX('Rate &amp; Vol Update'!$B$8:$B$127,MATCH(J66,'Rate &amp; Vol Update'!$B$8:$B$127,1)),'Rate &amp; Vol Update'!$B$8:$B$127,0),MATCH(INDEX('Rate &amp; Vol Update'!$E$6:$Z$6,1,MATCH(O66,'Rate &amp; Vol Update'!$E$6:$Z$6,1)+1),'Rate &amp; Vol Update'!$E$6:$Z$6,0))*(O66-INDEX('Rate &amp; Vol Update'!$E$6:$Z$6,1,MATCH(O66,'Rate &amp; Vol Update'!$E$6:$Z$6,1)))*(INDEX('Rate &amp; Vol Update'!$B$8:$B$127,MATCH(J66,'Rate &amp; Vol Update'!$B$8:$B$127,1)+1)-J66)+INDEX('Rate &amp; Vol Update'!$E$8:$Z$127,MATCH(INDEX('Rate &amp; Vol Update'!$B$8:$B$127,MATCH(J66,'Rate &amp; Vol Update'!$B$8:$B$127,1)+1),'Rate &amp; Vol Update'!$B$8:$B$127,0),MATCH(INDEX('Rate &amp; Vol Update'!$E$6:$Z$6,1,MATCH(O66,'Rate &amp; Vol Update'!$E$6:$Z$6,1)),'Rate &amp; Vol Update'!$E$6:$Z$6,0))*(INDEX('Rate &amp; Vol Update'!$E$6:$Z$6,1,MATCH(O66,'Rate &amp; Vol Update'!$E$6:$Z$6,1)+1)-O66)*(J66-INDEX('Rate &amp; Vol Update'!$B$8:$B$127,MATCH(J66,'Rate &amp; Vol Update'!$B$8:$B$127,1)))+INDEX('Rate &amp; Vol Update'!$E$8:$Z$127,MATCH(INDEX('Rate &amp; Vol Update'!$B$8:$B$127,MATCH(J66,'Rate &amp; Vol Update'!$B$8:$B$127,1)+1),'Rate &amp; Vol Update'!$B$8:$B$127,0),MATCH(INDEX('Rate &amp; Vol Update'!$E$6:$Z$6,1,MATCH(O66,'Rate &amp; Vol Update'!$E$6:$Z$6,1)+1),'Rate &amp; Vol Update'!$E$6:$Z$6,0))*(O66-INDEX('Rate &amp; Vol Update'!$E$6:$Z$6,1,MATCH(O66,'Rate &amp; Vol Update'!$E$6:$Z$6,1)))*(J66-INDEX('Rate &amp; Vol Update'!$B$8:$B$127,MATCH(J66,'Rate &amp; Vol Update'!$B$8:$B$127,1)))))*0.01%))</f>
        <v/>
      </c>
      <c r="R66" s="5" t="str">
        <f>IF(I66="","",1/((1+P66)^((K66-'Rate &amp; Vol Update'!$C$2)/360)))</f>
        <v/>
      </c>
      <c r="T66" s="15" t="str">
        <f>IF(I66="","",IF(J66&lt;'Rate &amp; Vol Update'!$C$2,MAX(0,P66-O66)*(L66/360)*N66,(((IF('Adjustment Surface'!C$2='Data Validation'!$A$2,P66,IF('Adjustment Surface'!C$2='Data Validation'!$A$3,O66,"Unknown Option Type"))-IF('Adjustment Surface'!C$2='Data Validation'!$A$2,O66,IF('Adjustment Surface'!C$2='Data Validation'!$A$3,P66,"Unknown Option Type")))*(NORMDIST((IF('Adjustment Surface'!C$2='Data Validation'!$A$2,P66,IF('Adjustment Surface'!C$2='Data Validation'!$A$3,O66,"Unknown Option Type"))-IF('Adjustment Surface'!C$2='Data Validation'!$A$2,O66,IF('Adjustment Surface'!C$2='Data Validation'!$A$3,P66,"Unknown Option Type")))/(Q66*SQRT(M66)),0,1,TRUE)))+((Q66*SQRT(M66))*(NORMDIST((IF('Adjustment Surface'!C$2='Data Validation'!$A$2,P66,IF('Adjustment Surface'!C$2='Data Validation'!$A$3,O66,"Unknown Option Type"))-IF('Adjustment Surface'!C$2='Data Validation'!$A$2,O66,IF('Adjustment Surface'!C$2='Data Validation'!$A$3,P66,"Unknown Option Type")))/(Q66*SQRT(M66)),0,1,FALSE))))*R66*(L66/360)*N66))</f>
        <v/>
      </c>
      <c r="U66" s="15" t="str">
        <f>IF(I66="","",SUM(T$4:T66))</f>
        <v/>
      </c>
      <c r="W66" s="15" t="str">
        <f>IF(I66="","",IF(J66&lt;'Rate &amp; Vol Update'!$C$2,0,((((((IF('Adjustment Surface'!C$2='Data Validation'!$A$2,P66,IF('Adjustment Surface'!C$2='Data Validation'!$A$3,O66,"Unknown Option Type"))-IF('Adjustment Surface'!C$2='Data Validation'!$A$2,O66,IF('Adjustment Surface'!C$2='Data Validation'!$A$3,P66,"Unknown Option Type")))*(NORMDIST((IF('Adjustment Surface'!C$2='Data Validation'!$A$2,P66,IF('Adjustment Surface'!C$2='Data Validation'!$A$3,O66,"Unknown Option Type"))-IF('Adjustment Surface'!C$2='Data Validation'!$A$2,O66,IF('Adjustment Surface'!C$2='Data Validation'!$A$3,P66,"Unknown Option Type")))/((Q66+0.01%)*SQRT(M66)),0,1,TRUE)))+(((Q66+0.01%)*SQRT(M66))*(NORMDIST((IF('Adjustment Surface'!C$2='Data Validation'!$A$2,P66,IF('Adjustment Surface'!C$2='Data Validation'!$A$3,O66,"Unknown Option Type"))-IF('Adjustment Surface'!C$2='Data Validation'!$A$2,O66,IF('Adjustment Surface'!C$2='Data Validation'!$A$3,P66,"Unknown Option Type")))/((Q66+0.01%)*SQRT(M66)),0,1,FALSE))))*R66*(L66/360))-(T66/N66))*N66)*R66))</f>
        <v/>
      </c>
      <c r="X66" s="15" t="str">
        <f>IF(I66="","",SUM(W$4:W66))</f>
        <v/>
      </c>
      <c r="Y66" s="15"/>
      <c r="Z66" s="20"/>
      <c r="AB66" s="4" t="str">
        <f>IF(AC65=MAX('Adjustment Surface'!$C$14:$F$14),"",AC65)</f>
        <v/>
      </c>
      <c r="AC66" s="4" t="str">
        <f>IF(AB66="","",IF(AB66&lt;EDATE('Adjustment Surface'!$C$6,DATEDIF('Adjustment Surface'!$C$6,MAX('Adjustment Surface'!$C$14:$F$14),"M")),EDATE(AB$5,COUNT(AB$5:AB66)),IF(AB66=EDATE('Adjustment Surface'!$C$6,DATEDIF('Adjustment Surface'!$C$6,MAX('Adjustment Surface'!$C$14:$F$14),"M")),MAX('Adjustment Surface'!$C$14:$F$14),EDATE('Adjustment Surface'!$C$6,DATEDIF('Adjustment Surface'!$C$6,MAX('Adjustment Surface'!$C$14:$F$14),"M")))))</f>
        <v/>
      </c>
      <c r="AD66" s="3" t="str">
        <f t="shared" si="2"/>
        <v/>
      </c>
      <c r="AE66" s="5" t="str">
        <f>IF(AA66="","",(AC66-'Rate &amp; Vol Update'!$C$2)/360)</f>
        <v/>
      </c>
      <c r="AF66" s="15" t="str">
        <f>IF(AA66="","",IF('Adjustment Surface'!$C$3='Data Validation'!$C$2,'Adjustment Surface'!$C$4,_xlfn.IFNA(IF(INDEX(Schedules!$E$3:$E$123,MATCH('Bachelier Model'!AB66,Schedules!$B$3:$B$123,0))="",AF65,INDEX(Schedules!$E$3:$E$123,MATCH('Bachelier Model'!AB66,Schedules!$B$3:$B$123,0))),AF65)))</f>
        <v/>
      </c>
      <c r="AG66" s="16" t="str">
        <f>IF(AA66="","",'Adjustment Surface'!B$15)</f>
        <v/>
      </c>
      <c r="AH66" s="16" t="str" cm="1">
        <f t="array" ref="AH66">IF(AA66="","",FORECAST(AB66,INDEX('Rate &amp; Vol Update'!$C$6:$C$127,MATCH(INDEX('Rate &amp; Vol Update'!$B$6:$B$127,MATCH(AB66,'Rate &amp; Vol Update'!$B$6:$B$127,1)),'Rate &amp; Vol Update'!$B$6:$B$127,0)+IF('Adjustment Surface'!$C$11='Data Validation'!$E$3,-1,0)):INDEX('Rate &amp; Vol Update'!$C$6:$C$127,MATCH(INDEX('Rate &amp; Vol Update'!$B$6:$B$127,MATCH(AB66,'Rate &amp; Vol Update'!$B$6:$B$127,1)+1),'Rate &amp; Vol Update'!$B$6:$B$127,0)+IF('Adjustment Surface'!$C$11='Data Validation'!$E$3,-1,0)),INDEX('Rate &amp; Vol Update'!$B$6:$B$127,MATCH(AB66,'Rate &amp; Vol Update'!$B$6:$B$127,1)):INDEX('Rate &amp; Vol Update'!$B$6:$B$127,MATCH(AB66,'Rate &amp; Vol Update'!$B$6:$B$127,1)+1))/100)</f>
        <v/>
      </c>
      <c r="AI66" s="16" t="str" cm="1">
        <f t="array" ref="AI66">IF(AA66="","",IF(AB66&lt;'Rate &amp; Vol Update'!$C$2,0.001%,(1/((INDEX('Rate &amp; Vol Update'!$E$6:$Z$6,1,MATCH(AG66,'Rate &amp; Vol Update'!$E$6:$Z$6,1)+1)-INDEX('Rate &amp; Vol Update'!$E$6:$Z$6,1,MATCH(AG66,'Rate &amp; Vol Update'!$E$6:$Z$6,1)))*(INDEX('Rate &amp; Vol Update'!$B$8:$B$127,MATCH(AB66,'Rate &amp; Vol Update'!$B$8:$B$127,1)+1)-INDEX('Rate &amp; Vol Update'!$B$8:$B$127,MATCH(AB66,'Rate &amp; Vol Update'!$B$8:$B$127,1))))*(INDEX('Rate &amp; Vol Update'!$E$8:$Z$127,MATCH(INDEX('Rate &amp; Vol Update'!$B$8:$B$127,MATCH(AB66,'Rate &amp; Vol Update'!$B$8:$B$127,1)),'Rate &amp; Vol Update'!$B$8:$B$127,0),MATCH(INDEX('Rate &amp; Vol Update'!$E$6:$Z$6,1,MATCH(AG66,'Rate &amp; Vol Update'!$E$6:$Z$6,1)),'Rate &amp; Vol Update'!$E$6:$Z$6,0))*(INDEX('Rate &amp; Vol Update'!$E$6:$Z$6,1,MATCH(AG66,'Rate &amp; Vol Update'!$E$6:$Z$6,1)+1)-AG66)*(INDEX('Rate &amp; Vol Update'!$B$8:$B$127,MATCH(AB66,'Rate &amp; Vol Update'!$B$8:$B$127,1)+1)-AB66)+INDEX('Rate &amp; Vol Update'!$E$8:$Z$127,MATCH(INDEX('Rate &amp; Vol Update'!$B$8:$B$127,MATCH(AB66,'Rate &amp; Vol Update'!$B$8:$B$127,1)),'Rate &amp; Vol Update'!$B$8:$B$127,0),MATCH(INDEX('Rate &amp; Vol Update'!$E$6:$Z$6,1,MATCH(AG66,'Rate &amp; Vol Update'!$E$6:$Z$6,1)+1),'Rate &amp; Vol Update'!$E$6:$Z$6,0))*(AG66-INDEX('Rate &amp; Vol Update'!$E$6:$Z$6,1,MATCH(AG66,'Rate &amp; Vol Update'!$E$6:$Z$6,1)))*(INDEX('Rate &amp; Vol Update'!$B$8:$B$127,MATCH(AB66,'Rate &amp; Vol Update'!$B$8:$B$127,1)+1)-AB66)+INDEX('Rate &amp; Vol Update'!$E$8:$Z$127,MATCH(INDEX('Rate &amp; Vol Update'!$B$8:$B$127,MATCH(AB66,'Rate &amp; Vol Update'!$B$8:$B$127,1)+1),'Rate &amp; Vol Update'!$B$8:$B$127,0),MATCH(INDEX('Rate &amp; Vol Update'!$E$6:$Z$6,1,MATCH(AG66,'Rate &amp; Vol Update'!$E$6:$Z$6,1)),'Rate &amp; Vol Update'!$E$6:$Z$6,0))*(INDEX('Rate &amp; Vol Update'!$E$6:$Z$6,1,MATCH(AG66,'Rate &amp; Vol Update'!$E$6:$Z$6,1)+1)-AG66)*(AB66-INDEX('Rate &amp; Vol Update'!$B$8:$B$127,MATCH(AB66,'Rate &amp; Vol Update'!$B$8:$B$127,1)))+INDEX('Rate &amp; Vol Update'!$E$8:$Z$127,MATCH(INDEX('Rate &amp; Vol Update'!$B$8:$B$127,MATCH(AB66,'Rate &amp; Vol Update'!$B$8:$B$127,1)+1),'Rate &amp; Vol Update'!$B$8:$B$127,0),MATCH(INDEX('Rate &amp; Vol Update'!$E$6:$Z$6,1,MATCH(AG66,'Rate &amp; Vol Update'!$E$6:$Z$6,1)+1),'Rate &amp; Vol Update'!$E$6:$Z$6,0))*(AG66-INDEX('Rate &amp; Vol Update'!$E$6:$Z$6,1,MATCH(AG66,'Rate &amp; Vol Update'!$E$6:$Z$6,1)))*(AB66-INDEX('Rate &amp; Vol Update'!$B$8:$B$127,MATCH(AB66,'Rate &amp; Vol Update'!$B$8:$B$127,1)))))*0.01%))</f>
        <v/>
      </c>
      <c r="AJ66" s="5" t="str">
        <f>IF(AA66="","",1/((1+AH66)^((AC66-'Rate &amp; Vol Update'!$C$2)/360)))</f>
        <v/>
      </c>
      <c r="AL66" s="15" t="str">
        <f>IF(AA66="","",IF(AB66&lt;'Rate &amp; Vol Update'!$C$2,MAX(0,AH66-AG66)*(AD66/360)*AF66,(((IF('Adjustment Surface'!$C$2='Data Validation'!$A$2,AH66,IF('Adjustment Surface'!$C$2='Data Validation'!$A$3,AG66,"Unknown Option Type"))-IF('Adjustment Surface'!$C$2='Data Validation'!$A$2,AG66,IF('Adjustment Surface'!$C$2='Data Validation'!$A$3,AH66,"Unknown Option Type")))*(NORMDIST((IF('Adjustment Surface'!$C$2='Data Validation'!$A$2,AH66,IF('Adjustment Surface'!$C$2='Data Validation'!$A$3,AG66,"Unknown Option Type"))-IF('Adjustment Surface'!$C$2='Data Validation'!$A$2,AG66,IF('Adjustment Surface'!$C$2='Data Validation'!$A$3,AH66,"Unknown Option Type")))/(AI66*SQRT(AE66)),0,1,TRUE)))+((AI66*SQRT(AE66))*(NORMDIST((IF('Adjustment Surface'!$C$2='Data Validation'!$A$2,AH66,IF('Adjustment Surface'!$C$2='Data Validation'!$A$3,AG66,"Unknown Option Type"))-IF('Adjustment Surface'!$C$2='Data Validation'!$A$2,AG66,IF('Adjustment Surface'!$C$2='Data Validation'!$A$3,AH66,"Unknown Option Type")))/(AI66*SQRT(AE66)),0,1,FALSE))))*AJ66*(AD66/360)*AF66))</f>
        <v/>
      </c>
      <c r="AM66" s="15" t="str">
        <f>IF(AA66="","",SUM(AL$4:AL66))</f>
        <v/>
      </c>
      <c r="AO66" s="15" t="str">
        <f>IF(AA66="","",IF(AB66&lt;'Rate &amp; Vol Update'!$C$2,0,((((((IF('Adjustment Surface'!$C$2='Data Validation'!$A$2,AH66,IF('Adjustment Surface'!$C$2='Data Validation'!$A$3,AG66,"Unknown Option Type"))-IF('Adjustment Surface'!$C$2='Data Validation'!$A$2,AG66,IF('Adjustment Surface'!$C$2='Data Validation'!$A$3,AH66,"Unknown Option Type")))*(NORMDIST((IF('Adjustment Surface'!$C$2='Data Validation'!$A$2,AH66,IF('Adjustment Surface'!$C$2='Data Validation'!$A$3,AG66,"Unknown Option Type"))-IF('Adjustment Surface'!$C$2='Data Validation'!$A$2,AG66,IF('Adjustment Surface'!$C$2='Data Validation'!$A$3,AH66,"Unknown Option Type")))/((AI66+0.01%)*SQRT(AE66)),0,1,TRUE)))+(((AI66+0.01%)*SQRT(AE66))*(NORMDIST((IF('Adjustment Surface'!$C$2='Data Validation'!$A$2,AH66,IF('Adjustment Surface'!$C$2='Data Validation'!$A$3,AG66,"Unknown Option Type"))-IF('Adjustment Surface'!$C$2='Data Validation'!$A$2,AG66,IF('Adjustment Surface'!$C$2='Data Validation'!$A$3,AH66,"Unknown Option Type")))/((AI66+0.01%)*SQRT(AE66)),0,1,FALSE))))*AJ66*(AD66/360))-(AL66/AF66))*AF66)*AJ66))</f>
        <v/>
      </c>
      <c r="AP66" s="15" t="str">
        <f>IF(AA66="","",SUM(AO$4:AO66))</f>
        <v/>
      </c>
      <c r="AQ66" s="15"/>
      <c r="AR66" s="20"/>
      <c r="AT66" s="4" t="str">
        <f>IF(AU65=MAX('Adjustment Surface'!$C$14:$F$14),"",AU65)</f>
        <v/>
      </c>
      <c r="AU66" s="4" t="str">
        <f>IF(AT66="","",IF(AT66&lt;EDATE('Adjustment Surface'!$C$6,DATEDIF('Adjustment Surface'!$C$6,MAX('Adjustment Surface'!$C$14:$F$14),"M")),EDATE(AT$5,COUNT(AT$5:AT66)),IF(AT66=EDATE('Adjustment Surface'!$C$6,DATEDIF('Adjustment Surface'!$C$6,MAX('Adjustment Surface'!$C$14:$F$14),"M")),MAX('Adjustment Surface'!$C$14:$F$14),EDATE('Adjustment Surface'!$C$6,DATEDIF('Adjustment Surface'!$C$6,MAX('Adjustment Surface'!$C$14:$F$14),"M")))))</f>
        <v/>
      </c>
      <c r="AV66" s="3" t="str">
        <f t="shared" si="3"/>
        <v/>
      </c>
      <c r="AW66" s="5" t="str">
        <f>IF(AS66="","",(AU66-'Rate &amp; Vol Update'!$C$2)/360)</f>
        <v/>
      </c>
      <c r="AX66" s="15" t="str">
        <f>IF(AS66="","",IF('Adjustment Surface'!$C$3='Data Validation'!$C$2,'Adjustment Surface'!$C$4,_xlfn.IFNA(IF(INDEX(Schedules!$E$3:$E$123,MATCH('Bachelier Model'!AT66,Schedules!$B$3:$B$123,0))="",AX65,INDEX(Schedules!$E$3:$E$123,MATCH('Bachelier Model'!AT66,Schedules!$B$3:$B$123,0))),AX65)))</f>
        <v/>
      </c>
      <c r="AY66" s="16" t="str">
        <f>IF(AS66="","",'Adjustment Surface'!B$16)</f>
        <v/>
      </c>
      <c r="AZ66" s="16" t="str" cm="1">
        <f t="array" ref="AZ66">IF(AS66="","",FORECAST(AT66,INDEX('Rate &amp; Vol Update'!$C$6:$C$127,MATCH(INDEX('Rate &amp; Vol Update'!$B$6:$B$127,MATCH(AT66,'Rate &amp; Vol Update'!$B$6:$B$127,1)),'Rate &amp; Vol Update'!$B$6:$B$127,0)+IF('Adjustment Surface'!$C$11='Data Validation'!$E$3,-1,0)):INDEX('Rate &amp; Vol Update'!$C$6:$C$127,MATCH(INDEX('Rate &amp; Vol Update'!$B$6:$B$127,MATCH(AT66,'Rate &amp; Vol Update'!$B$6:$B$127,1)+1),'Rate &amp; Vol Update'!$B$6:$B$127,0)+IF('Adjustment Surface'!$C$11='Data Validation'!$E$3,-1,0)),INDEX('Rate &amp; Vol Update'!$B$6:$B$127,MATCH(AT66,'Rate &amp; Vol Update'!$B$6:$B$127,1)):INDEX('Rate &amp; Vol Update'!$B$6:$B$127,MATCH(AT66,'Rate &amp; Vol Update'!$B$6:$B$127,1)+1))/100)</f>
        <v/>
      </c>
      <c r="BA66" s="16" t="str" cm="1">
        <f t="array" ref="BA66">IF(AS66="","",IF(AT66&lt;'Rate &amp; Vol Update'!$C$2,0.001%,(1/((INDEX('Rate &amp; Vol Update'!$E$6:$Z$6,1,MATCH(AY66,'Rate &amp; Vol Update'!$E$6:$Z$6,1)+1)-INDEX('Rate &amp; Vol Update'!$E$6:$Z$6,1,MATCH(AY66,'Rate &amp; Vol Update'!$E$6:$Z$6,1)))*(INDEX('Rate &amp; Vol Update'!$B$8:$B$127,MATCH(AT66,'Rate &amp; Vol Update'!$B$8:$B$127,1)+1)-INDEX('Rate &amp; Vol Update'!$B$8:$B$127,MATCH(AT66,'Rate &amp; Vol Update'!$B$8:$B$127,1))))*(INDEX('Rate &amp; Vol Update'!$E$8:$Z$127,MATCH(INDEX('Rate &amp; Vol Update'!$B$8:$B$127,MATCH(AT66,'Rate &amp; Vol Update'!$B$8:$B$127,1)),'Rate &amp; Vol Update'!$B$8:$B$127,0),MATCH(INDEX('Rate &amp; Vol Update'!$E$6:$Z$6,1,MATCH(AY66,'Rate &amp; Vol Update'!$E$6:$Z$6,1)),'Rate &amp; Vol Update'!$E$6:$Z$6,0))*(INDEX('Rate &amp; Vol Update'!$E$6:$Z$6,1,MATCH(AY66,'Rate &amp; Vol Update'!$E$6:$Z$6,1)+1)-AY66)*(INDEX('Rate &amp; Vol Update'!$B$8:$B$127,MATCH(AT66,'Rate &amp; Vol Update'!$B$8:$B$127,1)+1)-AT66)+INDEX('Rate &amp; Vol Update'!$E$8:$Z$127,MATCH(INDEX('Rate &amp; Vol Update'!$B$8:$B$127,MATCH(AT66,'Rate &amp; Vol Update'!$B$8:$B$127,1)),'Rate &amp; Vol Update'!$B$8:$B$127,0),MATCH(INDEX('Rate &amp; Vol Update'!$E$6:$Z$6,1,MATCH(AY66,'Rate &amp; Vol Update'!$E$6:$Z$6,1)+1),'Rate &amp; Vol Update'!$E$6:$Z$6,0))*(AY66-INDEX('Rate &amp; Vol Update'!$E$6:$Z$6,1,MATCH(AY66,'Rate &amp; Vol Update'!$E$6:$Z$6,1)))*(INDEX('Rate &amp; Vol Update'!$B$8:$B$127,MATCH(AT66,'Rate &amp; Vol Update'!$B$8:$B$127,1)+1)-AT66)+INDEX('Rate &amp; Vol Update'!$E$8:$Z$127,MATCH(INDEX('Rate &amp; Vol Update'!$B$8:$B$127,MATCH(AT66,'Rate &amp; Vol Update'!$B$8:$B$127,1)+1),'Rate &amp; Vol Update'!$B$8:$B$127,0),MATCH(INDEX('Rate &amp; Vol Update'!$E$6:$Z$6,1,MATCH(AY66,'Rate &amp; Vol Update'!$E$6:$Z$6,1)),'Rate &amp; Vol Update'!$E$6:$Z$6,0))*(INDEX('Rate &amp; Vol Update'!$E$6:$Z$6,1,MATCH(AY66,'Rate &amp; Vol Update'!$E$6:$Z$6,1)+1)-AY66)*(AT66-INDEX('Rate &amp; Vol Update'!$B$8:$B$127,MATCH(AT66,'Rate &amp; Vol Update'!$B$8:$B$127,1)))+INDEX('Rate &amp; Vol Update'!$E$8:$Z$127,MATCH(INDEX('Rate &amp; Vol Update'!$B$8:$B$127,MATCH(AT66,'Rate &amp; Vol Update'!$B$8:$B$127,1)+1),'Rate &amp; Vol Update'!$B$8:$B$127,0),MATCH(INDEX('Rate &amp; Vol Update'!$E$6:$Z$6,1,MATCH(AY66,'Rate &amp; Vol Update'!$E$6:$Z$6,1)+1),'Rate &amp; Vol Update'!$E$6:$Z$6,0))*(AY66-INDEX('Rate &amp; Vol Update'!$E$6:$Z$6,1,MATCH(AY66,'Rate &amp; Vol Update'!$E$6:$Z$6,1)))*(AT66-INDEX('Rate &amp; Vol Update'!$B$8:$B$127,MATCH(AT66,'Rate &amp; Vol Update'!$B$8:$B$127,1)))))*0.01%))</f>
        <v/>
      </c>
      <c r="BB66" s="5" t="str">
        <f>IF(AS66="","",1/((1+AZ66)^((AU66-'Rate &amp; Vol Update'!$C$2)/360)))</f>
        <v/>
      </c>
      <c r="BD66" s="15" t="str">
        <f>IF(AS66="","",IF(AT66&lt;'Rate &amp; Vol Update'!$C$2,MAX(0,AZ66-AY66)*(AV66/360)*AX66,(((IF('Adjustment Surface'!$C$2='Data Validation'!$A$2,AZ66,IF('Adjustment Surface'!$C$2='Data Validation'!$A$3,AY66,"Unknown Option Type"))-IF('Adjustment Surface'!$C$2='Data Validation'!$A$2,AY66,IF('Adjustment Surface'!$C$2='Data Validation'!$A$3,AZ66,"Unknown Option Type")))*(NORMDIST((IF('Adjustment Surface'!$C$2='Data Validation'!$A$2,AZ66,IF('Adjustment Surface'!$C$2='Data Validation'!$A$3,AY66,"Unknown Option Type"))-IF('Adjustment Surface'!$C$2='Data Validation'!$A$2,AY66,IF('Adjustment Surface'!$C$2='Data Validation'!$A$3,AZ66,"Unknown Option Type")))/(BA66*SQRT(AW66)),0,1,TRUE)))+((BA66*SQRT(AW66))*(NORMDIST((IF('Adjustment Surface'!$C$2='Data Validation'!$A$2,AZ66,IF('Adjustment Surface'!$C$2='Data Validation'!$A$3,AY66,"Unknown Option Type"))-IF('Adjustment Surface'!$C$2='Data Validation'!$A$2,AY66,IF('Adjustment Surface'!$C$2='Data Validation'!$A$3,AZ66,"Unknown Option Type")))/(BA66*SQRT(AW66)),0,1,FALSE))))*BB66*(AV66/360)*AX66))</f>
        <v/>
      </c>
      <c r="BE66" s="15" t="str">
        <f>IF(AS66="","",SUM(BD$4:BD66))</f>
        <v/>
      </c>
      <c r="BG66" s="15" t="str">
        <f>IF(AS66="","",IF(AT66&lt;'Rate &amp; Vol Update'!$C$2,0,((((((IF('Adjustment Surface'!$C$2='Data Validation'!$A$2,AZ66,IF('Adjustment Surface'!$C$2='Data Validation'!$A$3,AY66,"Unknown Option Type"))-IF('Adjustment Surface'!$C$2='Data Validation'!$A$2,AY66,IF('Adjustment Surface'!$C$2='Data Validation'!$A$3,AZ66,"Unknown Option Type")))*(NORMDIST((IF('Adjustment Surface'!$C$2='Data Validation'!$A$2,AZ66,IF('Adjustment Surface'!$C$2='Data Validation'!$A$3,AY66,"Unknown Option Type"))-IF('Adjustment Surface'!$C$2='Data Validation'!$A$2,AY66,IF('Adjustment Surface'!$C$2='Data Validation'!$A$3,AZ66,"Unknown Option Type")))/((BA66+0.01%)*SQRT(AW66)),0,1,TRUE)))+(((BA66+0.01%)*SQRT(AW66))*(NORMDIST((IF('Adjustment Surface'!$C$2='Data Validation'!$A$2,AZ66,IF('Adjustment Surface'!$C$2='Data Validation'!$A$3,AY66,"Unknown Option Type"))-IF('Adjustment Surface'!$C$2='Data Validation'!$A$2,AY66,IF('Adjustment Surface'!$C$2='Data Validation'!$A$3,AZ66,"Unknown Option Type")))/((BA66+0.01%)*SQRT(AW66)),0,1,FALSE))))*BB66*(AV66/360))-(BD66/AX66))*AX66)*BB66))</f>
        <v/>
      </c>
      <c r="BH66" s="15" t="str">
        <f>IF(AS66="","",SUM(BG$4:BG66))</f>
        <v/>
      </c>
      <c r="BI66" s="15"/>
      <c r="BJ66" s="20"/>
      <c r="BL66" s="4" t="str">
        <f>IF(BM65=MAX('Adjustment Surface'!$C$14:$F$14),"",BM65)</f>
        <v/>
      </c>
      <c r="BM66" s="4" t="str">
        <f>IF(BL66="","",IF(BL66&lt;EDATE('Adjustment Surface'!$C$6,DATEDIF('Adjustment Surface'!$C$6,MAX('Adjustment Surface'!$C$14:$F$14),"M")),EDATE(BL$5,COUNT(BL$5:BL66)),IF(BL66=EDATE('Adjustment Surface'!$C$6,DATEDIF('Adjustment Surface'!$C$6,MAX('Adjustment Surface'!$C$14:$F$14),"M")),MAX('Adjustment Surface'!$C$14:$F$14),EDATE('Adjustment Surface'!$C$6,DATEDIF('Adjustment Surface'!$C$6,MAX('Adjustment Surface'!$C$14:$F$14),"M")))))</f>
        <v/>
      </c>
      <c r="BN66" s="3" t="str">
        <f t="shared" si="4"/>
        <v/>
      </c>
      <c r="BO66" s="5" t="str">
        <f>IF(BK66="","",(BM66-'Rate &amp; Vol Update'!$C$2)/360)</f>
        <v/>
      </c>
      <c r="BP66" s="15" t="str">
        <f>IF(BK66="","",IF('Adjustment Surface'!$C$3='Data Validation'!$C$2,'Adjustment Surface'!$C$4,_xlfn.IFNA(IF(INDEX(Schedules!$E$3:$E$123,MATCH('Bachelier Model'!BL66,Schedules!$B$3:$B$123,0))="",BP65,INDEX(Schedules!$E$3:$E$123,MATCH('Bachelier Model'!BL66,Schedules!$B$3:$B$123,0))),BP65)))</f>
        <v/>
      </c>
      <c r="BQ66" s="16" t="str">
        <f>IF(BK66="","",'Adjustment Surface'!B$17)</f>
        <v/>
      </c>
      <c r="BR66" s="16" t="str" cm="1">
        <f t="array" ref="BR66">IF(BK66="","",FORECAST(BL66,INDEX('Rate &amp; Vol Update'!$C$6:$C$127,MATCH(INDEX('Rate &amp; Vol Update'!$B$6:$B$127,MATCH(BL66,'Rate &amp; Vol Update'!$B$6:$B$127,1)),'Rate &amp; Vol Update'!$B$6:$B$127,0)+IF('Adjustment Surface'!$C$11='Data Validation'!$E$3,-1,0)):INDEX('Rate &amp; Vol Update'!$C$6:$C$127,MATCH(INDEX('Rate &amp; Vol Update'!$B$6:$B$127,MATCH(BL66,'Rate &amp; Vol Update'!$B$6:$B$127,1)+1),'Rate &amp; Vol Update'!$B$6:$B$127,0)+IF('Adjustment Surface'!$C$11='Data Validation'!$E$3,-1,0)),INDEX('Rate &amp; Vol Update'!$B$6:$B$127,MATCH(BL66,'Rate &amp; Vol Update'!$B$6:$B$127,1)):INDEX('Rate &amp; Vol Update'!$B$6:$B$127,MATCH(BL66,'Rate &amp; Vol Update'!$B$6:$B$127,1)+1))/100)</f>
        <v/>
      </c>
      <c r="BS66" s="16" t="str" cm="1">
        <f t="array" ref="BS66">IF(BK66="","",IF(BL66&lt;'Rate &amp; Vol Update'!$C$2,0.001%,(1/((INDEX('Rate &amp; Vol Update'!$E$6:$Z$6,1,MATCH(BQ66,'Rate &amp; Vol Update'!$E$6:$Z$6,1)+1)-INDEX('Rate &amp; Vol Update'!$E$6:$Z$6,1,MATCH(BQ66,'Rate &amp; Vol Update'!$E$6:$Z$6,1)))*(INDEX('Rate &amp; Vol Update'!$B$8:$B$127,MATCH(BL66,'Rate &amp; Vol Update'!$B$8:$B$127,1)+1)-INDEX('Rate &amp; Vol Update'!$B$8:$B$127,MATCH(BL66,'Rate &amp; Vol Update'!$B$8:$B$127,1))))*(INDEX('Rate &amp; Vol Update'!$E$8:$Z$127,MATCH(INDEX('Rate &amp; Vol Update'!$B$8:$B$127,MATCH(BL66,'Rate &amp; Vol Update'!$B$8:$B$127,1)),'Rate &amp; Vol Update'!$B$8:$B$127,0),MATCH(INDEX('Rate &amp; Vol Update'!$E$6:$Z$6,1,MATCH(BQ66,'Rate &amp; Vol Update'!$E$6:$Z$6,1)),'Rate &amp; Vol Update'!$E$6:$Z$6,0))*(INDEX('Rate &amp; Vol Update'!$E$6:$Z$6,1,MATCH(BQ66,'Rate &amp; Vol Update'!$E$6:$Z$6,1)+1)-BQ66)*(INDEX('Rate &amp; Vol Update'!$B$8:$B$127,MATCH(BL66,'Rate &amp; Vol Update'!$B$8:$B$127,1)+1)-BL66)+INDEX('Rate &amp; Vol Update'!$E$8:$Z$127,MATCH(INDEX('Rate &amp; Vol Update'!$B$8:$B$127,MATCH(BL66,'Rate &amp; Vol Update'!$B$8:$B$127,1)),'Rate &amp; Vol Update'!$B$8:$B$127,0),MATCH(INDEX('Rate &amp; Vol Update'!$E$6:$Z$6,1,MATCH(BQ66,'Rate &amp; Vol Update'!$E$6:$Z$6,1)+1),'Rate &amp; Vol Update'!$E$6:$Z$6,0))*(BQ66-INDEX('Rate &amp; Vol Update'!$E$6:$Z$6,1,MATCH(BQ66,'Rate &amp; Vol Update'!$E$6:$Z$6,1)))*(INDEX('Rate &amp; Vol Update'!$B$8:$B$127,MATCH(BL66,'Rate &amp; Vol Update'!$B$8:$B$127,1)+1)-BL66)+INDEX('Rate &amp; Vol Update'!$E$8:$Z$127,MATCH(INDEX('Rate &amp; Vol Update'!$B$8:$B$127,MATCH(BL66,'Rate &amp; Vol Update'!$B$8:$B$127,1)+1),'Rate &amp; Vol Update'!$B$8:$B$127,0),MATCH(INDEX('Rate &amp; Vol Update'!$E$6:$Z$6,1,MATCH(BQ66,'Rate &amp; Vol Update'!$E$6:$Z$6,1)),'Rate &amp; Vol Update'!$E$6:$Z$6,0))*(INDEX('Rate &amp; Vol Update'!$E$6:$Z$6,1,MATCH(BQ66,'Rate &amp; Vol Update'!$E$6:$Z$6,1)+1)-BQ66)*(BL66-INDEX('Rate &amp; Vol Update'!$B$8:$B$127,MATCH(BL66,'Rate &amp; Vol Update'!$B$8:$B$127,1)))+INDEX('Rate &amp; Vol Update'!$E$8:$Z$127,MATCH(INDEX('Rate &amp; Vol Update'!$B$8:$B$127,MATCH(BL66,'Rate &amp; Vol Update'!$B$8:$B$127,1)+1),'Rate &amp; Vol Update'!$B$8:$B$127,0),MATCH(INDEX('Rate &amp; Vol Update'!$E$6:$Z$6,1,MATCH(BQ66,'Rate &amp; Vol Update'!$E$6:$Z$6,1)+1),'Rate &amp; Vol Update'!$E$6:$Z$6,0))*(BQ66-INDEX('Rate &amp; Vol Update'!$E$6:$Z$6,1,MATCH(BQ66,'Rate &amp; Vol Update'!$E$6:$Z$6,1)))*(BL66-INDEX('Rate &amp; Vol Update'!$B$8:$B$127,MATCH(BL66,'Rate &amp; Vol Update'!$B$8:$B$127,1)))))*0.01%))</f>
        <v/>
      </c>
      <c r="BT66" s="5" t="str">
        <f>IF(BK66="","",1/((1+BR66)^((BM66-'Rate &amp; Vol Update'!$C$2)/360)))</f>
        <v/>
      </c>
      <c r="BV66" s="15" t="str">
        <f>IF(BK66="","",IF(BL66&lt;'Rate &amp; Vol Update'!$C$2,MAX(0,BR66-BQ66)*(BN66/360)*BP66,(((IF('Adjustment Surface'!$C$2='Data Validation'!$A$2,BR66,IF('Adjustment Surface'!$C$2='Data Validation'!$A$3,BQ66,"Unknown Option Type"))-IF('Adjustment Surface'!$C$2='Data Validation'!$A$2,BQ66,IF('Adjustment Surface'!$C$2='Data Validation'!$A$3,BR66,"Unknown Option Type")))*(NORMDIST((IF('Adjustment Surface'!$C$2='Data Validation'!$A$2,BR66,IF('Adjustment Surface'!$C$2='Data Validation'!$A$3,BQ66,"Unknown Option Type"))-IF('Adjustment Surface'!$C$2='Data Validation'!$A$2,BQ66,IF('Adjustment Surface'!$C$2='Data Validation'!$A$3,BR66,"Unknown Option Type")))/(BS66*SQRT(BO66)),0,1,TRUE)))+((BS66*SQRT(BO66))*(NORMDIST((IF('Adjustment Surface'!$C$2='Data Validation'!$A$2,BR66,IF('Adjustment Surface'!$C$2='Data Validation'!$A$3,BQ66,"Unknown Option Type"))-IF('Adjustment Surface'!$C$2='Data Validation'!$A$2,BQ66,IF('Adjustment Surface'!$C$2='Data Validation'!$A$3,BR66,"Unknown Option Type")))/(BS66*SQRT(BO66)),0,1,FALSE))))*BT66*(BN66/360)*BP66))</f>
        <v/>
      </c>
      <c r="BW66" s="15" t="str">
        <f>IF(BK66="","",SUM(BV$4:BV66))</f>
        <v/>
      </c>
      <c r="BY66" s="15" t="str">
        <f>IF(BK66="","",IF(BL66&lt;'Rate &amp; Vol Update'!$C$2,0,((((((IF('Adjustment Surface'!$C$2='Data Validation'!$A$2,BR66,IF('Adjustment Surface'!$C$2='Data Validation'!$A$3,BQ66,"Unknown Option Type"))-IF('Adjustment Surface'!$C$2='Data Validation'!$A$2,BQ66,IF('Adjustment Surface'!$C$2='Data Validation'!$A$3,BR66,"Unknown Option Type")))*(NORMDIST((IF('Adjustment Surface'!$C$2='Data Validation'!$A$2,BR66,IF('Adjustment Surface'!$C$2='Data Validation'!$A$3,BQ66,"Unknown Option Type"))-IF('Adjustment Surface'!$C$2='Data Validation'!$A$2,BQ66,IF('Adjustment Surface'!$C$2='Data Validation'!$A$3,BR66,"Unknown Option Type")))/((BS66+0.01%)*SQRT(BO66)),0,1,TRUE)))+(((BS66+0.01%)*SQRT(BO66))*(NORMDIST((IF('Adjustment Surface'!$C$2='Data Validation'!$A$2,BR66,IF('Adjustment Surface'!$C$2='Data Validation'!$A$3,BQ66,"Unknown Option Type"))-IF('Adjustment Surface'!$C$2='Data Validation'!$A$2,BQ66,IF('Adjustment Surface'!$C$2='Data Validation'!$A$3,BR66,"Unknown Option Type")))/((BS66+0.01%)*SQRT(BO66)),0,1,FALSE))))*BT66*(BN66/360))-(BV66/BP66))*BP66)*BT66))</f>
        <v/>
      </c>
      <c r="BZ66" s="15" t="str">
        <f>IF(BK66="","",SUM(BY$4:BY66))</f>
        <v/>
      </c>
      <c r="CA66" s="15"/>
      <c r="CB66" s="20"/>
      <c r="CD66" s="4" t="str">
        <f>IF(CE65=MAX('Adjustment Surface'!$C$14:$F$14),"",CE65)</f>
        <v/>
      </c>
      <c r="CE66" s="4" t="str">
        <f>IF(CD66="","",IF(CD66&lt;EDATE('Adjustment Surface'!$C$6,DATEDIF('Adjustment Surface'!$C$6,MAX('Adjustment Surface'!$C$14:$F$14),"M")),EDATE(CD$5,COUNT(CD$5:CD66)),IF(CD66=EDATE('Adjustment Surface'!$C$6,DATEDIF('Adjustment Surface'!$C$6,MAX('Adjustment Surface'!$C$14:$F$14),"M")),MAX('Adjustment Surface'!$C$14:$F$14),EDATE('Adjustment Surface'!$C$6,DATEDIF('Adjustment Surface'!$C$6,MAX('Adjustment Surface'!$C$14:$F$14),"M")))))</f>
        <v/>
      </c>
      <c r="CF66" s="3" t="str">
        <f t="shared" si="5"/>
        <v/>
      </c>
      <c r="CG66" s="5" t="str">
        <f>IF(CC66="","",(CE66-'Rate &amp; Vol Update'!$C$2)/360)</f>
        <v/>
      </c>
      <c r="CH66" s="15" t="str">
        <f>IF(CC66="","",IF('Adjustment Surface'!$C$3='Data Validation'!$C$2,'Adjustment Surface'!$C$4,_xlfn.IFNA(IF(INDEX(Schedules!$E$3:$E$123,MATCH('Bachelier Model'!CD66,Schedules!$B$3:$B$123,0))="",CH65,INDEX(Schedules!$E$3:$E$123,MATCH('Bachelier Model'!CD66,Schedules!$B$3:$B$123,0))),CH65)))</f>
        <v/>
      </c>
      <c r="CI66" s="16" t="str">
        <f>IF(CC66="","",'Adjustment Surface'!B$18)</f>
        <v/>
      </c>
      <c r="CJ66" s="16" t="str" cm="1">
        <f t="array" ref="CJ66">IF(CC66="","",FORECAST(CD66,INDEX('Rate &amp; Vol Update'!$C$6:$C$127,MATCH(INDEX('Rate &amp; Vol Update'!$B$6:$B$127,MATCH(CD66,'Rate &amp; Vol Update'!$B$6:$B$127,1)),'Rate &amp; Vol Update'!$B$6:$B$127,0)+IF('Adjustment Surface'!$C$11='Data Validation'!$E$3,-1,0)):INDEX('Rate &amp; Vol Update'!$C$6:$C$127,MATCH(INDEX('Rate &amp; Vol Update'!$B$6:$B$127,MATCH(CD66,'Rate &amp; Vol Update'!$B$6:$B$127,1)+1),'Rate &amp; Vol Update'!$B$6:$B$127,0)+IF('Adjustment Surface'!$C$11='Data Validation'!$E$3,-1,0)),INDEX('Rate &amp; Vol Update'!$B$6:$B$127,MATCH(CD66,'Rate &amp; Vol Update'!$B$6:$B$127,1)):INDEX('Rate &amp; Vol Update'!$B$6:$B$127,MATCH(CD66,'Rate &amp; Vol Update'!$B$6:$B$127,1)+1))/100)</f>
        <v/>
      </c>
      <c r="CK66" s="16" t="str" cm="1">
        <f t="array" ref="CK66">IF(CC66="","",IF(CD66&lt;'Rate &amp; Vol Update'!$C$2,0.001%,(1/((INDEX('Rate &amp; Vol Update'!$E$6:$Z$6,1,MATCH(CI66,'Rate &amp; Vol Update'!$E$6:$Z$6,1)+1)-INDEX('Rate &amp; Vol Update'!$E$6:$Z$6,1,MATCH(CI66,'Rate &amp; Vol Update'!$E$6:$Z$6,1)))*(INDEX('Rate &amp; Vol Update'!$B$8:$B$127,MATCH(CD66,'Rate &amp; Vol Update'!$B$8:$B$127,1)+1)-INDEX('Rate &amp; Vol Update'!$B$8:$B$127,MATCH(CD66,'Rate &amp; Vol Update'!$B$8:$B$127,1))))*(INDEX('Rate &amp; Vol Update'!$E$8:$Z$127,MATCH(INDEX('Rate &amp; Vol Update'!$B$8:$B$127,MATCH(CD66,'Rate &amp; Vol Update'!$B$8:$B$127,1)),'Rate &amp; Vol Update'!$B$8:$B$127,0),MATCH(INDEX('Rate &amp; Vol Update'!$E$6:$Z$6,1,MATCH(CI66,'Rate &amp; Vol Update'!$E$6:$Z$6,1)),'Rate &amp; Vol Update'!$E$6:$Z$6,0))*(INDEX('Rate &amp; Vol Update'!$E$6:$Z$6,1,MATCH(CI66,'Rate &amp; Vol Update'!$E$6:$Z$6,1)+1)-CI66)*(INDEX('Rate &amp; Vol Update'!$B$8:$B$127,MATCH(CD66,'Rate &amp; Vol Update'!$B$8:$B$127,1)+1)-CD66)+INDEX('Rate &amp; Vol Update'!$E$8:$Z$127,MATCH(INDEX('Rate &amp; Vol Update'!$B$8:$B$127,MATCH(CD66,'Rate &amp; Vol Update'!$B$8:$B$127,1)),'Rate &amp; Vol Update'!$B$8:$B$127,0),MATCH(INDEX('Rate &amp; Vol Update'!$E$6:$Z$6,1,MATCH(CI66,'Rate &amp; Vol Update'!$E$6:$Z$6,1)+1),'Rate &amp; Vol Update'!$E$6:$Z$6,0))*(CI66-INDEX('Rate &amp; Vol Update'!$E$6:$Z$6,1,MATCH(CI66,'Rate &amp; Vol Update'!$E$6:$Z$6,1)))*(INDEX('Rate &amp; Vol Update'!$B$8:$B$127,MATCH(CD66,'Rate &amp; Vol Update'!$B$8:$B$127,1)+1)-CD66)+INDEX('Rate &amp; Vol Update'!$E$8:$Z$127,MATCH(INDEX('Rate &amp; Vol Update'!$B$8:$B$127,MATCH(CD66,'Rate &amp; Vol Update'!$B$8:$B$127,1)+1),'Rate &amp; Vol Update'!$B$8:$B$127,0),MATCH(INDEX('Rate &amp; Vol Update'!$E$6:$Z$6,1,MATCH(CI66,'Rate &amp; Vol Update'!$E$6:$Z$6,1)),'Rate &amp; Vol Update'!$E$6:$Z$6,0))*(INDEX('Rate &amp; Vol Update'!$E$6:$Z$6,1,MATCH(CI66,'Rate &amp; Vol Update'!$E$6:$Z$6,1)+1)-CI66)*(CD66-INDEX('Rate &amp; Vol Update'!$B$8:$B$127,MATCH(CD66,'Rate &amp; Vol Update'!$B$8:$B$127,1)))+INDEX('Rate &amp; Vol Update'!$E$8:$Z$127,MATCH(INDEX('Rate &amp; Vol Update'!$B$8:$B$127,MATCH(CD66,'Rate &amp; Vol Update'!$B$8:$B$127,1)+1),'Rate &amp; Vol Update'!$B$8:$B$127,0),MATCH(INDEX('Rate &amp; Vol Update'!$E$6:$Z$6,1,MATCH(CI66,'Rate &amp; Vol Update'!$E$6:$Z$6,1)+1),'Rate &amp; Vol Update'!$E$6:$Z$6,0))*(CI66-INDEX('Rate &amp; Vol Update'!$E$6:$Z$6,1,MATCH(CI66,'Rate &amp; Vol Update'!$E$6:$Z$6,1)))*(CD66-INDEX('Rate &amp; Vol Update'!$B$8:$B$127,MATCH(CD66,'Rate &amp; Vol Update'!$B$8:$B$127,1)))))*0.01%))</f>
        <v/>
      </c>
      <c r="CL66" s="5" t="str">
        <f>IF(CC66="","",1/((1+CJ66)^((CE66-'Rate &amp; Vol Update'!$C$2)/360)))</f>
        <v/>
      </c>
      <c r="CN66" s="15" t="str">
        <f>IF(CC66="","",IF(CD66&lt;'Rate &amp; Vol Update'!$C$2,MAX(0,CJ66-CI66)*(CF66/360)*CH66,(((IF('Adjustment Surface'!$C$2='Data Validation'!$A$2,CJ66,IF('Adjustment Surface'!$C$2='Data Validation'!$A$3,CI66,"Unknown Option Type"))-IF('Adjustment Surface'!$C$2='Data Validation'!$A$2,CI66,IF('Adjustment Surface'!$C$2='Data Validation'!$A$3,CJ66,"Unknown Option Type")))*(NORMDIST((IF('Adjustment Surface'!$C$2='Data Validation'!$A$2,CJ66,IF('Adjustment Surface'!$C$2='Data Validation'!$A$3,CI66,"Unknown Option Type"))-IF('Adjustment Surface'!$C$2='Data Validation'!$A$2,CI66,IF('Adjustment Surface'!$C$2='Data Validation'!$A$3,CJ66,"Unknown Option Type")))/(CK66*SQRT(CG66)),0,1,TRUE)))+((CK66*SQRT(CG66))*(NORMDIST((IF('Adjustment Surface'!$C$2='Data Validation'!$A$2,CJ66,IF('Adjustment Surface'!$C$2='Data Validation'!$A$3,CI66,"Unknown Option Type"))-IF('Adjustment Surface'!$C$2='Data Validation'!$A$2,CI66,IF('Adjustment Surface'!$C$2='Data Validation'!$A$3,CJ66,"Unknown Option Type")))/(CK66*SQRT(CG66)),0,1,FALSE))))*CL66*(CF66/360)*CH66))</f>
        <v/>
      </c>
      <c r="CO66" s="15" t="str">
        <f>IF(CC66="","",SUM(CN$4:CN66))</f>
        <v/>
      </c>
      <c r="CQ66" s="15" t="str">
        <f>IF(CC66="","",IF(CD66&lt;'Rate &amp; Vol Update'!$C$2,0,((((((IF('Adjustment Surface'!$C$2='Data Validation'!$A$2,CJ66,IF('Adjustment Surface'!$C$2='Data Validation'!$A$3,CI66,"Unknown Option Type"))-IF('Adjustment Surface'!$C$2='Data Validation'!$A$2,CI66,IF('Adjustment Surface'!$C$2='Data Validation'!$A$3,CJ66,"Unknown Option Type")))*(NORMDIST((IF('Adjustment Surface'!$C$2='Data Validation'!$A$2,CJ66,IF('Adjustment Surface'!$C$2='Data Validation'!$A$3,CI66,"Unknown Option Type"))-IF('Adjustment Surface'!$C$2='Data Validation'!$A$2,CI66,IF('Adjustment Surface'!$C$2='Data Validation'!$A$3,CJ66,"Unknown Option Type")))/((CK66+0.01%)*SQRT(CG66)),0,1,TRUE)))+(((CK66+0.01%)*SQRT(CG66))*(NORMDIST((IF('Adjustment Surface'!$C$2='Data Validation'!$A$2,CJ66,IF('Adjustment Surface'!$C$2='Data Validation'!$A$3,CI66,"Unknown Option Type"))-IF('Adjustment Surface'!$C$2='Data Validation'!$A$2,CI66,IF('Adjustment Surface'!$C$2='Data Validation'!$A$3,CJ66,"Unknown Option Type")))/((CK66+0.01%)*SQRT(CG66)),0,1,FALSE))))*CL66*(CF66/360))-(CN66/CH66))*CH66)*CL66))</f>
        <v/>
      </c>
      <c r="CR66" s="15" t="str">
        <f>IF(CC66="","",SUM(CQ$4:CQ66))</f>
        <v/>
      </c>
    </row>
    <row r="67" spans="7:96" x14ac:dyDescent="0.25">
      <c r="G67" s="28"/>
      <c r="J67" s="4" t="str">
        <f>IF(K66='Adjustment Surface'!C$8,"",K66)</f>
        <v/>
      </c>
      <c r="K67" s="4" t="str">
        <f>IF(J67="","",IF(J67&lt;'Adjustment Surface'!C$7,EDATE(J$5,COUNT(J$5:J67)),IF(J67='Adjustment Surface'!C$7,'Adjustment Surface'!C$8,'Adjustment Surface'!C$7)))</f>
        <v/>
      </c>
      <c r="L67" s="3" t="str">
        <f t="shared" si="1"/>
        <v/>
      </c>
      <c r="M67" s="5" t="str">
        <f>IF(I67="","",(K67-'Rate &amp; Vol Update'!$C$2)/360)</f>
        <v/>
      </c>
      <c r="N67" s="15" t="str">
        <f>IF(I67="","",IF('Adjustment Surface'!C$3='Data Validation'!$C$2,'Adjustment Surface'!C$4,IF(INDEX(Schedules!$E$3:$E$123,MATCH('Bachelier Model'!J67,Schedules!$B$3:$B$123,0))="",N66,INDEX(Schedules!$E$3:$E$123,MATCH('Bachelier Model'!J67,Schedules!$B$3:$B$123,0)))))</f>
        <v/>
      </c>
      <c r="O67" s="16" t="str">
        <f>IF(I67="","",IF('Adjustment Surface'!C$9='Data Validation'!$D$2,'Adjustment Surface'!C$10,IF(INDEX(Schedules!$H$3:$H$123,MATCH('Bachelier Model'!J67,Schedules!$B$3:$B$123,0))="",O66,INDEX(Schedules!$H$3:$H$123,MATCH('Bachelier Model'!J67,Schedules!$B$3:$B$123,0)))))</f>
        <v/>
      </c>
      <c r="P67" s="16" t="str" cm="1">
        <f t="array" ref="P67">IF(I67="","",FORECAST(J67,INDEX('Rate &amp; Vol Update'!$C$6:$C$127,MATCH(INDEX('Rate &amp; Vol Update'!$B$6:$B$127,MATCH(J67,'Rate &amp; Vol Update'!$B$6:$B$127,1)),'Rate &amp; Vol Update'!$B$6:$B$127,0)+IF('Adjustment Surface'!C$11='Data Validation'!$E$3,-1,0)):INDEX('Rate &amp; Vol Update'!$C$6:$C$127,MATCH(INDEX('Rate &amp; Vol Update'!$B$6:$B$127,MATCH(J67,'Rate &amp; Vol Update'!$B$6:$B$127,1)+1),'Rate &amp; Vol Update'!$B$6:$B$127,0)+IF('Adjustment Surface'!C$11='Data Validation'!$E$3,-1,0)),INDEX('Rate &amp; Vol Update'!$B$6:$B$127,MATCH(J67,'Rate &amp; Vol Update'!$B$6:$B$127,1)):INDEX('Rate &amp; Vol Update'!$B$6:$B$127,MATCH(J67,'Rate &amp; Vol Update'!$B$6:$B$127,1)+1))/100)</f>
        <v/>
      </c>
      <c r="Q67" s="16" t="str" cm="1">
        <f t="array" ref="Q67">IF(I67="","",IF(J67&lt;'Rate &amp; Vol Update'!$C$2,0.001%,(1/((INDEX('Rate &amp; Vol Update'!$E$6:$Z$6,1,MATCH(O67,'Rate &amp; Vol Update'!$E$6:$Z$6,1)+1)-INDEX('Rate &amp; Vol Update'!$E$6:$Z$6,1,MATCH(O67,'Rate &amp; Vol Update'!$E$6:$Z$6,1)))*(INDEX('Rate &amp; Vol Update'!$B$8:$B$127,MATCH(J67,'Rate &amp; Vol Update'!$B$8:$B$127,1)+1)-INDEX('Rate &amp; Vol Update'!$B$8:$B$127,MATCH(J67,'Rate &amp; Vol Update'!$B$8:$B$127,1))))*(INDEX('Rate &amp; Vol Update'!$E$8:$Z$127,MATCH(INDEX('Rate &amp; Vol Update'!$B$8:$B$127,MATCH(J67,'Rate &amp; Vol Update'!$B$8:$B$127,1)),'Rate &amp; Vol Update'!$B$8:$B$127,0),MATCH(INDEX('Rate &amp; Vol Update'!$E$6:$Z$6,1,MATCH(O67,'Rate &amp; Vol Update'!$E$6:$Z$6,1)),'Rate &amp; Vol Update'!$E$6:$Z$6,0))*(INDEX('Rate &amp; Vol Update'!$E$6:$Z$6,1,MATCH(O67,'Rate &amp; Vol Update'!$E$6:$Z$6,1)+1)-O67)*(INDEX('Rate &amp; Vol Update'!$B$8:$B$127,MATCH(J67,'Rate &amp; Vol Update'!$B$8:$B$127,1)+1)-J67)+INDEX('Rate &amp; Vol Update'!$E$8:$Z$127,MATCH(INDEX('Rate &amp; Vol Update'!$B$8:$B$127,MATCH(J67,'Rate &amp; Vol Update'!$B$8:$B$127,1)),'Rate &amp; Vol Update'!$B$8:$B$127,0),MATCH(INDEX('Rate &amp; Vol Update'!$E$6:$Z$6,1,MATCH(O67,'Rate &amp; Vol Update'!$E$6:$Z$6,1)+1),'Rate &amp; Vol Update'!$E$6:$Z$6,0))*(O67-INDEX('Rate &amp; Vol Update'!$E$6:$Z$6,1,MATCH(O67,'Rate &amp; Vol Update'!$E$6:$Z$6,1)))*(INDEX('Rate &amp; Vol Update'!$B$8:$B$127,MATCH(J67,'Rate &amp; Vol Update'!$B$8:$B$127,1)+1)-J67)+INDEX('Rate &amp; Vol Update'!$E$8:$Z$127,MATCH(INDEX('Rate &amp; Vol Update'!$B$8:$B$127,MATCH(J67,'Rate &amp; Vol Update'!$B$8:$B$127,1)+1),'Rate &amp; Vol Update'!$B$8:$B$127,0),MATCH(INDEX('Rate &amp; Vol Update'!$E$6:$Z$6,1,MATCH(O67,'Rate &amp; Vol Update'!$E$6:$Z$6,1)),'Rate &amp; Vol Update'!$E$6:$Z$6,0))*(INDEX('Rate &amp; Vol Update'!$E$6:$Z$6,1,MATCH(O67,'Rate &amp; Vol Update'!$E$6:$Z$6,1)+1)-O67)*(J67-INDEX('Rate &amp; Vol Update'!$B$8:$B$127,MATCH(J67,'Rate &amp; Vol Update'!$B$8:$B$127,1)))+INDEX('Rate &amp; Vol Update'!$E$8:$Z$127,MATCH(INDEX('Rate &amp; Vol Update'!$B$8:$B$127,MATCH(J67,'Rate &amp; Vol Update'!$B$8:$B$127,1)+1),'Rate &amp; Vol Update'!$B$8:$B$127,0),MATCH(INDEX('Rate &amp; Vol Update'!$E$6:$Z$6,1,MATCH(O67,'Rate &amp; Vol Update'!$E$6:$Z$6,1)+1),'Rate &amp; Vol Update'!$E$6:$Z$6,0))*(O67-INDEX('Rate &amp; Vol Update'!$E$6:$Z$6,1,MATCH(O67,'Rate &amp; Vol Update'!$E$6:$Z$6,1)))*(J67-INDEX('Rate &amp; Vol Update'!$B$8:$B$127,MATCH(J67,'Rate &amp; Vol Update'!$B$8:$B$127,1)))))*0.01%))</f>
        <v/>
      </c>
      <c r="R67" s="5" t="str">
        <f>IF(I67="","",1/((1+P67)^((K67-'Rate &amp; Vol Update'!$C$2)/360)))</f>
        <v/>
      </c>
      <c r="T67" s="15" t="str">
        <f>IF(I67="","",IF(J67&lt;'Rate &amp; Vol Update'!$C$2,MAX(0,P67-O67)*(L67/360)*N67,(((IF('Adjustment Surface'!C$2='Data Validation'!$A$2,P67,IF('Adjustment Surface'!C$2='Data Validation'!$A$3,O67,"Unknown Option Type"))-IF('Adjustment Surface'!C$2='Data Validation'!$A$2,O67,IF('Adjustment Surface'!C$2='Data Validation'!$A$3,P67,"Unknown Option Type")))*(NORMDIST((IF('Adjustment Surface'!C$2='Data Validation'!$A$2,P67,IF('Adjustment Surface'!C$2='Data Validation'!$A$3,O67,"Unknown Option Type"))-IF('Adjustment Surface'!C$2='Data Validation'!$A$2,O67,IF('Adjustment Surface'!C$2='Data Validation'!$A$3,P67,"Unknown Option Type")))/(Q67*SQRT(M67)),0,1,TRUE)))+((Q67*SQRT(M67))*(NORMDIST((IF('Adjustment Surface'!C$2='Data Validation'!$A$2,P67,IF('Adjustment Surface'!C$2='Data Validation'!$A$3,O67,"Unknown Option Type"))-IF('Adjustment Surface'!C$2='Data Validation'!$A$2,O67,IF('Adjustment Surface'!C$2='Data Validation'!$A$3,P67,"Unknown Option Type")))/(Q67*SQRT(M67)),0,1,FALSE))))*R67*(L67/360)*N67))</f>
        <v/>
      </c>
      <c r="U67" s="15" t="str">
        <f>IF(I67="","",SUM(T$4:T67))</f>
        <v/>
      </c>
      <c r="W67" s="15" t="str">
        <f>IF(I67="","",IF(J67&lt;'Rate &amp; Vol Update'!$C$2,0,((((((IF('Adjustment Surface'!C$2='Data Validation'!$A$2,P67,IF('Adjustment Surface'!C$2='Data Validation'!$A$3,O67,"Unknown Option Type"))-IF('Adjustment Surface'!C$2='Data Validation'!$A$2,O67,IF('Adjustment Surface'!C$2='Data Validation'!$A$3,P67,"Unknown Option Type")))*(NORMDIST((IF('Adjustment Surface'!C$2='Data Validation'!$A$2,P67,IF('Adjustment Surface'!C$2='Data Validation'!$A$3,O67,"Unknown Option Type"))-IF('Adjustment Surface'!C$2='Data Validation'!$A$2,O67,IF('Adjustment Surface'!C$2='Data Validation'!$A$3,P67,"Unknown Option Type")))/((Q67+0.01%)*SQRT(M67)),0,1,TRUE)))+(((Q67+0.01%)*SQRT(M67))*(NORMDIST((IF('Adjustment Surface'!C$2='Data Validation'!$A$2,P67,IF('Adjustment Surface'!C$2='Data Validation'!$A$3,O67,"Unknown Option Type"))-IF('Adjustment Surface'!C$2='Data Validation'!$A$2,O67,IF('Adjustment Surface'!C$2='Data Validation'!$A$3,P67,"Unknown Option Type")))/((Q67+0.01%)*SQRT(M67)),0,1,FALSE))))*R67*(L67/360))-(T67/N67))*N67)*R67))</f>
        <v/>
      </c>
      <c r="X67" s="15" t="str">
        <f>IF(I67="","",SUM(W$4:W67))</f>
        <v/>
      </c>
      <c r="Y67" s="15"/>
      <c r="Z67" s="20"/>
      <c r="AB67" s="4" t="str">
        <f>IF(AC66=MAX('Adjustment Surface'!$C$14:$F$14),"",AC66)</f>
        <v/>
      </c>
      <c r="AC67" s="4" t="str">
        <f>IF(AB67="","",IF(AB67&lt;EDATE('Adjustment Surface'!$C$6,DATEDIF('Adjustment Surface'!$C$6,MAX('Adjustment Surface'!$C$14:$F$14),"M")),EDATE(AB$5,COUNT(AB$5:AB67)),IF(AB67=EDATE('Adjustment Surface'!$C$6,DATEDIF('Adjustment Surface'!$C$6,MAX('Adjustment Surface'!$C$14:$F$14),"M")),MAX('Adjustment Surface'!$C$14:$F$14),EDATE('Adjustment Surface'!$C$6,DATEDIF('Adjustment Surface'!$C$6,MAX('Adjustment Surface'!$C$14:$F$14),"M")))))</f>
        <v/>
      </c>
      <c r="AD67" s="3" t="str">
        <f t="shared" si="2"/>
        <v/>
      </c>
      <c r="AE67" s="5" t="str">
        <f>IF(AA67="","",(AC67-'Rate &amp; Vol Update'!$C$2)/360)</f>
        <v/>
      </c>
      <c r="AF67" s="15" t="str">
        <f>IF(AA67="","",IF('Adjustment Surface'!$C$3='Data Validation'!$C$2,'Adjustment Surface'!$C$4,_xlfn.IFNA(IF(INDEX(Schedules!$E$3:$E$123,MATCH('Bachelier Model'!AB67,Schedules!$B$3:$B$123,0))="",AF66,INDEX(Schedules!$E$3:$E$123,MATCH('Bachelier Model'!AB67,Schedules!$B$3:$B$123,0))),AF66)))</f>
        <v/>
      </c>
      <c r="AG67" s="16" t="str">
        <f>IF(AA67="","",'Adjustment Surface'!B$15)</f>
        <v/>
      </c>
      <c r="AH67" s="16" t="str" cm="1">
        <f t="array" ref="AH67">IF(AA67="","",FORECAST(AB67,INDEX('Rate &amp; Vol Update'!$C$6:$C$127,MATCH(INDEX('Rate &amp; Vol Update'!$B$6:$B$127,MATCH(AB67,'Rate &amp; Vol Update'!$B$6:$B$127,1)),'Rate &amp; Vol Update'!$B$6:$B$127,0)+IF('Adjustment Surface'!$C$11='Data Validation'!$E$3,-1,0)):INDEX('Rate &amp; Vol Update'!$C$6:$C$127,MATCH(INDEX('Rate &amp; Vol Update'!$B$6:$B$127,MATCH(AB67,'Rate &amp; Vol Update'!$B$6:$B$127,1)+1),'Rate &amp; Vol Update'!$B$6:$B$127,0)+IF('Adjustment Surface'!$C$11='Data Validation'!$E$3,-1,0)),INDEX('Rate &amp; Vol Update'!$B$6:$B$127,MATCH(AB67,'Rate &amp; Vol Update'!$B$6:$B$127,1)):INDEX('Rate &amp; Vol Update'!$B$6:$B$127,MATCH(AB67,'Rate &amp; Vol Update'!$B$6:$B$127,1)+1))/100)</f>
        <v/>
      </c>
      <c r="AI67" s="16" t="str" cm="1">
        <f t="array" ref="AI67">IF(AA67="","",IF(AB67&lt;'Rate &amp; Vol Update'!$C$2,0.001%,(1/((INDEX('Rate &amp; Vol Update'!$E$6:$Z$6,1,MATCH(AG67,'Rate &amp; Vol Update'!$E$6:$Z$6,1)+1)-INDEX('Rate &amp; Vol Update'!$E$6:$Z$6,1,MATCH(AG67,'Rate &amp; Vol Update'!$E$6:$Z$6,1)))*(INDEX('Rate &amp; Vol Update'!$B$8:$B$127,MATCH(AB67,'Rate &amp; Vol Update'!$B$8:$B$127,1)+1)-INDEX('Rate &amp; Vol Update'!$B$8:$B$127,MATCH(AB67,'Rate &amp; Vol Update'!$B$8:$B$127,1))))*(INDEX('Rate &amp; Vol Update'!$E$8:$Z$127,MATCH(INDEX('Rate &amp; Vol Update'!$B$8:$B$127,MATCH(AB67,'Rate &amp; Vol Update'!$B$8:$B$127,1)),'Rate &amp; Vol Update'!$B$8:$B$127,0),MATCH(INDEX('Rate &amp; Vol Update'!$E$6:$Z$6,1,MATCH(AG67,'Rate &amp; Vol Update'!$E$6:$Z$6,1)),'Rate &amp; Vol Update'!$E$6:$Z$6,0))*(INDEX('Rate &amp; Vol Update'!$E$6:$Z$6,1,MATCH(AG67,'Rate &amp; Vol Update'!$E$6:$Z$6,1)+1)-AG67)*(INDEX('Rate &amp; Vol Update'!$B$8:$B$127,MATCH(AB67,'Rate &amp; Vol Update'!$B$8:$B$127,1)+1)-AB67)+INDEX('Rate &amp; Vol Update'!$E$8:$Z$127,MATCH(INDEX('Rate &amp; Vol Update'!$B$8:$B$127,MATCH(AB67,'Rate &amp; Vol Update'!$B$8:$B$127,1)),'Rate &amp; Vol Update'!$B$8:$B$127,0),MATCH(INDEX('Rate &amp; Vol Update'!$E$6:$Z$6,1,MATCH(AG67,'Rate &amp; Vol Update'!$E$6:$Z$6,1)+1),'Rate &amp; Vol Update'!$E$6:$Z$6,0))*(AG67-INDEX('Rate &amp; Vol Update'!$E$6:$Z$6,1,MATCH(AG67,'Rate &amp; Vol Update'!$E$6:$Z$6,1)))*(INDEX('Rate &amp; Vol Update'!$B$8:$B$127,MATCH(AB67,'Rate &amp; Vol Update'!$B$8:$B$127,1)+1)-AB67)+INDEX('Rate &amp; Vol Update'!$E$8:$Z$127,MATCH(INDEX('Rate &amp; Vol Update'!$B$8:$B$127,MATCH(AB67,'Rate &amp; Vol Update'!$B$8:$B$127,1)+1),'Rate &amp; Vol Update'!$B$8:$B$127,0),MATCH(INDEX('Rate &amp; Vol Update'!$E$6:$Z$6,1,MATCH(AG67,'Rate &amp; Vol Update'!$E$6:$Z$6,1)),'Rate &amp; Vol Update'!$E$6:$Z$6,0))*(INDEX('Rate &amp; Vol Update'!$E$6:$Z$6,1,MATCH(AG67,'Rate &amp; Vol Update'!$E$6:$Z$6,1)+1)-AG67)*(AB67-INDEX('Rate &amp; Vol Update'!$B$8:$B$127,MATCH(AB67,'Rate &amp; Vol Update'!$B$8:$B$127,1)))+INDEX('Rate &amp; Vol Update'!$E$8:$Z$127,MATCH(INDEX('Rate &amp; Vol Update'!$B$8:$B$127,MATCH(AB67,'Rate &amp; Vol Update'!$B$8:$B$127,1)+1),'Rate &amp; Vol Update'!$B$8:$B$127,0),MATCH(INDEX('Rate &amp; Vol Update'!$E$6:$Z$6,1,MATCH(AG67,'Rate &amp; Vol Update'!$E$6:$Z$6,1)+1),'Rate &amp; Vol Update'!$E$6:$Z$6,0))*(AG67-INDEX('Rate &amp; Vol Update'!$E$6:$Z$6,1,MATCH(AG67,'Rate &amp; Vol Update'!$E$6:$Z$6,1)))*(AB67-INDEX('Rate &amp; Vol Update'!$B$8:$B$127,MATCH(AB67,'Rate &amp; Vol Update'!$B$8:$B$127,1)))))*0.01%))</f>
        <v/>
      </c>
      <c r="AJ67" s="5" t="str">
        <f>IF(AA67="","",1/((1+AH67)^((AC67-'Rate &amp; Vol Update'!$C$2)/360)))</f>
        <v/>
      </c>
      <c r="AL67" s="15" t="str">
        <f>IF(AA67="","",IF(AB67&lt;'Rate &amp; Vol Update'!$C$2,MAX(0,AH67-AG67)*(AD67/360)*AF67,(((IF('Adjustment Surface'!$C$2='Data Validation'!$A$2,AH67,IF('Adjustment Surface'!$C$2='Data Validation'!$A$3,AG67,"Unknown Option Type"))-IF('Adjustment Surface'!$C$2='Data Validation'!$A$2,AG67,IF('Adjustment Surface'!$C$2='Data Validation'!$A$3,AH67,"Unknown Option Type")))*(NORMDIST((IF('Adjustment Surface'!$C$2='Data Validation'!$A$2,AH67,IF('Adjustment Surface'!$C$2='Data Validation'!$A$3,AG67,"Unknown Option Type"))-IF('Adjustment Surface'!$C$2='Data Validation'!$A$2,AG67,IF('Adjustment Surface'!$C$2='Data Validation'!$A$3,AH67,"Unknown Option Type")))/(AI67*SQRT(AE67)),0,1,TRUE)))+((AI67*SQRT(AE67))*(NORMDIST((IF('Adjustment Surface'!$C$2='Data Validation'!$A$2,AH67,IF('Adjustment Surface'!$C$2='Data Validation'!$A$3,AG67,"Unknown Option Type"))-IF('Adjustment Surface'!$C$2='Data Validation'!$A$2,AG67,IF('Adjustment Surface'!$C$2='Data Validation'!$A$3,AH67,"Unknown Option Type")))/(AI67*SQRT(AE67)),0,1,FALSE))))*AJ67*(AD67/360)*AF67))</f>
        <v/>
      </c>
      <c r="AM67" s="15" t="str">
        <f>IF(AA67="","",SUM(AL$4:AL67))</f>
        <v/>
      </c>
      <c r="AO67" s="15" t="str">
        <f>IF(AA67="","",IF(AB67&lt;'Rate &amp; Vol Update'!$C$2,0,((((((IF('Adjustment Surface'!$C$2='Data Validation'!$A$2,AH67,IF('Adjustment Surface'!$C$2='Data Validation'!$A$3,AG67,"Unknown Option Type"))-IF('Adjustment Surface'!$C$2='Data Validation'!$A$2,AG67,IF('Adjustment Surface'!$C$2='Data Validation'!$A$3,AH67,"Unknown Option Type")))*(NORMDIST((IF('Adjustment Surface'!$C$2='Data Validation'!$A$2,AH67,IF('Adjustment Surface'!$C$2='Data Validation'!$A$3,AG67,"Unknown Option Type"))-IF('Adjustment Surface'!$C$2='Data Validation'!$A$2,AG67,IF('Adjustment Surface'!$C$2='Data Validation'!$A$3,AH67,"Unknown Option Type")))/((AI67+0.01%)*SQRT(AE67)),0,1,TRUE)))+(((AI67+0.01%)*SQRT(AE67))*(NORMDIST((IF('Adjustment Surface'!$C$2='Data Validation'!$A$2,AH67,IF('Adjustment Surface'!$C$2='Data Validation'!$A$3,AG67,"Unknown Option Type"))-IF('Adjustment Surface'!$C$2='Data Validation'!$A$2,AG67,IF('Adjustment Surface'!$C$2='Data Validation'!$A$3,AH67,"Unknown Option Type")))/((AI67+0.01%)*SQRT(AE67)),0,1,FALSE))))*AJ67*(AD67/360))-(AL67/AF67))*AF67)*AJ67))</f>
        <v/>
      </c>
      <c r="AP67" s="15" t="str">
        <f>IF(AA67="","",SUM(AO$4:AO67))</f>
        <v/>
      </c>
      <c r="AQ67" s="15"/>
      <c r="AR67" s="20"/>
      <c r="AT67" s="4" t="str">
        <f>IF(AU66=MAX('Adjustment Surface'!$C$14:$F$14),"",AU66)</f>
        <v/>
      </c>
      <c r="AU67" s="4" t="str">
        <f>IF(AT67="","",IF(AT67&lt;EDATE('Adjustment Surface'!$C$6,DATEDIF('Adjustment Surface'!$C$6,MAX('Adjustment Surface'!$C$14:$F$14),"M")),EDATE(AT$5,COUNT(AT$5:AT67)),IF(AT67=EDATE('Adjustment Surface'!$C$6,DATEDIF('Adjustment Surface'!$C$6,MAX('Adjustment Surface'!$C$14:$F$14),"M")),MAX('Adjustment Surface'!$C$14:$F$14),EDATE('Adjustment Surface'!$C$6,DATEDIF('Adjustment Surface'!$C$6,MAX('Adjustment Surface'!$C$14:$F$14),"M")))))</f>
        <v/>
      </c>
      <c r="AV67" s="3" t="str">
        <f t="shared" si="3"/>
        <v/>
      </c>
      <c r="AW67" s="5" t="str">
        <f>IF(AS67="","",(AU67-'Rate &amp; Vol Update'!$C$2)/360)</f>
        <v/>
      </c>
      <c r="AX67" s="15" t="str">
        <f>IF(AS67="","",IF('Adjustment Surface'!$C$3='Data Validation'!$C$2,'Adjustment Surface'!$C$4,_xlfn.IFNA(IF(INDEX(Schedules!$E$3:$E$123,MATCH('Bachelier Model'!AT67,Schedules!$B$3:$B$123,0))="",AX66,INDEX(Schedules!$E$3:$E$123,MATCH('Bachelier Model'!AT67,Schedules!$B$3:$B$123,0))),AX66)))</f>
        <v/>
      </c>
      <c r="AY67" s="16" t="str">
        <f>IF(AS67="","",'Adjustment Surface'!B$16)</f>
        <v/>
      </c>
      <c r="AZ67" s="16" t="str" cm="1">
        <f t="array" ref="AZ67">IF(AS67="","",FORECAST(AT67,INDEX('Rate &amp; Vol Update'!$C$6:$C$127,MATCH(INDEX('Rate &amp; Vol Update'!$B$6:$B$127,MATCH(AT67,'Rate &amp; Vol Update'!$B$6:$B$127,1)),'Rate &amp; Vol Update'!$B$6:$B$127,0)+IF('Adjustment Surface'!$C$11='Data Validation'!$E$3,-1,0)):INDEX('Rate &amp; Vol Update'!$C$6:$C$127,MATCH(INDEX('Rate &amp; Vol Update'!$B$6:$B$127,MATCH(AT67,'Rate &amp; Vol Update'!$B$6:$B$127,1)+1),'Rate &amp; Vol Update'!$B$6:$B$127,0)+IF('Adjustment Surface'!$C$11='Data Validation'!$E$3,-1,0)),INDEX('Rate &amp; Vol Update'!$B$6:$B$127,MATCH(AT67,'Rate &amp; Vol Update'!$B$6:$B$127,1)):INDEX('Rate &amp; Vol Update'!$B$6:$B$127,MATCH(AT67,'Rate &amp; Vol Update'!$B$6:$B$127,1)+1))/100)</f>
        <v/>
      </c>
      <c r="BA67" s="16" t="str" cm="1">
        <f t="array" ref="BA67">IF(AS67="","",IF(AT67&lt;'Rate &amp; Vol Update'!$C$2,0.001%,(1/((INDEX('Rate &amp; Vol Update'!$E$6:$Z$6,1,MATCH(AY67,'Rate &amp; Vol Update'!$E$6:$Z$6,1)+1)-INDEX('Rate &amp; Vol Update'!$E$6:$Z$6,1,MATCH(AY67,'Rate &amp; Vol Update'!$E$6:$Z$6,1)))*(INDEX('Rate &amp; Vol Update'!$B$8:$B$127,MATCH(AT67,'Rate &amp; Vol Update'!$B$8:$B$127,1)+1)-INDEX('Rate &amp; Vol Update'!$B$8:$B$127,MATCH(AT67,'Rate &amp; Vol Update'!$B$8:$B$127,1))))*(INDEX('Rate &amp; Vol Update'!$E$8:$Z$127,MATCH(INDEX('Rate &amp; Vol Update'!$B$8:$B$127,MATCH(AT67,'Rate &amp; Vol Update'!$B$8:$B$127,1)),'Rate &amp; Vol Update'!$B$8:$B$127,0),MATCH(INDEX('Rate &amp; Vol Update'!$E$6:$Z$6,1,MATCH(AY67,'Rate &amp; Vol Update'!$E$6:$Z$6,1)),'Rate &amp; Vol Update'!$E$6:$Z$6,0))*(INDEX('Rate &amp; Vol Update'!$E$6:$Z$6,1,MATCH(AY67,'Rate &amp; Vol Update'!$E$6:$Z$6,1)+1)-AY67)*(INDEX('Rate &amp; Vol Update'!$B$8:$B$127,MATCH(AT67,'Rate &amp; Vol Update'!$B$8:$B$127,1)+1)-AT67)+INDEX('Rate &amp; Vol Update'!$E$8:$Z$127,MATCH(INDEX('Rate &amp; Vol Update'!$B$8:$B$127,MATCH(AT67,'Rate &amp; Vol Update'!$B$8:$B$127,1)),'Rate &amp; Vol Update'!$B$8:$B$127,0),MATCH(INDEX('Rate &amp; Vol Update'!$E$6:$Z$6,1,MATCH(AY67,'Rate &amp; Vol Update'!$E$6:$Z$6,1)+1),'Rate &amp; Vol Update'!$E$6:$Z$6,0))*(AY67-INDEX('Rate &amp; Vol Update'!$E$6:$Z$6,1,MATCH(AY67,'Rate &amp; Vol Update'!$E$6:$Z$6,1)))*(INDEX('Rate &amp; Vol Update'!$B$8:$B$127,MATCH(AT67,'Rate &amp; Vol Update'!$B$8:$B$127,1)+1)-AT67)+INDEX('Rate &amp; Vol Update'!$E$8:$Z$127,MATCH(INDEX('Rate &amp; Vol Update'!$B$8:$B$127,MATCH(AT67,'Rate &amp; Vol Update'!$B$8:$B$127,1)+1),'Rate &amp; Vol Update'!$B$8:$B$127,0),MATCH(INDEX('Rate &amp; Vol Update'!$E$6:$Z$6,1,MATCH(AY67,'Rate &amp; Vol Update'!$E$6:$Z$6,1)),'Rate &amp; Vol Update'!$E$6:$Z$6,0))*(INDEX('Rate &amp; Vol Update'!$E$6:$Z$6,1,MATCH(AY67,'Rate &amp; Vol Update'!$E$6:$Z$6,1)+1)-AY67)*(AT67-INDEX('Rate &amp; Vol Update'!$B$8:$B$127,MATCH(AT67,'Rate &amp; Vol Update'!$B$8:$B$127,1)))+INDEX('Rate &amp; Vol Update'!$E$8:$Z$127,MATCH(INDEX('Rate &amp; Vol Update'!$B$8:$B$127,MATCH(AT67,'Rate &amp; Vol Update'!$B$8:$B$127,1)+1),'Rate &amp; Vol Update'!$B$8:$B$127,0),MATCH(INDEX('Rate &amp; Vol Update'!$E$6:$Z$6,1,MATCH(AY67,'Rate &amp; Vol Update'!$E$6:$Z$6,1)+1),'Rate &amp; Vol Update'!$E$6:$Z$6,0))*(AY67-INDEX('Rate &amp; Vol Update'!$E$6:$Z$6,1,MATCH(AY67,'Rate &amp; Vol Update'!$E$6:$Z$6,1)))*(AT67-INDEX('Rate &amp; Vol Update'!$B$8:$B$127,MATCH(AT67,'Rate &amp; Vol Update'!$B$8:$B$127,1)))))*0.01%))</f>
        <v/>
      </c>
      <c r="BB67" s="5" t="str">
        <f>IF(AS67="","",1/((1+AZ67)^((AU67-'Rate &amp; Vol Update'!$C$2)/360)))</f>
        <v/>
      </c>
      <c r="BD67" s="15" t="str">
        <f>IF(AS67="","",IF(AT67&lt;'Rate &amp; Vol Update'!$C$2,MAX(0,AZ67-AY67)*(AV67/360)*AX67,(((IF('Adjustment Surface'!$C$2='Data Validation'!$A$2,AZ67,IF('Adjustment Surface'!$C$2='Data Validation'!$A$3,AY67,"Unknown Option Type"))-IF('Adjustment Surface'!$C$2='Data Validation'!$A$2,AY67,IF('Adjustment Surface'!$C$2='Data Validation'!$A$3,AZ67,"Unknown Option Type")))*(NORMDIST((IF('Adjustment Surface'!$C$2='Data Validation'!$A$2,AZ67,IF('Adjustment Surface'!$C$2='Data Validation'!$A$3,AY67,"Unknown Option Type"))-IF('Adjustment Surface'!$C$2='Data Validation'!$A$2,AY67,IF('Adjustment Surface'!$C$2='Data Validation'!$A$3,AZ67,"Unknown Option Type")))/(BA67*SQRT(AW67)),0,1,TRUE)))+((BA67*SQRT(AW67))*(NORMDIST((IF('Adjustment Surface'!$C$2='Data Validation'!$A$2,AZ67,IF('Adjustment Surface'!$C$2='Data Validation'!$A$3,AY67,"Unknown Option Type"))-IF('Adjustment Surface'!$C$2='Data Validation'!$A$2,AY67,IF('Adjustment Surface'!$C$2='Data Validation'!$A$3,AZ67,"Unknown Option Type")))/(BA67*SQRT(AW67)),0,1,FALSE))))*BB67*(AV67/360)*AX67))</f>
        <v/>
      </c>
      <c r="BE67" s="15" t="str">
        <f>IF(AS67="","",SUM(BD$4:BD67))</f>
        <v/>
      </c>
      <c r="BG67" s="15" t="str">
        <f>IF(AS67="","",IF(AT67&lt;'Rate &amp; Vol Update'!$C$2,0,((((((IF('Adjustment Surface'!$C$2='Data Validation'!$A$2,AZ67,IF('Adjustment Surface'!$C$2='Data Validation'!$A$3,AY67,"Unknown Option Type"))-IF('Adjustment Surface'!$C$2='Data Validation'!$A$2,AY67,IF('Adjustment Surface'!$C$2='Data Validation'!$A$3,AZ67,"Unknown Option Type")))*(NORMDIST((IF('Adjustment Surface'!$C$2='Data Validation'!$A$2,AZ67,IF('Adjustment Surface'!$C$2='Data Validation'!$A$3,AY67,"Unknown Option Type"))-IF('Adjustment Surface'!$C$2='Data Validation'!$A$2,AY67,IF('Adjustment Surface'!$C$2='Data Validation'!$A$3,AZ67,"Unknown Option Type")))/((BA67+0.01%)*SQRT(AW67)),0,1,TRUE)))+(((BA67+0.01%)*SQRT(AW67))*(NORMDIST((IF('Adjustment Surface'!$C$2='Data Validation'!$A$2,AZ67,IF('Adjustment Surface'!$C$2='Data Validation'!$A$3,AY67,"Unknown Option Type"))-IF('Adjustment Surface'!$C$2='Data Validation'!$A$2,AY67,IF('Adjustment Surface'!$C$2='Data Validation'!$A$3,AZ67,"Unknown Option Type")))/((BA67+0.01%)*SQRT(AW67)),0,1,FALSE))))*BB67*(AV67/360))-(BD67/AX67))*AX67)*BB67))</f>
        <v/>
      </c>
      <c r="BH67" s="15" t="str">
        <f>IF(AS67="","",SUM(BG$4:BG67))</f>
        <v/>
      </c>
      <c r="BI67" s="15"/>
      <c r="BJ67" s="20"/>
      <c r="BL67" s="4" t="str">
        <f>IF(BM66=MAX('Adjustment Surface'!$C$14:$F$14),"",BM66)</f>
        <v/>
      </c>
      <c r="BM67" s="4" t="str">
        <f>IF(BL67="","",IF(BL67&lt;EDATE('Adjustment Surface'!$C$6,DATEDIF('Adjustment Surface'!$C$6,MAX('Adjustment Surface'!$C$14:$F$14),"M")),EDATE(BL$5,COUNT(BL$5:BL67)),IF(BL67=EDATE('Adjustment Surface'!$C$6,DATEDIF('Adjustment Surface'!$C$6,MAX('Adjustment Surface'!$C$14:$F$14),"M")),MAX('Adjustment Surface'!$C$14:$F$14),EDATE('Adjustment Surface'!$C$6,DATEDIF('Adjustment Surface'!$C$6,MAX('Adjustment Surface'!$C$14:$F$14),"M")))))</f>
        <v/>
      </c>
      <c r="BN67" s="3" t="str">
        <f t="shared" si="4"/>
        <v/>
      </c>
      <c r="BO67" s="5" t="str">
        <f>IF(BK67="","",(BM67-'Rate &amp; Vol Update'!$C$2)/360)</f>
        <v/>
      </c>
      <c r="BP67" s="15" t="str">
        <f>IF(BK67="","",IF('Adjustment Surface'!$C$3='Data Validation'!$C$2,'Adjustment Surface'!$C$4,_xlfn.IFNA(IF(INDEX(Schedules!$E$3:$E$123,MATCH('Bachelier Model'!BL67,Schedules!$B$3:$B$123,0))="",BP66,INDEX(Schedules!$E$3:$E$123,MATCH('Bachelier Model'!BL67,Schedules!$B$3:$B$123,0))),BP66)))</f>
        <v/>
      </c>
      <c r="BQ67" s="16" t="str">
        <f>IF(BK67="","",'Adjustment Surface'!B$17)</f>
        <v/>
      </c>
      <c r="BR67" s="16" t="str" cm="1">
        <f t="array" ref="BR67">IF(BK67="","",FORECAST(BL67,INDEX('Rate &amp; Vol Update'!$C$6:$C$127,MATCH(INDEX('Rate &amp; Vol Update'!$B$6:$B$127,MATCH(BL67,'Rate &amp; Vol Update'!$B$6:$B$127,1)),'Rate &amp; Vol Update'!$B$6:$B$127,0)+IF('Adjustment Surface'!$C$11='Data Validation'!$E$3,-1,0)):INDEX('Rate &amp; Vol Update'!$C$6:$C$127,MATCH(INDEX('Rate &amp; Vol Update'!$B$6:$B$127,MATCH(BL67,'Rate &amp; Vol Update'!$B$6:$B$127,1)+1),'Rate &amp; Vol Update'!$B$6:$B$127,0)+IF('Adjustment Surface'!$C$11='Data Validation'!$E$3,-1,0)),INDEX('Rate &amp; Vol Update'!$B$6:$B$127,MATCH(BL67,'Rate &amp; Vol Update'!$B$6:$B$127,1)):INDEX('Rate &amp; Vol Update'!$B$6:$B$127,MATCH(BL67,'Rate &amp; Vol Update'!$B$6:$B$127,1)+1))/100)</f>
        <v/>
      </c>
      <c r="BS67" s="16" t="str" cm="1">
        <f t="array" ref="BS67">IF(BK67="","",IF(BL67&lt;'Rate &amp; Vol Update'!$C$2,0.001%,(1/((INDEX('Rate &amp; Vol Update'!$E$6:$Z$6,1,MATCH(BQ67,'Rate &amp; Vol Update'!$E$6:$Z$6,1)+1)-INDEX('Rate &amp; Vol Update'!$E$6:$Z$6,1,MATCH(BQ67,'Rate &amp; Vol Update'!$E$6:$Z$6,1)))*(INDEX('Rate &amp; Vol Update'!$B$8:$B$127,MATCH(BL67,'Rate &amp; Vol Update'!$B$8:$B$127,1)+1)-INDEX('Rate &amp; Vol Update'!$B$8:$B$127,MATCH(BL67,'Rate &amp; Vol Update'!$B$8:$B$127,1))))*(INDEX('Rate &amp; Vol Update'!$E$8:$Z$127,MATCH(INDEX('Rate &amp; Vol Update'!$B$8:$B$127,MATCH(BL67,'Rate &amp; Vol Update'!$B$8:$B$127,1)),'Rate &amp; Vol Update'!$B$8:$B$127,0),MATCH(INDEX('Rate &amp; Vol Update'!$E$6:$Z$6,1,MATCH(BQ67,'Rate &amp; Vol Update'!$E$6:$Z$6,1)),'Rate &amp; Vol Update'!$E$6:$Z$6,0))*(INDEX('Rate &amp; Vol Update'!$E$6:$Z$6,1,MATCH(BQ67,'Rate &amp; Vol Update'!$E$6:$Z$6,1)+1)-BQ67)*(INDEX('Rate &amp; Vol Update'!$B$8:$B$127,MATCH(BL67,'Rate &amp; Vol Update'!$B$8:$B$127,1)+1)-BL67)+INDEX('Rate &amp; Vol Update'!$E$8:$Z$127,MATCH(INDEX('Rate &amp; Vol Update'!$B$8:$B$127,MATCH(BL67,'Rate &amp; Vol Update'!$B$8:$B$127,1)),'Rate &amp; Vol Update'!$B$8:$B$127,0),MATCH(INDEX('Rate &amp; Vol Update'!$E$6:$Z$6,1,MATCH(BQ67,'Rate &amp; Vol Update'!$E$6:$Z$6,1)+1),'Rate &amp; Vol Update'!$E$6:$Z$6,0))*(BQ67-INDEX('Rate &amp; Vol Update'!$E$6:$Z$6,1,MATCH(BQ67,'Rate &amp; Vol Update'!$E$6:$Z$6,1)))*(INDEX('Rate &amp; Vol Update'!$B$8:$B$127,MATCH(BL67,'Rate &amp; Vol Update'!$B$8:$B$127,1)+1)-BL67)+INDEX('Rate &amp; Vol Update'!$E$8:$Z$127,MATCH(INDEX('Rate &amp; Vol Update'!$B$8:$B$127,MATCH(BL67,'Rate &amp; Vol Update'!$B$8:$B$127,1)+1),'Rate &amp; Vol Update'!$B$8:$B$127,0),MATCH(INDEX('Rate &amp; Vol Update'!$E$6:$Z$6,1,MATCH(BQ67,'Rate &amp; Vol Update'!$E$6:$Z$6,1)),'Rate &amp; Vol Update'!$E$6:$Z$6,0))*(INDEX('Rate &amp; Vol Update'!$E$6:$Z$6,1,MATCH(BQ67,'Rate &amp; Vol Update'!$E$6:$Z$6,1)+1)-BQ67)*(BL67-INDEX('Rate &amp; Vol Update'!$B$8:$B$127,MATCH(BL67,'Rate &amp; Vol Update'!$B$8:$B$127,1)))+INDEX('Rate &amp; Vol Update'!$E$8:$Z$127,MATCH(INDEX('Rate &amp; Vol Update'!$B$8:$B$127,MATCH(BL67,'Rate &amp; Vol Update'!$B$8:$B$127,1)+1),'Rate &amp; Vol Update'!$B$8:$B$127,0),MATCH(INDEX('Rate &amp; Vol Update'!$E$6:$Z$6,1,MATCH(BQ67,'Rate &amp; Vol Update'!$E$6:$Z$6,1)+1),'Rate &amp; Vol Update'!$E$6:$Z$6,0))*(BQ67-INDEX('Rate &amp; Vol Update'!$E$6:$Z$6,1,MATCH(BQ67,'Rate &amp; Vol Update'!$E$6:$Z$6,1)))*(BL67-INDEX('Rate &amp; Vol Update'!$B$8:$B$127,MATCH(BL67,'Rate &amp; Vol Update'!$B$8:$B$127,1)))))*0.01%))</f>
        <v/>
      </c>
      <c r="BT67" s="5" t="str">
        <f>IF(BK67="","",1/((1+BR67)^((BM67-'Rate &amp; Vol Update'!$C$2)/360)))</f>
        <v/>
      </c>
      <c r="BV67" s="15" t="str">
        <f>IF(BK67="","",IF(BL67&lt;'Rate &amp; Vol Update'!$C$2,MAX(0,BR67-BQ67)*(BN67/360)*BP67,(((IF('Adjustment Surface'!$C$2='Data Validation'!$A$2,BR67,IF('Adjustment Surface'!$C$2='Data Validation'!$A$3,BQ67,"Unknown Option Type"))-IF('Adjustment Surface'!$C$2='Data Validation'!$A$2,BQ67,IF('Adjustment Surface'!$C$2='Data Validation'!$A$3,BR67,"Unknown Option Type")))*(NORMDIST((IF('Adjustment Surface'!$C$2='Data Validation'!$A$2,BR67,IF('Adjustment Surface'!$C$2='Data Validation'!$A$3,BQ67,"Unknown Option Type"))-IF('Adjustment Surface'!$C$2='Data Validation'!$A$2,BQ67,IF('Adjustment Surface'!$C$2='Data Validation'!$A$3,BR67,"Unknown Option Type")))/(BS67*SQRT(BO67)),0,1,TRUE)))+((BS67*SQRT(BO67))*(NORMDIST((IF('Adjustment Surface'!$C$2='Data Validation'!$A$2,BR67,IF('Adjustment Surface'!$C$2='Data Validation'!$A$3,BQ67,"Unknown Option Type"))-IF('Adjustment Surface'!$C$2='Data Validation'!$A$2,BQ67,IF('Adjustment Surface'!$C$2='Data Validation'!$A$3,BR67,"Unknown Option Type")))/(BS67*SQRT(BO67)),0,1,FALSE))))*BT67*(BN67/360)*BP67))</f>
        <v/>
      </c>
      <c r="BW67" s="15" t="str">
        <f>IF(BK67="","",SUM(BV$4:BV67))</f>
        <v/>
      </c>
      <c r="BY67" s="15" t="str">
        <f>IF(BK67="","",IF(BL67&lt;'Rate &amp; Vol Update'!$C$2,0,((((((IF('Adjustment Surface'!$C$2='Data Validation'!$A$2,BR67,IF('Adjustment Surface'!$C$2='Data Validation'!$A$3,BQ67,"Unknown Option Type"))-IF('Adjustment Surface'!$C$2='Data Validation'!$A$2,BQ67,IF('Adjustment Surface'!$C$2='Data Validation'!$A$3,BR67,"Unknown Option Type")))*(NORMDIST((IF('Adjustment Surface'!$C$2='Data Validation'!$A$2,BR67,IF('Adjustment Surface'!$C$2='Data Validation'!$A$3,BQ67,"Unknown Option Type"))-IF('Adjustment Surface'!$C$2='Data Validation'!$A$2,BQ67,IF('Adjustment Surface'!$C$2='Data Validation'!$A$3,BR67,"Unknown Option Type")))/((BS67+0.01%)*SQRT(BO67)),0,1,TRUE)))+(((BS67+0.01%)*SQRT(BO67))*(NORMDIST((IF('Adjustment Surface'!$C$2='Data Validation'!$A$2,BR67,IF('Adjustment Surface'!$C$2='Data Validation'!$A$3,BQ67,"Unknown Option Type"))-IF('Adjustment Surface'!$C$2='Data Validation'!$A$2,BQ67,IF('Adjustment Surface'!$C$2='Data Validation'!$A$3,BR67,"Unknown Option Type")))/((BS67+0.01%)*SQRT(BO67)),0,1,FALSE))))*BT67*(BN67/360))-(BV67/BP67))*BP67)*BT67))</f>
        <v/>
      </c>
      <c r="BZ67" s="15" t="str">
        <f>IF(BK67="","",SUM(BY$4:BY67))</f>
        <v/>
      </c>
      <c r="CA67" s="15"/>
      <c r="CB67" s="20"/>
      <c r="CD67" s="4" t="str">
        <f>IF(CE66=MAX('Adjustment Surface'!$C$14:$F$14),"",CE66)</f>
        <v/>
      </c>
      <c r="CE67" s="4" t="str">
        <f>IF(CD67="","",IF(CD67&lt;EDATE('Adjustment Surface'!$C$6,DATEDIF('Adjustment Surface'!$C$6,MAX('Adjustment Surface'!$C$14:$F$14),"M")),EDATE(CD$5,COUNT(CD$5:CD67)),IF(CD67=EDATE('Adjustment Surface'!$C$6,DATEDIF('Adjustment Surface'!$C$6,MAX('Adjustment Surface'!$C$14:$F$14),"M")),MAX('Adjustment Surface'!$C$14:$F$14),EDATE('Adjustment Surface'!$C$6,DATEDIF('Adjustment Surface'!$C$6,MAX('Adjustment Surface'!$C$14:$F$14),"M")))))</f>
        <v/>
      </c>
      <c r="CF67" s="3" t="str">
        <f t="shared" si="5"/>
        <v/>
      </c>
      <c r="CG67" s="5" t="str">
        <f>IF(CC67="","",(CE67-'Rate &amp; Vol Update'!$C$2)/360)</f>
        <v/>
      </c>
      <c r="CH67" s="15" t="str">
        <f>IF(CC67="","",IF('Adjustment Surface'!$C$3='Data Validation'!$C$2,'Adjustment Surface'!$C$4,_xlfn.IFNA(IF(INDEX(Schedules!$E$3:$E$123,MATCH('Bachelier Model'!CD67,Schedules!$B$3:$B$123,0))="",CH66,INDEX(Schedules!$E$3:$E$123,MATCH('Bachelier Model'!CD67,Schedules!$B$3:$B$123,0))),CH66)))</f>
        <v/>
      </c>
      <c r="CI67" s="16" t="str">
        <f>IF(CC67="","",'Adjustment Surface'!B$18)</f>
        <v/>
      </c>
      <c r="CJ67" s="16" t="str" cm="1">
        <f t="array" ref="CJ67">IF(CC67="","",FORECAST(CD67,INDEX('Rate &amp; Vol Update'!$C$6:$C$127,MATCH(INDEX('Rate &amp; Vol Update'!$B$6:$B$127,MATCH(CD67,'Rate &amp; Vol Update'!$B$6:$B$127,1)),'Rate &amp; Vol Update'!$B$6:$B$127,0)+IF('Adjustment Surface'!$C$11='Data Validation'!$E$3,-1,0)):INDEX('Rate &amp; Vol Update'!$C$6:$C$127,MATCH(INDEX('Rate &amp; Vol Update'!$B$6:$B$127,MATCH(CD67,'Rate &amp; Vol Update'!$B$6:$B$127,1)+1),'Rate &amp; Vol Update'!$B$6:$B$127,0)+IF('Adjustment Surface'!$C$11='Data Validation'!$E$3,-1,0)),INDEX('Rate &amp; Vol Update'!$B$6:$B$127,MATCH(CD67,'Rate &amp; Vol Update'!$B$6:$B$127,1)):INDEX('Rate &amp; Vol Update'!$B$6:$B$127,MATCH(CD67,'Rate &amp; Vol Update'!$B$6:$B$127,1)+1))/100)</f>
        <v/>
      </c>
      <c r="CK67" s="16" t="str" cm="1">
        <f t="array" ref="CK67">IF(CC67="","",IF(CD67&lt;'Rate &amp; Vol Update'!$C$2,0.001%,(1/((INDEX('Rate &amp; Vol Update'!$E$6:$Z$6,1,MATCH(CI67,'Rate &amp; Vol Update'!$E$6:$Z$6,1)+1)-INDEX('Rate &amp; Vol Update'!$E$6:$Z$6,1,MATCH(CI67,'Rate &amp; Vol Update'!$E$6:$Z$6,1)))*(INDEX('Rate &amp; Vol Update'!$B$8:$B$127,MATCH(CD67,'Rate &amp; Vol Update'!$B$8:$B$127,1)+1)-INDEX('Rate &amp; Vol Update'!$B$8:$B$127,MATCH(CD67,'Rate &amp; Vol Update'!$B$8:$B$127,1))))*(INDEX('Rate &amp; Vol Update'!$E$8:$Z$127,MATCH(INDEX('Rate &amp; Vol Update'!$B$8:$B$127,MATCH(CD67,'Rate &amp; Vol Update'!$B$8:$B$127,1)),'Rate &amp; Vol Update'!$B$8:$B$127,0),MATCH(INDEX('Rate &amp; Vol Update'!$E$6:$Z$6,1,MATCH(CI67,'Rate &amp; Vol Update'!$E$6:$Z$6,1)),'Rate &amp; Vol Update'!$E$6:$Z$6,0))*(INDEX('Rate &amp; Vol Update'!$E$6:$Z$6,1,MATCH(CI67,'Rate &amp; Vol Update'!$E$6:$Z$6,1)+1)-CI67)*(INDEX('Rate &amp; Vol Update'!$B$8:$B$127,MATCH(CD67,'Rate &amp; Vol Update'!$B$8:$B$127,1)+1)-CD67)+INDEX('Rate &amp; Vol Update'!$E$8:$Z$127,MATCH(INDEX('Rate &amp; Vol Update'!$B$8:$B$127,MATCH(CD67,'Rate &amp; Vol Update'!$B$8:$B$127,1)),'Rate &amp; Vol Update'!$B$8:$B$127,0),MATCH(INDEX('Rate &amp; Vol Update'!$E$6:$Z$6,1,MATCH(CI67,'Rate &amp; Vol Update'!$E$6:$Z$6,1)+1),'Rate &amp; Vol Update'!$E$6:$Z$6,0))*(CI67-INDEX('Rate &amp; Vol Update'!$E$6:$Z$6,1,MATCH(CI67,'Rate &amp; Vol Update'!$E$6:$Z$6,1)))*(INDEX('Rate &amp; Vol Update'!$B$8:$B$127,MATCH(CD67,'Rate &amp; Vol Update'!$B$8:$B$127,1)+1)-CD67)+INDEX('Rate &amp; Vol Update'!$E$8:$Z$127,MATCH(INDEX('Rate &amp; Vol Update'!$B$8:$B$127,MATCH(CD67,'Rate &amp; Vol Update'!$B$8:$B$127,1)+1),'Rate &amp; Vol Update'!$B$8:$B$127,0),MATCH(INDEX('Rate &amp; Vol Update'!$E$6:$Z$6,1,MATCH(CI67,'Rate &amp; Vol Update'!$E$6:$Z$6,1)),'Rate &amp; Vol Update'!$E$6:$Z$6,0))*(INDEX('Rate &amp; Vol Update'!$E$6:$Z$6,1,MATCH(CI67,'Rate &amp; Vol Update'!$E$6:$Z$6,1)+1)-CI67)*(CD67-INDEX('Rate &amp; Vol Update'!$B$8:$B$127,MATCH(CD67,'Rate &amp; Vol Update'!$B$8:$B$127,1)))+INDEX('Rate &amp; Vol Update'!$E$8:$Z$127,MATCH(INDEX('Rate &amp; Vol Update'!$B$8:$B$127,MATCH(CD67,'Rate &amp; Vol Update'!$B$8:$B$127,1)+1),'Rate &amp; Vol Update'!$B$8:$B$127,0),MATCH(INDEX('Rate &amp; Vol Update'!$E$6:$Z$6,1,MATCH(CI67,'Rate &amp; Vol Update'!$E$6:$Z$6,1)+1),'Rate &amp; Vol Update'!$E$6:$Z$6,0))*(CI67-INDEX('Rate &amp; Vol Update'!$E$6:$Z$6,1,MATCH(CI67,'Rate &amp; Vol Update'!$E$6:$Z$6,1)))*(CD67-INDEX('Rate &amp; Vol Update'!$B$8:$B$127,MATCH(CD67,'Rate &amp; Vol Update'!$B$8:$B$127,1)))))*0.01%))</f>
        <v/>
      </c>
      <c r="CL67" s="5" t="str">
        <f>IF(CC67="","",1/((1+CJ67)^((CE67-'Rate &amp; Vol Update'!$C$2)/360)))</f>
        <v/>
      </c>
      <c r="CN67" s="15" t="str">
        <f>IF(CC67="","",IF(CD67&lt;'Rate &amp; Vol Update'!$C$2,MAX(0,CJ67-CI67)*(CF67/360)*CH67,(((IF('Adjustment Surface'!$C$2='Data Validation'!$A$2,CJ67,IF('Adjustment Surface'!$C$2='Data Validation'!$A$3,CI67,"Unknown Option Type"))-IF('Adjustment Surface'!$C$2='Data Validation'!$A$2,CI67,IF('Adjustment Surface'!$C$2='Data Validation'!$A$3,CJ67,"Unknown Option Type")))*(NORMDIST((IF('Adjustment Surface'!$C$2='Data Validation'!$A$2,CJ67,IF('Adjustment Surface'!$C$2='Data Validation'!$A$3,CI67,"Unknown Option Type"))-IF('Adjustment Surface'!$C$2='Data Validation'!$A$2,CI67,IF('Adjustment Surface'!$C$2='Data Validation'!$A$3,CJ67,"Unknown Option Type")))/(CK67*SQRT(CG67)),0,1,TRUE)))+((CK67*SQRT(CG67))*(NORMDIST((IF('Adjustment Surface'!$C$2='Data Validation'!$A$2,CJ67,IF('Adjustment Surface'!$C$2='Data Validation'!$A$3,CI67,"Unknown Option Type"))-IF('Adjustment Surface'!$C$2='Data Validation'!$A$2,CI67,IF('Adjustment Surface'!$C$2='Data Validation'!$A$3,CJ67,"Unknown Option Type")))/(CK67*SQRT(CG67)),0,1,FALSE))))*CL67*(CF67/360)*CH67))</f>
        <v/>
      </c>
      <c r="CO67" s="15" t="str">
        <f>IF(CC67="","",SUM(CN$4:CN67))</f>
        <v/>
      </c>
      <c r="CQ67" s="15" t="str">
        <f>IF(CC67="","",IF(CD67&lt;'Rate &amp; Vol Update'!$C$2,0,((((((IF('Adjustment Surface'!$C$2='Data Validation'!$A$2,CJ67,IF('Adjustment Surface'!$C$2='Data Validation'!$A$3,CI67,"Unknown Option Type"))-IF('Adjustment Surface'!$C$2='Data Validation'!$A$2,CI67,IF('Adjustment Surface'!$C$2='Data Validation'!$A$3,CJ67,"Unknown Option Type")))*(NORMDIST((IF('Adjustment Surface'!$C$2='Data Validation'!$A$2,CJ67,IF('Adjustment Surface'!$C$2='Data Validation'!$A$3,CI67,"Unknown Option Type"))-IF('Adjustment Surface'!$C$2='Data Validation'!$A$2,CI67,IF('Adjustment Surface'!$C$2='Data Validation'!$A$3,CJ67,"Unknown Option Type")))/((CK67+0.01%)*SQRT(CG67)),0,1,TRUE)))+(((CK67+0.01%)*SQRT(CG67))*(NORMDIST((IF('Adjustment Surface'!$C$2='Data Validation'!$A$2,CJ67,IF('Adjustment Surface'!$C$2='Data Validation'!$A$3,CI67,"Unknown Option Type"))-IF('Adjustment Surface'!$C$2='Data Validation'!$A$2,CI67,IF('Adjustment Surface'!$C$2='Data Validation'!$A$3,CJ67,"Unknown Option Type")))/((CK67+0.01%)*SQRT(CG67)),0,1,FALSE))))*CL67*(CF67/360))-(CN67/CH67))*CH67)*CL67))</f>
        <v/>
      </c>
      <c r="CR67" s="15" t="str">
        <f>IF(CC67="","",SUM(CQ$4:CQ67))</f>
        <v/>
      </c>
    </row>
    <row r="68" spans="7:96" x14ac:dyDescent="0.25">
      <c r="G68" s="28"/>
      <c r="J68" s="4" t="str">
        <f>IF(K67='Adjustment Surface'!C$8,"",K67)</f>
        <v/>
      </c>
      <c r="K68" s="4" t="str">
        <f>IF(J68="","",IF(J68&lt;'Adjustment Surface'!C$7,EDATE(J$5,COUNT(J$5:J68)),IF(J68='Adjustment Surface'!C$7,'Adjustment Surface'!C$8,'Adjustment Surface'!C$7)))</f>
        <v/>
      </c>
      <c r="L68" s="3" t="str">
        <f t="shared" si="1"/>
        <v/>
      </c>
      <c r="M68" s="5" t="str">
        <f>IF(I68="","",(K68-'Rate &amp; Vol Update'!$C$2)/360)</f>
        <v/>
      </c>
      <c r="N68" s="15" t="str">
        <f>IF(I68="","",IF('Adjustment Surface'!C$3='Data Validation'!$C$2,'Adjustment Surface'!C$4,IF(INDEX(Schedules!$E$3:$E$123,MATCH('Bachelier Model'!J68,Schedules!$B$3:$B$123,0))="",N67,INDEX(Schedules!$E$3:$E$123,MATCH('Bachelier Model'!J68,Schedules!$B$3:$B$123,0)))))</f>
        <v/>
      </c>
      <c r="O68" s="16" t="str">
        <f>IF(I68="","",IF('Adjustment Surface'!C$9='Data Validation'!$D$2,'Adjustment Surface'!C$10,IF(INDEX(Schedules!$H$3:$H$123,MATCH('Bachelier Model'!J68,Schedules!$B$3:$B$123,0))="",O67,INDEX(Schedules!$H$3:$H$123,MATCH('Bachelier Model'!J68,Schedules!$B$3:$B$123,0)))))</f>
        <v/>
      </c>
      <c r="P68" s="16" t="str" cm="1">
        <f t="array" ref="P68">IF(I68="","",FORECAST(J68,INDEX('Rate &amp; Vol Update'!$C$6:$C$127,MATCH(INDEX('Rate &amp; Vol Update'!$B$6:$B$127,MATCH(J68,'Rate &amp; Vol Update'!$B$6:$B$127,1)),'Rate &amp; Vol Update'!$B$6:$B$127,0)+IF('Adjustment Surface'!C$11='Data Validation'!$E$3,-1,0)):INDEX('Rate &amp; Vol Update'!$C$6:$C$127,MATCH(INDEX('Rate &amp; Vol Update'!$B$6:$B$127,MATCH(J68,'Rate &amp; Vol Update'!$B$6:$B$127,1)+1),'Rate &amp; Vol Update'!$B$6:$B$127,0)+IF('Adjustment Surface'!C$11='Data Validation'!$E$3,-1,0)),INDEX('Rate &amp; Vol Update'!$B$6:$B$127,MATCH(J68,'Rate &amp; Vol Update'!$B$6:$B$127,1)):INDEX('Rate &amp; Vol Update'!$B$6:$B$127,MATCH(J68,'Rate &amp; Vol Update'!$B$6:$B$127,1)+1))/100)</f>
        <v/>
      </c>
      <c r="Q68" s="16" t="str" cm="1">
        <f t="array" ref="Q68">IF(I68="","",IF(J68&lt;'Rate &amp; Vol Update'!$C$2,0.001%,(1/((INDEX('Rate &amp; Vol Update'!$E$6:$Z$6,1,MATCH(O68,'Rate &amp; Vol Update'!$E$6:$Z$6,1)+1)-INDEX('Rate &amp; Vol Update'!$E$6:$Z$6,1,MATCH(O68,'Rate &amp; Vol Update'!$E$6:$Z$6,1)))*(INDEX('Rate &amp; Vol Update'!$B$8:$B$127,MATCH(J68,'Rate &amp; Vol Update'!$B$8:$B$127,1)+1)-INDEX('Rate &amp; Vol Update'!$B$8:$B$127,MATCH(J68,'Rate &amp; Vol Update'!$B$8:$B$127,1))))*(INDEX('Rate &amp; Vol Update'!$E$8:$Z$127,MATCH(INDEX('Rate &amp; Vol Update'!$B$8:$B$127,MATCH(J68,'Rate &amp; Vol Update'!$B$8:$B$127,1)),'Rate &amp; Vol Update'!$B$8:$B$127,0),MATCH(INDEX('Rate &amp; Vol Update'!$E$6:$Z$6,1,MATCH(O68,'Rate &amp; Vol Update'!$E$6:$Z$6,1)),'Rate &amp; Vol Update'!$E$6:$Z$6,0))*(INDEX('Rate &amp; Vol Update'!$E$6:$Z$6,1,MATCH(O68,'Rate &amp; Vol Update'!$E$6:$Z$6,1)+1)-O68)*(INDEX('Rate &amp; Vol Update'!$B$8:$B$127,MATCH(J68,'Rate &amp; Vol Update'!$B$8:$B$127,1)+1)-J68)+INDEX('Rate &amp; Vol Update'!$E$8:$Z$127,MATCH(INDEX('Rate &amp; Vol Update'!$B$8:$B$127,MATCH(J68,'Rate &amp; Vol Update'!$B$8:$B$127,1)),'Rate &amp; Vol Update'!$B$8:$B$127,0),MATCH(INDEX('Rate &amp; Vol Update'!$E$6:$Z$6,1,MATCH(O68,'Rate &amp; Vol Update'!$E$6:$Z$6,1)+1),'Rate &amp; Vol Update'!$E$6:$Z$6,0))*(O68-INDEX('Rate &amp; Vol Update'!$E$6:$Z$6,1,MATCH(O68,'Rate &amp; Vol Update'!$E$6:$Z$6,1)))*(INDEX('Rate &amp; Vol Update'!$B$8:$B$127,MATCH(J68,'Rate &amp; Vol Update'!$B$8:$B$127,1)+1)-J68)+INDEX('Rate &amp; Vol Update'!$E$8:$Z$127,MATCH(INDEX('Rate &amp; Vol Update'!$B$8:$B$127,MATCH(J68,'Rate &amp; Vol Update'!$B$8:$B$127,1)+1),'Rate &amp; Vol Update'!$B$8:$B$127,0),MATCH(INDEX('Rate &amp; Vol Update'!$E$6:$Z$6,1,MATCH(O68,'Rate &amp; Vol Update'!$E$6:$Z$6,1)),'Rate &amp; Vol Update'!$E$6:$Z$6,0))*(INDEX('Rate &amp; Vol Update'!$E$6:$Z$6,1,MATCH(O68,'Rate &amp; Vol Update'!$E$6:$Z$6,1)+1)-O68)*(J68-INDEX('Rate &amp; Vol Update'!$B$8:$B$127,MATCH(J68,'Rate &amp; Vol Update'!$B$8:$B$127,1)))+INDEX('Rate &amp; Vol Update'!$E$8:$Z$127,MATCH(INDEX('Rate &amp; Vol Update'!$B$8:$B$127,MATCH(J68,'Rate &amp; Vol Update'!$B$8:$B$127,1)+1),'Rate &amp; Vol Update'!$B$8:$B$127,0),MATCH(INDEX('Rate &amp; Vol Update'!$E$6:$Z$6,1,MATCH(O68,'Rate &amp; Vol Update'!$E$6:$Z$6,1)+1),'Rate &amp; Vol Update'!$E$6:$Z$6,0))*(O68-INDEX('Rate &amp; Vol Update'!$E$6:$Z$6,1,MATCH(O68,'Rate &amp; Vol Update'!$E$6:$Z$6,1)))*(J68-INDEX('Rate &amp; Vol Update'!$B$8:$B$127,MATCH(J68,'Rate &amp; Vol Update'!$B$8:$B$127,1)))))*0.01%))</f>
        <v/>
      </c>
      <c r="R68" s="5" t="str">
        <f>IF(I68="","",1/((1+P68)^((K68-'Rate &amp; Vol Update'!$C$2)/360)))</f>
        <v/>
      </c>
      <c r="T68" s="15" t="str">
        <f>IF(I68="","",IF(J68&lt;'Rate &amp; Vol Update'!$C$2,MAX(0,P68-O68)*(L68/360)*N68,(((IF('Adjustment Surface'!C$2='Data Validation'!$A$2,P68,IF('Adjustment Surface'!C$2='Data Validation'!$A$3,O68,"Unknown Option Type"))-IF('Adjustment Surface'!C$2='Data Validation'!$A$2,O68,IF('Adjustment Surface'!C$2='Data Validation'!$A$3,P68,"Unknown Option Type")))*(NORMDIST((IF('Adjustment Surface'!C$2='Data Validation'!$A$2,P68,IF('Adjustment Surface'!C$2='Data Validation'!$A$3,O68,"Unknown Option Type"))-IF('Adjustment Surface'!C$2='Data Validation'!$A$2,O68,IF('Adjustment Surface'!C$2='Data Validation'!$A$3,P68,"Unknown Option Type")))/(Q68*SQRT(M68)),0,1,TRUE)))+((Q68*SQRT(M68))*(NORMDIST((IF('Adjustment Surface'!C$2='Data Validation'!$A$2,P68,IF('Adjustment Surface'!C$2='Data Validation'!$A$3,O68,"Unknown Option Type"))-IF('Adjustment Surface'!C$2='Data Validation'!$A$2,O68,IF('Adjustment Surface'!C$2='Data Validation'!$A$3,P68,"Unknown Option Type")))/(Q68*SQRT(M68)),0,1,FALSE))))*R68*(L68/360)*N68))</f>
        <v/>
      </c>
      <c r="U68" s="15" t="str">
        <f>IF(I68="","",SUM(T$4:T68))</f>
        <v/>
      </c>
      <c r="W68" s="15" t="str">
        <f>IF(I68="","",IF(J68&lt;'Rate &amp; Vol Update'!$C$2,0,((((((IF('Adjustment Surface'!C$2='Data Validation'!$A$2,P68,IF('Adjustment Surface'!C$2='Data Validation'!$A$3,O68,"Unknown Option Type"))-IF('Adjustment Surface'!C$2='Data Validation'!$A$2,O68,IF('Adjustment Surface'!C$2='Data Validation'!$A$3,P68,"Unknown Option Type")))*(NORMDIST((IF('Adjustment Surface'!C$2='Data Validation'!$A$2,P68,IF('Adjustment Surface'!C$2='Data Validation'!$A$3,O68,"Unknown Option Type"))-IF('Adjustment Surface'!C$2='Data Validation'!$A$2,O68,IF('Adjustment Surface'!C$2='Data Validation'!$A$3,P68,"Unknown Option Type")))/((Q68+0.01%)*SQRT(M68)),0,1,TRUE)))+(((Q68+0.01%)*SQRT(M68))*(NORMDIST((IF('Adjustment Surface'!C$2='Data Validation'!$A$2,P68,IF('Adjustment Surface'!C$2='Data Validation'!$A$3,O68,"Unknown Option Type"))-IF('Adjustment Surface'!C$2='Data Validation'!$A$2,O68,IF('Adjustment Surface'!C$2='Data Validation'!$A$3,P68,"Unknown Option Type")))/((Q68+0.01%)*SQRT(M68)),0,1,FALSE))))*R68*(L68/360))-(T68/N68))*N68)*R68))</f>
        <v/>
      </c>
      <c r="X68" s="15" t="str">
        <f>IF(I68="","",SUM(W$4:W68))</f>
        <v/>
      </c>
      <c r="Y68" s="15"/>
      <c r="Z68" s="20"/>
      <c r="AB68" s="4" t="str">
        <f>IF(AC67=MAX('Adjustment Surface'!$C$14:$F$14),"",AC67)</f>
        <v/>
      </c>
      <c r="AC68" s="4" t="str">
        <f>IF(AB68="","",IF(AB68&lt;EDATE('Adjustment Surface'!$C$6,DATEDIF('Adjustment Surface'!$C$6,MAX('Adjustment Surface'!$C$14:$F$14),"M")),EDATE(AB$5,COUNT(AB$5:AB68)),IF(AB68=EDATE('Adjustment Surface'!$C$6,DATEDIF('Adjustment Surface'!$C$6,MAX('Adjustment Surface'!$C$14:$F$14),"M")),MAX('Adjustment Surface'!$C$14:$F$14),EDATE('Adjustment Surface'!$C$6,DATEDIF('Adjustment Surface'!$C$6,MAX('Adjustment Surface'!$C$14:$F$14),"M")))))</f>
        <v/>
      </c>
      <c r="AD68" s="3" t="str">
        <f t="shared" si="2"/>
        <v/>
      </c>
      <c r="AE68" s="5" t="str">
        <f>IF(AA68="","",(AC68-'Rate &amp; Vol Update'!$C$2)/360)</f>
        <v/>
      </c>
      <c r="AF68" s="15" t="str">
        <f>IF(AA68="","",IF('Adjustment Surface'!$C$3='Data Validation'!$C$2,'Adjustment Surface'!$C$4,_xlfn.IFNA(IF(INDEX(Schedules!$E$3:$E$123,MATCH('Bachelier Model'!AB68,Schedules!$B$3:$B$123,0))="",AF67,INDEX(Schedules!$E$3:$E$123,MATCH('Bachelier Model'!AB68,Schedules!$B$3:$B$123,0))),AF67)))</f>
        <v/>
      </c>
      <c r="AG68" s="16" t="str">
        <f>IF(AA68="","",'Adjustment Surface'!B$15)</f>
        <v/>
      </c>
      <c r="AH68" s="16" t="str" cm="1">
        <f t="array" ref="AH68">IF(AA68="","",FORECAST(AB68,INDEX('Rate &amp; Vol Update'!$C$6:$C$127,MATCH(INDEX('Rate &amp; Vol Update'!$B$6:$B$127,MATCH(AB68,'Rate &amp; Vol Update'!$B$6:$B$127,1)),'Rate &amp; Vol Update'!$B$6:$B$127,0)+IF('Adjustment Surface'!$C$11='Data Validation'!$E$3,-1,0)):INDEX('Rate &amp; Vol Update'!$C$6:$C$127,MATCH(INDEX('Rate &amp; Vol Update'!$B$6:$B$127,MATCH(AB68,'Rate &amp; Vol Update'!$B$6:$B$127,1)+1),'Rate &amp; Vol Update'!$B$6:$B$127,0)+IF('Adjustment Surface'!$C$11='Data Validation'!$E$3,-1,0)),INDEX('Rate &amp; Vol Update'!$B$6:$B$127,MATCH(AB68,'Rate &amp; Vol Update'!$B$6:$B$127,1)):INDEX('Rate &amp; Vol Update'!$B$6:$B$127,MATCH(AB68,'Rate &amp; Vol Update'!$B$6:$B$127,1)+1))/100)</f>
        <v/>
      </c>
      <c r="AI68" s="16" t="str" cm="1">
        <f t="array" ref="AI68">IF(AA68="","",IF(AB68&lt;'Rate &amp; Vol Update'!$C$2,0.001%,(1/((INDEX('Rate &amp; Vol Update'!$E$6:$Z$6,1,MATCH(AG68,'Rate &amp; Vol Update'!$E$6:$Z$6,1)+1)-INDEX('Rate &amp; Vol Update'!$E$6:$Z$6,1,MATCH(AG68,'Rate &amp; Vol Update'!$E$6:$Z$6,1)))*(INDEX('Rate &amp; Vol Update'!$B$8:$B$127,MATCH(AB68,'Rate &amp; Vol Update'!$B$8:$B$127,1)+1)-INDEX('Rate &amp; Vol Update'!$B$8:$B$127,MATCH(AB68,'Rate &amp; Vol Update'!$B$8:$B$127,1))))*(INDEX('Rate &amp; Vol Update'!$E$8:$Z$127,MATCH(INDEX('Rate &amp; Vol Update'!$B$8:$B$127,MATCH(AB68,'Rate &amp; Vol Update'!$B$8:$B$127,1)),'Rate &amp; Vol Update'!$B$8:$B$127,0),MATCH(INDEX('Rate &amp; Vol Update'!$E$6:$Z$6,1,MATCH(AG68,'Rate &amp; Vol Update'!$E$6:$Z$6,1)),'Rate &amp; Vol Update'!$E$6:$Z$6,0))*(INDEX('Rate &amp; Vol Update'!$E$6:$Z$6,1,MATCH(AG68,'Rate &amp; Vol Update'!$E$6:$Z$6,1)+1)-AG68)*(INDEX('Rate &amp; Vol Update'!$B$8:$B$127,MATCH(AB68,'Rate &amp; Vol Update'!$B$8:$B$127,1)+1)-AB68)+INDEX('Rate &amp; Vol Update'!$E$8:$Z$127,MATCH(INDEX('Rate &amp; Vol Update'!$B$8:$B$127,MATCH(AB68,'Rate &amp; Vol Update'!$B$8:$B$127,1)),'Rate &amp; Vol Update'!$B$8:$B$127,0),MATCH(INDEX('Rate &amp; Vol Update'!$E$6:$Z$6,1,MATCH(AG68,'Rate &amp; Vol Update'!$E$6:$Z$6,1)+1),'Rate &amp; Vol Update'!$E$6:$Z$6,0))*(AG68-INDEX('Rate &amp; Vol Update'!$E$6:$Z$6,1,MATCH(AG68,'Rate &amp; Vol Update'!$E$6:$Z$6,1)))*(INDEX('Rate &amp; Vol Update'!$B$8:$B$127,MATCH(AB68,'Rate &amp; Vol Update'!$B$8:$B$127,1)+1)-AB68)+INDEX('Rate &amp; Vol Update'!$E$8:$Z$127,MATCH(INDEX('Rate &amp; Vol Update'!$B$8:$B$127,MATCH(AB68,'Rate &amp; Vol Update'!$B$8:$B$127,1)+1),'Rate &amp; Vol Update'!$B$8:$B$127,0),MATCH(INDEX('Rate &amp; Vol Update'!$E$6:$Z$6,1,MATCH(AG68,'Rate &amp; Vol Update'!$E$6:$Z$6,1)),'Rate &amp; Vol Update'!$E$6:$Z$6,0))*(INDEX('Rate &amp; Vol Update'!$E$6:$Z$6,1,MATCH(AG68,'Rate &amp; Vol Update'!$E$6:$Z$6,1)+1)-AG68)*(AB68-INDEX('Rate &amp; Vol Update'!$B$8:$B$127,MATCH(AB68,'Rate &amp; Vol Update'!$B$8:$B$127,1)))+INDEX('Rate &amp; Vol Update'!$E$8:$Z$127,MATCH(INDEX('Rate &amp; Vol Update'!$B$8:$B$127,MATCH(AB68,'Rate &amp; Vol Update'!$B$8:$B$127,1)+1),'Rate &amp; Vol Update'!$B$8:$B$127,0),MATCH(INDEX('Rate &amp; Vol Update'!$E$6:$Z$6,1,MATCH(AG68,'Rate &amp; Vol Update'!$E$6:$Z$6,1)+1),'Rate &amp; Vol Update'!$E$6:$Z$6,0))*(AG68-INDEX('Rate &amp; Vol Update'!$E$6:$Z$6,1,MATCH(AG68,'Rate &amp; Vol Update'!$E$6:$Z$6,1)))*(AB68-INDEX('Rate &amp; Vol Update'!$B$8:$B$127,MATCH(AB68,'Rate &amp; Vol Update'!$B$8:$B$127,1)))))*0.01%))</f>
        <v/>
      </c>
      <c r="AJ68" s="5" t="str">
        <f>IF(AA68="","",1/((1+AH68)^((AC68-'Rate &amp; Vol Update'!$C$2)/360)))</f>
        <v/>
      </c>
      <c r="AL68" s="15" t="str">
        <f>IF(AA68="","",IF(AB68&lt;'Rate &amp; Vol Update'!$C$2,MAX(0,AH68-AG68)*(AD68/360)*AF68,(((IF('Adjustment Surface'!$C$2='Data Validation'!$A$2,AH68,IF('Adjustment Surface'!$C$2='Data Validation'!$A$3,AG68,"Unknown Option Type"))-IF('Adjustment Surface'!$C$2='Data Validation'!$A$2,AG68,IF('Adjustment Surface'!$C$2='Data Validation'!$A$3,AH68,"Unknown Option Type")))*(NORMDIST((IF('Adjustment Surface'!$C$2='Data Validation'!$A$2,AH68,IF('Adjustment Surface'!$C$2='Data Validation'!$A$3,AG68,"Unknown Option Type"))-IF('Adjustment Surface'!$C$2='Data Validation'!$A$2,AG68,IF('Adjustment Surface'!$C$2='Data Validation'!$A$3,AH68,"Unknown Option Type")))/(AI68*SQRT(AE68)),0,1,TRUE)))+((AI68*SQRT(AE68))*(NORMDIST((IF('Adjustment Surface'!$C$2='Data Validation'!$A$2,AH68,IF('Adjustment Surface'!$C$2='Data Validation'!$A$3,AG68,"Unknown Option Type"))-IF('Adjustment Surface'!$C$2='Data Validation'!$A$2,AG68,IF('Adjustment Surface'!$C$2='Data Validation'!$A$3,AH68,"Unknown Option Type")))/(AI68*SQRT(AE68)),0,1,FALSE))))*AJ68*(AD68/360)*AF68))</f>
        <v/>
      </c>
      <c r="AM68" s="15" t="str">
        <f>IF(AA68="","",SUM(AL$4:AL68))</f>
        <v/>
      </c>
      <c r="AO68" s="15" t="str">
        <f>IF(AA68="","",IF(AB68&lt;'Rate &amp; Vol Update'!$C$2,0,((((((IF('Adjustment Surface'!$C$2='Data Validation'!$A$2,AH68,IF('Adjustment Surface'!$C$2='Data Validation'!$A$3,AG68,"Unknown Option Type"))-IF('Adjustment Surface'!$C$2='Data Validation'!$A$2,AG68,IF('Adjustment Surface'!$C$2='Data Validation'!$A$3,AH68,"Unknown Option Type")))*(NORMDIST((IF('Adjustment Surface'!$C$2='Data Validation'!$A$2,AH68,IF('Adjustment Surface'!$C$2='Data Validation'!$A$3,AG68,"Unknown Option Type"))-IF('Adjustment Surface'!$C$2='Data Validation'!$A$2,AG68,IF('Adjustment Surface'!$C$2='Data Validation'!$A$3,AH68,"Unknown Option Type")))/((AI68+0.01%)*SQRT(AE68)),0,1,TRUE)))+(((AI68+0.01%)*SQRT(AE68))*(NORMDIST((IF('Adjustment Surface'!$C$2='Data Validation'!$A$2,AH68,IF('Adjustment Surface'!$C$2='Data Validation'!$A$3,AG68,"Unknown Option Type"))-IF('Adjustment Surface'!$C$2='Data Validation'!$A$2,AG68,IF('Adjustment Surface'!$C$2='Data Validation'!$A$3,AH68,"Unknown Option Type")))/((AI68+0.01%)*SQRT(AE68)),0,1,FALSE))))*AJ68*(AD68/360))-(AL68/AF68))*AF68)*AJ68))</f>
        <v/>
      </c>
      <c r="AP68" s="15" t="str">
        <f>IF(AA68="","",SUM(AO$4:AO68))</f>
        <v/>
      </c>
      <c r="AQ68" s="15"/>
      <c r="AR68" s="20"/>
      <c r="AT68" s="4" t="str">
        <f>IF(AU67=MAX('Adjustment Surface'!$C$14:$F$14),"",AU67)</f>
        <v/>
      </c>
      <c r="AU68" s="4" t="str">
        <f>IF(AT68="","",IF(AT68&lt;EDATE('Adjustment Surface'!$C$6,DATEDIF('Adjustment Surface'!$C$6,MAX('Adjustment Surface'!$C$14:$F$14),"M")),EDATE(AT$5,COUNT(AT$5:AT68)),IF(AT68=EDATE('Adjustment Surface'!$C$6,DATEDIF('Adjustment Surface'!$C$6,MAX('Adjustment Surface'!$C$14:$F$14),"M")),MAX('Adjustment Surface'!$C$14:$F$14),EDATE('Adjustment Surface'!$C$6,DATEDIF('Adjustment Surface'!$C$6,MAX('Adjustment Surface'!$C$14:$F$14),"M")))))</f>
        <v/>
      </c>
      <c r="AV68" s="3" t="str">
        <f t="shared" si="3"/>
        <v/>
      </c>
      <c r="AW68" s="5" t="str">
        <f>IF(AS68="","",(AU68-'Rate &amp; Vol Update'!$C$2)/360)</f>
        <v/>
      </c>
      <c r="AX68" s="15" t="str">
        <f>IF(AS68="","",IF('Adjustment Surface'!$C$3='Data Validation'!$C$2,'Adjustment Surface'!$C$4,_xlfn.IFNA(IF(INDEX(Schedules!$E$3:$E$123,MATCH('Bachelier Model'!AT68,Schedules!$B$3:$B$123,0))="",AX67,INDEX(Schedules!$E$3:$E$123,MATCH('Bachelier Model'!AT68,Schedules!$B$3:$B$123,0))),AX67)))</f>
        <v/>
      </c>
      <c r="AY68" s="16" t="str">
        <f>IF(AS68="","",'Adjustment Surface'!B$16)</f>
        <v/>
      </c>
      <c r="AZ68" s="16" t="str" cm="1">
        <f t="array" ref="AZ68">IF(AS68="","",FORECAST(AT68,INDEX('Rate &amp; Vol Update'!$C$6:$C$127,MATCH(INDEX('Rate &amp; Vol Update'!$B$6:$B$127,MATCH(AT68,'Rate &amp; Vol Update'!$B$6:$B$127,1)),'Rate &amp; Vol Update'!$B$6:$B$127,0)+IF('Adjustment Surface'!$C$11='Data Validation'!$E$3,-1,0)):INDEX('Rate &amp; Vol Update'!$C$6:$C$127,MATCH(INDEX('Rate &amp; Vol Update'!$B$6:$B$127,MATCH(AT68,'Rate &amp; Vol Update'!$B$6:$B$127,1)+1),'Rate &amp; Vol Update'!$B$6:$B$127,0)+IF('Adjustment Surface'!$C$11='Data Validation'!$E$3,-1,0)),INDEX('Rate &amp; Vol Update'!$B$6:$B$127,MATCH(AT68,'Rate &amp; Vol Update'!$B$6:$B$127,1)):INDEX('Rate &amp; Vol Update'!$B$6:$B$127,MATCH(AT68,'Rate &amp; Vol Update'!$B$6:$B$127,1)+1))/100)</f>
        <v/>
      </c>
      <c r="BA68" s="16" t="str" cm="1">
        <f t="array" ref="BA68">IF(AS68="","",IF(AT68&lt;'Rate &amp; Vol Update'!$C$2,0.001%,(1/((INDEX('Rate &amp; Vol Update'!$E$6:$Z$6,1,MATCH(AY68,'Rate &amp; Vol Update'!$E$6:$Z$6,1)+1)-INDEX('Rate &amp; Vol Update'!$E$6:$Z$6,1,MATCH(AY68,'Rate &amp; Vol Update'!$E$6:$Z$6,1)))*(INDEX('Rate &amp; Vol Update'!$B$8:$B$127,MATCH(AT68,'Rate &amp; Vol Update'!$B$8:$B$127,1)+1)-INDEX('Rate &amp; Vol Update'!$B$8:$B$127,MATCH(AT68,'Rate &amp; Vol Update'!$B$8:$B$127,1))))*(INDEX('Rate &amp; Vol Update'!$E$8:$Z$127,MATCH(INDEX('Rate &amp; Vol Update'!$B$8:$B$127,MATCH(AT68,'Rate &amp; Vol Update'!$B$8:$B$127,1)),'Rate &amp; Vol Update'!$B$8:$B$127,0),MATCH(INDEX('Rate &amp; Vol Update'!$E$6:$Z$6,1,MATCH(AY68,'Rate &amp; Vol Update'!$E$6:$Z$6,1)),'Rate &amp; Vol Update'!$E$6:$Z$6,0))*(INDEX('Rate &amp; Vol Update'!$E$6:$Z$6,1,MATCH(AY68,'Rate &amp; Vol Update'!$E$6:$Z$6,1)+1)-AY68)*(INDEX('Rate &amp; Vol Update'!$B$8:$B$127,MATCH(AT68,'Rate &amp; Vol Update'!$B$8:$B$127,1)+1)-AT68)+INDEX('Rate &amp; Vol Update'!$E$8:$Z$127,MATCH(INDEX('Rate &amp; Vol Update'!$B$8:$B$127,MATCH(AT68,'Rate &amp; Vol Update'!$B$8:$B$127,1)),'Rate &amp; Vol Update'!$B$8:$B$127,0),MATCH(INDEX('Rate &amp; Vol Update'!$E$6:$Z$6,1,MATCH(AY68,'Rate &amp; Vol Update'!$E$6:$Z$6,1)+1),'Rate &amp; Vol Update'!$E$6:$Z$6,0))*(AY68-INDEX('Rate &amp; Vol Update'!$E$6:$Z$6,1,MATCH(AY68,'Rate &amp; Vol Update'!$E$6:$Z$6,1)))*(INDEX('Rate &amp; Vol Update'!$B$8:$B$127,MATCH(AT68,'Rate &amp; Vol Update'!$B$8:$B$127,1)+1)-AT68)+INDEX('Rate &amp; Vol Update'!$E$8:$Z$127,MATCH(INDEX('Rate &amp; Vol Update'!$B$8:$B$127,MATCH(AT68,'Rate &amp; Vol Update'!$B$8:$B$127,1)+1),'Rate &amp; Vol Update'!$B$8:$B$127,0),MATCH(INDEX('Rate &amp; Vol Update'!$E$6:$Z$6,1,MATCH(AY68,'Rate &amp; Vol Update'!$E$6:$Z$6,1)),'Rate &amp; Vol Update'!$E$6:$Z$6,0))*(INDEX('Rate &amp; Vol Update'!$E$6:$Z$6,1,MATCH(AY68,'Rate &amp; Vol Update'!$E$6:$Z$6,1)+1)-AY68)*(AT68-INDEX('Rate &amp; Vol Update'!$B$8:$B$127,MATCH(AT68,'Rate &amp; Vol Update'!$B$8:$B$127,1)))+INDEX('Rate &amp; Vol Update'!$E$8:$Z$127,MATCH(INDEX('Rate &amp; Vol Update'!$B$8:$B$127,MATCH(AT68,'Rate &amp; Vol Update'!$B$8:$B$127,1)+1),'Rate &amp; Vol Update'!$B$8:$B$127,0),MATCH(INDEX('Rate &amp; Vol Update'!$E$6:$Z$6,1,MATCH(AY68,'Rate &amp; Vol Update'!$E$6:$Z$6,1)+1),'Rate &amp; Vol Update'!$E$6:$Z$6,0))*(AY68-INDEX('Rate &amp; Vol Update'!$E$6:$Z$6,1,MATCH(AY68,'Rate &amp; Vol Update'!$E$6:$Z$6,1)))*(AT68-INDEX('Rate &amp; Vol Update'!$B$8:$B$127,MATCH(AT68,'Rate &amp; Vol Update'!$B$8:$B$127,1)))))*0.01%))</f>
        <v/>
      </c>
      <c r="BB68" s="5" t="str">
        <f>IF(AS68="","",1/((1+AZ68)^((AU68-'Rate &amp; Vol Update'!$C$2)/360)))</f>
        <v/>
      </c>
      <c r="BD68" s="15" t="str">
        <f>IF(AS68="","",IF(AT68&lt;'Rate &amp; Vol Update'!$C$2,MAX(0,AZ68-AY68)*(AV68/360)*AX68,(((IF('Adjustment Surface'!$C$2='Data Validation'!$A$2,AZ68,IF('Adjustment Surface'!$C$2='Data Validation'!$A$3,AY68,"Unknown Option Type"))-IF('Adjustment Surface'!$C$2='Data Validation'!$A$2,AY68,IF('Adjustment Surface'!$C$2='Data Validation'!$A$3,AZ68,"Unknown Option Type")))*(NORMDIST((IF('Adjustment Surface'!$C$2='Data Validation'!$A$2,AZ68,IF('Adjustment Surface'!$C$2='Data Validation'!$A$3,AY68,"Unknown Option Type"))-IF('Adjustment Surface'!$C$2='Data Validation'!$A$2,AY68,IF('Adjustment Surface'!$C$2='Data Validation'!$A$3,AZ68,"Unknown Option Type")))/(BA68*SQRT(AW68)),0,1,TRUE)))+((BA68*SQRT(AW68))*(NORMDIST((IF('Adjustment Surface'!$C$2='Data Validation'!$A$2,AZ68,IF('Adjustment Surface'!$C$2='Data Validation'!$A$3,AY68,"Unknown Option Type"))-IF('Adjustment Surface'!$C$2='Data Validation'!$A$2,AY68,IF('Adjustment Surface'!$C$2='Data Validation'!$A$3,AZ68,"Unknown Option Type")))/(BA68*SQRT(AW68)),0,1,FALSE))))*BB68*(AV68/360)*AX68))</f>
        <v/>
      </c>
      <c r="BE68" s="15" t="str">
        <f>IF(AS68="","",SUM(BD$4:BD68))</f>
        <v/>
      </c>
      <c r="BG68" s="15" t="str">
        <f>IF(AS68="","",IF(AT68&lt;'Rate &amp; Vol Update'!$C$2,0,((((((IF('Adjustment Surface'!$C$2='Data Validation'!$A$2,AZ68,IF('Adjustment Surface'!$C$2='Data Validation'!$A$3,AY68,"Unknown Option Type"))-IF('Adjustment Surface'!$C$2='Data Validation'!$A$2,AY68,IF('Adjustment Surface'!$C$2='Data Validation'!$A$3,AZ68,"Unknown Option Type")))*(NORMDIST((IF('Adjustment Surface'!$C$2='Data Validation'!$A$2,AZ68,IF('Adjustment Surface'!$C$2='Data Validation'!$A$3,AY68,"Unknown Option Type"))-IF('Adjustment Surface'!$C$2='Data Validation'!$A$2,AY68,IF('Adjustment Surface'!$C$2='Data Validation'!$A$3,AZ68,"Unknown Option Type")))/((BA68+0.01%)*SQRT(AW68)),0,1,TRUE)))+(((BA68+0.01%)*SQRT(AW68))*(NORMDIST((IF('Adjustment Surface'!$C$2='Data Validation'!$A$2,AZ68,IF('Adjustment Surface'!$C$2='Data Validation'!$A$3,AY68,"Unknown Option Type"))-IF('Adjustment Surface'!$C$2='Data Validation'!$A$2,AY68,IF('Adjustment Surface'!$C$2='Data Validation'!$A$3,AZ68,"Unknown Option Type")))/((BA68+0.01%)*SQRT(AW68)),0,1,FALSE))))*BB68*(AV68/360))-(BD68/AX68))*AX68)*BB68))</f>
        <v/>
      </c>
      <c r="BH68" s="15" t="str">
        <f>IF(AS68="","",SUM(BG$4:BG68))</f>
        <v/>
      </c>
      <c r="BI68" s="15"/>
      <c r="BJ68" s="20"/>
      <c r="BL68" s="4" t="str">
        <f>IF(BM67=MAX('Adjustment Surface'!$C$14:$F$14),"",BM67)</f>
        <v/>
      </c>
      <c r="BM68" s="4" t="str">
        <f>IF(BL68="","",IF(BL68&lt;EDATE('Adjustment Surface'!$C$6,DATEDIF('Adjustment Surface'!$C$6,MAX('Adjustment Surface'!$C$14:$F$14),"M")),EDATE(BL$5,COUNT(BL$5:BL68)),IF(BL68=EDATE('Adjustment Surface'!$C$6,DATEDIF('Adjustment Surface'!$C$6,MAX('Adjustment Surface'!$C$14:$F$14),"M")),MAX('Adjustment Surface'!$C$14:$F$14),EDATE('Adjustment Surface'!$C$6,DATEDIF('Adjustment Surface'!$C$6,MAX('Adjustment Surface'!$C$14:$F$14),"M")))))</f>
        <v/>
      </c>
      <c r="BN68" s="3" t="str">
        <f t="shared" si="4"/>
        <v/>
      </c>
      <c r="BO68" s="5" t="str">
        <f>IF(BK68="","",(BM68-'Rate &amp; Vol Update'!$C$2)/360)</f>
        <v/>
      </c>
      <c r="BP68" s="15" t="str">
        <f>IF(BK68="","",IF('Adjustment Surface'!$C$3='Data Validation'!$C$2,'Adjustment Surface'!$C$4,_xlfn.IFNA(IF(INDEX(Schedules!$E$3:$E$123,MATCH('Bachelier Model'!BL68,Schedules!$B$3:$B$123,0))="",BP67,INDEX(Schedules!$E$3:$E$123,MATCH('Bachelier Model'!BL68,Schedules!$B$3:$B$123,0))),BP67)))</f>
        <v/>
      </c>
      <c r="BQ68" s="16" t="str">
        <f>IF(BK68="","",'Adjustment Surface'!B$17)</f>
        <v/>
      </c>
      <c r="BR68" s="16" t="str" cm="1">
        <f t="array" ref="BR68">IF(BK68="","",FORECAST(BL68,INDEX('Rate &amp; Vol Update'!$C$6:$C$127,MATCH(INDEX('Rate &amp; Vol Update'!$B$6:$B$127,MATCH(BL68,'Rate &amp; Vol Update'!$B$6:$B$127,1)),'Rate &amp; Vol Update'!$B$6:$B$127,0)+IF('Adjustment Surface'!$C$11='Data Validation'!$E$3,-1,0)):INDEX('Rate &amp; Vol Update'!$C$6:$C$127,MATCH(INDEX('Rate &amp; Vol Update'!$B$6:$B$127,MATCH(BL68,'Rate &amp; Vol Update'!$B$6:$B$127,1)+1),'Rate &amp; Vol Update'!$B$6:$B$127,0)+IF('Adjustment Surface'!$C$11='Data Validation'!$E$3,-1,0)),INDEX('Rate &amp; Vol Update'!$B$6:$B$127,MATCH(BL68,'Rate &amp; Vol Update'!$B$6:$B$127,1)):INDEX('Rate &amp; Vol Update'!$B$6:$B$127,MATCH(BL68,'Rate &amp; Vol Update'!$B$6:$B$127,1)+1))/100)</f>
        <v/>
      </c>
      <c r="BS68" s="16" t="str" cm="1">
        <f t="array" ref="BS68">IF(BK68="","",IF(BL68&lt;'Rate &amp; Vol Update'!$C$2,0.001%,(1/((INDEX('Rate &amp; Vol Update'!$E$6:$Z$6,1,MATCH(BQ68,'Rate &amp; Vol Update'!$E$6:$Z$6,1)+1)-INDEX('Rate &amp; Vol Update'!$E$6:$Z$6,1,MATCH(BQ68,'Rate &amp; Vol Update'!$E$6:$Z$6,1)))*(INDEX('Rate &amp; Vol Update'!$B$8:$B$127,MATCH(BL68,'Rate &amp; Vol Update'!$B$8:$B$127,1)+1)-INDEX('Rate &amp; Vol Update'!$B$8:$B$127,MATCH(BL68,'Rate &amp; Vol Update'!$B$8:$B$127,1))))*(INDEX('Rate &amp; Vol Update'!$E$8:$Z$127,MATCH(INDEX('Rate &amp; Vol Update'!$B$8:$B$127,MATCH(BL68,'Rate &amp; Vol Update'!$B$8:$B$127,1)),'Rate &amp; Vol Update'!$B$8:$B$127,0),MATCH(INDEX('Rate &amp; Vol Update'!$E$6:$Z$6,1,MATCH(BQ68,'Rate &amp; Vol Update'!$E$6:$Z$6,1)),'Rate &amp; Vol Update'!$E$6:$Z$6,0))*(INDEX('Rate &amp; Vol Update'!$E$6:$Z$6,1,MATCH(BQ68,'Rate &amp; Vol Update'!$E$6:$Z$6,1)+1)-BQ68)*(INDEX('Rate &amp; Vol Update'!$B$8:$B$127,MATCH(BL68,'Rate &amp; Vol Update'!$B$8:$B$127,1)+1)-BL68)+INDEX('Rate &amp; Vol Update'!$E$8:$Z$127,MATCH(INDEX('Rate &amp; Vol Update'!$B$8:$B$127,MATCH(BL68,'Rate &amp; Vol Update'!$B$8:$B$127,1)),'Rate &amp; Vol Update'!$B$8:$B$127,0),MATCH(INDEX('Rate &amp; Vol Update'!$E$6:$Z$6,1,MATCH(BQ68,'Rate &amp; Vol Update'!$E$6:$Z$6,1)+1),'Rate &amp; Vol Update'!$E$6:$Z$6,0))*(BQ68-INDEX('Rate &amp; Vol Update'!$E$6:$Z$6,1,MATCH(BQ68,'Rate &amp; Vol Update'!$E$6:$Z$6,1)))*(INDEX('Rate &amp; Vol Update'!$B$8:$B$127,MATCH(BL68,'Rate &amp; Vol Update'!$B$8:$B$127,1)+1)-BL68)+INDEX('Rate &amp; Vol Update'!$E$8:$Z$127,MATCH(INDEX('Rate &amp; Vol Update'!$B$8:$B$127,MATCH(BL68,'Rate &amp; Vol Update'!$B$8:$B$127,1)+1),'Rate &amp; Vol Update'!$B$8:$B$127,0),MATCH(INDEX('Rate &amp; Vol Update'!$E$6:$Z$6,1,MATCH(BQ68,'Rate &amp; Vol Update'!$E$6:$Z$6,1)),'Rate &amp; Vol Update'!$E$6:$Z$6,0))*(INDEX('Rate &amp; Vol Update'!$E$6:$Z$6,1,MATCH(BQ68,'Rate &amp; Vol Update'!$E$6:$Z$6,1)+1)-BQ68)*(BL68-INDEX('Rate &amp; Vol Update'!$B$8:$B$127,MATCH(BL68,'Rate &amp; Vol Update'!$B$8:$B$127,1)))+INDEX('Rate &amp; Vol Update'!$E$8:$Z$127,MATCH(INDEX('Rate &amp; Vol Update'!$B$8:$B$127,MATCH(BL68,'Rate &amp; Vol Update'!$B$8:$B$127,1)+1),'Rate &amp; Vol Update'!$B$8:$B$127,0),MATCH(INDEX('Rate &amp; Vol Update'!$E$6:$Z$6,1,MATCH(BQ68,'Rate &amp; Vol Update'!$E$6:$Z$6,1)+1),'Rate &amp; Vol Update'!$E$6:$Z$6,0))*(BQ68-INDEX('Rate &amp; Vol Update'!$E$6:$Z$6,1,MATCH(BQ68,'Rate &amp; Vol Update'!$E$6:$Z$6,1)))*(BL68-INDEX('Rate &amp; Vol Update'!$B$8:$B$127,MATCH(BL68,'Rate &amp; Vol Update'!$B$8:$B$127,1)))))*0.01%))</f>
        <v/>
      </c>
      <c r="BT68" s="5" t="str">
        <f>IF(BK68="","",1/((1+BR68)^((BM68-'Rate &amp; Vol Update'!$C$2)/360)))</f>
        <v/>
      </c>
      <c r="BV68" s="15" t="str">
        <f>IF(BK68="","",IF(BL68&lt;'Rate &amp; Vol Update'!$C$2,MAX(0,BR68-BQ68)*(BN68/360)*BP68,(((IF('Adjustment Surface'!$C$2='Data Validation'!$A$2,BR68,IF('Adjustment Surface'!$C$2='Data Validation'!$A$3,BQ68,"Unknown Option Type"))-IF('Adjustment Surface'!$C$2='Data Validation'!$A$2,BQ68,IF('Adjustment Surface'!$C$2='Data Validation'!$A$3,BR68,"Unknown Option Type")))*(NORMDIST((IF('Adjustment Surface'!$C$2='Data Validation'!$A$2,BR68,IF('Adjustment Surface'!$C$2='Data Validation'!$A$3,BQ68,"Unknown Option Type"))-IF('Adjustment Surface'!$C$2='Data Validation'!$A$2,BQ68,IF('Adjustment Surface'!$C$2='Data Validation'!$A$3,BR68,"Unknown Option Type")))/(BS68*SQRT(BO68)),0,1,TRUE)))+((BS68*SQRT(BO68))*(NORMDIST((IF('Adjustment Surface'!$C$2='Data Validation'!$A$2,BR68,IF('Adjustment Surface'!$C$2='Data Validation'!$A$3,BQ68,"Unknown Option Type"))-IF('Adjustment Surface'!$C$2='Data Validation'!$A$2,BQ68,IF('Adjustment Surface'!$C$2='Data Validation'!$A$3,BR68,"Unknown Option Type")))/(BS68*SQRT(BO68)),0,1,FALSE))))*BT68*(BN68/360)*BP68))</f>
        <v/>
      </c>
      <c r="BW68" s="15" t="str">
        <f>IF(BK68="","",SUM(BV$4:BV68))</f>
        <v/>
      </c>
      <c r="BY68" s="15" t="str">
        <f>IF(BK68="","",IF(BL68&lt;'Rate &amp; Vol Update'!$C$2,0,((((((IF('Adjustment Surface'!$C$2='Data Validation'!$A$2,BR68,IF('Adjustment Surface'!$C$2='Data Validation'!$A$3,BQ68,"Unknown Option Type"))-IF('Adjustment Surface'!$C$2='Data Validation'!$A$2,BQ68,IF('Adjustment Surface'!$C$2='Data Validation'!$A$3,BR68,"Unknown Option Type")))*(NORMDIST((IF('Adjustment Surface'!$C$2='Data Validation'!$A$2,BR68,IF('Adjustment Surface'!$C$2='Data Validation'!$A$3,BQ68,"Unknown Option Type"))-IF('Adjustment Surface'!$C$2='Data Validation'!$A$2,BQ68,IF('Adjustment Surface'!$C$2='Data Validation'!$A$3,BR68,"Unknown Option Type")))/((BS68+0.01%)*SQRT(BO68)),0,1,TRUE)))+(((BS68+0.01%)*SQRT(BO68))*(NORMDIST((IF('Adjustment Surface'!$C$2='Data Validation'!$A$2,BR68,IF('Adjustment Surface'!$C$2='Data Validation'!$A$3,BQ68,"Unknown Option Type"))-IF('Adjustment Surface'!$C$2='Data Validation'!$A$2,BQ68,IF('Adjustment Surface'!$C$2='Data Validation'!$A$3,BR68,"Unknown Option Type")))/((BS68+0.01%)*SQRT(BO68)),0,1,FALSE))))*BT68*(BN68/360))-(BV68/BP68))*BP68)*BT68))</f>
        <v/>
      </c>
      <c r="BZ68" s="15" t="str">
        <f>IF(BK68="","",SUM(BY$4:BY68))</f>
        <v/>
      </c>
      <c r="CA68" s="15"/>
      <c r="CB68" s="20"/>
      <c r="CD68" s="4" t="str">
        <f>IF(CE67=MAX('Adjustment Surface'!$C$14:$F$14),"",CE67)</f>
        <v/>
      </c>
      <c r="CE68" s="4" t="str">
        <f>IF(CD68="","",IF(CD68&lt;EDATE('Adjustment Surface'!$C$6,DATEDIF('Adjustment Surface'!$C$6,MAX('Adjustment Surface'!$C$14:$F$14),"M")),EDATE(CD$5,COUNT(CD$5:CD68)),IF(CD68=EDATE('Adjustment Surface'!$C$6,DATEDIF('Adjustment Surface'!$C$6,MAX('Adjustment Surface'!$C$14:$F$14),"M")),MAX('Adjustment Surface'!$C$14:$F$14),EDATE('Adjustment Surface'!$C$6,DATEDIF('Adjustment Surface'!$C$6,MAX('Adjustment Surface'!$C$14:$F$14),"M")))))</f>
        <v/>
      </c>
      <c r="CF68" s="3" t="str">
        <f t="shared" si="5"/>
        <v/>
      </c>
      <c r="CG68" s="5" t="str">
        <f>IF(CC68="","",(CE68-'Rate &amp; Vol Update'!$C$2)/360)</f>
        <v/>
      </c>
      <c r="CH68" s="15" t="str">
        <f>IF(CC68="","",IF('Adjustment Surface'!$C$3='Data Validation'!$C$2,'Adjustment Surface'!$C$4,_xlfn.IFNA(IF(INDEX(Schedules!$E$3:$E$123,MATCH('Bachelier Model'!CD68,Schedules!$B$3:$B$123,0))="",CH67,INDEX(Schedules!$E$3:$E$123,MATCH('Bachelier Model'!CD68,Schedules!$B$3:$B$123,0))),CH67)))</f>
        <v/>
      </c>
      <c r="CI68" s="16" t="str">
        <f>IF(CC68="","",'Adjustment Surface'!B$18)</f>
        <v/>
      </c>
      <c r="CJ68" s="16" t="str" cm="1">
        <f t="array" ref="CJ68">IF(CC68="","",FORECAST(CD68,INDEX('Rate &amp; Vol Update'!$C$6:$C$127,MATCH(INDEX('Rate &amp; Vol Update'!$B$6:$B$127,MATCH(CD68,'Rate &amp; Vol Update'!$B$6:$B$127,1)),'Rate &amp; Vol Update'!$B$6:$B$127,0)+IF('Adjustment Surface'!$C$11='Data Validation'!$E$3,-1,0)):INDEX('Rate &amp; Vol Update'!$C$6:$C$127,MATCH(INDEX('Rate &amp; Vol Update'!$B$6:$B$127,MATCH(CD68,'Rate &amp; Vol Update'!$B$6:$B$127,1)+1),'Rate &amp; Vol Update'!$B$6:$B$127,0)+IF('Adjustment Surface'!$C$11='Data Validation'!$E$3,-1,0)),INDEX('Rate &amp; Vol Update'!$B$6:$B$127,MATCH(CD68,'Rate &amp; Vol Update'!$B$6:$B$127,1)):INDEX('Rate &amp; Vol Update'!$B$6:$B$127,MATCH(CD68,'Rate &amp; Vol Update'!$B$6:$B$127,1)+1))/100)</f>
        <v/>
      </c>
      <c r="CK68" s="16" t="str" cm="1">
        <f t="array" ref="CK68">IF(CC68="","",IF(CD68&lt;'Rate &amp; Vol Update'!$C$2,0.001%,(1/((INDEX('Rate &amp; Vol Update'!$E$6:$Z$6,1,MATCH(CI68,'Rate &amp; Vol Update'!$E$6:$Z$6,1)+1)-INDEX('Rate &amp; Vol Update'!$E$6:$Z$6,1,MATCH(CI68,'Rate &amp; Vol Update'!$E$6:$Z$6,1)))*(INDEX('Rate &amp; Vol Update'!$B$8:$B$127,MATCH(CD68,'Rate &amp; Vol Update'!$B$8:$B$127,1)+1)-INDEX('Rate &amp; Vol Update'!$B$8:$B$127,MATCH(CD68,'Rate &amp; Vol Update'!$B$8:$B$127,1))))*(INDEX('Rate &amp; Vol Update'!$E$8:$Z$127,MATCH(INDEX('Rate &amp; Vol Update'!$B$8:$B$127,MATCH(CD68,'Rate &amp; Vol Update'!$B$8:$B$127,1)),'Rate &amp; Vol Update'!$B$8:$B$127,0),MATCH(INDEX('Rate &amp; Vol Update'!$E$6:$Z$6,1,MATCH(CI68,'Rate &amp; Vol Update'!$E$6:$Z$6,1)),'Rate &amp; Vol Update'!$E$6:$Z$6,0))*(INDEX('Rate &amp; Vol Update'!$E$6:$Z$6,1,MATCH(CI68,'Rate &amp; Vol Update'!$E$6:$Z$6,1)+1)-CI68)*(INDEX('Rate &amp; Vol Update'!$B$8:$B$127,MATCH(CD68,'Rate &amp; Vol Update'!$B$8:$B$127,1)+1)-CD68)+INDEX('Rate &amp; Vol Update'!$E$8:$Z$127,MATCH(INDEX('Rate &amp; Vol Update'!$B$8:$B$127,MATCH(CD68,'Rate &amp; Vol Update'!$B$8:$B$127,1)),'Rate &amp; Vol Update'!$B$8:$B$127,0),MATCH(INDEX('Rate &amp; Vol Update'!$E$6:$Z$6,1,MATCH(CI68,'Rate &amp; Vol Update'!$E$6:$Z$6,1)+1),'Rate &amp; Vol Update'!$E$6:$Z$6,0))*(CI68-INDEX('Rate &amp; Vol Update'!$E$6:$Z$6,1,MATCH(CI68,'Rate &amp; Vol Update'!$E$6:$Z$6,1)))*(INDEX('Rate &amp; Vol Update'!$B$8:$B$127,MATCH(CD68,'Rate &amp; Vol Update'!$B$8:$B$127,1)+1)-CD68)+INDEX('Rate &amp; Vol Update'!$E$8:$Z$127,MATCH(INDEX('Rate &amp; Vol Update'!$B$8:$B$127,MATCH(CD68,'Rate &amp; Vol Update'!$B$8:$B$127,1)+1),'Rate &amp; Vol Update'!$B$8:$B$127,0),MATCH(INDEX('Rate &amp; Vol Update'!$E$6:$Z$6,1,MATCH(CI68,'Rate &amp; Vol Update'!$E$6:$Z$6,1)),'Rate &amp; Vol Update'!$E$6:$Z$6,0))*(INDEX('Rate &amp; Vol Update'!$E$6:$Z$6,1,MATCH(CI68,'Rate &amp; Vol Update'!$E$6:$Z$6,1)+1)-CI68)*(CD68-INDEX('Rate &amp; Vol Update'!$B$8:$B$127,MATCH(CD68,'Rate &amp; Vol Update'!$B$8:$B$127,1)))+INDEX('Rate &amp; Vol Update'!$E$8:$Z$127,MATCH(INDEX('Rate &amp; Vol Update'!$B$8:$B$127,MATCH(CD68,'Rate &amp; Vol Update'!$B$8:$B$127,1)+1),'Rate &amp; Vol Update'!$B$8:$B$127,0),MATCH(INDEX('Rate &amp; Vol Update'!$E$6:$Z$6,1,MATCH(CI68,'Rate &amp; Vol Update'!$E$6:$Z$6,1)+1),'Rate &amp; Vol Update'!$E$6:$Z$6,0))*(CI68-INDEX('Rate &amp; Vol Update'!$E$6:$Z$6,1,MATCH(CI68,'Rate &amp; Vol Update'!$E$6:$Z$6,1)))*(CD68-INDEX('Rate &amp; Vol Update'!$B$8:$B$127,MATCH(CD68,'Rate &amp; Vol Update'!$B$8:$B$127,1)))))*0.01%))</f>
        <v/>
      </c>
      <c r="CL68" s="5" t="str">
        <f>IF(CC68="","",1/((1+CJ68)^((CE68-'Rate &amp; Vol Update'!$C$2)/360)))</f>
        <v/>
      </c>
      <c r="CN68" s="15" t="str">
        <f>IF(CC68="","",IF(CD68&lt;'Rate &amp; Vol Update'!$C$2,MAX(0,CJ68-CI68)*(CF68/360)*CH68,(((IF('Adjustment Surface'!$C$2='Data Validation'!$A$2,CJ68,IF('Adjustment Surface'!$C$2='Data Validation'!$A$3,CI68,"Unknown Option Type"))-IF('Adjustment Surface'!$C$2='Data Validation'!$A$2,CI68,IF('Adjustment Surface'!$C$2='Data Validation'!$A$3,CJ68,"Unknown Option Type")))*(NORMDIST((IF('Adjustment Surface'!$C$2='Data Validation'!$A$2,CJ68,IF('Adjustment Surface'!$C$2='Data Validation'!$A$3,CI68,"Unknown Option Type"))-IF('Adjustment Surface'!$C$2='Data Validation'!$A$2,CI68,IF('Adjustment Surface'!$C$2='Data Validation'!$A$3,CJ68,"Unknown Option Type")))/(CK68*SQRT(CG68)),0,1,TRUE)))+((CK68*SQRT(CG68))*(NORMDIST((IF('Adjustment Surface'!$C$2='Data Validation'!$A$2,CJ68,IF('Adjustment Surface'!$C$2='Data Validation'!$A$3,CI68,"Unknown Option Type"))-IF('Adjustment Surface'!$C$2='Data Validation'!$A$2,CI68,IF('Adjustment Surface'!$C$2='Data Validation'!$A$3,CJ68,"Unknown Option Type")))/(CK68*SQRT(CG68)),0,1,FALSE))))*CL68*(CF68/360)*CH68))</f>
        <v/>
      </c>
      <c r="CO68" s="15" t="str">
        <f>IF(CC68="","",SUM(CN$4:CN68))</f>
        <v/>
      </c>
      <c r="CQ68" s="15" t="str">
        <f>IF(CC68="","",IF(CD68&lt;'Rate &amp; Vol Update'!$C$2,0,((((((IF('Adjustment Surface'!$C$2='Data Validation'!$A$2,CJ68,IF('Adjustment Surface'!$C$2='Data Validation'!$A$3,CI68,"Unknown Option Type"))-IF('Adjustment Surface'!$C$2='Data Validation'!$A$2,CI68,IF('Adjustment Surface'!$C$2='Data Validation'!$A$3,CJ68,"Unknown Option Type")))*(NORMDIST((IF('Adjustment Surface'!$C$2='Data Validation'!$A$2,CJ68,IF('Adjustment Surface'!$C$2='Data Validation'!$A$3,CI68,"Unknown Option Type"))-IF('Adjustment Surface'!$C$2='Data Validation'!$A$2,CI68,IF('Adjustment Surface'!$C$2='Data Validation'!$A$3,CJ68,"Unknown Option Type")))/((CK68+0.01%)*SQRT(CG68)),0,1,TRUE)))+(((CK68+0.01%)*SQRT(CG68))*(NORMDIST((IF('Adjustment Surface'!$C$2='Data Validation'!$A$2,CJ68,IF('Adjustment Surface'!$C$2='Data Validation'!$A$3,CI68,"Unknown Option Type"))-IF('Adjustment Surface'!$C$2='Data Validation'!$A$2,CI68,IF('Adjustment Surface'!$C$2='Data Validation'!$A$3,CJ68,"Unknown Option Type")))/((CK68+0.01%)*SQRT(CG68)),0,1,FALSE))))*CL68*(CF68/360))-(CN68/CH68))*CH68)*CL68))</f>
        <v/>
      </c>
      <c r="CR68" s="15" t="str">
        <f>IF(CC68="","",SUM(CQ$4:CQ68))</f>
        <v/>
      </c>
    </row>
    <row r="69" spans="7:96" x14ac:dyDescent="0.25">
      <c r="G69" s="28"/>
      <c r="J69" s="4" t="str">
        <f>IF(K68='Adjustment Surface'!C$8,"",K68)</f>
        <v/>
      </c>
      <c r="K69" s="4" t="str">
        <f>IF(J69="","",IF(J69&lt;'Adjustment Surface'!C$7,EDATE(J$5,COUNT(J$5:J69)),IF(J69='Adjustment Surface'!C$7,'Adjustment Surface'!C$8,'Adjustment Surface'!C$7)))</f>
        <v/>
      </c>
      <c r="L69" s="3" t="str">
        <f t="shared" ref="L69:L124" si="6">IF(I69="","",K69-J69)</f>
        <v/>
      </c>
      <c r="M69" s="5" t="str">
        <f>IF(I69="","",(K69-'Rate &amp; Vol Update'!$C$2)/360)</f>
        <v/>
      </c>
      <c r="N69" s="15" t="str">
        <f>IF(I69="","",IF('Adjustment Surface'!C$3='Data Validation'!$C$2,'Adjustment Surface'!C$4,IF(INDEX(Schedules!$E$3:$E$123,MATCH('Bachelier Model'!J69,Schedules!$B$3:$B$123,0))="",N68,INDEX(Schedules!$E$3:$E$123,MATCH('Bachelier Model'!J69,Schedules!$B$3:$B$123,0)))))</f>
        <v/>
      </c>
      <c r="O69" s="16" t="str">
        <f>IF(I69="","",IF('Adjustment Surface'!C$9='Data Validation'!$D$2,'Adjustment Surface'!C$10,IF(INDEX(Schedules!$H$3:$H$123,MATCH('Bachelier Model'!J69,Schedules!$B$3:$B$123,0))="",O68,INDEX(Schedules!$H$3:$H$123,MATCH('Bachelier Model'!J69,Schedules!$B$3:$B$123,0)))))</f>
        <v/>
      </c>
      <c r="P69" s="16" t="str" cm="1">
        <f t="array" ref="P69">IF(I69="","",FORECAST(J69,INDEX('Rate &amp; Vol Update'!$C$6:$C$127,MATCH(INDEX('Rate &amp; Vol Update'!$B$6:$B$127,MATCH(J69,'Rate &amp; Vol Update'!$B$6:$B$127,1)),'Rate &amp; Vol Update'!$B$6:$B$127,0)+IF('Adjustment Surface'!C$11='Data Validation'!$E$3,-1,0)):INDEX('Rate &amp; Vol Update'!$C$6:$C$127,MATCH(INDEX('Rate &amp; Vol Update'!$B$6:$B$127,MATCH(J69,'Rate &amp; Vol Update'!$B$6:$B$127,1)+1),'Rate &amp; Vol Update'!$B$6:$B$127,0)+IF('Adjustment Surface'!C$11='Data Validation'!$E$3,-1,0)),INDEX('Rate &amp; Vol Update'!$B$6:$B$127,MATCH(J69,'Rate &amp; Vol Update'!$B$6:$B$127,1)):INDEX('Rate &amp; Vol Update'!$B$6:$B$127,MATCH(J69,'Rate &amp; Vol Update'!$B$6:$B$127,1)+1))/100)</f>
        <v/>
      </c>
      <c r="Q69" s="16" t="str" cm="1">
        <f t="array" ref="Q69">IF(I69="","",IF(J69&lt;'Rate &amp; Vol Update'!$C$2,0.001%,(1/((INDEX('Rate &amp; Vol Update'!$E$6:$Z$6,1,MATCH(O69,'Rate &amp; Vol Update'!$E$6:$Z$6,1)+1)-INDEX('Rate &amp; Vol Update'!$E$6:$Z$6,1,MATCH(O69,'Rate &amp; Vol Update'!$E$6:$Z$6,1)))*(INDEX('Rate &amp; Vol Update'!$B$8:$B$127,MATCH(J69,'Rate &amp; Vol Update'!$B$8:$B$127,1)+1)-INDEX('Rate &amp; Vol Update'!$B$8:$B$127,MATCH(J69,'Rate &amp; Vol Update'!$B$8:$B$127,1))))*(INDEX('Rate &amp; Vol Update'!$E$8:$Z$127,MATCH(INDEX('Rate &amp; Vol Update'!$B$8:$B$127,MATCH(J69,'Rate &amp; Vol Update'!$B$8:$B$127,1)),'Rate &amp; Vol Update'!$B$8:$B$127,0),MATCH(INDEX('Rate &amp; Vol Update'!$E$6:$Z$6,1,MATCH(O69,'Rate &amp; Vol Update'!$E$6:$Z$6,1)),'Rate &amp; Vol Update'!$E$6:$Z$6,0))*(INDEX('Rate &amp; Vol Update'!$E$6:$Z$6,1,MATCH(O69,'Rate &amp; Vol Update'!$E$6:$Z$6,1)+1)-O69)*(INDEX('Rate &amp; Vol Update'!$B$8:$B$127,MATCH(J69,'Rate &amp; Vol Update'!$B$8:$B$127,1)+1)-J69)+INDEX('Rate &amp; Vol Update'!$E$8:$Z$127,MATCH(INDEX('Rate &amp; Vol Update'!$B$8:$B$127,MATCH(J69,'Rate &amp; Vol Update'!$B$8:$B$127,1)),'Rate &amp; Vol Update'!$B$8:$B$127,0),MATCH(INDEX('Rate &amp; Vol Update'!$E$6:$Z$6,1,MATCH(O69,'Rate &amp; Vol Update'!$E$6:$Z$6,1)+1),'Rate &amp; Vol Update'!$E$6:$Z$6,0))*(O69-INDEX('Rate &amp; Vol Update'!$E$6:$Z$6,1,MATCH(O69,'Rate &amp; Vol Update'!$E$6:$Z$6,1)))*(INDEX('Rate &amp; Vol Update'!$B$8:$B$127,MATCH(J69,'Rate &amp; Vol Update'!$B$8:$B$127,1)+1)-J69)+INDEX('Rate &amp; Vol Update'!$E$8:$Z$127,MATCH(INDEX('Rate &amp; Vol Update'!$B$8:$B$127,MATCH(J69,'Rate &amp; Vol Update'!$B$8:$B$127,1)+1),'Rate &amp; Vol Update'!$B$8:$B$127,0),MATCH(INDEX('Rate &amp; Vol Update'!$E$6:$Z$6,1,MATCH(O69,'Rate &amp; Vol Update'!$E$6:$Z$6,1)),'Rate &amp; Vol Update'!$E$6:$Z$6,0))*(INDEX('Rate &amp; Vol Update'!$E$6:$Z$6,1,MATCH(O69,'Rate &amp; Vol Update'!$E$6:$Z$6,1)+1)-O69)*(J69-INDEX('Rate &amp; Vol Update'!$B$8:$B$127,MATCH(J69,'Rate &amp; Vol Update'!$B$8:$B$127,1)))+INDEX('Rate &amp; Vol Update'!$E$8:$Z$127,MATCH(INDEX('Rate &amp; Vol Update'!$B$8:$B$127,MATCH(J69,'Rate &amp; Vol Update'!$B$8:$B$127,1)+1),'Rate &amp; Vol Update'!$B$8:$B$127,0),MATCH(INDEX('Rate &amp; Vol Update'!$E$6:$Z$6,1,MATCH(O69,'Rate &amp; Vol Update'!$E$6:$Z$6,1)+1),'Rate &amp; Vol Update'!$E$6:$Z$6,0))*(O69-INDEX('Rate &amp; Vol Update'!$E$6:$Z$6,1,MATCH(O69,'Rate &amp; Vol Update'!$E$6:$Z$6,1)))*(J69-INDEX('Rate &amp; Vol Update'!$B$8:$B$127,MATCH(J69,'Rate &amp; Vol Update'!$B$8:$B$127,1)))))*0.01%))</f>
        <v/>
      </c>
      <c r="R69" s="5" t="str">
        <f>IF(I69="","",1/((1+P69)^((K69-'Rate &amp; Vol Update'!$C$2)/360)))</f>
        <v/>
      </c>
      <c r="T69" s="15" t="str">
        <f>IF(I69="","",IF(J69&lt;'Rate &amp; Vol Update'!$C$2,MAX(0,P69-O69)*(L69/360)*N69,(((IF('Adjustment Surface'!C$2='Data Validation'!$A$2,P69,IF('Adjustment Surface'!C$2='Data Validation'!$A$3,O69,"Unknown Option Type"))-IF('Adjustment Surface'!C$2='Data Validation'!$A$2,O69,IF('Adjustment Surface'!C$2='Data Validation'!$A$3,P69,"Unknown Option Type")))*(NORMDIST((IF('Adjustment Surface'!C$2='Data Validation'!$A$2,P69,IF('Adjustment Surface'!C$2='Data Validation'!$A$3,O69,"Unknown Option Type"))-IF('Adjustment Surface'!C$2='Data Validation'!$A$2,O69,IF('Adjustment Surface'!C$2='Data Validation'!$A$3,P69,"Unknown Option Type")))/(Q69*SQRT(M69)),0,1,TRUE)))+((Q69*SQRT(M69))*(NORMDIST((IF('Adjustment Surface'!C$2='Data Validation'!$A$2,P69,IF('Adjustment Surface'!C$2='Data Validation'!$A$3,O69,"Unknown Option Type"))-IF('Adjustment Surface'!C$2='Data Validation'!$A$2,O69,IF('Adjustment Surface'!C$2='Data Validation'!$A$3,P69,"Unknown Option Type")))/(Q69*SQRT(M69)),0,1,FALSE))))*R69*(L69/360)*N69))</f>
        <v/>
      </c>
      <c r="U69" s="15" t="str">
        <f>IF(I69="","",SUM(T$4:T69))</f>
        <v/>
      </c>
      <c r="W69" s="15" t="str">
        <f>IF(I69="","",IF(J69&lt;'Rate &amp; Vol Update'!$C$2,0,((((((IF('Adjustment Surface'!C$2='Data Validation'!$A$2,P69,IF('Adjustment Surface'!C$2='Data Validation'!$A$3,O69,"Unknown Option Type"))-IF('Adjustment Surface'!C$2='Data Validation'!$A$2,O69,IF('Adjustment Surface'!C$2='Data Validation'!$A$3,P69,"Unknown Option Type")))*(NORMDIST((IF('Adjustment Surface'!C$2='Data Validation'!$A$2,P69,IF('Adjustment Surface'!C$2='Data Validation'!$A$3,O69,"Unknown Option Type"))-IF('Adjustment Surface'!C$2='Data Validation'!$A$2,O69,IF('Adjustment Surface'!C$2='Data Validation'!$A$3,P69,"Unknown Option Type")))/((Q69+0.01%)*SQRT(M69)),0,1,TRUE)))+(((Q69+0.01%)*SQRT(M69))*(NORMDIST((IF('Adjustment Surface'!C$2='Data Validation'!$A$2,P69,IF('Adjustment Surface'!C$2='Data Validation'!$A$3,O69,"Unknown Option Type"))-IF('Adjustment Surface'!C$2='Data Validation'!$A$2,O69,IF('Adjustment Surface'!C$2='Data Validation'!$A$3,P69,"Unknown Option Type")))/((Q69+0.01%)*SQRT(M69)),0,1,FALSE))))*R69*(L69/360))-(T69/N69))*N69)*R69))</f>
        <v/>
      </c>
      <c r="X69" s="15" t="str">
        <f>IF(I69="","",SUM(W$4:W69))</f>
        <v/>
      </c>
      <c r="Y69" s="15"/>
      <c r="Z69" s="20"/>
      <c r="AB69" s="4" t="str">
        <f>IF(AC68=MAX('Adjustment Surface'!$C$14:$F$14),"",AC68)</f>
        <v/>
      </c>
      <c r="AC69" s="4" t="str">
        <f>IF(AB69="","",IF(AB69&lt;EDATE('Adjustment Surface'!$C$6,DATEDIF('Adjustment Surface'!$C$6,MAX('Adjustment Surface'!$C$14:$F$14),"M")),EDATE(AB$5,COUNT(AB$5:AB69)),IF(AB69=EDATE('Adjustment Surface'!$C$6,DATEDIF('Adjustment Surface'!$C$6,MAX('Adjustment Surface'!$C$14:$F$14),"M")),MAX('Adjustment Surface'!$C$14:$F$14),EDATE('Adjustment Surface'!$C$6,DATEDIF('Adjustment Surface'!$C$6,MAX('Adjustment Surface'!$C$14:$F$14),"M")))))</f>
        <v/>
      </c>
      <c r="AD69" s="3" t="str">
        <f t="shared" ref="AD69:AD124" si="7">IF(AA69="","",AC69-AB69)</f>
        <v/>
      </c>
      <c r="AE69" s="5" t="str">
        <f>IF(AA69="","",(AC69-'Rate &amp; Vol Update'!$C$2)/360)</f>
        <v/>
      </c>
      <c r="AF69" s="15" t="str">
        <f>IF(AA69="","",IF('Adjustment Surface'!$C$3='Data Validation'!$C$2,'Adjustment Surface'!$C$4,_xlfn.IFNA(IF(INDEX(Schedules!$E$3:$E$123,MATCH('Bachelier Model'!AB69,Schedules!$B$3:$B$123,0))="",AF68,INDEX(Schedules!$E$3:$E$123,MATCH('Bachelier Model'!AB69,Schedules!$B$3:$B$123,0))),AF68)))</f>
        <v/>
      </c>
      <c r="AG69" s="16" t="str">
        <f>IF(AA69="","",'Adjustment Surface'!B$15)</f>
        <v/>
      </c>
      <c r="AH69" s="16" t="str" cm="1">
        <f t="array" ref="AH69">IF(AA69="","",FORECAST(AB69,INDEX('Rate &amp; Vol Update'!$C$6:$C$127,MATCH(INDEX('Rate &amp; Vol Update'!$B$6:$B$127,MATCH(AB69,'Rate &amp; Vol Update'!$B$6:$B$127,1)),'Rate &amp; Vol Update'!$B$6:$B$127,0)+IF('Adjustment Surface'!$C$11='Data Validation'!$E$3,-1,0)):INDEX('Rate &amp; Vol Update'!$C$6:$C$127,MATCH(INDEX('Rate &amp; Vol Update'!$B$6:$B$127,MATCH(AB69,'Rate &amp; Vol Update'!$B$6:$B$127,1)+1),'Rate &amp; Vol Update'!$B$6:$B$127,0)+IF('Adjustment Surface'!$C$11='Data Validation'!$E$3,-1,0)),INDEX('Rate &amp; Vol Update'!$B$6:$B$127,MATCH(AB69,'Rate &amp; Vol Update'!$B$6:$B$127,1)):INDEX('Rate &amp; Vol Update'!$B$6:$B$127,MATCH(AB69,'Rate &amp; Vol Update'!$B$6:$B$127,1)+1))/100)</f>
        <v/>
      </c>
      <c r="AI69" s="16" t="str" cm="1">
        <f t="array" ref="AI69">IF(AA69="","",IF(AB69&lt;'Rate &amp; Vol Update'!$C$2,0.001%,(1/((INDEX('Rate &amp; Vol Update'!$E$6:$Z$6,1,MATCH(AG69,'Rate &amp; Vol Update'!$E$6:$Z$6,1)+1)-INDEX('Rate &amp; Vol Update'!$E$6:$Z$6,1,MATCH(AG69,'Rate &amp; Vol Update'!$E$6:$Z$6,1)))*(INDEX('Rate &amp; Vol Update'!$B$8:$B$127,MATCH(AB69,'Rate &amp; Vol Update'!$B$8:$B$127,1)+1)-INDEX('Rate &amp; Vol Update'!$B$8:$B$127,MATCH(AB69,'Rate &amp; Vol Update'!$B$8:$B$127,1))))*(INDEX('Rate &amp; Vol Update'!$E$8:$Z$127,MATCH(INDEX('Rate &amp; Vol Update'!$B$8:$B$127,MATCH(AB69,'Rate &amp; Vol Update'!$B$8:$B$127,1)),'Rate &amp; Vol Update'!$B$8:$B$127,0),MATCH(INDEX('Rate &amp; Vol Update'!$E$6:$Z$6,1,MATCH(AG69,'Rate &amp; Vol Update'!$E$6:$Z$6,1)),'Rate &amp; Vol Update'!$E$6:$Z$6,0))*(INDEX('Rate &amp; Vol Update'!$E$6:$Z$6,1,MATCH(AG69,'Rate &amp; Vol Update'!$E$6:$Z$6,1)+1)-AG69)*(INDEX('Rate &amp; Vol Update'!$B$8:$B$127,MATCH(AB69,'Rate &amp; Vol Update'!$B$8:$B$127,1)+1)-AB69)+INDEX('Rate &amp; Vol Update'!$E$8:$Z$127,MATCH(INDEX('Rate &amp; Vol Update'!$B$8:$B$127,MATCH(AB69,'Rate &amp; Vol Update'!$B$8:$B$127,1)),'Rate &amp; Vol Update'!$B$8:$B$127,0),MATCH(INDEX('Rate &amp; Vol Update'!$E$6:$Z$6,1,MATCH(AG69,'Rate &amp; Vol Update'!$E$6:$Z$6,1)+1),'Rate &amp; Vol Update'!$E$6:$Z$6,0))*(AG69-INDEX('Rate &amp; Vol Update'!$E$6:$Z$6,1,MATCH(AG69,'Rate &amp; Vol Update'!$E$6:$Z$6,1)))*(INDEX('Rate &amp; Vol Update'!$B$8:$B$127,MATCH(AB69,'Rate &amp; Vol Update'!$B$8:$B$127,1)+1)-AB69)+INDEX('Rate &amp; Vol Update'!$E$8:$Z$127,MATCH(INDEX('Rate &amp; Vol Update'!$B$8:$B$127,MATCH(AB69,'Rate &amp; Vol Update'!$B$8:$B$127,1)+1),'Rate &amp; Vol Update'!$B$8:$B$127,0),MATCH(INDEX('Rate &amp; Vol Update'!$E$6:$Z$6,1,MATCH(AG69,'Rate &amp; Vol Update'!$E$6:$Z$6,1)),'Rate &amp; Vol Update'!$E$6:$Z$6,0))*(INDEX('Rate &amp; Vol Update'!$E$6:$Z$6,1,MATCH(AG69,'Rate &amp; Vol Update'!$E$6:$Z$6,1)+1)-AG69)*(AB69-INDEX('Rate &amp; Vol Update'!$B$8:$B$127,MATCH(AB69,'Rate &amp; Vol Update'!$B$8:$B$127,1)))+INDEX('Rate &amp; Vol Update'!$E$8:$Z$127,MATCH(INDEX('Rate &amp; Vol Update'!$B$8:$B$127,MATCH(AB69,'Rate &amp; Vol Update'!$B$8:$B$127,1)+1),'Rate &amp; Vol Update'!$B$8:$B$127,0),MATCH(INDEX('Rate &amp; Vol Update'!$E$6:$Z$6,1,MATCH(AG69,'Rate &amp; Vol Update'!$E$6:$Z$6,1)+1),'Rate &amp; Vol Update'!$E$6:$Z$6,0))*(AG69-INDEX('Rate &amp; Vol Update'!$E$6:$Z$6,1,MATCH(AG69,'Rate &amp; Vol Update'!$E$6:$Z$6,1)))*(AB69-INDEX('Rate &amp; Vol Update'!$B$8:$B$127,MATCH(AB69,'Rate &amp; Vol Update'!$B$8:$B$127,1)))))*0.01%))</f>
        <v/>
      </c>
      <c r="AJ69" s="5" t="str">
        <f>IF(AA69="","",1/((1+AH69)^((AC69-'Rate &amp; Vol Update'!$C$2)/360)))</f>
        <v/>
      </c>
      <c r="AL69" s="15" t="str">
        <f>IF(AA69="","",IF(AB69&lt;'Rate &amp; Vol Update'!$C$2,MAX(0,AH69-AG69)*(AD69/360)*AF69,(((IF('Adjustment Surface'!$C$2='Data Validation'!$A$2,AH69,IF('Adjustment Surface'!$C$2='Data Validation'!$A$3,AG69,"Unknown Option Type"))-IF('Adjustment Surface'!$C$2='Data Validation'!$A$2,AG69,IF('Adjustment Surface'!$C$2='Data Validation'!$A$3,AH69,"Unknown Option Type")))*(NORMDIST((IF('Adjustment Surface'!$C$2='Data Validation'!$A$2,AH69,IF('Adjustment Surface'!$C$2='Data Validation'!$A$3,AG69,"Unknown Option Type"))-IF('Adjustment Surface'!$C$2='Data Validation'!$A$2,AG69,IF('Adjustment Surface'!$C$2='Data Validation'!$A$3,AH69,"Unknown Option Type")))/(AI69*SQRT(AE69)),0,1,TRUE)))+((AI69*SQRT(AE69))*(NORMDIST((IF('Adjustment Surface'!$C$2='Data Validation'!$A$2,AH69,IF('Adjustment Surface'!$C$2='Data Validation'!$A$3,AG69,"Unknown Option Type"))-IF('Adjustment Surface'!$C$2='Data Validation'!$A$2,AG69,IF('Adjustment Surface'!$C$2='Data Validation'!$A$3,AH69,"Unknown Option Type")))/(AI69*SQRT(AE69)),0,1,FALSE))))*AJ69*(AD69/360)*AF69))</f>
        <v/>
      </c>
      <c r="AM69" s="15" t="str">
        <f>IF(AA69="","",SUM(AL$4:AL69))</f>
        <v/>
      </c>
      <c r="AO69" s="15" t="str">
        <f>IF(AA69="","",IF(AB69&lt;'Rate &amp; Vol Update'!$C$2,0,((((((IF('Adjustment Surface'!$C$2='Data Validation'!$A$2,AH69,IF('Adjustment Surface'!$C$2='Data Validation'!$A$3,AG69,"Unknown Option Type"))-IF('Adjustment Surface'!$C$2='Data Validation'!$A$2,AG69,IF('Adjustment Surface'!$C$2='Data Validation'!$A$3,AH69,"Unknown Option Type")))*(NORMDIST((IF('Adjustment Surface'!$C$2='Data Validation'!$A$2,AH69,IF('Adjustment Surface'!$C$2='Data Validation'!$A$3,AG69,"Unknown Option Type"))-IF('Adjustment Surface'!$C$2='Data Validation'!$A$2,AG69,IF('Adjustment Surface'!$C$2='Data Validation'!$A$3,AH69,"Unknown Option Type")))/((AI69+0.01%)*SQRT(AE69)),0,1,TRUE)))+(((AI69+0.01%)*SQRT(AE69))*(NORMDIST((IF('Adjustment Surface'!$C$2='Data Validation'!$A$2,AH69,IF('Adjustment Surface'!$C$2='Data Validation'!$A$3,AG69,"Unknown Option Type"))-IF('Adjustment Surface'!$C$2='Data Validation'!$A$2,AG69,IF('Adjustment Surface'!$C$2='Data Validation'!$A$3,AH69,"Unknown Option Type")))/((AI69+0.01%)*SQRT(AE69)),0,1,FALSE))))*AJ69*(AD69/360))-(AL69/AF69))*AF69)*AJ69))</f>
        <v/>
      </c>
      <c r="AP69" s="15" t="str">
        <f>IF(AA69="","",SUM(AO$4:AO69))</f>
        <v/>
      </c>
      <c r="AQ69" s="15"/>
      <c r="AR69" s="20"/>
      <c r="AT69" s="4" t="str">
        <f>IF(AU68=MAX('Adjustment Surface'!$C$14:$F$14),"",AU68)</f>
        <v/>
      </c>
      <c r="AU69" s="4" t="str">
        <f>IF(AT69="","",IF(AT69&lt;EDATE('Adjustment Surface'!$C$6,DATEDIF('Adjustment Surface'!$C$6,MAX('Adjustment Surface'!$C$14:$F$14),"M")),EDATE(AT$5,COUNT(AT$5:AT69)),IF(AT69=EDATE('Adjustment Surface'!$C$6,DATEDIF('Adjustment Surface'!$C$6,MAX('Adjustment Surface'!$C$14:$F$14),"M")),MAX('Adjustment Surface'!$C$14:$F$14),EDATE('Adjustment Surface'!$C$6,DATEDIF('Adjustment Surface'!$C$6,MAX('Adjustment Surface'!$C$14:$F$14),"M")))))</f>
        <v/>
      </c>
      <c r="AV69" s="3" t="str">
        <f t="shared" ref="AV69:AV124" si="8">IF(AS69="","",AU69-AT69)</f>
        <v/>
      </c>
      <c r="AW69" s="5" t="str">
        <f>IF(AS69="","",(AU69-'Rate &amp; Vol Update'!$C$2)/360)</f>
        <v/>
      </c>
      <c r="AX69" s="15" t="str">
        <f>IF(AS69="","",IF('Adjustment Surface'!$C$3='Data Validation'!$C$2,'Adjustment Surface'!$C$4,_xlfn.IFNA(IF(INDEX(Schedules!$E$3:$E$123,MATCH('Bachelier Model'!AT69,Schedules!$B$3:$B$123,0))="",AX68,INDEX(Schedules!$E$3:$E$123,MATCH('Bachelier Model'!AT69,Schedules!$B$3:$B$123,0))),AX68)))</f>
        <v/>
      </c>
      <c r="AY69" s="16" t="str">
        <f>IF(AS69="","",'Adjustment Surface'!B$16)</f>
        <v/>
      </c>
      <c r="AZ69" s="16" t="str" cm="1">
        <f t="array" ref="AZ69">IF(AS69="","",FORECAST(AT69,INDEX('Rate &amp; Vol Update'!$C$6:$C$127,MATCH(INDEX('Rate &amp; Vol Update'!$B$6:$B$127,MATCH(AT69,'Rate &amp; Vol Update'!$B$6:$B$127,1)),'Rate &amp; Vol Update'!$B$6:$B$127,0)+IF('Adjustment Surface'!$C$11='Data Validation'!$E$3,-1,0)):INDEX('Rate &amp; Vol Update'!$C$6:$C$127,MATCH(INDEX('Rate &amp; Vol Update'!$B$6:$B$127,MATCH(AT69,'Rate &amp; Vol Update'!$B$6:$B$127,1)+1),'Rate &amp; Vol Update'!$B$6:$B$127,0)+IF('Adjustment Surface'!$C$11='Data Validation'!$E$3,-1,0)),INDEX('Rate &amp; Vol Update'!$B$6:$B$127,MATCH(AT69,'Rate &amp; Vol Update'!$B$6:$B$127,1)):INDEX('Rate &amp; Vol Update'!$B$6:$B$127,MATCH(AT69,'Rate &amp; Vol Update'!$B$6:$B$127,1)+1))/100)</f>
        <v/>
      </c>
      <c r="BA69" s="16" t="str" cm="1">
        <f t="array" ref="BA69">IF(AS69="","",IF(AT69&lt;'Rate &amp; Vol Update'!$C$2,0.001%,(1/((INDEX('Rate &amp; Vol Update'!$E$6:$Z$6,1,MATCH(AY69,'Rate &amp; Vol Update'!$E$6:$Z$6,1)+1)-INDEX('Rate &amp; Vol Update'!$E$6:$Z$6,1,MATCH(AY69,'Rate &amp; Vol Update'!$E$6:$Z$6,1)))*(INDEX('Rate &amp; Vol Update'!$B$8:$B$127,MATCH(AT69,'Rate &amp; Vol Update'!$B$8:$B$127,1)+1)-INDEX('Rate &amp; Vol Update'!$B$8:$B$127,MATCH(AT69,'Rate &amp; Vol Update'!$B$8:$B$127,1))))*(INDEX('Rate &amp; Vol Update'!$E$8:$Z$127,MATCH(INDEX('Rate &amp; Vol Update'!$B$8:$B$127,MATCH(AT69,'Rate &amp; Vol Update'!$B$8:$B$127,1)),'Rate &amp; Vol Update'!$B$8:$B$127,0),MATCH(INDEX('Rate &amp; Vol Update'!$E$6:$Z$6,1,MATCH(AY69,'Rate &amp; Vol Update'!$E$6:$Z$6,1)),'Rate &amp; Vol Update'!$E$6:$Z$6,0))*(INDEX('Rate &amp; Vol Update'!$E$6:$Z$6,1,MATCH(AY69,'Rate &amp; Vol Update'!$E$6:$Z$6,1)+1)-AY69)*(INDEX('Rate &amp; Vol Update'!$B$8:$B$127,MATCH(AT69,'Rate &amp; Vol Update'!$B$8:$B$127,1)+1)-AT69)+INDEX('Rate &amp; Vol Update'!$E$8:$Z$127,MATCH(INDEX('Rate &amp; Vol Update'!$B$8:$B$127,MATCH(AT69,'Rate &amp; Vol Update'!$B$8:$B$127,1)),'Rate &amp; Vol Update'!$B$8:$B$127,0),MATCH(INDEX('Rate &amp; Vol Update'!$E$6:$Z$6,1,MATCH(AY69,'Rate &amp; Vol Update'!$E$6:$Z$6,1)+1),'Rate &amp; Vol Update'!$E$6:$Z$6,0))*(AY69-INDEX('Rate &amp; Vol Update'!$E$6:$Z$6,1,MATCH(AY69,'Rate &amp; Vol Update'!$E$6:$Z$6,1)))*(INDEX('Rate &amp; Vol Update'!$B$8:$B$127,MATCH(AT69,'Rate &amp; Vol Update'!$B$8:$B$127,1)+1)-AT69)+INDEX('Rate &amp; Vol Update'!$E$8:$Z$127,MATCH(INDEX('Rate &amp; Vol Update'!$B$8:$B$127,MATCH(AT69,'Rate &amp; Vol Update'!$B$8:$B$127,1)+1),'Rate &amp; Vol Update'!$B$8:$B$127,0),MATCH(INDEX('Rate &amp; Vol Update'!$E$6:$Z$6,1,MATCH(AY69,'Rate &amp; Vol Update'!$E$6:$Z$6,1)),'Rate &amp; Vol Update'!$E$6:$Z$6,0))*(INDEX('Rate &amp; Vol Update'!$E$6:$Z$6,1,MATCH(AY69,'Rate &amp; Vol Update'!$E$6:$Z$6,1)+1)-AY69)*(AT69-INDEX('Rate &amp; Vol Update'!$B$8:$B$127,MATCH(AT69,'Rate &amp; Vol Update'!$B$8:$B$127,1)))+INDEX('Rate &amp; Vol Update'!$E$8:$Z$127,MATCH(INDEX('Rate &amp; Vol Update'!$B$8:$B$127,MATCH(AT69,'Rate &amp; Vol Update'!$B$8:$B$127,1)+1),'Rate &amp; Vol Update'!$B$8:$B$127,0),MATCH(INDEX('Rate &amp; Vol Update'!$E$6:$Z$6,1,MATCH(AY69,'Rate &amp; Vol Update'!$E$6:$Z$6,1)+1),'Rate &amp; Vol Update'!$E$6:$Z$6,0))*(AY69-INDEX('Rate &amp; Vol Update'!$E$6:$Z$6,1,MATCH(AY69,'Rate &amp; Vol Update'!$E$6:$Z$6,1)))*(AT69-INDEX('Rate &amp; Vol Update'!$B$8:$B$127,MATCH(AT69,'Rate &amp; Vol Update'!$B$8:$B$127,1)))))*0.01%))</f>
        <v/>
      </c>
      <c r="BB69" s="5" t="str">
        <f>IF(AS69="","",1/((1+AZ69)^((AU69-'Rate &amp; Vol Update'!$C$2)/360)))</f>
        <v/>
      </c>
      <c r="BD69" s="15" t="str">
        <f>IF(AS69="","",IF(AT69&lt;'Rate &amp; Vol Update'!$C$2,MAX(0,AZ69-AY69)*(AV69/360)*AX69,(((IF('Adjustment Surface'!$C$2='Data Validation'!$A$2,AZ69,IF('Adjustment Surface'!$C$2='Data Validation'!$A$3,AY69,"Unknown Option Type"))-IF('Adjustment Surface'!$C$2='Data Validation'!$A$2,AY69,IF('Adjustment Surface'!$C$2='Data Validation'!$A$3,AZ69,"Unknown Option Type")))*(NORMDIST((IF('Adjustment Surface'!$C$2='Data Validation'!$A$2,AZ69,IF('Adjustment Surface'!$C$2='Data Validation'!$A$3,AY69,"Unknown Option Type"))-IF('Adjustment Surface'!$C$2='Data Validation'!$A$2,AY69,IF('Adjustment Surface'!$C$2='Data Validation'!$A$3,AZ69,"Unknown Option Type")))/(BA69*SQRT(AW69)),0,1,TRUE)))+((BA69*SQRT(AW69))*(NORMDIST((IF('Adjustment Surface'!$C$2='Data Validation'!$A$2,AZ69,IF('Adjustment Surface'!$C$2='Data Validation'!$A$3,AY69,"Unknown Option Type"))-IF('Adjustment Surface'!$C$2='Data Validation'!$A$2,AY69,IF('Adjustment Surface'!$C$2='Data Validation'!$A$3,AZ69,"Unknown Option Type")))/(BA69*SQRT(AW69)),0,1,FALSE))))*BB69*(AV69/360)*AX69))</f>
        <v/>
      </c>
      <c r="BE69" s="15" t="str">
        <f>IF(AS69="","",SUM(BD$4:BD69))</f>
        <v/>
      </c>
      <c r="BG69" s="15" t="str">
        <f>IF(AS69="","",IF(AT69&lt;'Rate &amp; Vol Update'!$C$2,0,((((((IF('Adjustment Surface'!$C$2='Data Validation'!$A$2,AZ69,IF('Adjustment Surface'!$C$2='Data Validation'!$A$3,AY69,"Unknown Option Type"))-IF('Adjustment Surface'!$C$2='Data Validation'!$A$2,AY69,IF('Adjustment Surface'!$C$2='Data Validation'!$A$3,AZ69,"Unknown Option Type")))*(NORMDIST((IF('Adjustment Surface'!$C$2='Data Validation'!$A$2,AZ69,IF('Adjustment Surface'!$C$2='Data Validation'!$A$3,AY69,"Unknown Option Type"))-IF('Adjustment Surface'!$C$2='Data Validation'!$A$2,AY69,IF('Adjustment Surface'!$C$2='Data Validation'!$A$3,AZ69,"Unknown Option Type")))/((BA69+0.01%)*SQRT(AW69)),0,1,TRUE)))+(((BA69+0.01%)*SQRT(AW69))*(NORMDIST((IF('Adjustment Surface'!$C$2='Data Validation'!$A$2,AZ69,IF('Adjustment Surface'!$C$2='Data Validation'!$A$3,AY69,"Unknown Option Type"))-IF('Adjustment Surface'!$C$2='Data Validation'!$A$2,AY69,IF('Adjustment Surface'!$C$2='Data Validation'!$A$3,AZ69,"Unknown Option Type")))/((BA69+0.01%)*SQRT(AW69)),0,1,FALSE))))*BB69*(AV69/360))-(BD69/AX69))*AX69)*BB69))</f>
        <v/>
      </c>
      <c r="BH69" s="15" t="str">
        <f>IF(AS69="","",SUM(BG$4:BG69))</f>
        <v/>
      </c>
      <c r="BI69" s="15"/>
      <c r="BJ69" s="20"/>
      <c r="BL69" s="4" t="str">
        <f>IF(BM68=MAX('Adjustment Surface'!$C$14:$F$14),"",BM68)</f>
        <v/>
      </c>
      <c r="BM69" s="4" t="str">
        <f>IF(BL69="","",IF(BL69&lt;EDATE('Adjustment Surface'!$C$6,DATEDIF('Adjustment Surface'!$C$6,MAX('Adjustment Surface'!$C$14:$F$14),"M")),EDATE(BL$5,COUNT(BL$5:BL69)),IF(BL69=EDATE('Adjustment Surface'!$C$6,DATEDIF('Adjustment Surface'!$C$6,MAX('Adjustment Surface'!$C$14:$F$14),"M")),MAX('Adjustment Surface'!$C$14:$F$14),EDATE('Adjustment Surface'!$C$6,DATEDIF('Adjustment Surface'!$C$6,MAX('Adjustment Surface'!$C$14:$F$14),"M")))))</f>
        <v/>
      </c>
      <c r="BN69" s="3" t="str">
        <f t="shared" ref="BN69:BN124" si="9">IF(BK69="","",BM69-BL69)</f>
        <v/>
      </c>
      <c r="BO69" s="5" t="str">
        <f>IF(BK69="","",(BM69-'Rate &amp; Vol Update'!$C$2)/360)</f>
        <v/>
      </c>
      <c r="BP69" s="15" t="str">
        <f>IF(BK69="","",IF('Adjustment Surface'!$C$3='Data Validation'!$C$2,'Adjustment Surface'!$C$4,_xlfn.IFNA(IF(INDEX(Schedules!$E$3:$E$123,MATCH('Bachelier Model'!BL69,Schedules!$B$3:$B$123,0))="",BP68,INDEX(Schedules!$E$3:$E$123,MATCH('Bachelier Model'!BL69,Schedules!$B$3:$B$123,0))),BP68)))</f>
        <v/>
      </c>
      <c r="BQ69" s="16" t="str">
        <f>IF(BK69="","",'Adjustment Surface'!B$17)</f>
        <v/>
      </c>
      <c r="BR69" s="16" t="str" cm="1">
        <f t="array" ref="BR69">IF(BK69="","",FORECAST(BL69,INDEX('Rate &amp; Vol Update'!$C$6:$C$127,MATCH(INDEX('Rate &amp; Vol Update'!$B$6:$B$127,MATCH(BL69,'Rate &amp; Vol Update'!$B$6:$B$127,1)),'Rate &amp; Vol Update'!$B$6:$B$127,0)+IF('Adjustment Surface'!$C$11='Data Validation'!$E$3,-1,0)):INDEX('Rate &amp; Vol Update'!$C$6:$C$127,MATCH(INDEX('Rate &amp; Vol Update'!$B$6:$B$127,MATCH(BL69,'Rate &amp; Vol Update'!$B$6:$B$127,1)+1),'Rate &amp; Vol Update'!$B$6:$B$127,0)+IF('Adjustment Surface'!$C$11='Data Validation'!$E$3,-1,0)),INDEX('Rate &amp; Vol Update'!$B$6:$B$127,MATCH(BL69,'Rate &amp; Vol Update'!$B$6:$B$127,1)):INDEX('Rate &amp; Vol Update'!$B$6:$B$127,MATCH(BL69,'Rate &amp; Vol Update'!$B$6:$B$127,1)+1))/100)</f>
        <v/>
      </c>
      <c r="BS69" s="16" t="str" cm="1">
        <f t="array" ref="BS69">IF(BK69="","",IF(BL69&lt;'Rate &amp; Vol Update'!$C$2,0.001%,(1/((INDEX('Rate &amp; Vol Update'!$E$6:$Z$6,1,MATCH(BQ69,'Rate &amp; Vol Update'!$E$6:$Z$6,1)+1)-INDEX('Rate &amp; Vol Update'!$E$6:$Z$6,1,MATCH(BQ69,'Rate &amp; Vol Update'!$E$6:$Z$6,1)))*(INDEX('Rate &amp; Vol Update'!$B$8:$B$127,MATCH(BL69,'Rate &amp; Vol Update'!$B$8:$B$127,1)+1)-INDEX('Rate &amp; Vol Update'!$B$8:$B$127,MATCH(BL69,'Rate &amp; Vol Update'!$B$8:$B$127,1))))*(INDEX('Rate &amp; Vol Update'!$E$8:$Z$127,MATCH(INDEX('Rate &amp; Vol Update'!$B$8:$B$127,MATCH(BL69,'Rate &amp; Vol Update'!$B$8:$B$127,1)),'Rate &amp; Vol Update'!$B$8:$B$127,0),MATCH(INDEX('Rate &amp; Vol Update'!$E$6:$Z$6,1,MATCH(BQ69,'Rate &amp; Vol Update'!$E$6:$Z$6,1)),'Rate &amp; Vol Update'!$E$6:$Z$6,0))*(INDEX('Rate &amp; Vol Update'!$E$6:$Z$6,1,MATCH(BQ69,'Rate &amp; Vol Update'!$E$6:$Z$6,1)+1)-BQ69)*(INDEX('Rate &amp; Vol Update'!$B$8:$B$127,MATCH(BL69,'Rate &amp; Vol Update'!$B$8:$B$127,1)+1)-BL69)+INDEX('Rate &amp; Vol Update'!$E$8:$Z$127,MATCH(INDEX('Rate &amp; Vol Update'!$B$8:$B$127,MATCH(BL69,'Rate &amp; Vol Update'!$B$8:$B$127,1)),'Rate &amp; Vol Update'!$B$8:$B$127,0),MATCH(INDEX('Rate &amp; Vol Update'!$E$6:$Z$6,1,MATCH(BQ69,'Rate &amp; Vol Update'!$E$6:$Z$6,1)+1),'Rate &amp; Vol Update'!$E$6:$Z$6,0))*(BQ69-INDEX('Rate &amp; Vol Update'!$E$6:$Z$6,1,MATCH(BQ69,'Rate &amp; Vol Update'!$E$6:$Z$6,1)))*(INDEX('Rate &amp; Vol Update'!$B$8:$B$127,MATCH(BL69,'Rate &amp; Vol Update'!$B$8:$B$127,1)+1)-BL69)+INDEX('Rate &amp; Vol Update'!$E$8:$Z$127,MATCH(INDEX('Rate &amp; Vol Update'!$B$8:$B$127,MATCH(BL69,'Rate &amp; Vol Update'!$B$8:$B$127,1)+1),'Rate &amp; Vol Update'!$B$8:$B$127,0),MATCH(INDEX('Rate &amp; Vol Update'!$E$6:$Z$6,1,MATCH(BQ69,'Rate &amp; Vol Update'!$E$6:$Z$6,1)),'Rate &amp; Vol Update'!$E$6:$Z$6,0))*(INDEX('Rate &amp; Vol Update'!$E$6:$Z$6,1,MATCH(BQ69,'Rate &amp; Vol Update'!$E$6:$Z$6,1)+1)-BQ69)*(BL69-INDEX('Rate &amp; Vol Update'!$B$8:$B$127,MATCH(BL69,'Rate &amp; Vol Update'!$B$8:$B$127,1)))+INDEX('Rate &amp; Vol Update'!$E$8:$Z$127,MATCH(INDEX('Rate &amp; Vol Update'!$B$8:$B$127,MATCH(BL69,'Rate &amp; Vol Update'!$B$8:$B$127,1)+1),'Rate &amp; Vol Update'!$B$8:$B$127,0),MATCH(INDEX('Rate &amp; Vol Update'!$E$6:$Z$6,1,MATCH(BQ69,'Rate &amp; Vol Update'!$E$6:$Z$6,1)+1),'Rate &amp; Vol Update'!$E$6:$Z$6,0))*(BQ69-INDEX('Rate &amp; Vol Update'!$E$6:$Z$6,1,MATCH(BQ69,'Rate &amp; Vol Update'!$E$6:$Z$6,1)))*(BL69-INDEX('Rate &amp; Vol Update'!$B$8:$B$127,MATCH(BL69,'Rate &amp; Vol Update'!$B$8:$B$127,1)))))*0.01%))</f>
        <v/>
      </c>
      <c r="BT69" s="5" t="str">
        <f>IF(BK69="","",1/((1+BR69)^((BM69-'Rate &amp; Vol Update'!$C$2)/360)))</f>
        <v/>
      </c>
      <c r="BV69" s="15" t="str">
        <f>IF(BK69="","",IF(BL69&lt;'Rate &amp; Vol Update'!$C$2,MAX(0,BR69-BQ69)*(BN69/360)*BP69,(((IF('Adjustment Surface'!$C$2='Data Validation'!$A$2,BR69,IF('Adjustment Surface'!$C$2='Data Validation'!$A$3,BQ69,"Unknown Option Type"))-IF('Adjustment Surface'!$C$2='Data Validation'!$A$2,BQ69,IF('Adjustment Surface'!$C$2='Data Validation'!$A$3,BR69,"Unknown Option Type")))*(NORMDIST((IF('Adjustment Surface'!$C$2='Data Validation'!$A$2,BR69,IF('Adjustment Surface'!$C$2='Data Validation'!$A$3,BQ69,"Unknown Option Type"))-IF('Adjustment Surface'!$C$2='Data Validation'!$A$2,BQ69,IF('Adjustment Surface'!$C$2='Data Validation'!$A$3,BR69,"Unknown Option Type")))/(BS69*SQRT(BO69)),0,1,TRUE)))+((BS69*SQRT(BO69))*(NORMDIST((IF('Adjustment Surface'!$C$2='Data Validation'!$A$2,BR69,IF('Adjustment Surface'!$C$2='Data Validation'!$A$3,BQ69,"Unknown Option Type"))-IF('Adjustment Surface'!$C$2='Data Validation'!$A$2,BQ69,IF('Adjustment Surface'!$C$2='Data Validation'!$A$3,BR69,"Unknown Option Type")))/(BS69*SQRT(BO69)),0,1,FALSE))))*BT69*(BN69/360)*BP69))</f>
        <v/>
      </c>
      <c r="BW69" s="15" t="str">
        <f>IF(BK69="","",SUM(BV$4:BV69))</f>
        <v/>
      </c>
      <c r="BY69" s="15" t="str">
        <f>IF(BK69="","",IF(BL69&lt;'Rate &amp; Vol Update'!$C$2,0,((((((IF('Adjustment Surface'!$C$2='Data Validation'!$A$2,BR69,IF('Adjustment Surface'!$C$2='Data Validation'!$A$3,BQ69,"Unknown Option Type"))-IF('Adjustment Surface'!$C$2='Data Validation'!$A$2,BQ69,IF('Adjustment Surface'!$C$2='Data Validation'!$A$3,BR69,"Unknown Option Type")))*(NORMDIST((IF('Adjustment Surface'!$C$2='Data Validation'!$A$2,BR69,IF('Adjustment Surface'!$C$2='Data Validation'!$A$3,BQ69,"Unknown Option Type"))-IF('Adjustment Surface'!$C$2='Data Validation'!$A$2,BQ69,IF('Adjustment Surface'!$C$2='Data Validation'!$A$3,BR69,"Unknown Option Type")))/((BS69+0.01%)*SQRT(BO69)),0,1,TRUE)))+(((BS69+0.01%)*SQRT(BO69))*(NORMDIST((IF('Adjustment Surface'!$C$2='Data Validation'!$A$2,BR69,IF('Adjustment Surface'!$C$2='Data Validation'!$A$3,BQ69,"Unknown Option Type"))-IF('Adjustment Surface'!$C$2='Data Validation'!$A$2,BQ69,IF('Adjustment Surface'!$C$2='Data Validation'!$A$3,BR69,"Unknown Option Type")))/((BS69+0.01%)*SQRT(BO69)),0,1,FALSE))))*BT69*(BN69/360))-(BV69/BP69))*BP69)*BT69))</f>
        <v/>
      </c>
      <c r="BZ69" s="15" t="str">
        <f>IF(BK69="","",SUM(BY$4:BY69))</f>
        <v/>
      </c>
      <c r="CA69" s="15"/>
      <c r="CB69" s="20"/>
      <c r="CD69" s="4" t="str">
        <f>IF(CE68=MAX('Adjustment Surface'!$C$14:$F$14),"",CE68)</f>
        <v/>
      </c>
      <c r="CE69" s="4" t="str">
        <f>IF(CD69="","",IF(CD69&lt;EDATE('Adjustment Surface'!$C$6,DATEDIF('Adjustment Surface'!$C$6,MAX('Adjustment Surface'!$C$14:$F$14),"M")),EDATE(CD$5,COUNT(CD$5:CD69)),IF(CD69=EDATE('Adjustment Surface'!$C$6,DATEDIF('Adjustment Surface'!$C$6,MAX('Adjustment Surface'!$C$14:$F$14),"M")),MAX('Adjustment Surface'!$C$14:$F$14),EDATE('Adjustment Surface'!$C$6,DATEDIF('Adjustment Surface'!$C$6,MAX('Adjustment Surface'!$C$14:$F$14),"M")))))</f>
        <v/>
      </c>
      <c r="CF69" s="3" t="str">
        <f t="shared" ref="CF69:CF124" si="10">IF(CC69="","",CE69-CD69)</f>
        <v/>
      </c>
      <c r="CG69" s="5" t="str">
        <f>IF(CC69="","",(CE69-'Rate &amp; Vol Update'!$C$2)/360)</f>
        <v/>
      </c>
      <c r="CH69" s="15" t="str">
        <f>IF(CC69="","",IF('Adjustment Surface'!$C$3='Data Validation'!$C$2,'Adjustment Surface'!$C$4,_xlfn.IFNA(IF(INDEX(Schedules!$E$3:$E$123,MATCH('Bachelier Model'!CD69,Schedules!$B$3:$B$123,0))="",CH68,INDEX(Schedules!$E$3:$E$123,MATCH('Bachelier Model'!CD69,Schedules!$B$3:$B$123,0))),CH68)))</f>
        <v/>
      </c>
      <c r="CI69" s="16" t="str">
        <f>IF(CC69="","",'Adjustment Surface'!B$18)</f>
        <v/>
      </c>
      <c r="CJ69" s="16" t="str" cm="1">
        <f t="array" ref="CJ69">IF(CC69="","",FORECAST(CD69,INDEX('Rate &amp; Vol Update'!$C$6:$C$127,MATCH(INDEX('Rate &amp; Vol Update'!$B$6:$B$127,MATCH(CD69,'Rate &amp; Vol Update'!$B$6:$B$127,1)),'Rate &amp; Vol Update'!$B$6:$B$127,0)+IF('Adjustment Surface'!$C$11='Data Validation'!$E$3,-1,0)):INDEX('Rate &amp; Vol Update'!$C$6:$C$127,MATCH(INDEX('Rate &amp; Vol Update'!$B$6:$B$127,MATCH(CD69,'Rate &amp; Vol Update'!$B$6:$B$127,1)+1),'Rate &amp; Vol Update'!$B$6:$B$127,0)+IF('Adjustment Surface'!$C$11='Data Validation'!$E$3,-1,0)),INDEX('Rate &amp; Vol Update'!$B$6:$B$127,MATCH(CD69,'Rate &amp; Vol Update'!$B$6:$B$127,1)):INDEX('Rate &amp; Vol Update'!$B$6:$B$127,MATCH(CD69,'Rate &amp; Vol Update'!$B$6:$B$127,1)+1))/100)</f>
        <v/>
      </c>
      <c r="CK69" s="16" t="str" cm="1">
        <f t="array" ref="CK69">IF(CC69="","",IF(CD69&lt;'Rate &amp; Vol Update'!$C$2,0.001%,(1/((INDEX('Rate &amp; Vol Update'!$E$6:$Z$6,1,MATCH(CI69,'Rate &amp; Vol Update'!$E$6:$Z$6,1)+1)-INDEX('Rate &amp; Vol Update'!$E$6:$Z$6,1,MATCH(CI69,'Rate &amp; Vol Update'!$E$6:$Z$6,1)))*(INDEX('Rate &amp; Vol Update'!$B$8:$B$127,MATCH(CD69,'Rate &amp; Vol Update'!$B$8:$B$127,1)+1)-INDEX('Rate &amp; Vol Update'!$B$8:$B$127,MATCH(CD69,'Rate &amp; Vol Update'!$B$8:$B$127,1))))*(INDEX('Rate &amp; Vol Update'!$E$8:$Z$127,MATCH(INDEX('Rate &amp; Vol Update'!$B$8:$B$127,MATCH(CD69,'Rate &amp; Vol Update'!$B$8:$B$127,1)),'Rate &amp; Vol Update'!$B$8:$B$127,0),MATCH(INDEX('Rate &amp; Vol Update'!$E$6:$Z$6,1,MATCH(CI69,'Rate &amp; Vol Update'!$E$6:$Z$6,1)),'Rate &amp; Vol Update'!$E$6:$Z$6,0))*(INDEX('Rate &amp; Vol Update'!$E$6:$Z$6,1,MATCH(CI69,'Rate &amp; Vol Update'!$E$6:$Z$6,1)+1)-CI69)*(INDEX('Rate &amp; Vol Update'!$B$8:$B$127,MATCH(CD69,'Rate &amp; Vol Update'!$B$8:$B$127,1)+1)-CD69)+INDEX('Rate &amp; Vol Update'!$E$8:$Z$127,MATCH(INDEX('Rate &amp; Vol Update'!$B$8:$B$127,MATCH(CD69,'Rate &amp; Vol Update'!$B$8:$B$127,1)),'Rate &amp; Vol Update'!$B$8:$B$127,0),MATCH(INDEX('Rate &amp; Vol Update'!$E$6:$Z$6,1,MATCH(CI69,'Rate &amp; Vol Update'!$E$6:$Z$6,1)+1),'Rate &amp; Vol Update'!$E$6:$Z$6,0))*(CI69-INDEX('Rate &amp; Vol Update'!$E$6:$Z$6,1,MATCH(CI69,'Rate &amp; Vol Update'!$E$6:$Z$6,1)))*(INDEX('Rate &amp; Vol Update'!$B$8:$B$127,MATCH(CD69,'Rate &amp; Vol Update'!$B$8:$B$127,1)+1)-CD69)+INDEX('Rate &amp; Vol Update'!$E$8:$Z$127,MATCH(INDEX('Rate &amp; Vol Update'!$B$8:$B$127,MATCH(CD69,'Rate &amp; Vol Update'!$B$8:$B$127,1)+1),'Rate &amp; Vol Update'!$B$8:$B$127,0),MATCH(INDEX('Rate &amp; Vol Update'!$E$6:$Z$6,1,MATCH(CI69,'Rate &amp; Vol Update'!$E$6:$Z$6,1)),'Rate &amp; Vol Update'!$E$6:$Z$6,0))*(INDEX('Rate &amp; Vol Update'!$E$6:$Z$6,1,MATCH(CI69,'Rate &amp; Vol Update'!$E$6:$Z$6,1)+1)-CI69)*(CD69-INDEX('Rate &amp; Vol Update'!$B$8:$B$127,MATCH(CD69,'Rate &amp; Vol Update'!$B$8:$B$127,1)))+INDEX('Rate &amp; Vol Update'!$E$8:$Z$127,MATCH(INDEX('Rate &amp; Vol Update'!$B$8:$B$127,MATCH(CD69,'Rate &amp; Vol Update'!$B$8:$B$127,1)+1),'Rate &amp; Vol Update'!$B$8:$B$127,0),MATCH(INDEX('Rate &amp; Vol Update'!$E$6:$Z$6,1,MATCH(CI69,'Rate &amp; Vol Update'!$E$6:$Z$6,1)+1),'Rate &amp; Vol Update'!$E$6:$Z$6,0))*(CI69-INDEX('Rate &amp; Vol Update'!$E$6:$Z$6,1,MATCH(CI69,'Rate &amp; Vol Update'!$E$6:$Z$6,1)))*(CD69-INDEX('Rate &amp; Vol Update'!$B$8:$B$127,MATCH(CD69,'Rate &amp; Vol Update'!$B$8:$B$127,1)))))*0.01%))</f>
        <v/>
      </c>
      <c r="CL69" s="5" t="str">
        <f>IF(CC69="","",1/((1+CJ69)^((CE69-'Rate &amp; Vol Update'!$C$2)/360)))</f>
        <v/>
      </c>
      <c r="CN69" s="15" t="str">
        <f>IF(CC69="","",IF(CD69&lt;'Rate &amp; Vol Update'!$C$2,MAX(0,CJ69-CI69)*(CF69/360)*CH69,(((IF('Adjustment Surface'!$C$2='Data Validation'!$A$2,CJ69,IF('Adjustment Surface'!$C$2='Data Validation'!$A$3,CI69,"Unknown Option Type"))-IF('Adjustment Surface'!$C$2='Data Validation'!$A$2,CI69,IF('Adjustment Surface'!$C$2='Data Validation'!$A$3,CJ69,"Unknown Option Type")))*(NORMDIST((IF('Adjustment Surface'!$C$2='Data Validation'!$A$2,CJ69,IF('Adjustment Surface'!$C$2='Data Validation'!$A$3,CI69,"Unknown Option Type"))-IF('Adjustment Surface'!$C$2='Data Validation'!$A$2,CI69,IF('Adjustment Surface'!$C$2='Data Validation'!$A$3,CJ69,"Unknown Option Type")))/(CK69*SQRT(CG69)),0,1,TRUE)))+((CK69*SQRT(CG69))*(NORMDIST((IF('Adjustment Surface'!$C$2='Data Validation'!$A$2,CJ69,IF('Adjustment Surface'!$C$2='Data Validation'!$A$3,CI69,"Unknown Option Type"))-IF('Adjustment Surface'!$C$2='Data Validation'!$A$2,CI69,IF('Adjustment Surface'!$C$2='Data Validation'!$A$3,CJ69,"Unknown Option Type")))/(CK69*SQRT(CG69)),0,1,FALSE))))*CL69*(CF69/360)*CH69))</f>
        <v/>
      </c>
      <c r="CO69" s="15" t="str">
        <f>IF(CC69="","",SUM(CN$4:CN69))</f>
        <v/>
      </c>
      <c r="CQ69" s="15" t="str">
        <f>IF(CC69="","",IF(CD69&lt;'Rate &amp; Vol Update'!$C$2,0,((((((IF('Adjustment Surface'!$C$2='Data Validation'!$A$2,CJ69,IF('Adjustment Surface'!$C$2='Data Validation'!$A$3,CI69,"Unknown Option Type"))-IF('Adjustment Surface'!$C$2='Data Validation'!$A$2,CI69,IF('Adjustment Surface'!$C$2='Data Validation'!$A$3,CJ69,"Unknown Option Type")))*(NORMDIST((IF('Adjustment Surface'!$C$2='Data Validation'!$A$2,CJ69,IF('Adjustment Surface'!$C$2='Data Validation'!$A$3,CI69,"Unknown Option Type"))-IF('Adjustment Surface'!$C$2='Data Validation'!$A$2,CI69,IF('Adjustment Surface'!$C$2='Data Validation'!$A$3,CJ69,"Unknown Option Type")))/((CK69+0.01%)*SQRT(CG69)),0,1,TRUE)))+(((CK69+0.01%)*SQRT(CG69))*(NORMDIST((IF('Adjustment Surface'!$C$2='Data Validation'!$A$2,CJ69,IF('Adjustment Surface'!$C$2='Data Validation'!$A$3,CI69,"Unknown Option Type"))-IF('Adjustment Surface'!$C$2='Data Validation'!$A$2,CI69,IF('Adjustment Surface'!$C$2='Data Validation'!$A$3,CJ69,"Unknown Option Type")))/((CK69+0.01%)*SQRT(CG69)),0,1,FALSE))))*CL69*(CF69/360))-(CN69/CH69))*CH69)*CL69))</f>
        <v/>
      </c>
      <c r="CR69" s="15" t="str">
        <f>IF(CC69="","",SUM(CQ$4:CQ69))</f>
        <v/>
      </c>
    </row>
    <row r="70" spans="7:96" x14ac:dyDescent="0.25">
      <c r="G70" s="28"/>
      <c r="J70" s="4" t="str">
        <f>IF(K69='Adjustment Surface'!C$8,"",K69)</f>
        <v/>
      </c>
      <c r="K70" s="4" t="str">
        <f>IF(J70="","",IF(J70&lt;'Adjustment Surface'!C$7,EDATE(J$5,COUNT(J$5:J70)),IF(J70='Adjustment Surface'!C$7,'Adjustment Surface'!C$8,'Adjustment Surface'!C$7)))</f>
        <v/>
      </c>
      <c r="L70" s="3" t="str">
        <f t="shared" si="6"/>
        <v/>
      </c>
      <c r="M70" s="5" t="str">
        <f>IF(I70="","",(K70-'Rate &amp; Vol Update'!$C$2)/360)</f>
        <v/>
      </c>
      <c r="N70" s="15" t="str">
        <f>IF(I70="","",IF('Adjustment Surface'!C$3='Data Validation'!$C$2,'Adjustment Surface'!C$4,IF(INDEX(Schedules!$E$3:$E$123,MATCH('Bachelier Model'!J70,Schedules!$B$3:$B$123,0))="",N69,INDEX(Schedules!$E$3:$E$123,MATCH('Bachelier Model'!J70,Schedules!$B$3:$B$123,0)))))</f>
        <v/>
      </c>
      <c r="O70" s="16" t="str">
        <f>IF(I70="","",IF('Adjustment Surface'!C$9='Data Validation'!$D$2,'Adjustment Surface'!C$10,IF(INDEX(Schedules!$H$3:$H$123,MATCH('Bachelier Model'!J70,Schedules!$B$3:$B$123,0))="",O69,INDEX(Schedules!$H$3:$H$123,MATCH('Bachelier Model'!J70,Schedules!$B$3:$B$123,0)))))</f>
        <v/>
      </c>
      <c r="P70" s="16" t="str" cm="1">
        <f t="array" ref="P70">IF(I70="","",FORECAST(J70,INDEX('Rate &amp; Vol Update'!$C$6:$C$127,MATCH(INDEX('Rate &amp; Vol Update'!$B$6:$B$127,MATCH(J70,'Rate &amp; Vol Update'!$B$6:$B$127,1)),'Rate &amp; Vol Update'!$B$6:$B$127,0)+IF('Adjustment Surface'!C$11='Data Validation'!$E$3,-1,0)):INDEX('Rate &amp; Vol Update'!$C$6:$C$127,MATCH(INDEX('Rate &amp; Vol Update'!$B$6:$B$127,MATCH(J70,'Rate &amp; Vol Update'!$B$6:$B$127,1)+1),'Rate &amp; Vol Update'!$B$6:$B$127,0)+IF('Adjustment Surface'!C$11='Data Validation'!$E$3,-1,0)),INDEX('Rate &amp; Vol Update'!$B$6:$B$127,MATCH(J70,'Rate &amp; Vol Update'!$B$6:$B$127,1)):INDEX('Rate &amp; Vol Update'!$B$6:$B$127,MATCH(J70,'Rate &amp; Vol Update'!$B$6:$B$127,1)+1))/100)</f>
        <v/>
      </c>
      <c r="Q70" s="16" t="str" cm="1">
        <f t="array" ref="Q70">IF(I70="","",IF(J70&lt;'Rate &amp; Vol Update'!$C$2,0.001%,(1/((INDEX('Rate &amp; Vol Update'!$E$6:$Z$6,1,MATCH(O70,'Rate &amp; Vol Update'!$E$6:$Z$6,1)+1)-INDEX('Rate &amp; Vol Update'!$E$6:$Z$6,1,MATCH(O70,'Rate &amp; Vol Update'!$E$6:$Z$6,1)))*(INDEX('Rate &amp; Vol Update'!$B$8:$B$127,MATCH(J70,'Rate &amp; Vol Update'!$B$8:$B$127,1)+1)-INDEX('Rate &amp; Vol Update'!$B$8:$B$127,MATCH(J70,'Rate &amp; Vol Update'!$B$8:$B$127,1))))*(INDEX('Rate &amp; Vol Update'!$E$8:$Z$127,MATCH(INDEX('Rate &amp; Vol Update'!$B$8:$B$127,MATCH(J70,'Rate &amp; Vol Update'!$B$8:$B$127,1)),'Rate &amp; Vol Update'!$B$8:$B$127,0),MATCH(INDEX('Rate &amp; Vol Update'!$E$6:$Z$6,1,MATCH(O70,'Rate &amp; Vol Update'!$E$6:$Z$6,1)),'Rate &amp; Vol Update'!$E$6:$Z$6,0))*(INDEX('Rate &amp; Vol Update'!$E$6:$Z$6,1,MATCH(O70,'Rate &amp; Vol Update'!$E$6:$Z$6,1)+1)-O70)*(INDEX('Rate &amp; Vol Update'!$B$8:$B$127,MATCH(J70,'Rate &amp; Vol Update'!$B$8:$B$127,1)+1)-J70)+INDEX('Rate &amp; Vol Update'!$E$8:$Z$127,MATCH(INDEX('Rate &amp; Vol Update'!$B$8:$B$127,MATCH(J70,'Rate &amp; Vol Update'!$B$8:$B$127,1)),'Rate &amp; Vol Update'!$B$8:$B$127,0),MATCH(INDEX('Rate &amp; Vol Update'!$E$6:$Z$6,1,MATCH(O70,'Rate &amp; Vol Update'!$E$6:$Z$6,1)+1),'Rate &amp; Vol Update'!$E$6:$Z$6,0))*(O70-INDEX('Rate &amp; Vol Update'!$E$6:$Z$6,1,MATCH(O70,'Rate &amp; Vol Update'!$E$6:$Z$6,1)))*(INDEX('Rate &amp; Vol Update'!$B$8:$B$127,MATCH(J70,'Rate &amp; Vol Update'!$B$8:$B$127,1)+1)-J70)+INDEX('Rate &amp; Vol Update'!$E$8:$Z$127,MATCH(INDEX('Rate &amp; Vol Update'!$B$8:$B$127,MATCH(J70,'Rate &amp; Vol Update'!$B$8:$B$127,1)+1),'Rate &amp; Vol Update'!$B$8:$B$127,0),MATCH(INDEX('Rate &amp; Vol Update'!$E$6:$Z$6,1,MATCH(O70,'Rate &amp; Vol Update'!$E$6:$Z$6,1)),'Rate &amp; Vol Update'!$E$6:$Z$6,0))*(INDEX('Rate &amp; Vol Update'!$E$6:$Z$6,1,MATCH(O70,'Rate &amp; Vol Update'!$E$6:$Z$6,1)+1)-O70)*(J70-INDEX('Rate &amp; Vol Update'!$B$8:$B$127,MATCH(J70,'Rate &amp; Vol Update'!$B$8:$B$127,1)))+INDEX('Rate &amp; Vol Update'!$E$8:$Z$127,MATCH(INDEX('Rate &amp; Vol Update'!$B$8:$B$127,MATCH(J70,'Rate &amp; Vol Update'!$B$8:$B$127,1)+1),'Rate &amp; Vol Update'!$B$8:$B$127,0),MATCH(INDEX('Rate &amp; Vol Update'!$E$6:$Z$6,1,MATCH(O70,'Rate &amp; Vol Update'!$E$6:$Z$6,1)+1),'Rate &amp; Vol Update'!$E$6:$Z$6,0))*(O70-INDEX('Rate &amp; Vol Update'!$E$6:$Z$6,1,MATCH(O70,'Rate &amp; Vol Update'!$E$6:$Z$6,1)))*(J70-INDEX('Rate &amp; Vol Update'!$B$8:$B$127,MATCH(J70,'Rate &amp; Vol Update'!$B$8:$B$127,1)))))*0.01%))</f>
        <v/>
      </c>
      <c r="R70" s="5" t="str">
        <f>IF(I70="","",1/((1+P70)^((K70-'Rate &amp; Vol Update'!$C$2)/360)))</f>
        <v/>
      </c>
      <c r="T70" s="15" t="str">
        <f>IF(I70="","",IF(J70&lt;'Rate &amp; Vol Update'!$C$2,MAX(0,P70-O70)*(L70/360)*N70,(((IF('Adjustment Surface'!C$2='Data Validation'!$A$2,P70,IF('Adjustment Surface'!C$2='Data Validation'!$A$3,O70,"Unknown Option Type"))-IF('Adjustment Surface'!C$2='Data Validation'!$A$2,O70,IF('Adjustment Surface'!C$2='Data Validation'!$A$3,P70,"Unknown Option Type")))*(NORMDIST((IF('Adjustment Surface'!C$2='Data Validation'!$A$2,P70,IF('Adjustment Surface'!C$2='Data Validation'!$A$3,O70,"Unknown Option Type"))-IF('Adjustment Surface'!C$2='Data Validation'!$A$2,O70,IF('Adjustment Surface'!C$2='Data Validation'!$A$3,P70,"Unknown Option Type")))/(Q70*SQRT(M70)),0,1,TRUE)))+((Q70*SQRT(M70))*(NORMDIST((IF('Adjustment Surface'!C$2='Data Validation'!$A$2,P70,IF('Adjustment Surface'!C$2='Data Validation'!$A$3,O70,"Unknown Option Type"))-IF('Adjustment Surface'!C$2='Data Validation'!$A$2,O70,IF('Adjustment Surface'!C$2='Data Validation'!$A$3,P70,"Unknown Option Type")))/(Q70*SQRT(M70)),0,1,FALSE))))*R70*(L70/360)*N70))</f>
        <v/>
      </c>
      <c r="U70" s="15" t="str">
        <f>IF(I70="","",SUM(T$4:T70))</f>
        <v/>
      </c>
      <c r="W70" s="15" t="str">
        <f>IF(I70="","",IF(J70&lt;'Rate &amp; Vol Update'!$C$2,0,((((((IF('Adjustment Surface'!C$2='Data Validation'!$A$2,P70,IF('Adjustment Surface'!C$2='Data Validation'!$A$3,O70,"Unknown Option Type"))-IF('Adjustment Surface'!C$2='Data Validation'!$A$2,O70,IF('Adjustment Surface'!C$2='Data Validation'!$A$3,P70,"Unknown Option Type")))*(NORMDIST((IF('Adjustment Surface'!C$2='Data Validation'!$A$2,P70,IF('Adjustment Surface'!C$2='Data Validation'!$A$3,O70,"Unknown Option Type"))-IF('Adjustment Surface'!C$2='Data Validation'!$A$2,O70,IF('Adjustment Surface'!C$2='Data Validation'!$A$3,P70,"Unknown Option Type")))/((Q70+0.01%)*SQRT(M70)),0,1,TRUE)))+(((Q70+0.01%)*SQRT(M70))*(NORMDIST((IF('Adjustment Surface'!C$2='Data Validation'!$A$2,P70,IF('Adjustment Surface'!C$2='Data Validation'!$A$3,O70,"Unknown Option Type"))-IF('Adjustment Surface'!C$2='Data Validation'!$A$2,O70,IF('Adjustment Surface'!C$2='Data Validation'!$A$3,P70,"Unknown Option Type")))/((Q70+0.01%)*SQRT(M70)),0,1,FALSE))))*R70*(L70/360))-(T70/N70))*N70)*R70))</f>
        <v/>
      </c>
      <c r="X70" s="15" t="str">
        <f>IF(I70="","",SUM(W$4:W70))</f>
        <v/>
      </c>
      <c r="Y70" s="15"/>
      <c r="Z70" s="20"/>
      <c r="AB70" s="4" t="str">
        <f>IF(AC69=MAX('Adjustment Surface'!$C$14:$F$14),"",AC69)</f>
        <v/>
      </c>
      <c r="AC70" s="4" t="str">
        <f>IF(AB70="","",IF(AB70&lt;EDATE('Adjustment Surface'!$C$6,DATEDIF('Adjustment Surface'!$C$6,MAX('Adjustment Surface'!$C$14:$F$14),"M")),EDATE(AB$5,COUNT(AB$5:AB70)),IF(AB70=EDATE('Adjustment Surface'!$C$6,DATEDIF('Adjustment Surface'!$C$6,MAX('Adjustment Surface'!$C$14:$F$14),"M")),MAX('Adjustment Surface'!$C$14:$F$14),EDATE('Adjustment Surface'!$C$6,DATEDIF('Adjustment Surface'!$C$6,MAX('Adjustment Surface'!$C$14:$F$14),"M")))))</f>
        <v/>
      </c>
      <c r="AD70" s="3" t="str">
        <f t="shared" si="7"/>
        <v/>
      </c>
      <c r="AE70" s="5" t="str">
        <f>IF(AA70="","",(AC70-'Rate &amp; Vol Update'!$C$2)/360)</f>
        <v/>
      </c>
      <c r="AF70" s="15" t="str">
        <f>IF(AA70="","",IF('Adjustment Surface'!$C$3='Data Validation'!$C$2,'Adjustment Surface'!$C$4,_xlfn.IFNA(IF(INDEX(Schedules!$E$3:$E$123,MATCH('Bachelier Model'!AB70,Schedules!$B$3:$B$123,0))="",AF69,INDEX(Schedules!$E$3:$E$123,MATCH('Bachelier Model'!AB70,Schedules!$B$3:$B$123,0))),AF69)))</f>
        <v/>
      </c>
      <c r="AG70" s="16" t="str">
        <f>IF(AA70="","",'Adjustment Surface'!B$15)</f>
        <v/>
      </c>
      <c r="AH70" s="16" t="str" cm="1">
        <f t="array" ref="AH70">IF(AA70="","",FORECAST(AB70,INDEX('Rate &amp; Vol Update'!$C$6:$C$127,MATCH(INDEX('Rate &amp; Vol Update'!$B$6:$B$127,MATCH(AB70,'Rate &amp; Vol Update'!$B$6:$B$127,1)),'Rate &amp; Vol Update'!$B$6:$B$127,0)+IF('Adjustment Surface'!$C$11='Data Validation'!$E$3,-1,0)):INDEX('Rate &amp; Vol Update'!$C$6:$C$127,MATCH(INDEX('Rate &amp; Vol Update'!$B$6:$B$127,MATCH(AB70,'Rate &amp; Vol Update'!$B$6:$B$127,1)+1),'Rate &amp; Vol Update'!$B$6:$B$127,0)+IF('Adjustment Surface'!$C$11='Data Validation'!$E$3,-1,0)),INDEX('Rate &amp; Vol Update'!$B$6:$B$127,MATCH(AB70,'Rate &amp; Vol Update'!$B$6:$B$127,1)):INDEX('Rate &amp; Vol Update'!$B$6:$B$127,MATCH(AB70,'Rate &amp; Vol Update'!$B$6:$B$127,1)+1))/100)</f>
        <v/>
      </c>
      <c r="AI70" s="16" t="str" cm="1">
        <f t="array" ref="AI70">IF(AA70="","",IF(AB70&lt;'Rate &amp; Vol Update'!$C$2,0.001%,(1/((INDEX('Rate &amp; Vol Update'!$E$6:$Z$6,1,MATCH(AG70,'Rate &amp; Vol Update'!$E$6:$Z$6,1)+1)-INDEX('Rate &amp; Vol Update'!$E$6:$Z$6,1,MATCH(AG70,'Rate &amp; Vol Update'!$E$6:$Z$6,1)))*(INDEX('Rate &amp; Vol Update'!$B$8:$B$127,MATCH(AB70,'Rate &amp; Vol Update'!$B$8:$B$127,1)+1)-INDEX('Rate &amp; Vol Update'!$B$8:$B$127,MATCH(AB70,'Rate &amp; Vol Update'!$B$8:$B$127,1))))*(INDEX('Rate &amp; Vol Update'!$E$8:$Z$127,MATCH(INDEX('Rate &amp; Vol Update'!$B$8:$B$127,MATCH(AB70,'Rate &amp; Vol Update'!$B$8:$B$127,1)),'Rate &amp; Vol Update'!$B$8:$B$127,0),MATCH(INDEX('Rate &amp; Vol Update'!$E$6:$Z$6,1,MATCH(AG70,'Rate &amp; Vol Update'!$E$6:$Z$6,1)),'Rate &amp; Vol Update'!$E$6:$Z$6,0))*(INDEX('Rate &amp; Vol Update'!$E$6:$Z$6,1,MATCH(AG70,'Rate &amp; Vol Update'!$E$6:$Z$6,1)+1)-AG70)*(INDEX('Rate &amp; Vol Update'!$B$8:$B$127,MATCH(AB70,'Rate &amp; Vol Update'!$B$8:$B$127,1)+1)-AB70)+INDEX('Rate &amp; Vol Update'!$E$8:$Z$127,MATCH(INDEX('Rate &amp; Vol Update'!$B$8:$B$127,MATCH(AB70,'Rate &amp; Vol Update'!$B$8:$B$127,1)),'Rate &amp; Vol Update'!$B$8:$B$127,0),MATCH(INDEX('Rate &amp; Vol Update'!$E$6:$Z$6,1,MATCH(AG70,'Rate &amp; Vol Update'!$E$6:$Z$6,1)+1),'Rate &amp; Vol Update'!$E$6:$Z$6,0))*(AG70-INDEX('Rate &amp; Vol Update'!$E$6:$Z$6,1,MATCH(AG70,'Rate &amp; Vol Update'!$E$6:$Z$6,1)))*(INDEX('Rate &amp; Vol Update'!$B$8:$B$127,MATCH(AB70,'Rate &amp; Vol Update'!$B$8:$B$127,1)+1)-AB70)+INDEX('Rate &amp; Vol Update'!$E$8:$Z$127,MATCH(INDEX('Rate &amp; Vol Update'!$B$8:$B$127,MATCH(AB70,'Rate &amp; Vol Update'!$B$8:$B$127,1)+1),'Rate &amp; Vol Update'!$B$8:$B$127,0),MATCH(INDEX('Rate &amp; Vol Update'!$E$6:$Z$6,1,MATCH(AG70,'Rate &amp; Vol Update'!$E$6:$Z$6,1)),'Rate &amp; Vol Update'!$E$6:$Z$6,0))*(INDEX('Rate &amp; Vol Update'!$E$6:$Z$6,1,MATCH(AG70,'Rate &amp; Vol Update'!$E$6:$Z$6,1)+1)-AG70)*(AB70-INDEX('Rate &amp; Vol Update'!$B$8:$B$127,MATCH(AB70,'Rate &amp; Vol Update'!$B$8:$B$127,1)))+INDEX('Rate &amp; Vol Update'!$E$8:$Z$127,MATCH(INDEX('Rate &amp; Vol Update'!$B$8:$B$127,MATCH(AB70,'Rate &amp; Vol Update'!$B$8:$B$127,1)+1),'Rate &amp; Vol Update'!$B$8:$B$127,0),MATCH(INDEX('Rate &amp; Vol Update'!$E$6:$Z$6,1,MATCH(AG70,'Rate &amp; Vol Update'!$E$6:$Z$6,1)+1),'Rate &amp; Vol Update'!$E$6:$Z$6,0))*(AG70-INDEX('Rate &amp; Vol Update'!$E$6:$Z$6,1,MATCH(AG70,'Rate &amp; Vol Update'!$E$6:$Z$6,1)))*(AB70-INDEX('Rate &amp; Vol Update'!$B$8:$B$127,MATCH(AB70,'Rate &amp; Vol Update'!$B$8:$B$127,1)))))*0.01%))</f>
        <v/>
      </c>
      <c r="AJ70" s="5" t="str">
        <f>IF(AA70="","",1/((1+AH70)^((AC70-'Rate &amp; Vol Update'!$C$2)/360)))</f>
        <v/>
      </c>
      <c r="AL70" s="15" t="str">
        <f>IF(AA70="","",IF(AB70&lt;'Rate &amp; Vol Update'!$C$2,MAX(0,AH70-AG70)*(AD70/360)*AF70,(((IF('Adjustment Surface'!$C$2='Data Validation'!$A$2,AH70,IF('Adjustment Surface'!$C$2='Data Validation'!$A$3,AG70,"Unknown Option Type"))-IF('Adjustment Surface'!$C$2='Data Validation'!$A$2,AG70,IF('Adjustment Surface'!$C$2='Data Validation'!$A$3,AH70,"Unknown Option Type")))*(NORMDIST((IF('Adjustment Surface'!$C$2='Data Validation'!$A$2,AH70,IF('Adjustment Surface'!$C$2='Data Validation'!$A$3,AG70,"Unknown Option Type"))-IF('Adjustment Surface'!$C$2='Data Validation'!$A$2,AG70,IF('Adjustment Surface'!$C$2='Data Validation'!$A$3,AH70,"Unknown Option Type")))/(AI70*SQRT(AE70)),0,1,TRUE)))+((AI70*SQRT(AE70))*(NORMDIST((IF('Adjustment Surface'!$C$2='Data Validation'!$A$2,AH70,IF('Adjustment Surface'!$C$2='Data Validation'!$A$3,AG70,"Unknown Option Type"))-IF('Adjustment Surface'!$C$2='Data Validation'!$A$2,AG70,IF('Adjustment Surface'!$C$2='Data Validation'!$A$3,AH70,"Unknown Option Type")))/(AI70*SQRT(AE70)),0,1,FALSE))))*AJ70*(AD70/360)*AF70))</f>
        <v/>
      </c>
      <c r="AM70" s="15" t="str">
        <f>IF(AA70="","",SUM(AL$4:AL70))</f>
        <v/>
      </c>
      <c r="AO70" s="15" t="str">
        <f>IF(AA70="","",IF(AB70&lt;'Rate &amp; Vol Update'!$C$2,0,((((((IF('Adjustment Surface'!$C$2='Data Validation'!$A$2,AH70,IF('Adjustment Surface'!$C$2='Data Validation'!$A$3,AG70,"Unknown Option Type"))-IF('Adjustment Surface'!$C$2='Data Validation'!$A$2,AG70,IF('Adjustment Surface'!$C$2='Data Validation'!$A$3,AH70,"Unknown Option Type")))*(NORMDIST((IF('Adjustment Surface'!$C$2='Data Validation'!$A$2,AH70,IF('Adjustment Surface'!$C$2='Data Validation'!$A$3,AG70,"Unknown Option Type"))-IF('Adjustment Surface'!$C$2='Data Validation'!$A$2,AG70,IF('Adjustment Surface'!$C$2='Data Validation'!$A$3,AH70,"Unknown Option Type")))/((AI70+0.01%)*SQRT(AE70)),0,1,TRUE)))+(((AI70+0.01%)*SQRT(AE70))*(NORMDIST((IF('Adjustment Surface'!$C$2='Data Validation'!$A$2,AH70,IF('Adjustment Surface'!$C$2='Data Validation'!$A$3,AG70,"Unknown Option Type"))-IF('Adjustment Surface'!$C$2='Data Validation'!$A$2,AG70,IF('Adjustment Surface'!$C$2='Data Validation'!$A$3,AH70,"Unknown Option Type")))/((AI70+0.01%)*SQRT(AE70)),0,1,FALSE))))*AJ70*(AD70/360))-(AL70/AF70))*AF70)*AJ70))</f>
        <v/>
      </c>
      <c r="AP70" s="15" t="str">
        <f>IF(AA70="","",SUM(AO$4:AO70))</f>
        <v/>
      </c>
      <c r="AQ70" s="15"/>
      <c r="AR70" s="20"/>
      <c r="AT70" s="4" t="str">
        <f>IF(AU69=MAX('Adjustment Surface'!$C$14:$F$14),"",AU69)</f>
        <v/>
      </c>
      <c r="AU70" s="4" t="str">
        <f>IF(AT70="","",IF(AT70&lt;EDATE('Adjustment Surface'!$C$6,DATEDIF('Adjustment Surface'!$C$6,MAX('Adjustment Surface'!$C$14:$F$14),"M")),EDATE(AT$5,COUNT(AT$5:AT70)),IF(AT70=EDATE('Adjustment Surface'!$C$6,DATEDIF('Adjustment Surface'!$C$6,MAX('Adjustment Surface'!$C$14:$F$14),"M")),MAX('Adjustment Surface'!$C$14:$F$14),EDATE('Adjustment Surface'!$C$6,DATEDIF('Adjustment Surface'!$C$6,MAX('Adjustment Surface'!$C$14:$F$14),"M")))))</f>
        <v/>
      </c>
      <c r="AV70" s="3" t="str">
        <f t="shared" si="8"/>
        <v/>
      </c>
      <c r="AW70" s="5" t="str">
        <f>IF(AS70="","",(AU70-'Rate &amp; Vol Update'!$C$2)/360)</f>
        <v/>
      </c>
      <c r="AX70" s="15" t="str">
        <f>IF(AS70="","",IF('Adjustment Surface'!$C$3='Data Validation'!$C$2,'Adjustment Surface'!$C$4,_xlfn.IFNA(IF(INDEX(Schedules!$E$3:$E$123,MATCH('Bachelier Model'!AT70,Schedules!$B$3:$B$123,0))="",AX69,INDEX(Schedules!$E$3:$E$123,MATCH('Bachelier Model'!AT70,Schedules!$B$3:$B$123,0))),AX69)))</f>
        <v/>
      </c>
      <c r="AY70" s="16" t="str">
        <f>IF(AS70="","",'Adjustment Surface'!B$16)</f>
        <v/>
      </c>
      <c r="AZ70" s="16" t="str" cm="1">
        <f t="array" ref="AZ70">IF(AS70="","",FORECAST(AT70,INDEX('Rate &amp; Vol Update'!$C$6:$C$127,MATCH(INDEX('Rate &amp; Vol Update'!$B$6:$B$127,MATCH(AT70,'Rate &amp; Vol Update'!$B$6:$B$127,1)),'Rate &amp; Vol Update'!$B$6:$B$127,0)+IF('Adjustment Surface'!$C$11='Data Validation'!$E$3,-1,0)):INDEX('Rate &amp; Vol Update'!$C$6:$C$127,MATCH(INDEX('Rate &amp; Vol Update'!$B$6:$B$127,MATCH(AT70,'Rate &amp; Vol Update'!$B$6:$B$127,1)+1),'Rate &amp; Vol Update'!$B$6:$B$127,0)+IF('Adjustment Surface'!$C$11='Data Validation'!$E$3,-1,0)),INDEX('Rate &amp; Vol Update'!$B$6:$B$127,MATCH(AT70,'Rate &amp; Vol Update'!$B$6:$B$127,1)):INDEX('Rate &amp; Vol Update'!$B$6:$B$127,MATCH(AT70,'Rate &amp; Vol Update'!$B$6:$B$127,1)+1))/100)</f>
        <v/>
      </c>
      <c r="BA70" s="16" t="str" cm="1">
        <f t="array" ref="BA70">IF(AS70="","",IF(AT70&lt;'Rate &amp; Vol Update'!$C$2,0.001%,(1/((INDEX('Rate &amp; Vol Update'!$E$6:$Z$6,1,MATCH(AY70,'Rate &amp; Vol Update'!$E$6:$Z$6,1)+1)-INDEX('Rate &amp; Vol Update'!$E$6:$Z$6,1,MATCH(AY70,'Rate &amp; Vol Update'!$E$6:$Z$6,1)))*(INDEX('Rate &amp; Vol Update'!$B$8:$B$127,MATCH(AT70,'Rate &amp; Vol Update'!$B$8:$B$127,1)+1)-INDEX('Rate &amp; Vol Update'!$B$8:$B$127,MATCH(AT70,'Rate &amp; Vol Update'!$B$8:$B$127,1))))*(INDEX('Rate &amp; Vol Update'!$E$8:$Z$127,MATCH(INDEX('Rate &amp; Vol Update'!$B$8:$B$127,MATCH(AT70,'Rate &amp; Vol Update'!$B$8:$B$127,1)),'Rate &amp; Vol Update'!$B$8:$B$127,0),MATCH(INDEX('Rate &amp; Vol Update'!$E$6:$Z$6,1,MATCH(AY70,'Rate &amp; Vol Update'!$E$6:$Z$6,1)),'Rate &amp; Vol Update'!$E$6:$Z$6,0))*(INDEX('Rate &amp; Vol Update'!$E$6:$Z$6,1,MATCH(AY70,'Rate &amp; Vol Update'!$E$6:$Z$6,1)+1)-AY70)*(INDEX('Rate &amp; Vol Update'!$B$8:$B$127,MATCH(AT70,'Rate &amp; Vol Update'!$B$8:$B$127,1)+1)-AT70)+INDEX('Rate &amp; Vol Update'!$E$8:$Z$127,MATCH(INDEX('Rate &amp; Vol Update'!$B$8:$B$127,MATCH(AT70,'Rate &amp; Vol Update'!$B$8:$B$127,1)),'Rate &amp; Vol Update'!$B$8:$B$127,0),MATCH(INDEX('Rate &amp; Vol Update'!$E$6:$Z$6,1,MATCH(AY70,'Rate &amp; Vol Update'!$E$6:$Z$6,1)+1),'Rate &amp; Vol Update'!$E$6:$Z$6,0))*(AY70-INDEX('Rate &amp; Vol Update'!$E$6:$Z$6,1,MATCH(AY70,'Rate &amp; Vol Update'!$E$6:$Z$6,1)))*(INDEX('Rate &amp; Vol Update'!$B$8:$B$127,MATCH(AT70,'Rate &amp; Vol Update'!$B$8:$B$127,1)+1)-AT70)+INDEX('Rate &amp; Vol Update'!$E$8:$Z$127,MATCH(INDEX('Rate &amp; Vol Update'!$B$8:$B$127,MATCH(AT70,'Rate &amp; Vol Update'!$B$8:$B$127,1)+1),'Rate &amp; Vol Update'!$B$8:$B$127,0),MATCH(INDEX('Rate &amp; Vol Update'!$E$6:$Z$6,1,MATCH(AY70,'Rate &amp; Vol Update'!$E$6:$Z$6,1)),'Rate &amp; Vol Update'!$E$6:$Z$6,0))*(INDEX('Rate &amp; Vol Update'!$E$6:$Z$6,1,MATCH(AY70,'Rate &amp; Vol Update'!$E$6:$Z$6,1)+1)-AY70)*(AT70-INDEX('Rate &amp; Vol Update'!$B$8:$B$127,MATCH(AT70,'Rate &amp; Vol Update'!$B$8:$B$127,1)))+INDEX('Rate &amp; Vol Update'!$E$8:$Z$127,MATCH(INDEX('Rate &amp; Vol Update'!$B$8:$B$127,MATCH(AT70,'Rate &amp; Vol Update'!$B$8:$B$127,1)+1),'Rate &amp; Vol Update'!$B$8:$B$127,0),MATCH(INDEX('Rate &amp; Vol Update'!$E$6:$Z$6,1,MATCH(AY70,'Rate &amp; Vol Update'!$E$6:$Z$6,1)+1),'Rate &amp; Vol Update'!$E$6:$Z$6,0))*(AY70-INDEX('Rate &amp; Vol Update'!$E$6:$Z$6,1,MATCH(AY70,'Rate &amp; Vol Update'!$E$6:$Z$6,1)))*(AT70-INDEX('Rate &amp; Vol Update'!$B$8:$B$127,MATCH(AT70,'Rate &amp; Vol Update'!$B$8:$B$127,1)))))*0.01%))</f>
        <v/>
      </c>
      <c r="BB70" s="5" t="str">
        <f>IF(AS70="","",1/((1+AZ70)^((AU70-'Rate &amp; Vol Update'!$C$2)/360)))</f>
        <v/>
      </c>
      <c r="BD70" s="15" t="str">
        <f>IF(AS70="","",IF(AT70&lt;'Rate &amp; Vol Update'!$C$2,MAX(0,AZ70-AY70)*(AV70/360)*AX70,(((IF('Adjustment Surface'!$C$2='Data Validation'!$A$2,AZ70,IF('Adjustment Surface'!$C$2='Data Validation'!$A$3,AY70,"Unknown Option Type"))-IF('Adjustment Surface'!$C$2='Data Validation'!$A$2,AY70,IF('Adjustment Surface'!$C$2='Data Validation'!$A$3,AZ70,"Unknown Option Type")))*(NORMDIST((IF('Adjustment Surface'!$C$2='Data Validation'!$A$2,AZ70,IF('Adjustment Surface'!$C$2='Data Validation'!$A$3,AY70,"Unknown Option Type"))-IF('Adjustment Surface'!$C$2='Data Validation'!$A$2,AY70,IF('Adjustment Surface'!$C$2='Data Validation'!$A$3,AZ70,"Unknown Option Type")))/(BA70*SQRT(AW70)),0,1,TRUE)))+((BA70*SQRT(AW70))*(NORMDIST((IF('Adjustment Surface'!$C$2='Data Validation'!$A$2,AZ70,IF('Adjustment Surface'!$C$2='Data Validation'!$A$3,AY70,"Unknown Option Type"))-IF('Adjustment Surface'!$C$2='Data Validation'!$A$2,AY70,IF('Adjustment Surface'!$C$2='Data Validation'!$A$3,AZ70,"Unknown Option Type")))/(BA70*SQRT(AW70)),0,1,FALSE))))*BB70*(AV70/360)*AX70))</f>
        <v/>
      </c>
      <c r="BE70" s="15" t="str">
        <f>IF(AS70="","",SUM(BD$4:BD70))</f>
        <v/>
      </c>
      <c r="BG70" s="15" t="str">
        <f>IF(AS70="","",IF(AT70&lt;'Rate &amp; Vol Update'!$C$2,0,((((((IF('Adjustment Surface'!$C$2='Data Validation'!$A$2,AZ70,IF('Adjustment Surface'!$C$2='Data Validation'!$A$3,AY70,"Unknown Option Type"))-IF('Adjustment Surface'!$C$2='Data Validation'!$A$2,AY70,IF('Adjustment Surface'!$C$2='Data Validation'!$A$3,AZ70,"Unknown Option Type")))*(NORMDIST((IF('Adjustment Surface'!$C$2='Data Validation'!$A$2,AZ70,IF('Adjustment Surface'!$C$2='Data Validation'!$A$3,AY70,"Unknown Option Type"))-IF('Adjustment Surface'!$C$2='Data Validation'!$A$2,AY70,IF('Adjustment Surface'!$C$2='Data Validation'!$A$3,AZ70,"Unknown Option Type")))/((BA70+0.01%)*SQRT(AW70)),0,1,TRUE)))+(((BA70+0.01%)*SQRT(AW70))*(NORMDIST((IF('Adjustment Surface'!$C$2='Data Validation'!$A$2,AZ70,IF('Adjustment Surface'!$C$2='Data Validation'!$A$3,AY70,"Unknown Option Type"))-IF('Adjustment Surface'!$C$2='Data Validation'!$A$2,AY70,IF('Adjustment Surface'!$C$2='Data Validation'!$A$3,AZ70,"Unknown Option Type")))/((BA70+0.01%)*SQRT(AW70)),0,1,FALSE))))*BB70*(AV70/360))-(BD70/AX70))*AX70)*BB70))</f>
        <v/>
      </c>
      <c r="BH70" s="15" t="str">
        <f>IF(AS70="","",SUM(BG$4:BG70))</f>
        <v/>
      </c>
      <c r="BI70" s="15"/>
      <c r="BJ70" s="20"/>
      <c r="BL70" s="4" t="str">
        <f>IF(BM69=MAX('Adjustment Surface'!$C$14:$F$14),"",BM69)</f>
        <v/>
      </c>
      <c r="BM70" s="4" t="str">
        <f>IF(BL70="","",IF(BL70&lt;EDATE('Adjustment Surface'!$C$6,DATEDIF('Adjustment Surface'!$C$6,MAX('Adjustment Surface'!$C$14:$F$14),"M")),EDATE(BL$5,COUNT(BL$5:BL70)),IF(BL70=EDATE('Adjustment Surface'!$C$6,DATEDIF('Adjustment Surface'!$C$6,MAX('Adjustment Surface'!$C$14:$F$14),"M")),MAX('Adjustment Surface'!$C$14:$F$14),EDATE('Adjustment Surface'!$C$6,DATEDIF('Adjustment Surface'!$C$6,MAX('Adjustment Surface'!$C$14:$F$14),"M")))))</f>
        <v/>
      </c>
      <c r="BN70" s="3" t="str">
        <f t="shared" si="9"/>
        <v/>
      </c>
      <c r="BO70" s="5" t="str">
        <f>IF(BK70="","",(BM70-'Rate &amp; Vol Update'!$C$2)/360)</f>
        <v/>
      </c>
      <c r="BP70" s="15" t="str">
        <f>IF(BK70="","",IF('Adjustment Surface'!$C$3='Data Validation'!$C$2,'Adjustment Surface'!$C$4,_xlfn.IFNA(IF(INDEX(Schedules!$E$3:$E$123,MATCH('Bachelier Model'!BL70,Schedules!$B$3:$B$123,0))="",BP69,INDEX(Schedules!$E$3:$E$123,MATCH('Bachelier Model'!BL70,Schedules!$B$3:$B$123,0))),BP69)))</f>
        <v/>
      </c>
      <c r="BQ70" s="16" t="str">
        <f>IF(BK70="","",'Adjustment Surface'!B$17)</f>
        <v/>
      </c>
      <c r="BR70" s="16" t="str" cm="1">
        <f t="array" ref="BR70">IF(BK70="","",FORECAST(BL70,INDEX('Rate &amp; Vol Update'!$C$6:$C$127,MATCH(INDEX('Rate &amp; Vol Update'!$B$6:$B$127,MATCH(BL70,'Rate &amp; Vol Update'!$B$6:$B$127,1)),'Rate &amp; Vol Update'!$B$6:$B$127,0)+IF('Adjustment Surface'!$C$11='Data Validation'!$E$3,-1,0)):INDEX('Rate &amp; Vol Update'!$C$6:$C$127,MATCH(INDEX('Rate &amp; Vol Update'!$B$6:$B$127,MATCH(BL70,'Rate &amp; Vol Update'!$B$6:$B$127,1)+1),'Rate &amp; Vol Update'!$B$6:$B$127,0)+IF('Adjustment Surface'!$C$11='Data Validation'!$E$3,-1,0)),INDEX('Rate &amp; Vol Update'!$B$6:$B$127,MATCH(BL70,'Rate &amp; Vol Update'!$B$6:$B$127,1)):INDEX('Rate &amp; Vol Update'!$B$6:$B$127,MATCH(BL70,'Rate &amp; Vol Update'!$B$6:$B$127,1)+1))/100)</f>
        <v/>
      </c>
      <c r="BS70" s="16" t="str" cm="1">
        <f t="array" ref="BS70">IF(BK70="","",IF(BL70&lt;'Rate &amp; Vol Update'!$C$2,0.001%,(1/((INDEX('Rate &amp; Vol Update'!$E$6:$Z$6,1,MATCH(BQ70,'Rate &amp; Vol Update'!$E$6:$Z$6,1)+1)-INDEX('Rate &amp; Vol Update'!$E$6:$Z$6,1,MATCH(BQ70,'Rate &amp; Vol Update'!$E$6:$Z$6,1)))*(INDEX('Rate &amp; Vol Update'!$B$8:$B$127,MATCH(BL70,'Rate &amp; Vol Update'!$B$8:$B$127,1)+1)-INDEX('Rate &amp; Vol Update'!$B$8:$B$127,MATCH(BL70,'Rate &amp; Vol Update'!$B$8:$B$127,1))))*(INDEX('Rate &amp; Vol Update'!$E$8:$Z$127,MATCH(INDEX('Rate &amp; Vol Update'!$B$8:$B$127,MATCH(BL70,'Rate &amp; Vol Update'!$B$8:$B$127,1)),'Rate &amp; Vol Update'!$B$8:$B$127,0),MATCH(INDEX('Rate &amp; Vol Update'!$E$6:$Z$6,1,MATCH(BQ70,'Rate &amp; Vol Update'!$E$6:$Z$6,1)),'Rate &amp; Vol Update'!$E$6:$Z$6,0))*(INDEX('Rate &amp; Vol Update'!$E$6:$Z$6,1,MATCH(BQ70,'Rate &amp; Vol Update'!$E$6:$Z$6,1)+1)-BQ70)*(INDEX('Rate &amp; Vol Update'!$B$8:$B$127,MATCH(BL70,'Rate &amp; Vol Update'!$B$8:$B$127,1)+1)-BL70)+INDEX('Rate &amp; Vol Update'!$E$8:$Z$127,MATCH(INDEX('Rate &amp; Vol Update'!$B$8:$B$127,MATCH(BL70,'Rate &amp; Vol Update'!$B$8:$B$127,1)),'Rate &amp; Vol Update'!$B$8:$B$127,0),MATCH(INDEX('Rate &amp; Vol Update'!$E$6:$Z$6,1,MATCH(BQ70,'Rate &amp; Vol Update'!$E$6:$Z$6,1)+1),'Rate &amp; Vol Update'!$E$6:$Z$6,0))*(BQ70-INDEX('Rate &amp; Vol Update'!$E$6:$Z$6,1,MATCH(BQ70,'Rate &amp; Vol Update'!$E$6:$Z$6,1)))*(INDEX('Rate &amp; Vol Update'!$B$8:$B$127,MATCH(BL70,'Rate &amp; Vol Update'!$B$8:$B$127,1)+1)-BL70)+INDEX('Rate &amp; Vol Update'!$E$8:$Z$127,MATCH(INDEX('Rate &amp; Vol Update'!$B$8:$B$127,MATCH(BL70,'Rate &amp; Vol Update'!$B$8:$B$127,1)+1),'Rate &amp; Vol Update'!$B$8:$B$127,0),MATCH(INDEX('Rate &amp; Vol Update'!$E$6:$Z$6,1,MATCH(BQ70,'Rate &amp; Vol Update'!$E$6:$Z$6,1)),'Rate &amp; Vol Update'!$E$6:$Z$6,0))*(INDEX('Rate &amp; Vol Update'!$E$6:$Z$6,1,MATCH(BQ70,'Rate &amp; Vol Update'!$E$6:$Z$6,1)+1)-BQ70)*(BL70-INDEX('Rate &amp; Vol Update'!$B$8:$B$127,MATCH(BL70,'Rate &amp; Vol Update'!$B$8:$B$127,1)))+INDEX('Rate &amp; Vol Update'!$E$8:$Z$127,MATCH(INDEX('Rate &amp; Vol Update'!$B$8:$B$127,MATCH(BL70,'Rate &amp; Vol Update'!$B$8:$B$127,1)+1),'Rate &amp; Vol Update'!$B$8:$B$127,0),MATCH(INDEX('Rate &amp; Vol Update'!$E$6:$Z$6,1,MATCH(BQ70,'Rate &amp; Vol Update'!$E$6:$Z$6,1)+1),'Rate &amp; Vol Update'!$E$6:$Z$6,0))*(BQ70-INDEX('Rate &amp; Vol Update'!$E$6:$Z$6,1,MATCH(BQ70,'Rate &amp; Vol Update'!$E$6:$Z$6,1)))*(BL70-INDEX('Rate &amp; Vol Update'!$B$8:$B$127,MATCH(BL70,'Rate &amp; Vol Update'!$B$8:$B$127,1)))))*0.01%))</f>
        <v/>
      </c>
      <c r="BT70" s="5" t="str">
        <f>IF(BK70="","",1/((1+BR70)^((BM70-'Rate &amp; Vol Update'!$C$2)/360)))</f>
        <v/>
      </c>
      <c r="BV70" s="15" t="str">
        <f>IF(BK70="","",IF(BL70&lt;'Rate &amp; Vol Update'!$C$2,MAX(0,BR70-BQ70)*(BN70/360)*BP70,(((IF('Adjustment Surface'!$C$2='Data Validation'!$A$2,BR70,IF('Adjustment Surface'!$C$2='Data Validation'!$A$3,BQ70,"Unknown Option Type"))-IF('Adjustment Surface'!$C$2='Data Validation'!$A$2,BQ70,IF('Adjustment Surface'!$C$2='Data Validation'!$A$3,BR70,"Unknown Option Type")))*(NORMDIST((IF('Adjustment Surface'!$C$2='Data Validation'!$A$2,BR70,IF('Adjustment Surface'!$C$2='Data Validation'!$A$3,BQ70,"Unknown Option Type"))-IF('Adjustment Surface'!$C$2='Data Validation'!$A$2,BQ70,IF('Adjustment Surface'!$C$2='Data Validation'!$A$3,BR70,"Unknown Option Type")))/(BS70*SQRT(BO70)),0,1,TRUE)))+((BS70*SQRT(BO70))*(NORMDIST((IF('Adjustment Surface'!$C$2='Data Validation'!$A$2,BR70,IF('Adjustment Surface'!$C$2='Data Validation'!$A$3,BQ70,"Unknown Option Type"))-IF('Adjustment Surface'!$C$2='Data Validation'!$A$2,BQ70,IF('Adjustment Surface'!$C$2='Data Validation'!$A$3,BR70,"Unknown Option Type")))/(BS70*SQRT(BO70)),0,1,FALSE))))*BT70*(BN70/360)*BP70))</f>
        <v/>
      </c>
      <c r="BW70" s="15" t="str">
        <f>IF(BK70="","",SUM(BV$4:BV70))</f>
        <v/>
      </c>
      <c r="BY70" s="15" t="str">
        <f>IF(BK70="","",IF(BL70&lt;'Rate &amp; Vol Update'!$C$2,0,((((((IF('Adjustment Surface'!$C$2='Data Validation'!$A$2,BR70,IF('Adjustment Surface'!$C$2='Data Validation'!$A$3,BQ70,"Unknown Option Type"))-IF('Adjustment Surface'!$C$2='Data Validation'!$A$2,BQ70,IF('Adjustment Surface'!$C$2='Data Validation'!$A$3,BR70,"Unknown Option Type")))*(NORMDIST((IF('Adjustment Surface'!$C$2='Data Validation'!$A$2,BR70,IF('Adjustment Surface'!$C$2='Data Validation'!$A$3,BQ70,"Unknown Option Type"))-IF('Adjustment Surface'!$C$2='Data Validation'!$A$2,BQ70,IF('Adjustment Surface'!$C$2='Data Validation'!$A$3,BR70,"Unknown Option Type")))/((BS70+0.01%)*SQRT(BO70)),0,1,TRUE)))+(((BS70+0.01%)*SQRT(BO70))*(NORMDIST((IF('Adjustment Surface'!$C$2='Data Validation'!$A$2,BR70,IF('Adjustment Surface'!$C$2='Data Validation'!$A$3,BQ70,"Unknown Option Type"))-IF('Adjustment Surface'!$C$2='Data Validation'!$A$2,BQ70,IF('Adjustment Surface'!$C$2='Data Validation'!$A$3,BR70,"Unknown Option Type")))/((BS70+0.01%)*SQRT(BO70)),0,1,FALSE))))*BT70*(BN70/360))-(BV70/BP70))*BP70)*BT70))</f>
        <v/>
      </c>
      <c r="BZ70" s="15" t="str">
        <f>IF(BK70="","",SUM(BY$4:BY70))</f>
        <v/>
      </c>
      <c r="CA70" s="15"/>
      <c r="CB70" s="20"/>
      <c r="CD70" s="4" t="str">
        <f>IF(CE69=MAX('Adjustment Surface'!$C$14:$F$14),"",CE69)</f>
        <v/>
      </c>
      <c r="CE70" s="4" t="str">
        <f>IF(CD70="","",IF(CD70&lt;EDATE('Adjustment Surface'!$C$6,DATEDIF('Adjustment Surface'!$C$6,MAX('Adjustment Surface'!$C$14:$F$14),"M")),EDATE(CD$5,COUNT(CD$5:CD70)),IF(CD70=EDATE('Adjustment Surface'!$C$6,DATEDIF('Adjustment Surface'!$C$6,MAX('Adjustment Surface'!$C$14:$F$14),"M")),MAX('Adjustment Surface'!$C$14:$F$14),EDATE('Adjustment Surface'!$C$6,DATEDIF('Adjustment Surface'!$C$6,MAX('Adjustment Surface'!$C$14:$F$14),"M")))))</f>
        <v/>
      </c>
      <c r="CF70" s="3" t="str">
        <f t="shared" si="10"/>
        <v/>
      </c>
      <c r="CG70" s="5" t="str">
        <f>IF(CC70="","",(CE70-'Rate &amp; Vol Update'!$C$2)/360)</f>
        <v/>
      </c>
      <c r="CH70" s="15" t="str">
        <f>IF(CC70="","",IF('Adjustment Surface'!$C$3='Data Validation'!$C$2,'Adjustment Surface'!$C$4,_xlfn.IFNA(IF(INDEX(Schedules!$E$3:$E$123,MATCH('Bachelier Model'!CD70,Schedules!$B$3:$B$123,0))="",CH69,INDEX(Schedules!$E$3:$E$123,MATCH('Bachelier Model'!CD70,Schedules!$B$3:$B$123,0))),CH69)))</f>
        <v/>
      </c>
      <c r="CI70" s="16" t="str">
        <f>IF(CC70="","",'Adjustment Surface'!B$18)</f>
        <v/>
      </c>
      <c r="CJ70" s="16" t="str" cm="1">
        <f t="array" ref="CJ70">IF(CC70="","",FORECAST(CD70,INDEX('Rate &amp; Vol Update'!$C$6:$C$127,MATCH(INDEX('Rate &amp; Vol Update'!$B$6:$B$127,MATCH(CD70,'Rate &amp; Vol Update'!$B$6:$B$127,1)),'Rate &amp; Vol Update'!$B$6:$B$127,0)+IF('Adjustment Surface'!$C$11='Data Validation'!$E$3,-1,0)):INDEX('Rate &amp; Vol Update'!$C$6:$C$127,MATCH(INDEX('Rate &amp; Vol Update'!$B$6:$B$127,MATCH(CD70,'Rate &amp; Vol Update'!$B$6:$B$127,1)+1),'Rate &amp; Vol Update'!$B$6:$B$127,0)+IF('Adjustment Surface'!$C$11='Data Validation'!$E$3,-1,0)),INDEX('Rate &amp; Vol Update'!$B$6:$B$127,MATCH(CD70,'Rate &amp; Vol Update'!$B$6:$B$127,1)):INDEX('Rate &amp; Vol Update'!$B$6:$B$127,MATCH(CD70,'Rate &amp; Vol Update'!$B$6:$B$127,1)+1))/100)</f>
        <v/>
      </c>
      <c r="CK70" s="16" t="str" cm="1">
        <f t="array" ref="CK70">IF(CC70="","",IF(CD70&lt;'Rate &amp; Vol Update'!$C$2,0.001%,(1/((INDEX('Rate &amp; Vol Update'!$E$6:$Z$6,1,MATCH(CI70,'Rate &amp; Vol Update'!$E$6:$Z$6,1)+1)-INDEX('Rate &amp; Vol Update'!$E$6:$Z$6,1,MATCH(CI70,'Rate &amp; Vol Update'!$E$6:$Z$6,1)))*(INDEX('Rate &amp; Vol Update'!$B$8:$B$127,MATCH(CD70,'Rate &amp; Vol Update'!$B$8:$B$127,1)+1)-INDEX('Rate &amp; Vol Update'!$B$8:$B$127,MATCH(CD70,'Rate &amp; Vol Update'!$B$8:$B$127,1))))*(INDEX('Rate &amp; Vol Update'!$E$8:$Z$127,MATCH(INDEX('Rate &amp; Vol Update'!$B$8:$B$127,MATCH(CD70,'Rate &amp; Vol Update'!$B$8:$B$127,1)),'Rate &amp; Vol Update'!$B$8:$B$127,0),MATCH(INDEX('Rate &amp; Vol Update'!$E$6:$Z$6,1,MATCH(CI70,'Rate &amp; Vol Update'!$E$6:$Z$6,1)),'Rate &amp; Vol Update'!$E$6:$Z$6,0))*(INDEX('Rate &amp; Vol Update'!$E$6:$Z$6,1,MATCH(CI70,'Rate &amp; Vol Update'!$E$6:$Z$6,1)+1)-CI70)*(INDEX('Rate &amp; Vol Update'!$B$8:$B$127,MATCH(CD70,'Rate &amp; Vol Update'!$B$8:$B$127,1)+1)-CD70)+INDEX('Rate &amp; Vol Update'!$E$8:$Z$127,MATCH(INDEX('Rate &amp; Vol Update'!$B$8:$B$127,MATCH(CD70,'Rate &amp; Vol Update'!$B$8:$B$127,1)),'Rate &amp; Vol Update'!$B$8:$B$127,0),MATCH(INDEX('Rate &amp; Vol Update'!$E$6:$Z$6,1,MATCH(CI70,'Rate &amp; Vol Update'!$E$6:$Z$6,1)+1),'Rate &amp; Vol Update'!$E$6:$Z$6,0))*(CI70-INDEX('Rate &amp; Vol Update'!$E$6:$Z$6,1,MATCH(CI70,'Rate &amp; Vol Update'!$E$6:$Z$6,1)))*(INDEX('Rate &amp; Vol Update'!$B$8:$B$127,MATCH(CD70,'Rate &amp; Vol Update'!$B$8:$B$127,1)+1)-CD70)+INDEX('Rate &amp; Vol Update'!$E$8:$Z$127,MATCH(INDEX('Rate &amp; Vol Update'!$B$8:$B$127,MATCH(CD70,'Rate &amp; Vol Update'!$B$8:$B$127,1)+1),'Rate &amp; Vol Update'!$B$8:$B$127,0),MATCH(INDEX('Rate &amp; Vol Update'!$E$6:$Z$6,1,MATCH(CI70,'Rate &amp; Vol Update'!$E$6:$Z$6,1)),'Rate &amp; Vol Update'!$E$6:$Z$6,0))*(INDEX('Rate &amp; Vol Update'!$E$6:$Z$6,1,MATCH(CI70,'Rate &amp; Vol Update'!$E$6:$Z$6,1)+1)-CI70)*(CD70-INDEX('Rate &amp; Vol Update'!$B$8:$B$127,MATCH(CD70,'Rate &amp; Vol Update'!$B$8:$B$127,1)))+INDEX('Rate &amp; Vol Update'!$E$8:$Z$127,MATCH(INDEX('Rate &amp; Vol Update'!$B$8:$B$127,MATCH(CD70,'Rate &amp; Vol Update'!$B$8:$B$127,1)+1),'Rate &amp; Vol Update'!$B$8:$B$127,0),MATCH(INDEX('Rate &amp; Vol Update'!$E$6:$Z$6,1,MATCH(CI70,'Rate &amp; Vol Update'!$E$6:$Z$6,1)+1),'Rate &amp; Vol Update'!$E$6:$Z$6,0))*(CI70-INDEX('Rate &amp; Vol Update'!$E$6:$Z$6,1,MATCH(CI70,'Rate &amp; Vol Update'!$E$6:$Z$6,1)))*(CD70-INDEX('Rate &amp; Vol Update'!$B$8:$B$127,MATCH(CD70,'Rate &amp; Vol Update'!$B$8:$B$127,1)))))*0.01%))</f>
        <v/>
      </c>
      <c r="CL70" s="5" t="str">
        <f>IF(CC70="","",1/((1+CJ70)^((CE70-'Rate &amp; Vol Update'!$C$2)/360)))</f>
        <v/>
      </c>
      <c r="CN70" s="15" t="str">
        <f>IF(CC70="","",IF(CD70&lt;'Rate &amp; Vol Update'!$C$2,MAX(0,CJ70-CI70)*(CF70/360)*CH70,(((IF('Adjustment Surface'!$C$2='Data Validation'!$A$2,CJ70,IF('Adjustment Surface'!$C$2='Data Validation'!$A$3,CI70,"Unknown Option Type"))-IF('Adjustment Surface'!$C$2='Data Validation'!$A$2,CI70,IF('Adjustment Surface'!$C$2='Data Validation'!$A$3,CJ70,"Unknown Option Type")))*(NORMDIST((IF('Adjustment Surface'!$C$2='Data Validation'!$A$2,CJ70,IF('Adjustment Surface'!$C$2='Data Validation'!$A$3,CI70,"Unknown Option Type"))-IF('Adjustment Surface'!$C$2='Data Validation'!$A$2,CI70,IF('Adjustment Surface'!$C$2='Data Validation'!$A$3,CJ70,"Unknown Option Type")))/(CK70*SQRT(CG70)),0,1,TRUE)))+((CK70*SQRT(CG70))*(NORMDIST((IF('Adjustment Surface'!$C$2='Data Validation'!$A$2,CJ70,IF('Adjustment Surface'!$C$2='Data Validation'!$A$3,CI70,"Unknown Option Type"))-IF('Adjustment Surface'!$C$2='Data Validation'!$A$2,CI70,IF('Adjustment Surface'!$C$2='Data Validation'!$A$3,CJ70,"Unknown Option Type")))/(CK70*SQRT(CG70)),0,1,FALSE))))*CL70*(CF70/360)*CH70))</f>
        <v/>
      </c>
      <c r="CO70" s="15" t="str">
        <f>IF(CC70="","",SUM(CN$4:CN70))</f>
        <v/>
      </c>
      <c r="CQ70" s="15" t="str">
        <f>IF(CC70="","",IF(CD70&lt;'Rate &amp; Vol Update'!$C$2,0,((((((IF('Adjustment Surface'!$C$2='Data Validation'!$A$2,CJ70,IF('Adjustment Surface'!$C$2='Data Validation'!$A$3,CI70,"Unknown Option Type"))-IF('Adjustment Surface'!$C$2='Data Validation'!$A$2,CI70,IF('Adjustment Surface'!$C$2='Data Validation'!$A$3,CJ70,"Unknown Option Type")))*(NORMDIST((IF('Adjustment Surface'!$C$2='Data Validation'!$A$2,CJ70,IF('Adjustment Surface'!$C$2='Data Validation'!$A$3,CI70,"Unknown Option Type"))-IF('Adjustment Surface'!$C$2='Data Validation'!$A$2,CI70,IF('Adjustment Surface'!$C$2='Data Validation'!$A$3,CJ70,"Unknown Option Type")))/((CK70+0.01%)*SQRT(CG70)),0,1,TRUE)))+(((CK70+0.01%)*SQRT(CG70))*(NORMDIST((IF('Adjustment Surface'!$C$2='Data Validation'!$A$2,CJ70,IF('Adjustment Surface'!$C$2='Data Validation'!$A$3,CI70,"Unknown Option Type"))-IF('Adjustment Surface'!$C$2='Data Validation'!$A$2,CI70,IF('Adjustment Surface'!$C$2='Data Validation'!$A$3,CJ70,"Unknown Option Type")))/((CK70+0.01%)*SQRT(CG70)),0,1,FALSE))))*CL70*(CF70/360))-(CN70/CH70))*CH70)*CL70))</f>
        <v/>
      </c>
      <c r="CR70" s="15" t="str">
        <f>IF(CC70="","",SUM(CQ$4:CQ70))</f>
        <v/>
      </c>
    </row>
    <row r="71" spans="7:96" x14ac:dyDescent="0.25">
      <c r="G71" s="28"/>
      <c r="J71" s="4" t="str">
        <f>IF(K70='Adjustment Surface'!C$8,"",K70)</f>
        <v/>
      </c>
      <c r="K71" s="4" t="str">
        <f>IF(J71="","",IF(J71&lt;'Adjustment Surface'!C$7,EDATE(J$5,COUNT(J$5:J71)),IF(J71='Adjustment Surface'!C$7,'Adjustment Surface'!C$8,'Adjustment Surface'!C$7)))</f>
        <v/>
      </c>
      <c r="L71" s="3" t="str">
        <f t="shared" si="6"/>
        <v/>
      </c>
      <c r="M71" s="5" t="str">
        <f>IF(I71="","",(K71-'Rate &amp; Vol Update'!$C$2)/360)</f>
        <v/>
      </c>
      <c r="N71" s="15" t="str">
        <f>IF(I71="","",IF('Adjustment Surface'!C$3='Data Validation'!$C$2,'Adjustment Surface'!C$4,IF(INDEX(Schedules!$E$3:$E$123,MATCH('Bachelier Model'!J71,Schedules!$B$3:$B$123,0))="",N70,INDEX(Schedules!$E$3:$E$123,MATCH('Bachelier Model'!J71,Schedules!$B$3:$B$123,0)))))</f>
        <v/>
      </c>
      <c r="O71" s="16" t="str">
        <f>IF(I71="","",IF('Adjustment Surface'!C$9='Data Validation'!$D$2,'Adjustment Surface'!C$10,IF(INDEX(Schedules!$H$3:$H$123,MATCH('Bachelier Model'!J71,Schedules!$B$3:$B$123,0))="",O70,INDEX(Schedules!$H$3:$H$123,MATCH('Bachelier Model'!J71,Schedules!$B$3:$B$123,0)))))</f>
        <v/>
      </c>
      <c r="P71" s="16" t="str" cm="1">
        <f t="array" ref="P71">IF(I71="","",FORECAST(J71,INDEX('Rate &amp; Vol Update'!$C$6:$C$127,MATCH(INDEX('Rate &amp; Vol Update'!$B$6:$B$127,MATCH(J71,'Rate &amp; Vol Update'!$B$6:$B$127,1)),'Rate &amp; Vol Update'!$B$6:$B$127,0)+IF('Adjustment Surface'!C$11='Data Validation'!$E$3,-1,0)):INDEX('Rate &amp; Vol Update'!$C$6:$C$127,MATCH(INDEX('Rate &amp; Vol Update'!$B$6:$B$127,MATCH(J71,'Rate &amp; Vol Update'!$B$6:$B$127,1)+1),'Rate &amp; Vol Update'!$B$6:$B$127,0)+IF('Adjustment Surface'!C$11='Data Validation'!$E$3,-1,0)),INDEX('Rate &amp; Vol Update'!$B$6:$B$127,MATCH(J71,'Rate &amp; Vol Update'!$B$6:$B$127,1)):INDEX('Rate &amp; Vol Update'!$B$6:$B$127,MATCH(J71,'Rate &amp; Vol Update'!$B$6:$B$127,1)+1))/100)</f>
        <v/>
      </c>
      <c r="Q71" s="16" t="str" cm="1">
        <f t="array" ref="Q71">IF(I71="","",IF(J71&lt;'Rate &amp; Vol Update'!$C$2,0.001%,(1/((INDEX('Rate &amp; Vol Update'!$E$6:$Z$6,1,MATCH(O71,'Rate &amp; Vol Update'!$E$6:$Z$6,1)+1)-INDEX('Rate &amp; Vol Update'!$E$6:$Z$6,1,MATCH(O71,'Rate &amp; Vol Update'!$E$6:$Z$6,1)))*(INDEX('Rate &amp; Vol Update'!$B$8:$B$127,MATCH(J71,'Rate &amp; Vol Update'!$B$8:$B$127,1)+1)-INDEX('Rate &amp; Vol Update'!$B$8:$B$127,MATCH(J71,'Rate &amp; Vol Update'!$B$8:$B$127,1))))*(INDEX('Rate &amp; Vol Update'!$E$8:$Z$127,MATCH(INDEX('Rate &amp; Vol Update'!$B$8:$B$127,MATCH(J71,'Rate &amp; Vol Update'!$B$8:$B$127,1)),'Rate &amp; Vol Update'!$B$8:$B$127,0),MATCH(INDEX('Rate &amp; Vol Update'!$E$6:$Z$6,1,MATCH(O71,'Rate &amp; Vol Update'!$E$6:$Z$6,1)),'Rate &amp; Vol Update'!$E$6:$Z$6,0))*(INDEX('Rate &amp; Vol Update'!$E$6:$Z$6,1,MATCH(O71,'Rate &amp; Vol Update'!$E$6:$Z$6,1)+1)-O71)*(INDEX('Rate &amp; Vol Update'!$B$8:$B$127,MATCH(J71,'Rate &amp; Vol Update'!$B$8:$B$127,1)+1)-J71)+INDEX('Rate &amp; Vol Update'!$E$8:$Z$127,MATCH(INDEX('Rate &amp; Vol Update'!$B$8:$B$127,MATCH(J71,'Rate &amp; Vol Update'!$B$8:$B$127,1)),'Rate &amp; Vol Update'!$B$8:$B$127,0),MATCH(INDEX('Rate &amp; Vol Update'!$E$6:$Z$6,1,MATCH(O71,'Rate &amp; Vol Update'!$E$6:$Z$6,1)+1),'Rate &amp; Vol Update'!$E$6:$Z$6,0))*(O71-INDEX('Rate &amp; Vol Update'!$E$6:$Z$6,1,MATCH(O71,'Rate &amp; Vol Update'!$E$6:$Z$6,1)))*(INDEX('Rate &amp; Vol Update'!$B$8:$B$127,MATCH(J71,'Rate &amp; Vol Update'!$B$8:$B$127,1)+1)-J71)+INDEX('Rate &amp; Vol Update'!$E$8:$Z$127,MATCH(INDEX('Rate &amp; Vol Update'!$B$8:$B$127,MATCH(J71,'Rate &amp; Vol Update'!$B$8:$B$127,1)+1),'Rate &amp; Vol Update'!$B$8:$B$127,0),MATCH(INDEX('Rate &amp; Vol Update'!$E$6:$Z$6,1,MATCH(O71,'Rate &amp; Vol Update'!$E$6:$Z$6,1)),'Rate &amp; Vol Update'!$E$6:$Z$6,0))*(INDEX('Rate &amp; Vol Update'!$E$6:$Z$6,1,MATCH(O71,'Rate &amp; Vol Update'!$E$6:$Z$6,1)+1)-O71)*(J71-INDEX('Rate &amp; Vol Update'!$B$8:$B$127,MATCH(J71,'Rate &amp; Vol Update'!$B$8:$B$127,1)))+INDEX('Rate &amp; Vol Update'!$E$8:$Z$127,MATCH(INDEX('Rate &amp; Vol Update'!$B$8:$B$127,MATCH(J71,'Rate &amp; Vol Update'!$B$8:$B$127,1)+1),'Rate &amp; Vol Update'!$B$8:$B$127,0),MATCH(INDEX('Rate &amp; Vol Update'!$E$6:$Z$6,1,MATCH(O71,'Rate &amp; Vol Update'!$E$6:$Z$6,1)+1),'Rate &amp; Vol Update'!$E$6:$Z$6,0))*(O71-INDEX('Rate &amp; Vol Update'!$E$6:$Z$6,1,MATCH(O71,'Rate &amp; Vol Update'!$E$6:$Z$6,1)))*(J71-INDEX('Rate &amp; Vol Update'!$B$8:$B$127,MATCH(J71,'Rate &amp; Vol Update'!$B$8:$B$127,1)))))*0.01%))</f>
        <v/>
      </c>
      <c r="R71" s="5" t="str">
        <f>IF(I71="","",1/((1+P71)^((K71-'Rate &amp; Vol Update'!$C$2)/360)))</f>
        <v/>
      </c>
      <c r="T71" s="15" t="str">
        <f>IF(I71="","",IF(J71&lt;'Rate &amp; Vol Update'!$C$2,MAX(0,P71-O71)*(L71/360)*N71,(((IF('Adjustment Surface'!C$2='Data Validation'!$A$2,P71,IF('Adjustment Surface'!C$2='Data Validation'!$A$3,O71,"Unknown Option Type"))-IF('Adjustment Surface'!C$2='Data Validation'!$A$2,O71,IF('Adjustment Surface'!C$2='Data Validation'!$A$3,P71,"Unknown Option Type")))*(NORMDIST((IF('Adjustment Surface'!C$2='Data Validation'!$A$2,P71,IF('Adjustment Surface'!C$2='Data Validation'!$A$3,O71,"Unknown Option Type"))-IF('Adjustment Surface'!C$2='Data Validation'!$A$2,O71,IF('Adjustment Surface'!C$2='Data Validation'!$A$3,P71,"Unknown Option Type")))/(Q71*SQRT(M71)),0,1,TRUE)))+((Q71*SQRT(M71))*(NORMDIST((IF('Adjustment Surface'!C$2='Data Validation'!$A$2,P71,IF('Adjustment Surface'!C$2='Data Validation'!$A$3,O71,"Unknown Option Type"))-IF('Adjustment Surface'!C$2='Data Validation'!$A$2,O71,IF('Adjustment Surface'!C$2='Data Validation'!$A$3,P71,"Unknown Option Type")))/(Q71*SQRT(M71)),0,1,FALSE))))*R71*(L71/360)*N71))</f>
        <v/>
      </c>
      <c r="U71" s="15" t="str">
        <f>IF(I71="","",SUM(T$4:T71))</f>
        <v/>
      </c>
      <c r="W71" s="15" t="str">
        <f>IF(I71="","",IF(J71&lt;'Rate &amp; Vol Update'!$C$2,0,((((((IF('Adjustment Surface'!C$2='Data Validation'!$A$2,P71,IF('Adjustment Surface'!C$2='Data Validation'!$A$3,O71,"Unknown Option Type"))-IF('Adjustment Surface'!C$2='Data Validation'!$A$2,O71,IF('Adjustment Surface'!C$2='Data Validation'!$A$3,P71,"Unknown Option Type")))*(NORMDIST((IF('Adjustment Surface'!C$2='Data Validation'!$A$2,P71,IF('Adjustment Surface'!C$2='Data Validation'!$A$3,O71,"Unknown Option Type"))-IF('Adjustment Surface'!C$2='Data Validation'!$A$2,O71,IF('Adjustment Surface'!C$2='Data Validation'!$A$3,P71,"Unknown Option Type")))/((Q71+0.01%)*SQRT(M71)),0,1,TRUE)))+(((Q71+0.01%)*SQRT(M71))*(NORMDIST((IF('Adjustment Surface'!C$2='Data Validation'!$A$2,P71,IF('Adjustment Surface'!C$2='Data Validation'!$A$3,O71,"Unknown Option Type"))-IF('Adjustment Surface'!C$2='Data Validation'!$A$2,O71,IF('Adjustment Surface'!C$2='Data Validation'!$A$3,P71,"Unknown Option Type")))/((Q71+0.01%)*SQRT(M71)),0,1,FALSE))))*R71*(L71/360))-(T71/N71))*N71)*R71))</f>
        <v/>
      </c>
      <c r="X71" s="15" t="str">
        <f>IF(I71="","",SUM(W$4:W71))</f>
        <v/>
      </c>
      <c r="Y71" s="15"/>
      <c r="Z71" s="20"/>
      <c r="AB71" s="4" t="str">
        <f>IF(AC70=MAX('Adjustment Surface'!$C$14:$F$14),"",AC70)</f>
        <v/>
      </c>
      <c r="AC71" s="4" t="str">
        <f>IF(AB71="","",IF(AB71&lt;EDATE('Adjustment Surface'!$C$6,DATEDIF('Adjustment Surface'!$C$6,MAX('Adjustment Surface'!$C$14:$F$14),"M")),EDATE(AB$5,COUNT(AB$5:AB71)),IF(AB71=EDATE('Adjustment Surface'!$C$6,DATEDIF('Adjustment Surface'!$C$6,MAX('Adjustment Surface'!$C$14:$F$14),"M")),MAX('Adjustment Surface'!$C$14:$F$14),EDATE('Adjustment Surface'!$C$6,DATEDIF('Adjustment Surface'!$C$6,MAX('Adjustment Surface'!$C$14:$F$14),"M")))))</f>
        <v/>
      </c>
      <c r="AD71" s="3" t="str">
        <f t="shared" si="7"/>
        <v/>
      </c>
      <c r="AE71" s="5" t="str">
        <f>IF(AA71="","",(AC71-'Rate &amp; Vol Update'!$C$2)/360)</f>
        <v/>
      </c>
      <c r="AF71" s="15" t="str">
        <f>IF(AA71="","",IF('Adjustment Surface'!$C$3='Data Validation'!$C$2,'Adjustment Surface'!$C$4,_xlfn.IFNA(IF(INDEX(Schedules!$E$3:$E$123,MATCH('Bachelier Model'!AB71,Schedules!$B$3:$B$123,0))="",AF70,INDEX(Schedules!$E$3:$E$123,MATCH('Bachelier Model'!AB71,Schedules!$B$3:$B$123,0))),AF70)))</f>
        <v/>
      </c>
      <c r="AG71" s="16" t="str">
        <f>IF(AA71="","",'Adjustment Surface'!B$15)</f>
        <v/>
      </c>
      <c r="AH71" s="16" t="str" cm="1">
        <f t="array" ref="AH71">IF(AA71="","",FORECAST(AB71,INDEX('Rate &amp; Vol Update'!$C$6:$C$127,MATCH(INDEX('Rate &amp; Vol Update'!$B$6:$B$127,MATCH(AB71,'Rate &amp; Vol Update'!$B$6:$B$127,1)),'Rate &amp; Vol Update'!$B$6:$B$127,0)+IF('Adjustment Surface'!$C$11='Data Validation'!$E$3,-1,0)):INDEX('Rate &amp; Vol Update'!$C$6:$C$127,MATCH(INDEX('Rate &amp; Vol Update'!$B$6:$B$127,MATCH(AB71,'Rate &amp; Vol Update'!$B$6:$B$127,1)+1),'Rate &amp; Vol Update'!$B$6:$B$127,0)+IF('Adjustment Surface'!$C$11='Data Validation'!$E$3,-1,0)),INDEX('Rate &amp; Vol Update'!$B$6:$B$127,MATCH(AB71,'Rate &amp; Vol Update'!$B$6:$B$127,1)):INDEX('Rate &amp; Vol Update'!$B$6:$B$127,MATCH(AB71,'Rate &amp; Vol Update'!$B$6:$B$127,1)+1))/100)</f>
        <v/>
      </c>
      <c r="AI71" s="16" t="str" cm="1">
        <f t="array" ref="AI71">IF(AA71="","",IF(AB71&lt;'Rate &amp; Vol Update'!$C$2,0.001%,(1/((INDEX('Rate &amp; Vol Update'!$E$6:$Z$6,1,MATCH(AG71,'Rate &amp; Vol Update'!$E$6:$Z$6,1)+1)-INDEX('Rate &amp; Vol Update'!$E$6:$Z$6,1,MATCH(AG71,'Rate &amp; Vol Update'!$E$6:$Z$6,1)))*(INDEX('Rate &amp; Vol Update'!$B$8:$B$127,MATCH(AB71,'Rate &amp; Vol Update'!$B$8:$B$127,1)+1)-INDEX('Rate &amp; Vol Update'!$B$8:$B$127,MATCH(AB71,'Rate &amp; Vol Update'!$B$8:$B$127,1))))*(INDEX('Rate &amp; Vol Update'!$E$8:$Z$127,MATCH(INDEX('Rate &amp; Vol Update'!$B$8:$B$127,MATCH(AB71,'Rate &amp; Vol Update'!$B$8:$B$127,1)),'Rate &amp; Vol Update'!$B$8:$B$127,0),MATCH(INDEX('Rate &amp; Vol Update'!$E$6:$Z$6,1,MATCH(AG71,'Rate &amp; Vol Update'!$E$6:$Z$6,1)),'Rate &amp; Vol Update'!$E$6:$Z$6,0))*(INDEX('Rate &amp; Vol Update'!$E$6:$Z$6,1,MATCH(AG71,'Rate &amp; Vol Update'!$E$6:$Z$6,1)+1)-AG71)*(INDEX('Rate &amp; Vol Update'!$B$8:$B$127,MATCH(AB71,'Rate &amp; Vol Update'!$B$8:$B$127,1)+1)-AB71)+INDEX('Rate &amp; Vol Update'!$E$8:$Z$127,MATCH(INDEX('Rate &amp; Vol Update'!$B$8:$B$127,MATCH(AB71,'Rate &amp; Vol Update'!$B$8:$B$127,1)),'Rate &amp; Vol Update'!$B$8:$B$127,0),MATCH(INDEX('Rate &amp; Vol Update'!$E$6:$Z$6,1,MATCH(AG71,'Rate &amp; Vol Update'!$E$6:$Z$6,1)+1),'Rate &amp; Vol Update'!$E$6:$Z$6,0))*(AG71-INDEX('Rate &amp; Vol Update'!$E$6:$Z$6,1,MATCH(AG71,'Rate &amp; Vol Update'!$E$6:$Z$6,1)))*(INDEX('Rate &amp; Vol Update'!$B$8:$B$127,MATCH(AB71,'Rate &amp; Vol Update'!$B$8:$B$127,1)+1)-AB71)+INDEX('Rate &amp; Vol Update'!$E$8:$Z$127,MATCH(INDEX('Rate &amp; Vol Update'!$B$8:$B$127,MATCH(AB71,'Rate &amp; Vol Update'!$B$8:$B$127,1)+1),'Rate &amp; Vol Update'!$B$8:$B$127,0),MATCH(INDEX('Rate &amp; Vol Update'!$E$6:$Z$6,1,MATCH(AG71,'Rate &amp; Vol Update'!$E$6:$Z$6,1)),'Rate &amp; Vol Update'!$E$6:$Z$6,0))*(INDEX('Rate &amp; Vol Update'!$E$6:$Z$6,1,MATCH(AG71,'Rate &amp; Vol Update'!$E$6:$Z$6,1)+1)-AG71)*(AB71-INDEX('Rate &amp; Vol Update'!$B$8:$B$127,MATCH(AB71,'Rate &amp; Vol Update'!$B$8:$B$127,1)))+INDEX('Rate &amp; Vol Update'!$E$8:$Z$127,MATCH(INDEX('Rate &amp; Vol Update'!$B$8:$B$127,MATCH(AB71,'Rate &amp; Vol Update'!$B$8:$B$127,1)+1),'Rate &amp; Vol Update'!$B$8:$B$127,0),MATCH(INDEX('Rate &amp; Vol Update'!$E$6:$Z$6,1,MATCH(AG71,'Rate &amp; Vol Update'!$E$6:$Z$6,1)+1),'Rate &amp; Vol Update'!$E$6:$Z$6,0))*(AG71-INDEX('Rate &amp; Vol Update'!$E$6:$Z$6,1,MATCH(AG71,'Rate &amp; Vol Update'!$E$6:$Z$6,1)))*(AB71-INDEX('Rate &amp; Vol Update'!$B$8:$B$127,MATCH(AB71,'Rate &amp; Vol Update'!$B$8:$B$127,1)))))*0.01%))</f>
        <v/>
      </c>
      <c r="AJ71" s="5" t="str">
        <f>IF(AA71="","",1/((1+AH71)^((AC71-'Rate &amp; Vol Update'!$C$2)/360)))</f>
        <v/>
      </c>
      <c r="AL71" s="15" t="str">
        <f>IF(AA71="","",IF(AB71&lt;'Rate &amp; Vol Update'!$C$2,MAX(0,AH71-AG71)*(AD71/360)*AF71,(((IF('Adjustment Surface'!$C$2='Data Validation'!$A$2,AH71,IF('Adjustment Surface'!$C$2='Data Validation'!$A$3,AG71,"Unknown Option Type"))-IF('Adjustment Surface'!$C$2='Data Validation'!$A$2,AG71,IF('Adjustment Surface'!$C$2='Data Validation'!$A$3,AH71,"Unknown Option Type")))*(NORMDIST((IF('Adjustment Surface'!$C$2='Data Validation'!$A$2,AH71,IF('Adjustment Surface'!$C$2='Data Validation'!$A$3,AG71,"Unknown Option Type"))-IF('Adjustment Surface'!$C$2='Data Validation'!$A$2,AG71,IF('Adjustment Surface'!$C$2='Data Validation'!$A$3,AH71,"Unknown Option Type")))/(AI71*SQRT(AE71)),0,1,TRUE)))+((AI71*SQRT(AE71))*(NORMDIST((IF('Adjustment Surface'!$C$2='Data Validation'!$A$2,AH71,IF('Adjustment Surface'!$C$2='Data Validation'!$A$3,AG71,"Unknown Option Type"))-IF('Adjustment Surface'!$C$2='Data Validation'!$A$2,AG71,IF('Adjustment Surface'!$C$2='Data Validation'!$A$3,AH71,"Unknown Option Type")))/(AI71*SQRT(AE71)),0,1,FALSE))))*AJ71*(AD71/360)*AF71))</f>
        <v/>
      </c>
      <c r="AM71" s="15" t="str">
        <f>IF(AA71="","",SUM(AL$4:AL71))</f>
        <v/>
      </c>
      <c r="AO71" s="15" t="str">
        <f>IF(AA71="","",IF(AB71&lt;'Rate &amp; Vol Update'!$C$2,0,((((((IF('Adjustment Surface'!$C$2='Data Validation'!$A$2,AH71,IF('Adjustment Surface'!$C$2='Data Validation'!$A$3,AG71,"Unknown Option Type"))-IF('Adjustment Surface'!$C$2='Data Validation'!$A$2,AG71,IF('Adjustment Surface'!$C$2='Data Validation'!$A$3,AH71,"Unknown Option Type")))*(NORMDIST((IF('Adjustment Surface'!$C$2='Data Validation'!$A$2,AH71,IF('Adjustment Surface'!$C$2='Data Validation'!$A$3,AG71,"Unknown Option Type"))-IF('Adjustment Surface'!$C$2='Data Validation'!$A$2,AG71,IF('Adjustment Surface'!$C$2='Data Validation'!$A$3,AH71,"Unknown Option Type")))/((AI71+0.01%)*SQRT(AE71)),0,1,TRUE)))+(((AI71+0.01%)*SQRT(AE71))*(NORMDIST((IF('Adjustment Surface'!$C$2='Data Validation'!$A$2,AH71,IF('Adjustment Surface'!$C$2='Data Validation'!$A$3,AG71,"Unknown Option Type"))-IF('Adjustment Surface'!$C$2='Data Validation'!$A$2,AG71,IF('Adjustment Surface'!$C$2='Data Validation'!$A$3,AH71,"Unknown Option Type")))/((AI71+0.01%)*SQRT(AE71)),0,1,FALSE))))*AJ71*(AD71/360))-(AL71/AF71))*AF71)*AJ71))</f>
        <v/>
      </c>
      <c r="AP71" s="15" t="str">
        <f>IF(AA71="","",SUM(AO$4:AO71))</f>
        <v/>
      </c>
      <c r="AQ71" s="15"/>
      <c r="AR71" s="20"/>
      <c r="AT71" s="4" t="str">
        <f>IF(AU70=MAX('Adjustment Surface'!$C$14:$F$14),"",AU70)</f>
        <v/>
      </c>
      <c r="AU71" s="4" t="str">
        <f>IF(AT71="","",IF(AT71&lt;EDATE('Adjustment Surface'!$C$6,DATEDIF('Adjustment Surface'!$C$6,MAX('Adjustment Surface'!$C$14:$F$14),"M")),EDATE(AT$5,COUNT(AT$5:AT71)),IF(AT71=EDATE('Adjustment Surface'!$C$6,DATEDIF('Adjustment Surface'!$C$6,MAX('Adjustment Surface'!$C$14:$F$14),"M")),MAX('Adjustment Surface'!$C$14:$F$14),EDATE('Adjustment Surface'!$C$6,DATEDIF('Adjustment Surface'!$C$6,MAX('Adjustment Surface'!$C$14:$F$14),"M")))))</f>
        <v/>
      </c>
      <c r="AV71" s="3" t="str">
        <f t="shared" si="8"/>
        <v/>
      </c>
      <c r="AW71" s="5" t="str">
        <f>IF(AS71="","",(AU71-'Rate &amp; Vol Update'!$C$2)/360)</f>
        <v/>
      </c>
      <c r="AX71" s="15" t="str">
        <f>IF(AS71="","",IF('Adjustment Surface'!$C$3='Data Validation'!$C$2,'Adjustment Surface'!$C$4,_xlfn.IFNA(IF(INDEX(Schedules!$E$3:$E$123,MATCH('Bachelier Model'!AT71,Schedules!$B$3:$B$123,0))="",AX70,INDEX(Schedules!$E$3:$E$123,MATCH('Bachelier Model'!AT71,Schedules!$B$3:$B$123,0))),AX70)))</f>
        <v/>
      </c>
      <c r="AY71" s="16" t="str">
        <f>IF(AS71="","",'Adjustment Surface'!B$16)</f>
        <v/>
      </c>
      <c r="AZ71" s="16" t="str" cm="1">
        <f t="array" ref="AZ71">IF(AS71="","",FORECAST(AT71,INDEX('Rate &amp; Vol Update'!$C$6:$C$127,MATCH(INDEX('Rate &amp; Vol Update'!$B$6:$B$127,MATCH(AT71,'Rate &amp; Vol Update'!$B$6:$B$127,1)),'Rate &amp; Vol Update'!$B$6:$B$127,0)+IF('Adjustment Surface'!$C$11='Data Validation'!$E$3,-1,0)):INDEX('Rate &amp; Vol Update'!$C$6:$C$127,MATCH(INDEX('Rate &amp; Vol Update'!$B$6:$B$127,MATCH(AT71,'Rate &amp; Vol Update'!$B$6:$B$127,1)+1),'Rate &amp; Vol Update'!$B$6:$B$127,0)+IF('Adjustment Surface'!$C$11='Data Validation'!$E$3,-1,0)),INDEX('Rate &amp; Vol Update'!$B$6:$B$127,MATCH(AT71,'Rate &amp; Vol Update'!$B$6:$B$127,1)):INDEX('Rate &amp; Vol Update'!$B$6:$B$127,MATCH(AT71,'Rate &amp; Vol Update'!$B$6:$B$127,1)+1))/100)</f>
        <v/>
      </c>
      <c r="BA71" s="16" t="str" cm="1">
        <f t="array" ref="BA71">IF(AS71="","",IF(AT71&lt;'Rate &amp; Vol Update'!$C$2,0.001%,(1/((INDEX('Rate &amp; Vol Update'!$E$6:$Z$6,1,MATCH(AY71,'Rate &amp; Vol Update'!$E$6:$Z$6,1)+1)-INDEX('Rate &amp; Vol Update'!$E$6:$Z$6,1,MATCH(AY71,'Rate &amp; Vol Update'!$E$6:$Z$6,1)))*(INDEX('Rate &amp; Vol Update'!$B$8:$B$127,MATCH(AT71,'Rate &amp; Vol Update'!$B$8:$B$127,1)+1)-INDEX('Rate &amp; Vol Update'!$B$8:$B$127,MATCH(AT71,'Rate &amp; Vol Update'!$B$8:$B$127,1))))*(INDEX('Rate &amp; Vol Update'!$E$8:$Z$127,MATCH(INDEX('Rate &amp; Vol Update'!$B$8:$B$127,MATCH(AT71,'Rate &amp; Vol Update'!$B$8:$B$127,1)),'Rate &amp; Vol Update'!$B$8:$B$127,0),MATCH(INDEX('Rate &amp; Vol Update'!$E$6:$Z$6,1,MATCH(AY71,'Rate &amp; Vol Update'!$E$6:$Z$6,1)),'Rate &amp; Vol Update'!$E$6:$Z$6,0))*(INDEX('Rate &amp; Vol Update'!$E$6:$Z$6,1,MATCH(AY71,'Rate &amp; Vol Update'!$E$6:$Z$6,1)+1)-AY71)*(INDEX('Rate &amp; Vol Update'!$B$8:$B$127,MATCH(AT71,'Rate &amp; Vol Update'!$B$8:$B$127,1)+1)-AT71)+INDEX('Rate &amp; Vol Update'!$E$8:$Z$127,MATCH(INDEX('Rate &amp; Vol Update'!$B$8:$B$127,MATCH(AT71,'Rate &amp; Vol Update'!$B$8:$B$127,1)),'Rate &amp; Vol Update'!$B$8:$B$127,0),MATCH(INDEX('Rate &amp; Vol Update'!$E$6:$Z$6,1,MATCH(AY71,'Rate &amp; Vol Update'!$E$6:$Z$6,1)+1),'Rate &amp; Vol Update'!$E$6:$Z$6,0))*(AY71-INDEX('Rate &amp; Vol Update'!$E$6:$Z$6,1,MATCH(AY71,'Rate &amp; Vol Update'!$E$6:$Z$6,1)))*(INDEX('Rate &amp; Vol Update'!$B$8:$B$127,MATCH(AT71,'Rate &amp; Vol Update'!$B$8:$B$127,1)+1)-AT71)+INDEX('Rate &amp; Vol Update'!$E$8:$Z$127,MATCH(INDEX('Rate &amp; Vol Update'!$B$8:$B$127,MATCH(AT71,'Rate &amp; Vol Update'!$B$8:$B$127,1)+1),'Rate &amp; Vol Update'!$B$8:$B$127,0),MATCH(INDEX('Rate &amp; Vol Update'!$E$6:$Z$6,1,MATCH(AY71,'Rate &amp; Vol Update'!$E$6:$Z$6,1)),'Rate &amp; Vol Update'!$E$6:$Z$6,0))*(INDEX('Rate &amp; Vol Update'!$E$6:$Z$6,1,MATCH(AY71,'Rate &amp; Vol Update'!$E$6:$Z$6,1)+1)-AY71)*(AT71-INDEX('Rate &amp; Vol Update'!$B$8:$B$127,MATCH(AT71,'Rate &amp; Vol Update'!$B$8:$B$127,1)))+INDEX('Rate &amp; Vol Update'!$E$8:$Z$127,MATCH(INDEX('Rate &amp; Vol Update'!$B$8:$B$127,MATCH(AT71,'Rate &amp; Vol Update'!$B$8:$B$127,1)+1),'Rate &amp; Vol Update'!$B$8:$B$127,0),MATCH(INDEX('Rate &amp; Vol Update'!$E$6:$Z$6,1,MATCH(AY71,'Rate &amp; Vol Update'!$E$6:$Z$6,1)+1),'Rate &amp; Vol Update'!$E$6:$Z$6,0))*(AY71-INDEX('Rate &amp; Vol Update'!$E$6:$Z$6,1,MATCH(AY71,'Rate &amp; Vol Update'!$E$6:$Z$6,1)))*(AT71-INDEX('Rate &amp; Vol Update'!$B$8:$B$127,MATCH(AT71,'Rate &amp; Vol Update'!$B$8:$B$127,1)))))*0.01%))</f>
        <v/>
      </c>
      <c r="BB71" s="5" t="str">
        <f>IF(AS71="","",1/((1+AZ71)^((AU71-'Rate &amp; Vol Update'!$C$2)/360)))</f>
        <v/>
      </c>
      <c r="BD71" s="15" t="str">
        <f>IF(AS71="","",IF(AT71&lt;'Rate &amp; Vol Update'!$C$2,MAX(0,AZ71-AY71)*(AV71/360)*AX71,(((IF('Adjustment Surface'!$C$2='Data Validation'!$A$2,AZ71,IF('Adjustment Surface'!$C$2='Data Validation'!$A$3,AY71,"Unknown Option Type"))-IF('Adjustment Surface'!$C$2='Data Validation'!$A$2,AY71,IF('Adjustment Surface'!$C$2='Data Validation'!$A$3,AZ71,"Unknown Option Type")))*(NORMDIST((IF('Adjustment Surface'!$C$2='Data Validation'!$A$2,AZ71,IF('Adjustment Surface'!$C$2='Data Validation'!$A$3,AY71,"Unknown Option Type"))-IF('Adjustment Surface'!$C$2='Data Validation'!$A$2,AY71,IF('Adjustment Surface'!$C$2='Data Validation'!$A$3,AZ71,"Unknown Option Type")))/(BA71*SQRT(AW71)),0,1,TRUE)))+((BA71*SQRT(AW71))*(NORMDIST((IF('Adjustment Surface'!$C$2='Data Validation'!$A$2,AZ71,IF('Adjustment Surface'!$C$2='Data Validation'!$A$3,AY71,"Unknown Option Type"))-IF('Adjustment Surface'!$C$2='Data Validation'!$A$2,AY71,IF('Adjustment Surface'!$C$2='Data Validation'!$A$3,AZ71,"Unknown Option Type")))/(BA71*SQRT(AW71)),0,1,FALSE))))*BB71*(AV71/360)*AX71))</f>
        <v/>
      </c>
      <c r="BE71" s="15" t="str">
        <f>IF(AS71="","",SUM(BD$4:BD71))</f>
        <v/>
      </c>
      <c r="BG71" s="15" t="str">
        <f>IF(AS71="","",IF(AT71&lt;'Rate &amp; Vol Update'!$C$2,0,((((((IF('Adjustment Surface'!$C$2='Data Validation'!$A$2,AZ71,IF('Adjustment Surface'!$C$2='Data Validation'!$A$3,AY71,"Unknown Option Type"))-IF('Adjustment Surface'!$C$2='Data Validation'!$A$2,AY71,IF('Adjustment Surface'!$C$2='Data Validation'!$A$3,AZ71,"Unknown Option Type")))*(NORMDIST((IF('Adjustment Surface'!$C$2='Data Validation'!$A$2,AZ71,IF('Adjustment Surface'!$C$2='Data Validation'!$A$3,AY71,"Unknown Option Type"))-IF('Adjustment Surface'!$C$2='Data Validation'!$A$2,AY71,IF('Adjustment Surface'!$C$2='Data Validation'!$A$3,AZ71,"Unknown Option Type")))/((BA71+0.01%)*SQRT(AW71)),0,1,TRUE)))+(((BA71+0.01%)*SQRT(AW71))*(NORMDIST((IF('Adjustment Surface'!$C$2='Data Validation'!$A$2,AZ71,IF('Adjustment Surface'!$C$2='Data Validation'!$A$3,AY71,"Unknown Option Type"))-IF('Adjustment Surface'!$C$2='Data Validation'!$A$2,AY71,IF('Adjustment Surface'!$C$2='Data Validation'!$A$3,AZ71,"Unknown Option Type")))/((BA71+0.01%)*SQRT(AW71)),0,1,FALSE))))*BB71*(AV71/360))-(BD71/AX71))*AX71)*BB71))</f>
        <v/>
      </c>
      <c r="BH71" s="15" t="str">
        <f>IF(AS71="","",SUM(BG$4:BG71))</f>
        <v/>
      </c>
      <c r="BI71" s="15"/>
      <c r="BJ71" s="20"/>
      <c r="BL71" s="4" t="str">
        <f>IF(BM70=MAX('Adjustment Surface'!$C$14:$F$14),"",BM70)</f>
        <v/>
      </c>
      <c r="BM71" s="4" t="str">
        <f>IF(BL71="","",IF(BL71&lt;EDATE('Adjustment Surface'!$C$6,DATEDIF('Adjustment Surface'!$C$6,MAX('Adjustment Surface'!$C$14:$F$14),"M")),EDATE(BL$5,COUNT(BL$5:BL71)),IF(BL71=EDATE('Adjustment Surface'!$C$6,DATEDIF('Adjustment Surface'!$C$6,MAX('Adjustment Surface'!$C$14:$F$14),"M")),MAX('Adjustment Surface'!$C$14:$F$14),EDATE('Adjustment Surface'!$C$6,DATEDIF('Adjustment Surface'!$C$6,MAX('Adjustment Surface'!$C$14:$F$14),"M")))))</f>
        <v/>
      </c>
      <c r="BN71" s="3" t="str">
        <f t="shared" si="9"/>
        <v/>
      </c>
      <c r="BO71" s="5" t="str">
        <f>IF(BK71="","",(BM71-'Rate &amp; Vol Update'!$C$2)/360)</f>
        <v/>
      </c>
      <c r="BP71" s="15" t="str">
        <f>IF(BK71="","",IF('Adjustment Surface'!$C$3='Data Validation'!$C$2,'Adjustment Surface'!$C$4,_xlfn.IFNA(IF(INDEX(Schedules!$E$3:$E$123,MATCH('Bachelier Model'!BL71,Schedules!$B$3:$B$123,0))="",BP70,INDEX(Schedules!$E$3:$E$123,MATCH('Bachelier Model'!BL71,Schedules!$B$3:$B$123,0))),BP70)))</f>
        <v/>
      </c>
      <c r="BQ71" s="16" t="str">
        <f>IF(BK71="","",'Adjustment Surface'!B$17)</f>
        <v/>
      </c>
      <c r="BR71" s="16" t="str" cm="1">
        <f t="array" ref="BR71">IF(BK71="","",FORECAST(BL71,INDEX('Rate &amp; Vol Update'!$C$6:$C$127,MATCH(INDEX('Rate &amp; Vol Update'!$B$6:$B$127,MATCH(BL71,'Rate &amp; Vol Update'!$B$6:$B$127,1)),'Rate &amp; Vol Update'!$B$6:$B$127,0)+IF('Adjustment Surface'!$C$11='Data Validation'!$E$3,-1,0)):INDEX('Rate &amp; Vol Update'!$C$6:$C$127,MATCH(INDEX('Rate &amp; Vol Update'!$B$6:$B$127,MATCH(BL71,'Rate &amp; Vol Update'!$B$6:$B$127,1)+1),'Rate &amp; Vol Update'!$B$6:$B$127,0)+IF('Adjustment Surface'!$C$11='Data Validation'!$E$3,-1,0)),INDEX('Rate &amp; Vol Update'!$B$6:$B$127,MATCH(BL71,'Rate &amp; Vol Update'!$B$6:$B$127,1)):INDEX('Rate &amp; Vol Update'!$B$6:$B$127,MATCH(BL71,'Rate &amp; Vol Update'!$B$6:$B$127,1)+1))/100)</f>
        <v/>
      </c>
      <c r="BS71" s="16" t="str" cm="1">
        <f t="array" ref="BS71">IF(BK71="","",IF(BL71&lt;'Rate &amp; Vol Update'!$C$2,0.001%,(1/((INDEX('Rate &amp; Vol Update'!$E$6:$Z$6,1,MATCH(BQ71,'Rate &amp; Vol Update'!$E$6:$Z$6,1)+1)-INDEX('Rate &amp; Vol Update'!$E$6:$Z$6,1,MATCH(BQ71,'Rate &amp; Vol Update'!$E$6:$Z$6,1)))*(INDEX('Rate &amp; Vol Update'!$B$8:$B$127,MATCH(BL71,'Rate &amp; Vol Update'!$B$8:$B$127,1)+1)-INDEX('Rate &amp; Vol Update'!$B$8:$B$127,MATCH(BL71,'Rate &amp; Vol Update'!$B$8:$B$127,1))))*(INDEX('Rate &amp; Vol Update'!$E$8:$Z$127,MATCH(INDEX('Rate &amp; Vol Update'!$B$8:$B$127,MATCH(BL71,'Rate &amp; Vol Update'!$B$8:$B$127,1)),'Rate &amp; Vol Update'!$B$8:$B$127,0),MATCH(INDEX('Rate &amp; Vol Update'!$E$6:$Z$6,1,MATCH(BQ71,'Rate &amp; Vol Update'!$E$6:$Z$6,1)),'Rate &amp; Vol Update'!$E$6:$Z$6,0))*(INDEX('Rate &amp; Vol Update'!$E$6:$Z$6,1,MATCH(BQ71,'Rate &amp; Vol Update'!$E$6:$Z$6,1)+1)-BQ71)*(INDEX('Rate &amp; Vol Update'!$B$8:$B$127,MATCH(BL71,'Rate &amp; Vol Update'!$B$8:$B$127,1)+1)-BL71)+INDEX('Rate &amp; Vol Update'!$E$8:$Z$127,MATCH(INDEX('Rate &amp; Vol Update'!$B$8:$B$127,MATCH(BL71,'Rate &amp; Vol Update'!$B$8:$B$127,1)),'Rate &amp; Vol Update'!$B$8:$B$127,0),MATCH(INDEX('Rate &amp; Vol Update'!$E$6:$Z$6,1,MATCH(BQ71,'Rate &amp; Vol Update'!$E$6:$Z$6,1)+1),'Rate &amp; Vol Update'!$E$6:$Z$6,0))*(BQ71-INDEX('Rate &amp; Vol Update'!$E$6:$Z$6,1,MATCH(BQ71,'Rate &amp; Vol Update'!$E$6:$Z$6,1)))*(INDEX('Rate &amp; Vol Update'!$B$8:$B$127,MATCH(BL71,'Rate &amp; Vol Update'!$B$8:$B$127,1)+1)-BL71)+INDEX('Rate &amp; Vol Update'!$E$8:$Z$127,MATCH(INDEX('Rate &amp; Vol Update'!$B$8:$B$127,MATCH(BL71,'Rate &amp; Vol Update'!$B$8:$B$127,1)+1),'Rate &amp; Vol Update'!$B$8:$B$127,0),MATCH(INDEX('Rate &amp; Vol Update'!$E$6:$Z$6,1,MATCH(BQ71,'Rate &amp; Vol Update'!$E$6:$Z$6,1)),'Rate &amp; Vol Update'!$E$6:$Z$6,0))*(INDEX('Rate &amp; Vol Update'!$E$6:$Z$6,1,MATCH(BQ71,'Rate &amp; Vol Update'!$E$6:$Z$6,1)+1)-BQ71)*(BL71-INDEX('Rate &amp; Vol Update'!$B$8:$B$127,MATCH(BL71,'Rate &amp; Vol Update'!$B$8:$B$127,1)))+INDEX('Rate &amp; Vol Update'!$E$8:$Z$127,MATCH(INDEX('Rate &amp; Vol Update'!$B$8:$B$127,MATCH(BL71,'Rate &amp; Vol Update'!$B$8:$B$127,1)+1),'Rate &amp; Vol Update'!$B$8:$B$127,0),MATCH(INDEX('Rate &amp; Vol Update'!$E$6:$Z$6,1,MATCH(BQ71,'Rate &amp; Vol Update'!$E$6:$Z$6,1)+1),'Rate &amp; Vol Update'!$E$6:$Z$6,0))*(BQ71-INDEX('Rate &amp; Vol Update'!$E$6:$Z$6,1,MATCH(BQ71,'Rate &amp; Vol Update'!$E$6:$Z$6,1)))*(BL71-INDEX('Rate &amp; Vol Update'!$B$8:$B$127,MATCH(BL71,'Rate &amp; Vol Update'!$B$8:$B$127,1)))))*0.01%))</f>
        <v/>
      </c>
      <c r="BT71" s="5" t="str">
        <f>IF(BK71="","",1/((1+BR71)^((BM71-'Rate &amp; Vol Update'!$C$2)/360)))</f>
        <v/>
      </c>
      <c r="BV71" s="15" t="str">
        <f>IF(BK71="","",IF(BL71&lt;'Rate &amp; Vol Update'!$C$2,MAX(0,BR71-BQ71)*(BN71/360)*BP71,(((IF('Adjustment Surface'!$C$2='Data Validation'!$A$2,BR71,IF('Adjustment Surface'!$C$2='Data Validation'!$A$3,BQ71,"Unknown Option Type"))-IF('Adjustment Surface'!$C$2='Data Validation'!$A$2,BQ71,IF('Adjustment Surface'!$C$2='Data Validation'!$A$3,BR71,"Unknown Option Type")))*(NORMDIST((IF('Adjustment Surface'!$C$2='Data Validation'!$A$2,BR71,IF('Adjustment Surface'!$C$2='Data Validation'!$A$3,BQ71,"Unknown Option Type"))-IF('Adjustment Surface'!$C$2='Data Validation'!$A$2,BQ71,IF('Adjustment Surface'!$C$2='Data Validation'!$A$3,BR71,"Unknown Option Type")))/(BS71*SQRT(BO71)),0,1,TRUE)))+((BS71*SQRT(BO71))*(NORMDIST((IF('Adjustment Surface'!$C$2='Data Validation'!$A$2,BR71,IF('Adjustment Surface'!$C$2='Data Validation'!$A$3,BQ71,"Unknown Option Type"))-IF('Adjustment Surface'!$C$2='Data Validation'!$A$2,BQ71,IF('Adjustment Surface'!$C$2='Data Validation'!$A$3,BR71,"Unknown Option Type")))/(BS71*SQRT(BO71)),0,1,FALSE))))*BT71*(BN71/360)*BP71))</f>
        <v/>
      </c>
      <c r="BW71" s="15" t="str">
        <f>IF(BK71="","",SUM(BV$4:BV71))</f>
        <v/>
      </c>
      <c r="BY71" s="15" t="str">
        <f>IF(BK71="","",IF(BL71&lt;'Rate &amp; Vol Update'!$C$2,0,((((((IF('Adjustment Surface'!$C$2='Data Validation'!$A$2,BR71,IF('Adjustment Surface'!$C$2='Data Validation'!$A$3,BQ71,"Unknown Option Type"))-IF('Adjustment Surface'!$C$2='Data Validation'!$A$2,BQ71,IF('Adjustment Surface'!$C$2='Data Validation'!$A$3,BR71,"Unknown Option Type")))*(NORMDIST((IF('Adjustment Surface'!$C$2='Data Validation'!$A$2,BR71,IF('Adjustment Surface'!$C$2='Data Validation'!$A$3,BQ71,"Unknown Option Type"))-IF('Adjustment Surface'!$C$2='Data Validation'!$A$2,BQ71,IF('Adjustment Surface'!$C$2='Data Validation'!$A$3,BR71,"Unknown Option Type")))/((BS71+0.01%)*SQRT(BO71)),0,1,TRUE)))+(((BS71+0.01%)*SQRT(BO71))*(NORMDIST((IF('Adjustment Surface'!$C$2='Data Validation'!$A$2,BR71,IF('Adjustment Surface'!$C$2='Data Validation'!$A$3,BQ71,"Unknown Option Type"))-IF('Adjustment Surface'!$C$2='Data Validation'!$A$2,BQ71,IF('Adjustment Surface'!$C$2='Data Validation'!$A$3,BR71,"Unknown Option Type")))/((BS71+0.01%)*SQRT(BO71)),0,1,FALSE))))*BT71*(BN71/360))-(BV71/BP71))*BP71)*BT71))</f>
        <v/>
      </c>
      <c r="BZ71" s="15" t="str">
        <f>IF(BK71="","",SUM(BY$4:BY71))</f>
        <v/>
      </c>
      <c r="CA71" s="15"/>
      <c r="CB71" s="20"/>
      <c r="CD71" s="4" t="str">
        <f>IF(CE70=MAX('Adjustment Surface'!$C$14:$F$14),"",CE70)</f>
        <v/>
      </c>
      <c r="CE71" s="4" t="str">
        <f>IF(CD71="","",IF(CD71&lt;EDATE('Adjustment Surface'!$C$6,DATEDIF('Adjustment Surface'!$C$6,MAX('Adjustment Surface'!$C$14:$F$14),"M")),EDATE(CD$5,COUNT(CD$5:CD71)),IF(CD71=EDATE('Adjustment Surface'!$C$6,DATEDIF('Adjustment Surface'!$C$6,MAX('Adjustment Surface'!$C$14:$F$14),"M")),MAX('Adjustment Surface'!$C$14:$F$14),EDATE('Adjustment Surface'!$C$6,DATEDIF('Adjustment Surface'!$C$6,MAX('Adjustment Surface'!$C$14:$F$14),"M")))))</f>
        <v/>
      </c>
      <c r="CF71" s="3" t="str">
        <f t="shared" si="10"/>
        <v/>
      </c>
      <c r="CG71" s="5" t="str">
        <f>IF(CC71="","",(CE71-'Rate &amp; Vol Update'!$C$2)/360)</f>
        <v/>
      </c>
      <c r="CH71" s="15" t="str">
        <f>IF(CC71="","",IF('Adjustment Surface'!$C$3='Data Validation'!$C$2,'Adjustment Surface'!$C$4,_xlfn.IFNA(IF(INDEX(Schedules!$E$3:$E$123,MATCH('Bachelier Model'!CD71,Schedules!$B$3:$B$123,0))="",CH70,INDEX(Schedules!$E$3:$E$123,MATCH('Bachelier Model'!CD71,Schedules!$B$3:$B$123,0))),CH70)))</f>
        <v/>
      </c>
      <c r="CI71" s="16" t="str">
        <f>IF(CC71="","",'Adjustment Surface'!B$18)</f>
        <v/>
      </c>
      <c r="CJ71" s="16" t="str" cm="1">
        <f t="array" ref="CJ71">IF(CC71="","",FORECAST(CD71,INDEX('Rate &amp; Vol Update'!$C$6:$C$127,MATCH(INDEX('Rate &amp; Vol Update'!$B$6:$B$127,MATCH(CD71,'Rate &amp; Vol Update'!$B$6:$B$127,1)),'Rate &amp; Vol Update'!$B$6:$B$127,0)+IF('Adjustment Surface'!$C$11='Data Validation'!$E$3,-1,0)):INDEX('Rate &amp; Vol Update'!$C$6:$C$127,MATCH(INDEX('Rate &amp; Vol Update'!$B$6:$B$127,MATCH(CD71,'Rate &amp; Vol Update'!$B$6:$B$127,1)+1),'Rate &amp; Vol Update'!$B$6:$B$127,0)+IF('Adjustment Surface'!$C$11='Data Validation'!$E$3,-1,0)),INDEX('Rate &amp; Vol Update'!$B$6:$B$127,MATCH(CD71,'Rate &amp; Vol Update'!$B$6:$B$127,1)):INDEX('Rate &amp; Vol Update'!$B$6:$B$127,MATCH(CD71,'Rate &amp; Vol Update'!$B$6:$B$127,1)+1))/100)</f>
        <v/>
      </c>
      <c r="CK71" s="16" t="str" cm="1">
        <f t="array" ref="CK71">IF(CC71="","",IF(CD71&lt;'Rate &amp; Vol Update'!$C$2,0.001%,(1/((INDEX('Rate &amp; Vol Update'!$E$6:$Z$6,1,MATCH(CI71,'Rate &amp; Vol Update'!$E$6:$Z$6,1)+1)-INDEX('Rate &amp; Vol Update'!$E$6:$Z$6,1,MATCH(CI71,'Rate &amp; Vol Update'!$E$6:$Z$6,1)))*(INDEX('Rate &amp; Vol Update'!$B$8:$B$127,MATCH(CD71,'Rate &amp; Vol Update'!$B$8:$B$127,1)+1)-INDEX('Rate &amp; Vol Update'!$B$8:$B$127,MATCH(CD71,'Rate &amp; Vol Update'!$B$8:$B$127,1))))*(INDEX('Rate &amp; Vol Update'!$E$8:$Z$127,MATCH(INDEX('Rate &amp; Vol Update'!$B$8:$B$127,MATCH(CD71,'Rate &amp; Vol Update'!$B$8:$B$127,1)),'Rate &amp; Vol Update'!$B$8:$B$127,0),MATCH(INDEX('Rate &amp; Vol Update'!$E$6:$Z$6,1,MATCH(CI71,'Rate &amp; Vol Update'!$E$6:$Z$6,1)),'Rate &amp; Vol Update'!$E$6:$Z$6,0))*(INDEX('Rate &amp; Vol Update'!$E$6:$Z$6,1,MATCH(CI71,'Rate &amp; Vol Update'!$E$6:$Z$6,1)+1)-CI71)*(INDEX('Rate &amp; Vol Update'!$B$8:$B$127,MATCH(CD71,'Rate &amp; Vol Update'!$B$8:$B$127,1)+1)-CD71)+INDEX('Rate &amp; Vol Update'!$E$8:$Z$127,MATCH(INDEX('Rate &amp; Vol Update'!$B$8:$B$127,MATCH(CD71,'Rate &amp; Vol Update'!$B$8:$B$127,1)),'Rate &amp; Vol Update'!$B$8:$B$127,0),MATCH(INDEX('Rate &amp; Vol Update'!$E$6:$Z$6,1,MATCH(CI71,'Rate &amp; Vol Update'!$E$6:$Z$6,1)+1),'Rate &amp; Vol Update'!$E$6:$Z$6,0))*(CI71-INDEX('Rate &amp; Vol Update'!$E$6:$Z$6,1,MATCH(CI71,'Rate &amp; Vol Update'!$E$6:$Z$6,1)))*(INDEX('Rate &amp; Vol Update'!$B$8:$B$127,MATCH(CD71,'Rate &amp; Vol Update'!$B$8:$B$127,1)+1)-CD71)+INDEX('Rate &amp; Vol Update'!$E$8:$Z$127,MATCH(INDEX('Rate &amp; Vol Update'!$B$8:$B$127,MATCH(CD71,'Rate &amp; Vol Update'!$B$8:$B$127,1)+1),'Rate &amp; Vol Update'!$B$8:$B$127,0),MATCH(INDEX('Rate &amp; Vol Update'!$E$6:$Z$6,1,MATCH(CI71,'Rate &amp; Vol Update'!$E$6:$Z$6,1)),'Rate &amp; Vol Update'!$E$6:$Z$6,0))*(INDEX('Rate &amp; Vol Update'!$E$6:$Z$6,1,MATCH(CI71,'Rate &amp; Vol Update'!$E$6:$Z$6,1)+1)-CI71)*(CD71-INDEX('Rate &amp; Vol Update'!$B$8:$B$127,MATCH(CD71,'Rate &amp; Vol Update'!$B$8:$B$127,1)))+INDEX('Rate &amp; Vol Update'!$E$8:$Z$127,MATCH(INDEX('Rate &amp; Vol Update'!$B$8:$B$127,MATCH(CD71,'Rate &amp; Vol Update'!$B$8:$B$127,1)+1),'Rate &amp; Vol Update'!$B$8:$B$127,0),MATCH(INDEX('Rate &amp; Vol Update'!$E$6:$Z$6,1,MATCH(CI71,'Rate &amp; Vol Update'!$E$6:$Z$6,1)+1),'Rate &amp; Vol Update'!$E$6:$Z$6,0))*(CI71-INDEX('Rate &amp; Vol Update'!$E$6:$Z$6,1,MATCH(CI71,'Rate &amp; Vol Update'!$E$6:$Z$6,1)))*(CD71-INDEX('Rate &amp; Vol Update'!$B$8:$B$127,MATCH(CD71,'Rate &amp; Vol Update'!$B$8:$B$127,1)))))*0.01%))</f>
        <v/>
      </c>
      <c r="CL71" s="5" t="str">
        <f>IF(CC71="","",1/((1+CJ71)^((CE71-'Rate &amp; Vol Update'!$C$2)/360)))</f>
        <v/>
      </c>
      <c r="CN71" s="15" t="str">
        <f>IF(CC71="","",IF(CD71&lt;'Rate &amp; Vol Update'!$C$2,MAX(0,CJ71-CI71)*(CF71/360)*CH71,(((IF('Adjustment Surface'!$C$2='Data Validation'!$A$2,CJ71,IF('Adjustment Surface'!$C$2='Data Validation'!$A$3,CI71,"Unknown Option Type"))-IF('Adjustment Surface'!$C$2='Data Validation'!$A$2,CI71,IF('Adjustment Surface'!$C$2='Data Validation'!$A$3,CJ71,"Unknown Option Type")))*(NORMDIST((IF('Adjustment Surface'!$C$2='Data Validation'!$A$2,CJ71,IF('Adjustment Surface'!$C$2='Data Validation'!$A$3,CI71,"Unknown Option Type"))-IF('Adjustment Surface'!$C$2='Data Validation'!$A$2,CI71,IF('Adjustment Surface'!$C$2='Data Validation'!$A$3,CJ71,"Unknown Option Type")))/(CK71*SQRT(CG71)),0,1,TRUE)))+((CK71*SQRT(CG71))*(NORMDIST((IF('Adjustment Surface'!$C$2='Data Validation'!$A$2,CJ71,IF('Adjustment Surface'!$C$2='Data Validation'!$A$3,CI71,"Unknown Option Type"))-IF('Adjustment Surface'!$C$2='Data Validation'!$A$2,CI71,IF('Adjustment Surface'!$C$2='Data Validation'!$A$3,CJ71,"Unknown Option Type")))/(CK71*SQRT(CG71)),0,1,FALSE))))*CL71*(CF71/360)*CH71))</f>
        <v/>
      </c>
      <c r="CO71" s="15" t="str">
        <f>IF(CC71="","",SUM(CN$4:CN71))</f>
        <v/>
      </c>
      <c r="CQ71" s="15" t="str">
        <f>IF(CC71="","",IF(CD71&lt;'Rate &amp; Vol Update'!$C$2,0,((((((IF('Adjustment Surface'!$C$2='Data Validation'!$A$2,CJ71,IF('Adjustment Surface'!$C$2='Data Validation'!$A$3,CI71,"Unknown Option Type"))-IF('Adjustment Surface'!$C$2='Data Validation'!$A$2,CI71,IF('Adjustment Surface'!$C$2='Data Validation'!$A$3,CJ71,"Unknown Option Type")))*(NORMDIST((IF('Adjustment Surface'!$C$2='Data Validation'!$A$2,CJ71,IF('Adjustment Surface'!$C$2='Data Validation'!$A$3,CI71,"Unknown Option Type"))-IF('Adjustment Surface'!$C$2='Data Validation'!$A$2,CI71,IF('Adjustment Surface'!$C$2='Data Validation'!$A$3,CJ71,"Unknown Option Type")))/((CK71+0.01%)*SQRT(CG71)),0,1,TRUE)))+(((CK71+0.01%)*SQRT(CG71))*(NORMDIST((IF('Adjustment Surface'!$C$2='Data Validation'!$A$2,CJ71,IF('Adjustment Surface'!$C$2='Data Validation'!$A$3,CI71,"Unknown Option Type"))-IF('Adjustment Surface'!$C$2='Data Validation'!$A$2,CI71,IF('Adjustment Surface'!$C$2='Data Validation'!$A$3,CJ71,"Unknown Option Type")))/((CK71+0.01%)*SQRT(CG71)),0,1,FALSE))))*CL71*(CF71/360))-(CN71/CH71))*CH71)*CL71))</f>
        <v/>
      </c>
      <c r="CR71" s="15" t="str">
        <f>IF(CC71="","",SUM(CQ$4:CQ71))</f>
        <v/>
      </c>
    </row>
    <row r="72" spans="7:96" x14ac:dyDescent="0.25">
      <c r="G72" s="28"/>
      <c r="J72" s="4" t="str">
        <f>IF(K71='Adjustment Surface'!C$8,"",K71)</f>
        <v/>
      </c>
      <c r="K72" s="4" t="str">
        <f>IF(J72="","",IF(J72&lt;'Adjustment Surface'!C$7,EDATE(J$5,COUNT(J$5:J72)),IF(J72='Adjustment Surface'!C$7,'Adjustment Surface'!C$8,'Adjustment Surface'!C$7)))</f>
        <v/>
      </c>
      <c r="L72" s="3" t="str">
        <f t="shared" si="6"/>
        <v/>
      </c>
      <c r="M72" s="5" t="str">
        <f>IF(I72="","",(K72-'Rate &amp; Vol Update'!$C$2)/360)</f>
        <v/>
      </c>
      <c r="N72" s="15" t="str">
        <f>IF(I72="","",IF('Adjustment Surface'!C$3='Data Validation'!$C$2,'Adjustment Surface'!C$4,IF(INDEX(Schedules!$E$3:$E$123,MATCH('Bachelier Model'!J72,Schedules!$B$3:$B$123,0))="",N71,INDEX(Schedules!$E$3:$E$123,MATCH('Bachelier Model'!J72,Schedules!$B$3:$B$123,0)))))</f>
        <v/>
      </c>
      <c r="O72" s="16" t="str">
        <f>IF(I72="","",IF('Adjustment Surface'!C$9='Data Validation'!$D$2,'Adjustment Surface'!C$10,IF(INDEX(Schedules!$H$3:$H$123,MATCH('Bachelier Model'!J72,Schedules!$B$3:$B$123,0))="",O71,INDEX(Schedules!$H$3:$H$123,MATCH('Bachelier Model'!J72,Schedules!$B$3:$B$123,0)))))</f>
        <v/>
      </c>
      <c r="P72" s="16" t="str" cm="1">
        <f t="array" ref="P72">IF(I72="","",FORECAST(J72,INDEX('Rate &amp; Vol Update'!$C$6:$C$127,MATCH(INDEX('Rate &amp; Vol Update'!$B$6:$B$127,MATCH(J72,'Rate &amp; Vol Update'!$B$6:$B$127,1)),'Rate &amp; Vol Update'!$B$6:$B$127,0)+IF('Adjustment Surface'!C$11='Data Validation'!$E$3,-1,0)):INDEX('Rate &amp; Vol Update'!$C$6:$C$127,MATCH(INDEX('Rate &amp; Vol Update'!$B$6:$B$127,MATCH(J72,'Rate &amp; Vol Update'!$B$6:$B$127,1)+1),'Rate &amp; Vol Update'!$B$6:$B$127,0)+IF('Adjustment Surface'!C$11='Data Validation'!$E$3,-1,0)),INDEX('Rate &amp; Vol Update'!$B$6:$B$127,MATCH(J72,'Rate &amp; Vol Update'!$B$6:$B$127,1)):INDEX('Rate &amp; Vol Update'!$B$6:$B$127,MATCH(J72,'Rate &amp; Vol Update'!$B$6:$B$127,1)+1))/100)</f>
        <v/>
      </c>
      <c r="Q72" s="16" t="str" cm="1">
        <f t="array" ref="Q72">IF(I72="","",IF(J72&lt;'Rate &amp; Vol Update'!$C$2,0.001%,(1/((INDEX('Rate &amp; Vol Update'!$E$6:$Z$6,1,MATCH(O72,'Rate &amp; Vol Update'!$E$6:$Z$6,1)+1)-INDEX('Rate &amp; Vol Update'!$E$6:$Z$6,1,MATCH(O72,'Rate &amp; Vol Update'!$E$6:$Z$6,1)))*(INDEX('Rate &amp; Vol Update'!$B$8:$B$127,MATCH(J72,'Rate &amp; Vol Update'!$B$8:$B$127,1)+1)-INDEX('Rate &amp; Vol Update'!$B$8:$B$127,MATCH(J72,'Rate &amp; Vol Update'!$B$8:$B$127,1))))*(INDEX('Rate &amp; Vol Update'!$E$8:$Z$127,MATCH(INDEX('Rate &amp; Vol Update'!$B$8:$B$127,MATCH(J72,'Rate &amp; Vol Update'!$B$8:$B$127,1)),'Rate &amp; Vol Update'!$B$8:$B$127,0),MATCH(INDEX('Rate &amp; Vol Update'!$E$6:$Z$6,1,MATCH(O72,'Rate &amp; Vol Update'!$E$6:$Z$6,1)),'Rate &amp; Vol Update'!$E$6:$Z$6,0))*(INDEX('Rate &amp; Vol Update'!$E$6:$Z$6,1,MATCH(O72,'Rate &amp; Vol Update'!$E$6:$Z$6,1)+1)-O72)*(INDEX('Rate &amp; Vol Update'!$B$8:$B$127,MATCH(J72,'Rate &amp; Vol Update'!$B$8:$B$127,1)+1)-J72)+INDEX('Rate &amp; Vol Update'!$E$8:$Z$127,MATCH(INDEX('Rate &amp; Vol Update'!$B$8:$B$127,MATCH(J72,'Rate &amp; Vol Update'!$B$8:$B$127,1)),'Rate &amp; Vol Update'!$B$8:$B$127,0),MATCH(INDEX('Rate &amp; Vol Update'!$E$6:$Z$6,1,MATCH(O72,'Rate &amp; Vol Update'!$E$6:$Z$6,1)+1),'Rate &amp; Vol Update'!$E$6:$Z$6,0))*(O72-INDEX('Rate &amp; Vol Update'!$E$6:$Z$6,1,MATCH(O72,'Rate &amp; Vol Update'!$E$6:$Z$6,1)))*(INDEX('Rate &amp; Vol Update'!$B$8:$B$127,MATCH(J72,'Rate &amp; Vol Update'!$B$8:$B$127,1)+1)-J72)+INDEX('Rate &amp; Vol Update'!$E$8:$Z$127,MATCH(INDEX('Rate &amp; Vol Update'!$B$8:$B$127,MATCH(J72,'Rate &amp; Vol Update'!$B$8:$B$127,1)+1),'Rate &amp; Vol Update'!$B$8:$B$127,0),MATCH(INDEX('Rate &amp; Vol Update'!$E$6:$Z$6,1,MATCH(O72,'Rate &amp; Vol Update'!$E$6:$Z$6,1)),'Rate &amp; Vol Update'!$E$6:$Z$6,0))*(INDEX('Rate &amp; Vol Update'!$E$6:$Z$6,1,MATCH(O72,'Rate &amp; Vol Update'!$E$6:$Z$6,1)+1)-O72)*(J72-INDEX('Rate &amp; Vol Update'!$B$8:$B$127,MATCH(J72,'Rate &amp; Vol Update'!$B$8:$B$127,1)))+INDEX('Rate &amp; Vol Update'!$E$8:$Z$127,MATCH(INDEX('Rate &amp; Vol Update'!$B$8:$B$127,MATCH(J72,'Rate &amp; Vol Update'!$B$8:$B$127,1)+1),'Rate &amp; Vol Update'!$B$8:$B$127,0),MATCH(INDEX('Rate &amp; Vol Update'!$E$6:$Z$6,1,MATCH(O72,'Rate &amp; Vol Update'!$E$6:$Z$6,1)+1),'Rate &amp; Vol Update'!$E$6:$Z$6,0))*(O72-INDEX('Rate &amp; Vol Update'!$E$6:$Z$6,1,MATCH(O72,'Rate &amp; Vol Update'!$E$6:$Z$6,1)))*(J72-INDEX('Rate &amp; Vol Update'!$B$8:$B$127,MATCH(J72,'Rate &amp; Vol Update'!$B$8:$B$127,1)))))*0.01%))</f>
        <v/>
      </c>
      <c r="R72" s="5" t="str">
        <f>IF(I72="","",1/((1+P72)^((K72-'Rate &amp; Vol Update'!$C$2)/360)))</f>
        <v/>
      </c>
      <c r="T72" s="15" t="str">
        <f>IF(I72="","",IF(J72&lt;'Rate &amp; Vol Update'!$C$2,MAX(0,P72-O72)*(L72/360)*N72,(((IF('Adjustment Surface'!C$2='Data Validation'!$A$2,P72,IF('Adjustment Surface'!C$2='Data Validation'!$A$3,O72,"Unknown Option Type"))-IF('Adjustment Surface'!C$2='Data Validation'!$A$2,O72,IF('Adjustment Surface'!C$2='Data Validation'!$A$3,P72,"Unknown Option Type")))*(NORMDIST((IF('Adjustment Surface'!C$2='Data Validation'!$A$2,P72,IF('Adjustment Surface'!C$2='Data Validation'!$A$3,O72,"Unknown Option Type"))-IF('Adjustment Surface'!C$2='Data Validation'!$A$2,O72,IF('Adjustment Surface'!C$2='Data Validation'!$A$3,P72,"Unknown Option Type")))/(Q72*SQRT(M72)),0,1,TRUE)))+((Q72*SQRT(M72))*(NORMDIST((IF('Adjustment Surface'!C$2='Data Validation'!$A$2,P72,IF('Adjustment Surface'!C$2='Data Validation'!$A$3,O72,"Unknown Option Type"))-IF('Adjustment Surface'!C$2='Data Validation'!$A$2,O72,IF('Adjustment Surface'!C$2='Data Validation'!$A$3,P72,"Unknown Option Type")))/(Q72*SQRT(M72)),0,1,FALSE))))*R72*(L72/360)*N72))</f>
        <v/>
      </c>
      <c r="U72" s="15" t="str">
        <f>IF(I72="","",SUM(T$4:T72))</f>
        <v/>
      </c>
      <c r="W72" s="15" t="str">
        <f>IF(I72="","",IF(J72&lt;'Rate &amp; Vol Update'!$C$2,0,((((((IF('Adjustment Surface'!C$2='Data Validation'!$A$2,P72,IF('Adjustment Surface'!C$2='Data Validation'!$A$3,O72,"Unknown Option Type"))-IF('Adjustment Surface'!C$2='Data Validation'!$A$2,O72,IF('Adjustment Surface'!C$2='Data Validation'!$A$3,P72,"Unknown Option Type")))*(NORMDIST((IF('Adjustment Surface'!C$2='Data Validation'!$A$2,P72,IF('Adjustment Surface'!C$2='Data Validation'!$A$3,O72,"Unknown Option Type"))-IF('Adjustment Surface'!C$2='Data Validation'!$A$2,O72,IF('Adjustment Surface'!C$2='Data Validation'!$A$3,P72,"Unknown Option Type")))/((Q72+0.01%)*SQRT(M72)),0,1,TRUE)))+(((Q72+0.01%)*SQRT(M72))*(NORMDIST((IF('Adjustment Surface'!C$2='Data Validation'!$A$2,P72,IF('Adjustment Surface'!C$2='Data Validation'!$A$3,O72,"Unknown Option Type"))-IF('Adjustment Surface'!C$2='Data Validation'!$A$2,O72,IF('Adjustment Surface'!C$2='Data Validation'!$A$3,P72,"Unknown Option Type")))/((Q72+0.01%)*SQRT(M72)),0,1,FALSE))))*R72*(L72/360))-(T72/N72))*N72)*R72))</f>
        <v/>
      </c>
      <c r="X72" s="15" t="str">
        <f>IF(I72="","",SUM(W$4:W72))</f>
        <v/>
      </c>
      <c r="Y72" s="15"/>
      <c r="Z72" s="20"/>
      <c r="AB72" s="4" t="str">
        <f>IF(AC71=MAX('Adjustment Surface'!$C$14:$F$14),"",AC71)</f>
        <v/>
      </c>
      <c r="AC72" s="4" t="str">
        <f>IF(AB72="","",IF(AB72&lt;EDATE('Adjustment Surface'!$C$6,DATEDIF('Adjustment Surface'!$C$6,MAX('Adjustment Surface'!$C$14:$F$14),"M")),EDATE(AB$5,COUNT(AB$5:AB72)),IF(AB72=EDATE('Adjustment Surface'!$C$6,DATEDIF('Adjustment Surface'!$C$6,MAX('Adjustment Surface'!$C$14:$F$14),"M")),MAX('Adjustment Surface'!$C$14:$F$14),EDATE('Adjustment Surface'!$C$6,DATEDIF('Adjustment Surface'!$C$6,MAX('Adjustment Surface'!$C$14:$F$14),"M")))))</f>
        <v/>
      </c>
      <c r="AD72" s="3" t="str">
        <f t="shared" si="7"/>
        <v/>
      </c>
      <c r="AE72" s="5" t="str">
        <f>IF(AA72="","",(AC72-'Rate &amp; Vol Update'!$C$2)/360)</f>
        <v/>
      </c>
      <c r="AF72" s="15" t="str">
        <f>IF(AA72="","",IF('Adjustment Surface'!$C$3='Data Validation'!$C$2,'Adjustment Surface'!$C$4,_xlfn.IFNA(IF(INDEX(Schedules!$E$3:$E$123,MATCH('Bachelier Model'!AB72,Schedules!$B$3:$B$123,0))="",AF71,INDEX(Schedules!$E$3:$E$123,MATCH('Bachelier Model'!AB72,Schedules!$B$3:$B$123,0))),AF71)))</f>
        <v/>
      </c>
      <c r="AG72" s="16" t="str">
        <f>IF(AA72="","",'Adjustment Surface'!B$15)</f>
        <v/>
      </c>
      <c r="AH72" s="16" t="str" cm="1">
        <f t="array" ref="AH72">IF(AA72="","",FORECAST(AB72,INDEX('Rate &amp; Vol Update'!$C$6:$C$127,MATCH(INDEX('Rate &amp; Vol Update'!$B$6:$B$127,MATCH(AB72,'Rate &amp; Vol Update'!$B$6:$B$127,1)),'Rate &amp; Vol Update'!$B$6:$B$127,0)+IF('Adjustment Surface'!$C$11='Data Validation'!$E$3,-1,0)):INDEX('Rate &amp; Vol Update'!$C$6:$C$127,MATCH(INDEX('Rate &amp; Vol Update'!$B$6:$B$127,MATCH(AB72,'Rate &amp; Vol Update'!$B$6:$B$127,1)+1),'Rate &amp; Vol Update'!$B$6:$B$127,0)+IF('Adjustment Surface'!$C$11='Data Validation'!$E$3,-1,0)),INDEX('Rate &amp; Vol Update'!$B$6:$B$127,MATCH(AB72,'Rate &amp; Vol Update'!$B$6:$B$127,1)):INDEX('Rate &amp; Vol Update'!$B$6:$B$127,MATCH(AB72,'Rate &amp; Vol Update'!$B$6:$B$127,1)+1))/100)</f>
        <v/>
      </c>
      <c r="AI72" s="16" t="str" cm="1">
        <f t="array" ref="AI72">IF(AA72="","",IF(AB72&lt;'Rate &amp; Vol Update'!$C$2,0.001%,(1/((INDEX('Rate &amp; Vol Update'!$E$6:$Z$6,1,MATCH(AG72,'Rate &amp; Vol Update'!$E$6:$Z$6,1)+1)-INDEX('Rate &amp; Vol Update'!$E$6:$Z$6,1,MATCH(AG72,'Rate &amp; Vol Update'!$E$6:$Z$6,1)))*(INDEX('Rate &amp; Vol Update'!$B$8:$B$127,MATCH(AB72,'Rate &amp; Vol Update'!$B$8:$B$127,1)+1)-INDEX('Rate &amp; Vol Update'!$B$8:$B$127,MATCH(AB72,'Rate &amp; Vol Update'!$B$8:$B$127,1))))*(INDEX('Rate &amp; Vol Update'!$E$8:$Z$127,MATCH(INDEX('Rate &amp; Vol Update'!$B$8:$B$127,MATCH(AB72,'Rate &amp; Vol Update'!$B$8:$B$127,1)),'Rate &amp; Vol Update'!$B$8:$B$127,0),MATCH(INDEX('Rate &amp; Vol Update'!$E$6:$Z$6,1,MATCH(AG72,'Rate &amp; Vol Update'!$E$6:$Z$6,1)),'Rate &amp; Vol Update'!$E$6:$Z$6,0))*(INDEX('Rate &amp; Vol Update'!$E$6:$Z$6,1,MATCH(AG72,'Rate &amp; Vol Update'!$E$6:$Z$6,1)+1)-AG72)*(INDEX('Rate &amp; Vol Update'!$B$8:$B$127,MATCH(AB72,'Rate &amp; Vol Update'!$B$8:$B$127,1)+1)-AB72)+INDEX('Rate &amp; Vol Update'!$E$8:$Z$127,MATCH(INDEX('Rate &amp; Vol Update'!$B$8:$B$127,MATCH(AB72,'Rate &amp; Vol Update'!$B$8:$B$127,1)),'Rate &amp; Vol Update'!$B$8:$B$127,0),MATCH(INDEX('Rate &amp; Vol Update'!$E$6:$Z$6,1,MATCH(AG72,'Rate &amp; Vol Update'!$E$6:$Z$6,1)+1),'Rate &amp; Vol Update'!$E$6:$Z$6,0))*(AG72-INDEX('Rate &amp; Vol Update'!$E$6:$Z$6,1,MATCH(AG72,'Rate &amp; Vol Update'!$E$6:$Z$6,1)))*(INDEX('Rate &amp; Vol Update'!$B$8:$B$127,MATCH(AB72,'Rate &amp; Vol Update'!$B$8:$B$127,1)+1)-AB72)+INDEX('Rate &amp; Vol Update'!$E$8:$Z$127,MATCH(INDEX('Rate &amp; Vol Update'!$B$8:$B$127,MATCH(AB72,'Rate &amp; Vol Update'!$B$8:$B$127,1)+1),'Rate &amp; Vol Update'!$B$8:$B$127,0),MATCH(INDEX('Rate &amp; Vol Update'!$E$6:$Z$6,1,MATCH(AG72,'Rate &amp; Vol Update'!$E$6:$Z$6,1)),'Rate &amp; Vol Update'!$E$6:$Z$6,0))*(INDEX('Rate &amp; Vol Update'!$E$6:$Z$6,1,MATCH(AG72,'Rate &amp; Vol Update'!$E$6:$Z$6,1)+1)-AG72)*(AB72-INDEX('Rate &amp; Vol Update'!$B$8:$B$127,MATCH(AB72,'Rate &amp; Vol Update'!$B$8:$B$127,1)))+INDEX('Rate &amp; Vol Update'!$E$8:$Z$127,MATCH(INDEX('Rate &amp; Vol Update'!$B$8:$B$127,MATCH(AB72,'Rate &amp; Vol Update'!$B$8:$B$127,1)+1),'Rate &amp; Vol Update'!$B$8:$B$127,0),MATCH(INDEX('Rate &amp; Vol Update'!$E$6:$Z$6,1,MATCH(AG72,'Rate &amp; Vol Update'!$E$6:$Z$6,1)+1),'Rate &amp; Vol Update'!$E$6:$Z$6,0))*(AG72-INDEX('Rate &amp; Vol Update'!$E$6:$Z$6,1,MATCH(AG72,'Rate &amp; Vol Update'!$E$6:$Z$6,1)))*(AB72-INDEX('Rate &amp; Vol Update'!$B$8:$B$127,MATCH(AB72,'Rate &amp; Vol Update'!$B$8:$B$127,1)))))*0.01%))</f>
        <v/>
      </c>
      <c r="AJ72" s="5" t="str">
        <f>IF(AA72="","",1/((1+AH72)^((AC72-'Rate &amp; Vol Update'!$C$2)/360)))</f>
        <v/>
      </c>
      <c r="AL72" s="15" t="str">
        <f>IF(AA72="","",IF(AB72&lt;'Rate &amp; Vol Update'!$C$2,MAX(0,AH72-AG72)*(AD72/360)*AF72,(((IF('Adjustment Surface'!$C$2='Data Validation'!$A$2,AH72,IF('Adjustment Surface'!$C$2='Data Validation'!$A$3,AG72,"Unknown Option Type"))-IF('Adjustment Surface'!$C$2='Data Validation'!$A$2,AG72,IF('Adjustment Surface'!$C$2='Data Validation'!$A$3,AH72,"Unknown Option Type")))*(NORMDIST((IF('Adjustment Surface'!$C$2='Data Validation'!$A$2,AH72,IF('Adjustment Surface'!$C$2='Data Validation'!$A$3,AG72,"Unknown Option Type"))-IF('Adjustment Surface'!$C$2='Data Validation'!$A$2,AG72,IF('Adjustment Surface'!$C$2='Data Validation'!$A$3,AH72,"Unknown Option Type")))/(AI72*SQRT(AE72)),0,1,TRUE)))+((AI72*SQRT(AE72))*(NORMDIST((IF('Adjustment Surface'!$C$2='Data Validation'!$A$2,AH72,IF('Adjustment Surface'!$C$2='Data Validation'!$A$3,AG72,"Unknown Option Type"))-IF('Adjustment Surface'!$C$2='Data Validation'!$A$2,AG72,IF('Adjustment Surface'!$C$2='Data Validation'!$A$3,AH72,"Unknown Option Type")))/(AI72*SQRT(AE72)),0,1,FALSE))))*AJ72*(AD72/360)*AF72))</f>
        <v/>
      </c>
      <c r="AM72" s="15" t="str">
        <f>IF(AA72="","",SUM(AL$4:AL72))</f>
        <v/>
      </c>
      <c r="AO72" s="15" t="str">
        <f>IF(AA72="","",IF(AB72&lt;'Rate &amp; Vol Update'!$C$2,0,((((((IF('Adjustment Surface'!$C$2='Data Validation'!$A$2,AH72,IF('Adjustment Surface'!$C$2='Data Validation'!$A$3,AG72,"Unknown Option Type"))-IF('Adjustment Surface'!$C$2='Data Validation'!$A$2,AG72,IF('Adjustment Surface'!$C$2='Data Validation'!$A$3,AH72,"Unknown Option Type")))*(NORMDIST((IF('Adjustment Surface'!$C$2='Data Validation'!$A$2,AH72,IF('Adjustment Surface'!$C$2='Data Validation'!$A$3,AG72,"Unknown Option Type"))-IF('Adjustment Surface'!$C$2='Data Validation'!$A$2,AG72,IF('Adjustment Surface'!$C$2='Data Validation'!$A$3,AH72,"Unknown Option Type")))/((AI72+0.01%)*SQRT(AE72)),0,1,TRUE)))+(((AI72+0.01%)*SQRT(AE72))*(NORMDIST((IF('Adjustment Surface'!$C$2='Data Validation'!$A$2,AH72,IF('Adjustment Surface'!$C$2='Data Validation'!$A$3,AG72,"Unknown Option Type"))-IF('Adjustment Surface'!$C$2='Data Validation'!$A$2,AG72,IF('Adjustment Surface'!$C$2='Data Validation'!$A$3,AH72,"Unknown Option Type")))/((AI72+0.01%)*SQRT(AE72)),0,1,FALSE))))*AJ72*(AD72/360))-(AL72/AF72))*AF72)*AJ72))</f>
        <v/>
      </c>
      <c r="AP72" s="15" t="str">
        <f>IF(AA72="","",SUM(AO$4:AO72))</f>
        <v/>
      </c>
      <c r="AQ72" s="15"/>
      <c r="AR72" s="20"/>
      <c r="AT72" s="4" t="str">
        <f>IF(AU71=MAX('Adjustment Surface'!$C$14:$F$14),"",AU71)</f>
        <v/>
      </c>
      <c r="AU72" s="4" t="str">
        <f>IF(AT72="","",IF(AT72&lt;EDATE('Adjustment Surface'!$C$6,DATEDIF('Adjustment Surface'!$C$6,MAX('Adjustment Surface'!$C$14:$F$14),"M")),EDATE(AT$5,COUNT(AT$5:AT72)),IF(AT72=EDATE('Adjustment Surface'!$C$6,DATEDIF('Adjustment Surface'!$C$6,MAX('Adjustment Surface'!$C$14:$F$14),"M")),MAX('Adjustment Surface'!$C$14:$F$14),EDATE('Adjustment Surface'!$C$6,DATEDIF('Adjustment Surface'!$C$6,MAX('Adjustment Surface'!$C$14:$F$14),"M")))))</f>
        <v/>
      </c>
      <c r="AV72" s="3" t="str">
        <f t="shared" si="8"/>
        <v/>
      </c>
      <c r="AW72" s="5" t="str">
        <f>IF(AS72="","",(AU72-'Rate &amp; Vol Update'!$C$2)/360)</f>
        <v/>
      </c>
      <c r="AX72" s="15" t="str">
        <f>IF(AS72="","",IF('Adjustment Surface'!$C$3='Data Validation'!$C$2,'Adjustment Surface'!$C$4,_xlfn.IFNA(IF(INDEX(Schedules!$E$3:$E$123,MATCH('Bachelier Model'!AT72,Schedules!$B$3:$B$123,0))="",AX71,INDEX(Schedules!$E$3:$E$123,MATCH('Bachelier Model'!AT72,Schedules!$B$3:$B$123,0))),AX71)))</f>
        <v/>
      </c>
      <c r="AY72" s="16" t="str">
        <f>IF(AS72="","",'Adjustment Surface'!B$16)</f>
        <v/>
      </c>
      <c r="AZ72" s="16" t="str" cm="1">
        <f t="array" ref="AZ72">IF(AS72="","",FORECAST(AT72,INDEX('Rate &amp; Vol Update'!$C$6:$C$127,MATCH(INDEX('Rate &amp; Vol Update'!$B$6:$B$127,MATCH(AT72,'Rate &amp; Vol Update'!$B$6:$B$127,1)),'Rate &amp; Vol Update'!$B$6:$B$127,0)+IF('Adjustment Surface'!$C$11='Data Validation'!$E$3,-1,0)):INDEX('Rate &amp; Vol Update'!$C$6:$C$127,MATCH(INDEX('Rate &amp; Vol Update'!$B$6:$B$127,MATCH(AT72,'Rate &amp; Vol Update'!$B$6:$B$127,1)+1),'Rate &amp; Vol Update'!$B$6:$B$127,0)+IF('Adjustment Surface'!$C$11='Data Validation'!$E$3,-1,0)),INDEX('Rate &amp; Vol Update'!$B$6:$B$127,MATCH(AT72,'Rate &amp; Vol Update'!$B$6:$B$127,1)):INDEX('Rate &amp; Vol Update'!$B$6:$B$127,MATCH(AT72,'Rate &amp; Vol Update'!$B$6:$B$127,1)+1))/100)</f>
        <v/>
      </c>
      <c r="BA72" s="16" t="str" cm="1">
        <f t="array" ref="BA72">IF(AS72="","",IF(AT72&lt;'Rate &amp; Vol Update'!$C$2,0.001%,(1/((INDEX('Rate &amp; Vol Update'!$E$6:$Z$6,1,MATCH(AY72,'Rate &amp; Vol Update'!$E$6:$Z$6,1)+1)-INDEX('Rate &amp; Vol Update'!$E$6:$Z$6,1,MATCH(AY72,'Rate &amp; Vol Update'!$E$6:$Z$6,1)))*(INDEX('Rate &amp; Vol Update'!$B$8:$B$127,MATCH(AT72,'Rate &amp; Vol Update'!$B$8:$B$127,1)+1)-INDEX('Rate &amp; Vol Update'!$B$8:$B$127,MATCH(AT72,'Rate &amp; Vol Update'!$B$8:$B$127,1))))*(INDEX('Rate &amp; Vol Update'!$E$8:$Z$127,MATCH(INDEX('Rate &amp; Vol Update'!$B$8:$B$127,MATCH(AT72,'Rate &amp; Vol Update'!$B$8:$B$127,1)),'Rate &amp; Vol Update'!$B$8:$B$127,0),MATCH(INDEX('Rate &amp; Vol Update'!$E$6:$Z$6,1,MATCH(AY72,'Rate &amp; Vol Update'!$E$6:$Z$6,1)),'Rate &amp; Vol Update'!$E$6:$Z$6,0))*(INDEX('Rate &amp; Vol Update'!$E$6:$Z$6,1,MATCH(AY72,'Rate &amp; Vol Update'!$E$6:$Z$6,1)+1)-AY72)*(INDEX('Rate &amp; Vol Update'!$B$8:$B$127,MATCH(AT72,'Rate &amp; Vol Update'!$B$8:$B$127,1)+1)-AT72)+INDEX('Rate &amp; Vol Update'!$E$8:$Z$127,MATCH(INDEX('Rate &amp; Vol Update'!$B$8:$B$127,MATCH(AT72,'Rate &amp; Vol Update'!$B$8:$B$127,1)),'Rate &amp; Vol Update'!$B$8:$B$127,0),MATCH(INDEX('Rate &amp; Vol Update'!$E$6:$Z$6,1,MATCH(AY72,'Rate &amp; Vol Update'!$E$6:$Z$6,1)+1),'Rate &amp; Vol Update'!$E$6:$Z$6,0))*(AY72-INDEX('Rate &amp; Vol Update'!$E$6:$Z$6,1,MATCH(AY72,'Rate &amp; Vol Update'!$E$6:$Z$6,1)))*(INDEX('Rate &amp; Vol Update'!$B$8:$B$127,MATCH(AT72,'Rate &amp; Vol Update'!$B$8:$B$127,1)+1)-AT72)+INDEX('Rate &amp; Vol Update'!$E$8:$Z$127,MATCH(INDEX('Rate &amp; Vol Update'!$B$8:$B$127,MATCH(AT72,'Rate &amp; Vol Update'!$B$8:$B$127,1)+1),'Rate &amp; Vol Update'!$B$8:$B$127,0),MATCH(INDEX('Rate &amp; Vol Update'!$E$6:$Z$6,1,MATCH(AY72,'Rate &amp; Vol Update'!$E$6:$Z$6,1)),'Rate &amp; Vol Update'!$E$6:$Z$6,0))*(INDEX('Rate &amp; Vol Update'!$E$6:$Z$6,1,MATCH(AY72,'Rate &amp; Vol Update'!$E$6:$Z$6,1)+1)-AY72)*(AT72-INDEX('Rate &amp; Vol Update'!$B$8:$B$127,MATCH(AT72,'Rate &amp; Vol Update'!$B$8:$B$127,1)))+INDEX('Rate &amp; Vol Update'!$E$8:$Z$127,MATCH(INDEX('Rate &amp; Vol Update'!$B$8:$B$127,MATCH(AT72,'Rate &amp; Vol Update'!$B$8:$B$127,1)+1),'Rate &amp; Vol Update'!$B$8:$B$127,0),MATCH(INDEX('Rate &amp; Vol Update'!$E$6:$Z$6,1,MATCH(AY72,'Rate &amp; Vol Update'!$E$6:$Z$6,1)+1),'Rate &amp; Vol Update'!$E$6:$Z$6,0))*(AY72-INDEX('Rate &amp; Vol Update'!$E$6:$Z$6,1,MATCH(AY72,'Rate &amp; Vol Update'!$E$6:$Z$6,1)))*(AT72-INDEX('Rate &amp; Vol Update'!$B$8:$B$127,MATCH(AT72,'Rate &amp; Vol Update'!$B$8:$B$127,1)))))*0.01%))</f>
        <v/>
      </c>
      <c r="BB72" s="5" t="str">
        <f>IF(AS72="","",1/((1+AZ72)^((AU72-'Rate &amp; Vol Update'!$C$2)/360)))</f>
        <v/>
      </c>
      <c r="BD72" s="15" t="str">
        <f>IF(AS72="","",IF(AT72&lt;'Rate &amp; Vol Update'!$C$2,MAX(0,AZ72-AY72)*(AV72/360)*AX72,(((IF('Adjustment Surface'!$C$2='Data Validation'!$A$2,AZ72,IF('Adjustment Surface'!$C$2='Data Validation'!$A$3,AY72,"Unknown Option Type"))-IF('Adjustment Surface'!$C$2='Data Validation'!$A$2,AY72,IF('Adjustment Surface'!$C$2='Data Validation'!$A$3,AZ72,"Unknown Option Type")))*(NORMDIST((IF('Adjustment Surface'!$C$2='Data Validation'!$A$2,AZ72,IF('Adjustment Surface'!$C$2='Data Validation'!$A$3,AY72,"Unknown Option Type"))-IF('Adjustment Surface'!$C$2='Data Validation'!$A$2,AY72,IF('Adjustment Surface'!$C$2='Data Validation'!$A$3,AZ72,"Unknown Option Type")))/(BA72*SQRT(AW72)),0,1,TRUE)))+((BA72*SQRT(AW72))*(NORMDIST((IF('Adjustment Surface'!$C$2='Data Validation'!$A$2,AZ72,IF('Adjustment Surface'!$C$2='Data Validation'!$A$3,AY72,"Unknown Option Type"))-IF('Adjustment Surface'!$C$2='Data Validation'!$A$2,AY72,IF('Adjustment Surface'!$C$2='Data Validation'!$A$3,AZ72,"Unknown Option Type")))/(BA72*SQRT(AW72)),0,1,FALSE))))*BB72*(AV72/360)*AX72))</f>
        <v/>
      </c>
      <c r="BE72" s="15" t="str">
        <f>IF(AS72="","",SUM(BD$4:BD72))</f>
        <v/>
      </c>
      <c r="BG72" s="15" t="str">
        <f>IF(AS72="","",IF(AT72&lt;'Rate &amp; Vol Update'!$C$2,0,((((((IF('Adjustment Surface'!$C$2='Data Validation'!$A$2,AZ72,IF('Adjustment Surface'!$C$2='Data Validation'!$A$3,AY72,"Unknown Option Type"))-IF('Adjustment Surface'!$C$2='Data Validation'!$A$2,AY72,IF('Adjustment Surface'!$C$2='Data Validation'!$A$3,AZ72,"Unknown Option Type")))*(NORMDIST((IF('Adjustment Surface'!$C$2='Data Validation'!$A$2,AZ72,IF('Adjustment Surface'!$C$2='Data Validation'!$A$3,AY72,"Unknown Option Type"))-IF('Adjustment Surface'!$C$2='Data Validation'!$A$2,AY72,IF('Adjustment Surface'!$C$2='Data Validation'!$A$3,AZ72,"Unknown Option Type")))/((BA72+0.01%)*SQRT(AW72)),0,1,TRUE)))+(((BA72+0.01%)*SQRT(AW72))*(NORMDIST((IF('Adjustment Surface'!$C$2='Data Validation'!$A$2,AZ72,IF('Adjustment Surface'!$C$2='Data Validation'!$A$3,AY72,"Unknown Option Type"))-IF('Adjustment Surface'!$C$2='Data Validation'!$A$2,AY72,IF('Adjustment Surface'!$C$2='Data Validation'!$A$3,AZ72,"Unknown Option Type")))/((BA72+0.01%)*SQRT(AW72)),0,1,FALSE))))*BB72*(AV72/360))-(BD72/AX72))*AX72)*BB72))</f>
        <v/>
      </c>
      <c r="BH72" s="15" t="str">
        <f>IF(AS72="","",SUM(BG$4:BG72))</f>
        <v/>
      </c>
      <c r="BI72" s="15"/>
      <c r="BJ72" s="20"/>
      <c r="BL72" s="4" t="str">
        <f>IF(BM71=MAX('Adjustment Surface'!$C$14:$F$14),"",BM71)</f>
        <v/>
      </c>
      <c r="BM72" s="4" t="str">
        <f>IF(BL72="","",IF(BL72&lt;EDATE('Adjustment Surface'!$C$6,DATEDIF('Adjustment Surface'!$C$6,MAX('Adjustment Surface'!$C$14:$F$14),"M")),EDATE(BL$5,COUNT(BL$5:BL72)),IF(BL72=EDATE('Adjustment Surface'!$C$6,DATEDIF('Adjustment Surface'!$C$6,MAX('Adjustment Surface'!$C$14:$F$14),"M")),MAX('Adjustment Surface'!$C$14:$F$14),EDATE('Adjustment Surface'!$C$6,DATEDIF('Adjustment Surface'!$C$6,MAX('Adjustment Surface'!$C$14:$F$14),"M")))))</f>
        <v/>
      </c>
      <c r="BN72" s="3" t="str">
        <f t="shared" si="9"/>
        <v/>
      </c>
      <c r="BO72" s="5" t="str">
        <f>IF(BK72="","",(BM72-'Rate &amp; Vol Update'!$C$2)/360)</f>
        <v/>
      </c>
      <c r="BP72" s="15" t="str">
        <f>IF(BK72="","",IF('Adjustment Surface'!$C$3='Data Validation'!$C$2,'Adjustment Surface'!$C$4,_xlfn.IFNA(IF(INDEX(Schedules!$E$3:$E$123,MATCH('Bachelier Model'!BL72,Schedules!$B$3:$B$123,0))="",BP71,INDEX(Schedules!$E$3:$E$123,MATCH('Bachelier Model'!BL72,Schedules!$B$3:$B$123,0))),BP71)))</f>
        <v/>
      </c>
      <c r="BQ72" s="16" t="str">
        <f>IF(BK72="","",'Adjustment Surface'!B$17)</f>
        <v/>
      </c>
      <c r="BR72" s="16" t="str" cm="1">
        <f t="array" ref="BR72">IF(BK72="","",FORECAST(BL72,INDEX('Rate &amp; Vol Update'!$C$6:$C$127,MATCH(INDEX('Rate &amp; Vol Update'!$B$6:$B$127,MATCH(BL72,'Rate &amp; Vol Update'!$B$6:$B$127,1)),'Rate &amp; Vol Update'!$B$6:$B$127,0)+IF('Adjustment Surface'!$C$11='Data Validation'!$E$3,-1,0)):INDEX('Rate &amp; Vol Update'!$C$6:$C$127,MATCH(INDEX('Rate &amp; Vol Update'!$B$6:$B$127,MATCH(BL72,'Rate &amp; Vol Update'!$B$6:$B$127,1)+1),'Rate &amp; Vol Update'!$B$6:$B$127,0)+IF('Adjustment Surface'!$C$11='Data Validation'!$E$3,-1,0)),INDEX('Rate &amp; Vol Update'!$B$6:$B$127,MATCH(BL72,'Rate &amp; Vol Update'!$B$6:$B$127,1)):INDEX('Rate &amp; Vol Update'!$B$6:$B$127,MATCH(BL72,'Rate &amp; Vol Update'!$B$6:$B$127,1)+1))/100)</f>
        <v/>
      </c>
      <c r="BS72" s="16" t="str" cm="1">
        <f t="array" ref="BS72">IF(BK72="","",IF(BL72&lt;'Rate &amp; Vol Update'!$C$2,0.001%,(1/((INDEX('Rate &amp; Vol Update'!$E$6:$Z$6,1,MATCH(BQ72,'Rate &amp; Vol Update'!$E$6:$Z$6,1)+1)-INDEX('Rate &amp; Vol Update'!$E$6:$Z$6,1,MATCH(BQ72,'Rate &amp; Vol Update'!$E$6:$Z$6,1)))*(INDEX('Rate &amp; Vol Update'!$B$8:$B$127,MATCH(BL72,'Rate &amp; Vol Update'!$B$8:$B$127,1)+1)-INDEX('Rate &amp; Vol Update'!$B$8:$B$127,MATCH(BL72,'Rate &amp; Vol Update'!$B$8:$B$127,1))))*(INDEX('Rate &amp; Vol Update'!$E$8:$Z$127,MATCH(INDEX('Rate &amp; Vol Update'!$B$8:$B$127,MATCH(BL72,'Rate &amp; Vol Update'!$B$8:$B$127,1)),'Rate &amp; Vol Update'!$B$8:$B$127,0),MATCH(INDEX('Rate &amp; Vol Update'!$E$6:$Z$6,1,MATCH(BQ72,'Rate &amp; Vol Update'!$E$6:$Z$6,1)),'Rate &amp; Vol Update'!$E$6:$Z$6,0))*(INDEX('Rate &amp; Vol Update'!$E$6:$Z$6,1,MATCH(BQ72,'Rate &amp; Vol Update'!$E$6:$Z$6,1)+1)-BQ72)*(INDEX('Rate &amp; Vol Update'!$B$8:$B$127,MATCH(BL72,'Rate &amp; Vol Update'!$B$8:$B$127,1)+1)-BL72)+INDEX('Rate &amp; Vol Update'!$E$8:$Z$127,MATCH(INDEX('Rate &amp; Vol Update'!$B$8:$B$127,MATCH(BL72,'Rate &amp; Vol Update'!$B$8:$B$127,1)),'Rate &amp; Vol Update'!$B$8:$B$127,0),MATCH(INDEX('Rate &amp; Vol Update'!$E$6:$Z$6,1,MATCH(BQ72,'Rate &amp; Vol Update'!$E$6:$Z$6,1)+1),'Rate &amp; Vol Update'!$E$6:$Z$6,0))*(BQ72-INDEX('Rate &amp; Vol Update'!$E$6:$Z$6,1,MATCH(BQ72,'Rate &amp; Vol Update'!$E$6:$Z$6,1)))*(INDEX('Rate &amp; Vol Update'!$B$8:$B$127,MATCH(BL72,'Rate &amp; Vol Update'!$B$8:$B$127,1)+1)-BL72)+INDEX('Rate &amp; Vol Update'!$E$8:$Z$127,MATCH(INDEX('Rate &amp; Vol Update'!$B$8:$B$127,MATCH(BL72,'Rate &amp; Vol Update'!$B$8:$B$127,1)+1),'Rate &amp; Vol Update'!$B$8:$B$127,0),MATCH(INDEX('Rate &amp; Vol Update'!$E$6:$Z$6,1,MATCH(BQ72,'Rate &amp; Vol Update'!$E$6:$Z$6,1)),'Rate &amp; Vol Update'!$E$6:$Z$6,0))*(INDEX('Rate &amp; Vol Update'!$E$6:$Z$6,1,MATCH(BQ72,'Rate &amp; Vol Update'!$E$6:$Z$6,1)+1)-BQ72)*(BL72-INDEX('Rate &amp; Vol Update'!$B$8:$B$127,MATCH(BL72,'Rate &amp; Vol Update'!$B$8:$B$127,1)))+INDEX('Rate &amp; Vol Update'!$E$8:$Z$127,MATCH(INDEX('Rate &amp; Vol Update'!$B$8:$B$127,MATCH(BL72,'Rate &amp; Vol Update'!$B$8:$B$127,1)+1),'Rate &amp; Vol Update'!$B$8:$B$127,0),MATCH(INDEX('Rate &amp; Vol Update'!$E$6:$Z$6,1,MATCH(BQ72,'Rate &amp; Vol Update'!$E$6:$Z$6,1)+1),'Rate &amp; Vol Update'!$E$6:$Z$6,0))*(BQ72-INDEX('Rate &amp; Vol Update'!$E$6:$Z$6,1,MATCH(BQ72,'Rate &amp; Vol Update'!$E$6:$Z$6,1)))*(BL72-INDEX('Rate &amp; Vol Update'!$B$8:$B$127,MATCH(BL72,'Rate &amp; Vol Update'!$B$8:$B$127,1)))))*0.01%))</f>
        <v/>
      </c>
      <c r="BT72" s="5" t="str">
        <f>IF(BK72="","",1/((1+BR72)^((BM72-'Rate &amp; Vol Update'!$C$2)/360)))</f>
        <v/>
      </c>
      <c r="BV72" s="15" t="str">
        <f>IF(BK72="","",IF(BL72&lt;'Rate &amp; Vol Update'!$C$2,MAX(0,BR72-BQ72)*(BN72/360)*BP72,(((IF('Adjustment Surface'!$C$2='Data Validation'!$A$2,BR72,IF('Adjustment Surface'!$C$2='Data Validation'!$A$3,BQ72,"Unknown Option Type"))-IF('Adjustment Surface'!$C$2='Data Validation'!$A$2,BQ72,IF('Adjustment Surface'!$C$2='Data Validation'!$A$3,BR72,"Unknown Option Type")))*(NORMDIST((IF('Adjustment Surface'!$C$2='Data Validation'!$A$2,BR72,IF('Adjustment Surface'!$C$2='Data Validation'!$A$3,BQ72,"Unknown Option Type"))-IF('Adjustment Surface'!$C$2='Data Validation'!$A$2,BQ72,IF('Adjustment Surface'!$C$2='Data Validation'!$A$3,BR72,"Unknown Option Type")))/(BS72*SQRT(BO72)),0,1,TRUE)))+((BS72*SQRT(BO72))*(NORMDIST((IF('Adjustment Surface'!$C$2='Data Validation'!$A$2,BR72,IF('Adjustment Surface'!$C$2='Data Validation'!$A$3,BQ72,"Unknown Option Type"))-IF('Adjustment Surface'!$C$2='Data Validation'!$A$2,BQ72,IF('Adjustment Surface'!$C$2='Data Validation'!$A$3,BR72,"Unknown Option Type")))/(BS72*SQRT(BO72)),0,1,FALSE))))*BT72*(BN72/360)*BP72))</f>
        <v/>
      </c>
      <c r="BW72" s="15" t="str">
        <f>IF(BK72="","",SUM(BV$4:BV72))</f>
        <v/>
      </c>
      <c r="BY72" s="15" t="str">
        <f>IF(BK72="","",IF(BL72&lt;'Rate &amp; Vol Update'!$C$2,0,((((((IF('Adjustment Surface'!$C$2='Data Validation'!$A$2,BR72,IF('Adjustment Surface'!$C$2='Data Validation'!$A$3,BQ72,"Unknown Option Type"))-IF('Adjustment Surface'!$C$2='Data Validation'!$A$2,BQ72,IF('Adjustment Surface'!$C$2='Data Validation'!$A$3,BR72,"Unknown Option Type")))*(NORMDIST((IF('Adjustment Surface'!$C$2='Data Validation'!$A$2,BR72,IF('Adjustment Surface'!$C$2='Data Validation'!$A$3,BQ72,"Unknown Option Type"))-IF('Adjustment Surface'!$C$2='Data Validation'!$A$2,BQ72,IF('Adjustment Surface'!$C$2='Data Validation'!$A$3,BR72,"Unknown Option Type")))/((BS72+0.01%)*SQRT(BO72)),0,1,TRUE)))+(((BS72+0.01%)*SQRT(BO72))*(NORMDIST((IF('Adjustment Surface'!$C$2='Data Validation'!$A$2,BR72,IF('Adjustment Surface'!$C$2='Data Validation'!$A$3,BQ72,"Unknown Option Type"))-IF('Adjustment Surface'!$C$2='Data Validation'!$A$2,BQ72,IF('Adjustment Surface'!$C$2='Data Validation'!$A$3,BR72,"Unknown Option Type")))/((BS72+0.01%)*SQRT(BO72)),0,1,FALSE))))*BT72*(BN72/360))-(BV72/BP72))*BP72)*BT72))</f>
        <v/>
      </c>
      <c r="BZ72" s="15" t="str">
        <f>IF(BK72="","",SUM(BY$4:BY72))</f>
        <v/>
      </c>
      <c r="CA72" s="15"/>
      <c r="CB72" s="20"/>
      <c r="CD72" s="4" t="str">
        <f>IF(CE71=MAX('Adjustment Surface'!$C$14:$F$14),"",CE71)</f>
        <v/>
      </c>
      <c r="CE72" s="4" t="str">
        <f>IF(CD72="","",IF(CD72&lt;EDATE('Adjustment Surface'!$C$6,DATEDIF('Adjustment Surface'!$C$6,MAX('Adjustment Surface'!$C$14:$F$14),"M")),EDATE(CD$5,COUNT(CD$5:CD72)),IF(CD72=EDATE('Adjustment Surface'!$C$6,DATEDIF('Adjustment Surface'!$C$6,MAX('Adjustment Surface'!$C$14:$F$14),"M")),MAX('Adjustment Surface'!$C$14:$F$14),EDATE('Adjustment Surface'!$C$6,DATEDIF('Adjustment Surface'!$C$6,MAX('Adjustment Surface'!$C$14:$F$14),"M")))))</f>
        <v/>
      </c>
      <c r="CF72" s="3" t="str">
        <f t="shared" si="10"/>
        <v/>
      </c>
      <c r="CG72" s="5" t="str">
        <f>IF(CC72="","",(CE72-'Rate &amp; Vol Update'!$C$2)/360)</f>
        <v/>
      </c>
      <c r="CH72" s="15" t="str">
        <f>IF(CC72="","",IF('Adjustment Surface'!$C$3='Data Validation'!$C$2,'Adjustment Surface'!$C$4,_xlfn.IFNA(IF(INDEX(Schedules!$E$3:$E$123,MATCH('Bachelier Model'!CD72,Schedules!$B$3:$B$123,0))="",CH71,INDEX(Schedules!$E$3:$E$123,MATCH('Bachelier Model'!CD72,Schedules!$B$3:$B$123,0))),CH71)))</f>
        <v/>
      </c>
      <c r="CI72" s="16" t="str">
        <f>IF(CC72="","",'Adjustment Surface'!B$18)</f>
        <v/>
      </c>
      <c r="CJ72" s="16" t="str" cm="1">
        <f t="array" ref="CJ72">IF(CC72="","",FORECAST(CD72,INDEX('Rate &amp; Vol Update'!$C$6:$C$127,MATCH(INDEX('Rate &amp; Vol Update'!$B$6:$B$127,MATCH(CD72,'Rate &amp; Vol Update'!$B$6:$B$127,1)),'Rate &amp; Vol Update'!$B$6:$B$127,0)+IF('Adjustment Surface'!$C$11='Data Validation'!$E$3,-1,0)):INDEX('Rate &amp; Vol Update'!$C$6:$C$127,MATCH(INDEX('Rate &amp; Vol Update'!$B$6:$B$127,MATCH(CD72,'Rate &amp; Vol Update'!$B$6:$B$127,1)+1),'Rate &amp; Vol Update'!$B$6:$B$127,0)+IF('Adjustment Surface'!$C$11='Data Validation'!$E$3,-1,0)),INDEX('Rate &amp; Vol Update'!$B$6:$B$127,MATCH(CD72,'Rate &amp; Vol Update'!$B$6:$B$127,1)):INDEX('Rate &amp; Vol Update'!$B$6:$B$127,MATCH(CD72,'Rate &amp; Vol Update'!$B$6:$B$127,1)+1))/100)</f>
        <v/>
      </c>
      <c r="CK72" s="16" t="str" cm="1">
        <f t="array" ref="CK72">IF(CC72="","",IF(CD72&lt;'Rate &amp; Vol Update'!$C$2,0.001%,(1/((INDEX('Rate &amp; Vol Update'!$E$6:$Z$6,1,MATCH(CI72,'Rate &amp; Vol Update'!$E$6:$Z$6,1)+1)-INDEX('Rate &amp; Vol Update'!$E$6:$Z$6,1,MATCH(CI72,'Rate &amp; Vol Update'!$E$6:$Z$6,1)))*(INDEX('Rate &amp; Vol Update'!$B$8:$B$127,MATCH(CD72,'Rate &amp; Vol Update'!$B$8:$B$127,1)+1)-INDEX('Rate &amp; Vol Update'!$B$8:$B$127,MATCH(CD72,'Rate &amp; Vol Update'!$B$8:$B$127,1))))*(INDEX('Rate &amp; Vol Update'!$E$8:$Z$127,MATCH(INDEX('Rate &amp; Vol Update'!$B$8:$B$127,MATCH(CD72,'Rate &amp; Vol Update'!$B$8:$B$127,1)),'Rate &amp; Vol Update'!$B$8:$B$127,0),MATCH(INDEX('Rate &amp; Vol Update'!$E$6:$Z$6,1,MATCH(CI72,'Rate &amp; Vol Update'!$E$6:$Z$6,1)),'Rate &amp; Vol Update'!$E$6:$Z$6,0))*(INDEX('Rate &amp; Vol Update'!$E$6:$Z$6,1,MATCH(CI72,'Rate &amp; Vol Update'!$E$6:$Z$6,1)+1)-CI72)*(INDEX('Rate &amp; Vol Update'!$B$8:$B$127,MATCH(CD72,'Rate &amp; Vol Update'!$B$8:$B$127,1)+1)-CD72)+INDEX('Rate &amp; Vol Update'!$E$8:$Z$127,MATCH(INDEX('Rate &amp; Vol Update'!$B$8:$B$127,MATCH(CD72,'Rate &amp; Vol Update'!$B$8:$B$127,1)),'Rate &amp; Vol Update'!$B$8:$B$127,0),MATCH(INDEX('Rate &amp; Vol Update'!$E$6:$Z$6,1,MATCH(CI72,'Rate &amp; Vol Update'!$E$6:$Z$6,1)+1),'Rate &amp; Vol Update'!$E$6:$Z$6,0))*(CI72-INDEX('Rate &amp; Vol Update'!$E$6:$Z$6,1,MATCH(CI72,'Rate &amp; Vol Update'!$E$6:$Z$6,1)))*(INDEX('Rate &amp; Vol Update'!$B$8:$B$127,MATCH(CD72,'Rate &amp; Vol Update'!$B$8:$B$127,1)+1)-CD72)+INDEX('Rate &amp; Vol Update'!$E$8:$Z$127,MATCH(INDEX('Rate &amp; Vol Update'!$B$8:$B$127,MATCH(CD72,'Rate &amp; Vol Update'!$B$8:$B$127,1)+1),'Rate &amp; Vol Update'!$B$8:$B$127,0),MATCH(INDEX('Rate &amp; Vol Update'!$E$6:$Z$6,1,MATCH(CI72,'Rate &amp; Vol Update'!$E$6:$Z$6,1)),'Rate &amp; Vol Update'!$E$6:$Z$6,0))*(INDEX('Rate &amp; Vol Update'!$E$6:$Z$6,1,MATCH(CI72,'Rate &amp; Vol Update'!$E$6:$Z$6,1)+1)-CI72)*(CD72-INDEX('Rate &amp; Vol Update'!$B$8:$B$127,MATCH(CD72,'Rate &amp; Vol Update'!$B$8:$B$127,1)))+INDEX('Rate &amp; Vol Update'!$E$8:$Z$127,MATCH(INDEX('Rate &amp; Vol Update'!$B$8:$B$127,MATCH(CD72,'Rate &amp; Vol Update'!$B$8:$B$127,1)+1),'Rate &amp; Vol Update'!$B$8:$B$127,0),MATCH(INDEX('Rate &amp; Vol Update'!$E$6:$Z$6,1,MATCH(CI72,'Rate &amp; Vol Update'!$E$6:$Z$6,1)+1),'Rate &amp; Vol Update'!$E$6:$Z$6,0))*(CI72-INDEX('Rate &amp; Vol Update'!$E$6:$Z$6,1,MATCH(CI72,'Rate &amp; Vol Update'!$E$6:$Z$6,1)))*(CD72-INDEX('Rate &amp; Vol Update'!$B$8:$B$127,MATCH(CD72,'Rate &amp; Vol Update'!$B$8:$B$127,1)))))*0.01%))</f>
        <v/>
      </c>
      <c r="CL72" s="5" t="str">
        <f>IF(CC72="","",1/((1+CJ72)^((CE72-'Rate &amp; Vol Update'!$C$2)/360)))</f>
        <v/>
      </c>
      <c r="CN72" s="15" t="str">
        <f>IF(CC72="","",IF(CD72&lt;'Rate &amp; Vol Update'!$C$2,MAX(0,CJ72-CI72)*(CF72/360)*CH72,(((IF('Adjustment Surface'!$C$2='Data Validation'!$A$2,CJ72,IF('Adjustment Surface'!$C$2='Data Validation'!$A$3,CI72,"Unknown Option Type"))-IF('Adjustment Surface'!$C$2='Data Validation'!$A$2,CI72,IF('Adjustment Surface'!$C$2='Data Validation'!$A$3,CJ72,"Unknown Option Type")))*(NORMDIST((IF('Adjustment Surface'!$C$2='Data Validation'!$A$2,CJ72,IF('Adjustment Surface'!$C$2='Data Validation'!$A$3,CI72,"Unknown Option Type"))-IF('Adjustment Surface'!$C$2='Data Validation'!$A$2,CI72,IF('Adjustment Surface'!$C$2='Data Validation'!$A$3,CJ72,"Unknown Option Type")))/(CK72*SQRT(CG72)),0,1,TRUE)))+((CK72*SQRT(CG72))*(NORMDIST((IF('Adjustment Surface'!$C$2='Data Validation'!$A$2,CJ72,IF('Adjustment Surface'!$C$2='Data Validation'!$A$3,CI72,"Unknown Option Type"))-IF('Adjustment Surface'!$C$2='Data Validation'!$A$2,CI72,IF('Adjustment Surface'!$C$2='Data Validation'!$A$3,CJ72,"Unknown Option Type")))/(CK72*SQRT(CG72)),0,1,FALSE))))*CL72*(CF72/360)*CH72))</f>
        <v/>
      </c>
      <c r="CO72" s="15" t="str">
        <f>IF(CC72="","",SUM(CN$4:CN72))</f>
        <v/>
      </c>
      <c r="CQ72" s="15" t="str">
        <f>IF(CC72="","",IF(CD72&lt;'Rate &amp; Vol Update'!$C$2,0,((((((IF('Adjustment Surface'!$C$2='Data Validation'!$A$2,CJ72,IF('Adjustment Surface'!$C$2='Data Validation'!$A$3,CI72,"Unknown Option Type"))-IF('Adjustment Surface'!$C$2='Data Validation'!$A$2,CI72,IF('Adjustment Surface'!$C$2='Data Validation'!$A$3,CJ72,"Unknown Option Type")))*(NORMDIST((IF('Adjustment Surface'!$C$2='Data Validation'!$A$2,CJ72,IF('Adjustment Surface'!$C$2='Data Validation'!$A$3,CI72,"Unknown Option Type"))-IF('Adjustment Surface'!$C$2='Data Validation'!$A$2,CI72,IF('Adjustment Surface'!$C$2='Data Validation'!$A$3,CJ72,"Unknown Option Type")))/((CK72+0.01%)*SQRT(CG72)),0,1,TRUE)))+(((CK72+0.01%)*SQRT(CG72))*(NORMDIST((IF('Adjustment Surface'!$C$2='Data Validation'!$A$2,CJ72,IF('Adjustment Surface'!$C$2='Data Validation'!$A$3,CI72,"Unknown Option Type"))-IF('Adjustment Surface'!$C$2='Data Validation'!$A$2,CI72,IF('Adjustment Surface'!$C$2='Data Validation'!$A$3,CJ72,"Unknown Option Type")))/((CK72+0.01%)*SQRT(CG72)),0,1,FALSE))))*CL72*(CF72/360))-(CN72/CH72))*CH72)*CL72))</f>
        <v/>
      </c>
      <c r="CR72" s="15" t="str">
        <f>IF(CC72="","",SUM(CQ$4:CQ72))</f>
        <v/>
      </c>
    </row>
    <row r="73" spans="7:96" x14ac:dyDescent="0.25">
      <c r="G73" s="28"/>
      <c r="J73" s="4" t="str">
        <f>IF(K72='Adjustment Surface'!C$8,"",K72)</f>
        <v/>
      </c>
      <c r="K73" s="4" t="str">
        <f>IF(J73="","",IF(J73&lt;'Adjustment Surface'!C$7,EDATE(J$5,COUNT(J$5:J73)),IF(J73='Adjustment Surface'!C$7,'Adjustment Surface'!C$8,'Adjustment Surface'!C$7)))</f>
        <v/>
      </c>
      <c r="L73" s="3" t="str">
        <f t="shared" si="6"/>
        <v/>
      </c>
      <c r="M73" s="5" t="str">
        <f>IF(I73="","",(K73-'Rate &amp; Vol Update'!$C$2)/360)</f>
        <v/>
      </c>
      <c r="N73" s="15" t="str">
        <f>IF(I73="","",IF('Adjustment Surface'!C$3='Data Validation'!$C$2,'Adjustment Surface'!C$4,IF(INDEX(Schedules!$E$3:$E$123,MATCH('Bachelier Model'!J73,Schedules!$B$3:$B$123,0))="",N72,INDEX(Schedules!$E$3:$E$123,MATCH('Bachelier Model'!J73,Schedules!$B$3:$B$123,0)))))</f>
        <v/>
      </c>
      <c r="O73" s="16" t="str">
        <f>IF(I73="","",IF('Adjustment Surface'!C$9='Data Validation'!$D$2,'Adjustment Surface'!C$10,IF(INDEX(Schedules!$H$3:$H$123,MATCH('Bachelier Model'!J73,Schedules!$B$3:$B$123,0))="",O72,INDEX(Schedules!$H$3:$H$123,MATCH('Bachelier Model'!J73,Schedules!$B$3:$B$123,0)))))</f>
        <v/>
      </c>
      <c r="P73" s="16" t="str" cm="1">
        <f t="array" ref="P73">IF(I73="","",FORECAST(J73,INDEX('Rate &amp; Vol Update'!$C$6:$C$127,MATCH(INDEX('Rate &amp; Vol Update'!$B$6:$B$127,MATCH(J73,'Rate &amp; Vol Update'!$B$6:$B$127,1)),'Rate &amp; Vol Update'!$B$6:$B$127,0)+IF('Adjustment Surface'!C$11='Data Validation'!$E$3,-1,0)):INDEX('Rate &amp; Vol Update'!$C$6:$C$127,MATCH(INDEX('Rate &amp; Vol Update'!$B$6:$B$127,MATCH(J73,'Rate &amp; Vol Update'!$B$6:$B$127,1)+1),'Rate &amp; Vol Update'!$B$6:$B$127,0)+IF('Adjustment Surface'!C$11='Data Validation'!$E$3,-1,0)),INDEX('Rate &amp; Vol Update'!$B$6:$B$127,MATCH(J73,'Rate &amp; Vol Update'!$B$6:$B$127,1)):INDEX('Rate &amp; Vol Update'!$B$6:$B$127,MATCH(J73,'Rate &amp; Vol Update'!$B$6:$B$127,1)+1))/100)</f>
        <v/>
      </c>
      <c r="Q73" s="16" t="str" cm="1">
        <f t="array" ref="Q73">IF(I73="","",IF(J73&lt;'Rate &amp; Vol Update'!$C$2,0.001%,(1/((INDEX('Rate &amp; Vol Update'!$E$6:$Z$6,1,MATCH(O73,'Rate &amp; Vol Update'!$E$6:$Z$6,1)+1)-INDEX('Rate &amp; Vol Update'!$E$6:$Z$6,1,MATCH(O73,'Rate &amp; Vol Update'!$E$6:$Z$6,1)))*(INDEX('Rate &amp; Vol Update'!$B$8:$B$127,MATCH(J73,'Rate &amp; Vol Update'!$B$8:$B$127,1)+1)-INDEX('Rate &amp; Vol Update'!$B$8:$B$127,MATCH(J73,'Rate &amp; Vol Update'!$B$8:$B$127,1))))*(INDEX('Rate &amp; Vol Update'!$E$8:$Z$127,MATCH(INDEX('Rate &amp; Vol Update'!$B$8:$B$127,MATCH(J73,'Rate &amp; Vol Update'!$B$8:$B$127,1)),'Rate &amp; Vol Update'!$B$8:$B$127,0),MATCH(INDEX('Rate &amp; Vol Update'!$E$6:$Z$6,1,MATCH(O73,'Rate &amp; Vol Update'!$E$6:$Z$6,1)),'Rate &amp; Vol Update'!$E$6:$Z$6,0))*(INDEX('Rate &amp; Vol Update'!$E$6:$Z$6,1,MATCH(O73,'Rate &amp; Vol Update'!$E$6:$Z$6,1)+1)-O73)*(INDEX('Rate &amp; Vol Update'!$B$8:$B$127,MATCH(J73,'Rate &amp; Vol Update'!$B$8:$B$127,1)+1)-J73)+INDEX('Rate &amp; Vol Update'!$E$8:$Z$127,MATCH(INDEX('Rate &amp; Vol Update'!$B$8:$B$127,MATCH(J73,'Rate &amp; Vol Update'!$B$8:$B$127,1)),'Rate &amp; Vol Update'!$B$8:$B$127,0),MATCH(INDEX('Rate &amp; Vol Update'!$E$6:$Z$6,1,MATCH(O73,'Rate &amp; Vol Update'!$E$6:$Z$6,1)+1),'Rate &amp; Vol Update'!$E$6:$Z$6,0))*(O73-INDEX('Rate &amp; Vol Update'!$E$6:$Z$6,1,MATCH(O73,'Rate &amp; Vol Update'!$E$6:$Z$6,1)))*(INDEX('Rate &amp; Vol Update'!$B$8:$B$127,MATCH(J73,'Rate &amp; Vol Update'!$B$8:$B$127,1)+1)-J73)+INDEX('Rate &amp; Vol Update'!$E$8:$Z$127,MATCH(INDEX('Rate &amp; Vol Update'!$B$8:$B$127,MATCH(J73,'Rate &amp; Vol Update'!$B$8:$B$127,1)+1),'Rate &amp; Vol Update'!$B$8:$B$127,0),MATCH(INDEX('Rate &amp; Vol Update'!$E$6:$Z$6,1,MATCH(O73,'Rate &amp; Vol Update'!$E$6:$Z$6,1)),'Rate &amp; Vol Update'!$E$6:$Z$6,0))*(INDEX('Rate &amp; Vol Update'!$E$6:$Z$6,1,MATCH(O73,'Rate &amp; Vol Update'!$E$6:$Z$6,1)+1)-O73)*(J73-INDEX('Rate &amp; Vol Update'!$B$8:$B$127,MATCH(J73,'Rate &amp; Vol Update'!$B$8:$B$127,1)))+INDEX('Rate &amp; Vol Update'!$E$8:$Z$127,MATCH(INDEX('Rate &amp; Vol Update'!$B$8:$B$127,MATCH(J73,'Rate &amp; Vol Update'!$B$8:$B$127,1)+1),'Rate &amp; Vol Update'!$B$8:$B$127,0),MATCH(INDEX('Rate &amp; Vol Update'!$E$6:$Z$6,1,MATCH(O73,'Rate &amp; Vol Update'!$E$6:$Z$6,1)+1),'Rate &amp; Vol Update'!$E$6:$Z$6,0))*(O73-INDEX('Rate &amp; Vol Update'!$E$6:$Z$6,1,MATCH(O73,'Rate &amp; Vol Update'!$E$6:$Z$6,1)))*(J73-INDEX('Rate &amp; Vol Update'!$B$8:$B$127,MATCH(J73,'Rate &amp; Vol Update'!$B$8:$B$127,1)))))*0.01%))</f>
        <v/>
      </c>
      <c r="R73" s="5" t="str">
        <f>IF(I73="","",1/((1+P73)^((K73-'Rate &amp; Vol Update'!$C$2)/360)))</f>
        <v/>
      </c>
      <c r="T73" s="15" t="str">
        <f>IF(I73="","",IF(J73&lt;'Rate &amp; Vol Update'!$C$2,MAX(0,P73-O73)*(L73/360)*N73,(((IF('Adjustment Surface'!C$2='Data Validation'!$A$2,P73,IF('Adjustment Surface'!C$2='Data Validation'!$A$3,O73,"Unknown Option Type"))-IF('Adjustment Surface'!C$2='Data Validation'!$A$2,O73,IF('Adjustment Surface'!C$2='Data Validation'!$A$3,P73,"Unknown Option Type")))*(NORMDIST((IF('Adjustment Surface'!C$2='Data Validation'!$A$2,P73,IF('Adjustment Surface'!C$2='Data Validation'!$A$3,O73,"Unknown Option Type"))-IF('Adjustment Surface'!C$2='Data Validation'!$A$2,O73,IF('Adjustment Surface'!C$2='Data Validation'!$A$3,P73,"Unknown Option Type")))/(Q73*SQRT(M73)),0,1,TRUE)))+((Q73*SQRT(M73))*(NORMDIST((IF('Adjustment Surface'!C$2='Data Validation'!$A$2,P73,IF('Adjustment Surface'!C$2='Data Validation'!$A$3,O73,"Unknown Option Type"))-IF('Adjustment Surface'!C$2='Data Validation'!$A$2,O73,IF('Adjustment Surface'!C$2='Data Validation'!$A$3,P73,"Unknown Option Type")))/(Q73*SQRT(M73)),0,1,FALSE))))*R73*(L73/360)*N73))</f>
        <v/>
      </c>
      <c r="U73" s="15" t="str">
        <f>IF(I73="","",SUM(T$4:T73))</f>
        <v/>
      </c>
      <c r="W73" s="15" t="str">
        <f>IF(I73="","",IF(J73&lt;'Rate &amp; Vol Update'!$C$2,0,((((((IF('Adjustment Surface'!C$2='Data Validation'!$A$2,P73,IF('Adjustment Surface'!C$2='Data Validation'!$A$3,O73,"Unknown Option Type"))-IF('Adjustment Surface'!C$2='Data Validation'!$A$2,O73,IF('Adjustment Surface'!C$2='Data Validation'!$A$3,P73,"Unknown Option Type")))*(NORMDIST((IF('Adjustment Surface'!C$2='Data Validation'!$A$2,P73,IF('Adjustment Surface'!C$2='Data Validation'!$A$3,O73,"Unknown Option Type"))-IF('Adjustment Surface'!C$2='Data Validation'!$A$2,O73,IF('Adjustment Surface'!C$2='Data Validation'!$A$3,P73,"Unknown Option Type")))/((Q73+0.01%)*SQRT(M73)),0,1,TRUE)))+(((Q73+0.01%)*SQRT(M73))*(NORMDIST((IF('Adjustment Surface'!C$2='Data Validation'!$A$2,P73,IF('Adjustment Surface'!C$2='Data Validation'!$A$3,O73,"Unknown Option Type"))-IF('Adjustment Surface'!C$2='Data Validation'!$A$2,O73,IF('Adjustment Surface'!C$2='Data Validation'!$A$3,P73,"Unknown Option Type")))/((Q73+0.01%)*SQRT(M73)),0,1,FALSE))))*R73*(L73/360))-(T73/N73))*N73)*R73))</f>
        <v/>
      </c>
      <c r="X73" s="15" t="str">
        <f>IF(I73="","",SUM(W$4:W73))</f>
        <v/>
      </c>
      <c r="Y73" s="15"/>
      <c r="Z73" s="20"/>
      <c r="AB73" s="4" t="str">
        <f>IF(AC72=MAX('Adjustment Surface'!$C$14:$F$14),"",AC72)</f>
        <v/>
      </c>
      <c r="AC73" s="4" t="str">
        <f>IF(AB73="","",IF(AB73&lt;EDATE('Adjustment Surface'!$C$6,DATEDIF('Adjustment Surface'!$C$6,MAX('Adjustment Surface'!$C$14:$F$14),"M")),EDATE(AB$5,COUNT(AB$5:AB73)),IF(AB73=EDATE('Adjustment Surface'!$C$6,DATEDIF('Adjustment Surface'!$C$6,MAX('Adjustment Surface'!$C$14:$F$14),"M")),MAX('Adjustment Surface'!$C$14:$F$14),EDATE('Adjustment Surface'!$C$6,DATEDIF('Adjustment Surface'!$C$6,MAX('Adjustment Surface'!$C$14:$F$14),"M")))))</f>
        <v/>
      </c>
      <c r="AD73" s="3" t="str">
        <f t="shared" si="7"/>
        <v/>
      </c>
      <c r="AE73" s="5" t="str">
        <f>IF(AA73="","",(AC73-'Rate &amp; Vol Update'!$C$2)/360)</f>
        <v/>
      </c>
      <c r="AF73" s="15" t="str">
        <f>IF(AA73="","",IF('Adjustment Surface'!$C$3='Data Validation'!$C$2,'Adjustment Surface'!$C$4,_xlfn.IFNA(IF(INDEX(Schedules!$E$3:$E$123,MATCH('Bachelier Model'!AB73,Schedules!$B$3:$B$123,0))="",AF72,INDEX(Schedules!$E$3:$E$123,MATCH('Bachelier Model'!AB73,Schedules!$B$3:$B$123,0))),AF72)))</f>
        <v/>
      </c>
      <c r="AG73" s="16" t="str">
        <f>IF(AA73="","",'Adjustment Surface'!B$15)</f>
        <v/>
      </c>
      <c r="AH73" s="16" t="str" cm="1">
        <f t="array" ref="AH73">IF(AA73="","",FORECAST(AB73,INDEX('Rate &amp; Vol Update'!$C$6:$C$127,MATCH(INDEX('Rate &amp; Vol Update'!$B$6:$B$127,MATCH(AB73,'Rate &amp; Vol Update'!$B$6:$B$127,1)),'Rate &amp; Vol Update'!$B$6:$B$127,0)+IF('Adjustment Surface'!$C$11='Data Validation'!$E$3,-1,0)):INDEX('Rate &amp; Vol Update'!$C$6:$C$127,MATCH(INDEX('Rate &amp; Vol Update'!$B$6:$B$127,MATCH(AB73,'Rate &amp; Vol Update'!$B$6:$B$127,1)+1),'Rate &amp; Vol Update'!$B$6:$B$127,0)+IF('Adjustment Surface'!$C$11='Data Validation'!$E$3,-1,0)),INDEX('Rate &amp; Vol Update'!$B$6:$B$127,MATCH(AB73,'Rate &amp; Vol Update'!$B$6:$B$127,1)):INDEX('Rate &amp; Vol Update'!$B$6:$B$127,MATCH(AB73,'Rate &amp; Vol Update'!$B$6:$B$127,1)+1))/100)</f>
        <v/>
      </c>
      <c r="AI73" s="16" t="str" cm="1">
        <f t="array" ref="AI73">IF(AA73="","",IF(AB73&lt;'Rate &amp; Vol Update'!$C$2,0.001%,(1/((INDEX('Rate &amp; Vol Update'!$E$6:$Z$6,1,MATCH(AG73,'Rate &amp; Vol Update'!$E$6:$Z$6,1)+1)-INDEX('Rate &amp; Vol Update'!$E$6:$Z$6,1,MATCH(AG73,'Rate &amp; Vol Update'!$E$6:$Z$6,1)))*(INDEX('Rate &amp; Vol Update'!$B$8:$B$127,MATCH(AB73,'Rate &amp; Vol Update'!$B$8:$B$127,1)+1)-INDEX('Rate &amp; Vol Update'!$B$8:$B$127,MATCH(AB73,'Rate &amp; Vol Update'!$B$8:$B$127,1))))*(INDEX('Rate &amp; Vol Update'!$E$8:$Z$127,MATCH(INDEX('Rate &amp; Vol Update'!$B$8:$B$127,MATCH(AB73,'Rate &amp; Vol Update'!$B$8:$B$127,1)),'Rate &amp; Vol Update'!$B$8:$B$127,0),MATCH(INDEX('Rate &amp; Vol Update'!$E$6:$Z$6,1,MATCH(AG73,'Rate &amp; Vol Update'!$E$6:$Z$6,1)),'Rate &amp; Vol Update'!$E$6:$Z$6,0))*(INDEX('Rate &amp; Vol Update'!$E$6:$Z$6,1,MATCH(AG73,'Rate &amp; Vol Update'!$E$6:$Z$6,1)+1)-AG73)*(INDEX('Rate &amp; Vol Update'!$B$8:$B$127,MATCH(AB73,'Rate &amp; Vol Update'!$B$8:$B$127,1)+1)-AB73)+INDEX('Rate &amp; Vol Update'!$E$8:$Z$127,MATCH(INDEX('Rate &amp; Vol Update'!$B$8:$B$127,MATCH(AB73,'Rate &amp; Vol Update'!$B$8:$B$127,1)),'Rate &amp; Vol Update'!$B$8:$B$127,0),MATCH(INDEX('Rate &amp; Vol Update'!$E$6:$Z$6,1,MATCH(AG73,'Rate &amp; Vol Update'!$E$6:$Z$6,1)+1),'Rate &amp; Vol Update'!$E$6:$Z$6,0))*(AG73-INDEX('Rate &amp; Vol Update'!$E$6:$Z$6,1,MATCH(AG73,'Rate &amp; Vol Update'!$E$6:$Z$6,1)))*(INDEX('Rate &amp; Vol Update'!$B$8:$B$127,MATCH(AB73,'Rate &amp; Vol Update'!$B$8:$B$127,1)+1)-AB73)+INDEX('Rate &amp; Vol Update'!$E$8:$Z$127,MATCH(INDEX('Rate &amp; Vol Update'!$B$8:$B$127,MATCH(AB73,'Rate &amp; Vol Update'!$B$8:$B$127,1)+1),'Rate &amp; Vol Update'!$B$8:$B$127,0),MATCH(INDEX('Rate &amp; Vol Update'!$E$6:$Z$6,1,MATCH(AG73,'Rate &amp; Vol Update'!$E$6:$Z$6,1)),'Rate &amp; Vol Update'!$E$6:$Z$6,0))*(INDEX('Rate &amp; Vol Update'!$E$6:$Z$6,1,MATCH(AG73,'Rate &amp; Vol Update'!$E$6:$Z$6,1)+1)-AG73)*(AB73-INDEX('Rate &amp; Vol Update'!$B$8:$B$127,MATCH(AB73,'Rate &amp; Vol Update'!$B$8:$B$127,1)))+INDEX('Rate &amp; Vol Update'!$E$8:$Z$127,MATCH(INDEX('Rate &amp; Vol Update'!$B$8:$B$127,MATCH(AB73,'Rate &amp; Vol Update'!$B$8:$B$127,1)+1),'Rate &amp; Vol Update'!$B$8:$B$127,0),MATCH(INDEX('Rate &amp; Vol Update'!$E$6:$Z$6,1,MATCH(AG73,'Rate &amp; Vol Update'!$E$6:$Z$6,1)+1),'Rate &amp; Vol Update'!$E$6:$Z$6,0))*(AG73-INDEX('Rate &amp; Vol Update'!$E$6:$Z$6,1,MATCH(AG73,'Rate &amp; Vol Update'!$E$6:$Z$6,1)))*(AB73-INDEX('Rate &amp; Vol Update'!$B$8:$B$127,MATCH(AB73,'Rate &amp; Vol Update'!$B$8:$B$127,1)))))*0.01%))</f>
        <v/>
      </c>
      <c r="AJ73" s="5" t="str">
        <f>IF(AA73="","",1/((1+AH73)^((AC73-'Rate &amp; Vol Update'!$C$2)/360)))</f>
        <v/>
      </c>
      <c r="AL73" s="15" t="str">
        <f>IF(AA73="","",IF(AB73&lt;'Rate &amp; Vol Update'!$C$2,MAX(0,AH73-AG73)*(AD73/360)*AF73,(((IF('Adjustment Surface'!$C$2='Data Validation'!$A$2,AH73,IF('Adjustment Surface'!$C$2='Data Validation'!$A$3,AG73,"Unknown Option Type"))-IF('Adjustment Surface'!$C$2='Data Validation'!$A$2,AG73,IF('Adjustment Surface'!$C$2='Data Validation'!$A$3,AH73,"Unknown Option Type")))*(NORMDIST((IF('Adjustment Surface'!$C$2='Data Validation'!$A$2,AH73,IF('Adjustment Surface'!$C$2='Data Validation'!$A$3,AG73,"Unknown Option Type"))-IF('Adjustment Surface'!$C$2='Data Validation'!$A$2,AG73,IF('Adjustment Surface'!$C$2='Data Validation'!$A$3,AH73,"Unknown Option Type")))/(AI73*SQRT(AE73)),0,1,TRUE)))+((AI73*SQRT(AE73))*(NORMDIST((IF('Adjustment Surface'!$C$2='Data Validation'!$A$2,AH73,IF('Adjustment Surface'!$C$2='Data Validation'!$A$3,AG73,"Unknown Option Type"))-IF('Adjustment Surface'!$C$2='Data Validation'!$A$2,AG73,IF('Adjustment Surface'!$C$2='Data Validation'!$A$3,AH73,"Unknown Option Type")))/(AI73*SQRT(AE73)),0,1,FALSE))))*AJ73*(AD73/360)*AF73))</f>
        <v/>
      </c>
      <c r="AM73" s="15" t="str">
        <f>IF(AA73="","",SUM(AL$4:AL73))</f>
        <v/>
      </c>
      <c r="AO73" s="15" t="str">
        <f>IF(AA73="","",IF(AB73&lt;'Rate &amp; Vol Update'!$C$2,0,((((((IF('Adjustment Surface'!$C$2='Data Validation'!$A$2,AH73,IF('Adjustment Surface'!$C$2='Data Validation'!$A$3,AG73,"Unknown Option Type"))-IF('Adjustment Surface'!$C$2='Data Validation'!$A$2,AG73,IF('Adjustment Surface'!$C$2='Data Validation'!$A$3,AH73,"Unknown Option Type")))*(NORMDIST((IF('Adjustment Surface'!$C$2='Data Validation'!$A$2,AH73,IF('Adjustment Surface'!$C$2='Data Validation'!$A$3,AG73,"Unknown Option Type"))-IF('Adjustment Surface'!$C$2='Data Validation'!$A$2,AG73,IF('Adjustment Surface'!$C$2='Data Validation'!$A$3,AH73,"Unknown Option Type")))/((AI73+0.01%)*SQRT(AE73)),0,1,TRUE)))+(((AI73+0.01%)*SQRT(AE73))*(NORMDIST((IF('Adjustment Surface'!$C$2='Data Validation'!$A$2,AH73,IF('Adjustment Surface'!$C$2='Data Validation'!$A$3,AG73,"Unknown Option Type"))-IF('Adjustment Surface'!$C$2='Data Validation'!$A$2,AG73,IF('Adjustment Surface'!$C$2='Data Validation'!$A$3,AH73,"Unknown Option Type")))/((AI73+0.01%)*SQRT(AE73)),0,1,FALSE))))*AJ73*(AD73/360))-(AL73/AF73))*AF73)*AJ73))</f>
        <v/>
      </c>
      <c r="AP73" s="15" t="str">
        <f>IF(AA73="","",SUM(AO$4:AO73))</f>
        <v/>
      </c>
      <c r="AQ73" s="15"/>
      <c r="AR73" s="20"/>
      <c r="AT73" s="4" t="str">
        <f>IF(AU72=MAX('Adjustment Surface'!$C$14:$F$14),"",AU72)</f>
        <v/>
      </c>
      <c r="AU73" s="4" t="str">
        <f>IF(AT73="","",IF(AT73&lt;EDATE('Adjustment Surface'!$C$6,DATEDIF('Adjustment Surface'!$C$6,MAX('Adjustment Surface'!$C$14:$F$14),"M")),EDATE(AT$5,COUNT(AT$5:AT73)),IF(AT73=EDATE('Adjustment Surface'!$C$6,DATEDIF('Adjustment Surface'!$C$6,MAX('Adjustment Surface'!$C$14:$F$14),"M")),MAX('Adjustment Surface'!$C$14:$F$14),EDATE('Adjustment Surface'!$C$6,DATEDIF('Adjustment Surface'!$C$6,MAX('Adjustment Surface'!$C$14:$F$14),"M")))))</f>
        <v/>
      </c>
      <c r="AV73" s="3" t="str">
        <f t="shared" si="8"/>
        <v/>
      </c>
      <c r="AW73" s="5" t="str">
        <f>IF(AS73="","",(AU73-'Rate &amp; Vol Update'!$C$2)/360)</f>
        <v/>
      </c>
      <c r="AX73" s="15" t="str">
        <f>IF(AS73="","",IF('Adjustment Surface'!$C$3='Data Validation'!$C$2,'Adjustment Surface'!$C$4,_xlfn.IFNA(IF(INDEX(Schedules!$E$3:$E$123,MATCH('Bachelier Model'!AT73,Schedules!$B$3:$B$123,0))="",AX72,INDEX(Schedules!$E$3:$E$123,MATCH('Bachelier Model'!AT73,Schedules!$B$3:$B$123,0))),AX72)))</f>
        <v/>
      </c>
      <c r="AY73" s="16" t="str">
        <f>IF(AS73="","",'Adjustment Surface'!B$16)</f>
        <v/>
      </c>
      <c r="AZ73" s="16" t="str" cm="1">
        <f t="array" ref="AZ73">IF(AS73="","",FORECAST(AT73,INDEX('Rate &amp; Vol Update'!$C$6:$C$127,MATCH(INDEX('Rate &amp; Vol Update'!$B$6:$B$127,MATCH(AT73,'Rate &amp; Vol Update'!$B$6:$B$127,1)),'Rate &amp; Vol Update'!$B$6:$B$127,0)+IF('Adjustment Surface'!$C$11='Data Validation'!$E$3,-1,0)):INDEX('Rate &amp; Vol Update'!$C$6:$C$127,MATCH(INDEX('Rate &amp; Vol Update'!$B$6:$B$127,MATCH(AT73,'Rate &amp; Vol Update'!$B$6:$B$127,1)+1),'Rate &amp; Vol Update'!$B$6:$B$127,0)+IF('Adjustment Surface'!$C$11='Data Validation'!$E$3,-1,0)),INDEX('Rate &amp; Vol Update'!$B$6:$B$127,MATCH(AT73,'Rate &amp; Vol Update'!$B$6:$B$127,1)):INDEX('Rate &amp; Vol Update'!$B$6:$B$127,MATCH(AT73,'Rate &amp; Vol Update'!$B$6:$B$127,1)+1))/100)</f>
        <v/>
      </c>
      <c r="BA73" s="16" t="str" cm="1">
        <f t="array" ref="BA73">IF(AS73="","",IF(AT73&lt;'Rate &amp; Vol Update'!$C$2,0.001%,(1/((INDEX('Rate &amp; Vol Update'!$E$6:$Z$6,1,MATCH(AY73,'Rate &amp; Vol Update'!$E$6:$Z$6,1)+1)-INDEX('Rate &amp; Vol Update'!$E$6:$Z$6,1,MATCH(AY73,'Rate &amp; Vol Update'!$E$6:$Z$6,1)))*(INDEX('Rate &amp; Vol Update'!$B$8:$B$127,MATCH(AT73,'Rate &amp; Vol Update'!$B$8:$B$127,1)+1)-INDEX('Rate &amp; Vol Update'!$B$8:$B$127,MATCH(AT73,'Rate &amp; Vol Update'!$B$8:$B$127,1))))*(INDEX('Rate &amp; Vol Update'!$E$8:$Z$127,MATCH(INDEX('Rate &amp; Vol Update'!$B$8:$B$127,MATCH(AT73,'Rate &amp; Vol Update'!$B$8:$B$127,1)),'Rate &amp; Vol Update'!$B$8:$B$127,0),MATCH(INDEX('Rate &amp; Vol Update'!$E$6:$Z$6,1,MATCH(AY73,'Rate &amp; Vol Update'!$E$6:$Z$6,1)),'Rate &amp; Vol Update'!$E$6:$Z$6,0))*(INDEX('Rate &amp; Vol Update'!$E$6:$Z$6,1,MATCH(AY73,'Rate &amp; Vol Update'!$E$6:$Z$6,1)+1)-AY73)*(INDEX('Rate &amp; Vol Update'!$B$8:$B$127,MATCH(AT73,'Rate &amp; Vol Update'!$B$8:$B$127,1)+1)-AT73)+INDEX('Rate &amp; Vol Update'!$E$8:$Z$127,MATCH(INDEX('Rate &amp; Vol Update'!$B$8:$B$127,MATCH(AT73,'Rate &amp; Vol Update'!$B$8:$B$127,1)),'Rate &amp; Vol Update'!$B$8:$B$127,0),MATCH(INDEX('Rate &amp; Vol Update'!$E$6:$Z$6,1,MATCH(AY73,'Rate &amp; Vol Update'!$E$6:$Z$6,1)+1),'Rate &amp; Vol Update'!$E$6:$Z$6,0))*(AY73-INDEX('Rate &amp; Vol Update'!$E$6:$Z$6,1,MATCH(AY73,'Rate &amp; Vol Update'!$E$6:$Z$6,1)))*(INDEX('Rate &amp; Vol Update'!$B$8:$B$127,MATCH(AT73,'Rate &amp; Vol Update'!$B$8:$B$127,1)+1)-AT73)+INDEX('Rate &amp; Vol Update'!$E$8:$Z$127,MATCH(INDEX('Rate &amp; Vol Update'!$B$8:$B$127,MATCH(AT73,'Rate &amp; Vol Update'!$B$8:$B$127,1)+1),'Rate &amp; Vol Update'!$B$8:$B$127,0),MATCH(INDEX('Rate &amp; Vol Update'!$E$6:$Z$6,1,MATCH(AY73,'Rate &amp; Vol Update'!$E$6:$Z$6,1)),'Rate &amp; Vol Update'!$E$6:$Z$6,0))*(INDEX('Rate &amp; Vol Update'!$E$6:$Z$6,1,MATCH(AY73,'Rate &amp; Vol Update'!$E$6:$Z$6,1)+1)-AY73)*(AT73-INDEX('Rate &amp; Vol Update'!$B$8:$B$127,MATCH(AT73,'Rate &amp; Vol Update'!$B$8:$B$127,1)))+INDEX('Rate &amp; Vol Update'!$E$8:$Z$127,MATCH(INDEX('Rate &amp; Vol Update'!$B$8:$B$127,MATCH(AT73,'Rate &amp; Vol Update'!$B$8:$B$127,1)+1),'Rate &amp; Vol Update'!$B$8:$B$127,0),MATCH(INDEX('Rate &amp; Vol Update'!$E$6:$Z$6,1,MATCH(AY73,'Rate &amp; Vol Update'!$E$6:$Z$6,1)+1),'Rate &amp; Vol Update'!$E$6:$Z$6,0))*(AY73-INDEX('Rate &amp; Vol Update'!$E$6:$Z$6,1,MATCH(AY73,'Rate &amp; Vol Update'!$E$6:$Z$6,1)))*(AT73-INDEX('Rate &amp; Vol Update'!$B$8:$B$127,MATCH(AT73,'Rate &amp; Vol Update'!$B$8:$B$127,1)))))*0.01%))</f>
        <v/>
      </c>
      <c r="BB73" s="5" t="str">
        <f>IF(AS73="","",1/((1+AZ73)^((AU73-'Rate &amp; Vol Update'!$C$2)/360)))</f>
        <v/>
      </c>
      <c r="BD73" s="15" t="str">
        <f>IF(AS73="","",IF(AT73&lt;'Rate &amp; Vol Update'!$C$2,MAX(0,AZ73-AY73)*(AV73/360)*AX73,(((IF('Adjustment Surface'!$C$2='Data Validation'!$A$2,AZ73,IF('Adjustment Surface'!$C$2='Data Validation'!$A$3,AY73,"Unknown Option Type"))-IF('Adjustment Surface'!$C$2='Data Validation'!$A$2,AY73,IF('Adjustment Surface'!$C$2='Data Validation'!$A$3,AZ73,"Unknown Option Type")))*(NORMDIST((IF('Adjustment Surface'!$C$2='Data Validation'!$A$2,AZ73,IF('Adjustment Surface'!$C$2='Data Validation'!$A$3,AY73,"Unknown Option Type"))-IF('Adjustment Surface'!$C$2='Data Validation'!$A$2,AY73,IF('Adjustment Surface'!$C$2='Data Validation'!$A$3,AZ73,"Unknown Option Type")))/(BA73*SQRT(AW73)),0,1,TRUE)))+((BA73*SQRT(AW73))*(NORMDIST((IF('Adjustment Surface'!$C$2='Data Validation'!$A$2,AZ73,IF('Adjustment Surface'!$C$2='Data Validation'!$A$3,AY73,"Unknown Option Type"))-IF('Adjustment Surface'!$C$2='Data Validation'!$A$2,AY73,IF('Adjustment Surface'!$C$2='Data Validation'!$A$3,AZ73,"Unknown Option Type")))/(BA73*SQRT(AW73)),0,1,FALSE))))*BB73*(AV73/360)*AX73))</f>
        <v/>
      </c>
      <c r="BE73" s="15" t="str">
        <f>IF(AS73="","",SUM(BD$4:BD73))</f>
        <v/>
      </c>
      <c r="BG73" s="15" t="str">
        <f>IF(AS73="","",IF(AT73&lt;'Rate &amp; Vol Update'!$C$2,0,((((((IF('Adjustment Surface'!$C$2='Data Validation'!$A$2,AZ73,IF('Adjustment Surface'!$C$2='Data Validation'!$A$3,AY73,"Unknown Option Type"))-IF('Adjustment Surface'!$C$2='Data Validation'!$A$2,AY73,IF('Adjustment Surface'!$C$2='Data Validation'!$A$3,AZ73,"Unknown Option Type")))*(NORMDIST((IF('Adjustment Surface'!$C$2='Data Validation'!$A$2,AZ73,IF('Adjustment Surface'!$C$2='Data Validation'!$A$3,AY73,"Unknown Option Type"))-IF('Adjustment Surface'!$C$2='Data Validation'!$A$2,AY73,IF('Adjustment Surface'!$C$2='Data Validation'!$A$3,AZ73,"Unknown Option Type")))/((BA73+0.01%)*SQRT(AW73)),0,1,TRUE)))+(((BA73+0.01%)*SQRT(AW73))*(NORMDIST((IF('Adjustment Surface'!$C$2='Data Validation'!$A$2,AZ73,IF('Adjustment Surface'!$C$2='Data Validation'!$A$3,AY73,"Unknown Option Type"))-IF('Adjustment Surface'!$C$2='Data Validation'!$A$2,AY73,IF('Adjustment Surface'!$C$2='Data Validation'!$A$3,AZ73,"Unknown Option Type")))/((BA73+0.01%)*SQRT(AW73)),0,1,FALSE))))*BB73*(AV73/360))-(BD73/AX73))*AX73)*BB73))</f>
        <v/>
      </c>
      <c r="BH73" s="15" t="str">
        <f>IF(AS73="","",SUM(BG$4:BG73))</f>
        <v/>
      </c>
      <c r="BI73" s="15"/>
      <c r="BJ73" s="20"/>
      <c r="BL73" s="4" t="str">
        <f>IF(BM72=MAX('Adjustment Surface'!$C$14:$F$14),"",BM72)</f>
        <v/>
      </c>
      <c r="BM73" s="4" t="str">
        <f>IF(BL73="","",IF(BL73&lt;EDATE('Adjustment Surface'!$C$6,DATEDIF('Adjustment Surface'!$C$6,MAX('Adjustment Surface'!$C$14:$F$14),"M")),EDATE(BL$5,COUNT(BL$5:BL73)),IF(BL73=EDATE('Adjustment Surface'!$C$6,DATEDIF('Adjustment Surface'!$C$6,MAX('Adjustment Surface'!$C$14:$F$14),"M")),MAX('Adjustment Surface'!$C$14:$F$14),EDATE('Adjustment Surface'!$C$6,DATEDIF('Adjustment Surface'!$C$6,MAX('Adjustment Surface'!$C$14:$F$14),"M")))))</f>
        <v/>
      </c>
      <c r="BN73" s="3" t="str">
        <f t="shared" si="9"/>
        <v/>
      </c>
      <c r="BO73" s="5" t="str">
        <f>IF(BK73="","",(BM73-'Rate &amp; Vol Update'!$C$2)/360)</f>
        <v/>
      </c>
      <c r="BP73" s="15" t="str">
        <f>IF(BK73="","",IF('Adjustment Surface'!$C$3='Data Validation'!$C$2,'Adjustment Surface'!$C$4,_xlfn.IFNA(IF(INDEX(Schedules!$E$3:$E$123,MATCH('Bachelier Model'!BL73,Schedules!$B$3:$B$123,0))="",BP72,INDEX(Schedules!$E$3:$E$123,MATCH('Bachelier Model'!BL73,Schedules!$B$3:$B$123,0))),BP72)))</f>
        <v/>
      </c>
      <c r="BQ73" s="16" t="str">
        <f>IF(BK73="","",'Adjustment Surface'!B$17)</f>
        <v/>
      </c>
      <c r="BR73" s="16" t="str" cm="1">
        <f t="array" ref="BR73">IF(BK73="","",FORECAST(BL73,INDEX('Rate &amp; Vol Update'!$C$6:$C$127,MATCH(INDEX('Rate &amp; Vol Update'!$B$6:$B$127,MATCH(BL73,'Rate &amp; Vol Update'!$B$6:$B$127,1)),'Rate &amp; Vol Update'!$B$6:$B$127,0)+IF('Adjustment Surface'!$C$11='Data Validation'!$E$3,-1,0)):INDEX('Rate &amp; Vol Update'!$C$6:$C$127,MATCH(INDEX('Rate &amp; Vol Update'!$B$6:$B$127,MATCH(BL73,'Rate &amp; Vol Update'!$B$6:$B$127,1)+1),'Rate &amp; Vol Update'!$B$6:$B$127,0)+IF('Adjustment Surface'!$C$11='Data Validation'!$E$3,-1,0)),INDEX('Rate &amp; Vol Update'!$B$6:$B$127,MATCH(BL73,'Rate &amp; Vol Update'!$B$6:$B$127,1)):INDEX('Rate &amp; Vol Update'!$B$6:$B$127,MATCH(BL73,'Rate &amp; Vol Update'!$B$6:$B$127,1)+1))/100)</f>
        <v/>
      </c>
      <c r="BS73" s="16" t="str" cm="1">
        <f t="array" ref="BS73">IF(BK73="","",IF(BL73&lt;'Rate &amp; Vol Update'!$C$2,0.001%,(1/((INDEX('Rate &amp; Vol Update'!$E$6:$Z$6,1,MATCH(BQ73,'Rate &amp; Vol Update'!$E$6:$Z$6,1)+1)-INDEX('Rate &amp; Vol Update'!$E$6:$Z$6,1,MATCH(BQ73,'Rate &amp; Vol Update'!$E$6:$Z$6,1)))*(INDEX('Rate &amp; Vol Update'!$B$8:$B$127,MATCH(BL73,'Rate &amp; Vol Update'!$B$8:$B$127,1)+1)-INDEX('Rate &amp; Vol Update'!$B$8:$B$127,MATCH(BL73,'Rate &amp; Vol Update'!$B$8:$B$127,1))))*(INDEX('Rate &amp; Vol Update'!$E$8:$Z$127,MATCH(INDEX('Rate &amp; Vol Update'!$B$8:$B$127,MATCH(BL73,'Rate &amp; Vol Update'!$B$8:$B$127,1)),'Rate &amp; Vol Update'!$B$8:$B$127,0),MATCH(INDEX('Rate &amp; Vol Update'!$E$6:$Z$6,1,MATCH(BQ73,'Rate &amp; Vol Update'!$E$6:$Z$6,1)),'Rate &amp; Vol Update'!$E$6:$Z$6,0))*(INDEX('Rate &amp; Vol Update'!$E$6:$Z$6,1,MATCH(BQ73,'Rate &amp; Vol Update'!$E$6:$Z$6,1)+1)-BQ73)*(INDEX('Rate &amp; Vol Update'!$B$8:$B$127,MATCH(BL73,'Rate &amp; Vol Update'!$B$8:$B$127,1)+1)-BL73)+INDEX('Rate &amp; Vol Update'!$E$8:$Z$127,MATCH(INDEX('Rate &amp; Vol Update'!$B$8:$B$127,MATCH(BL73,'Rate &amp; Vol Update'!$B$8:$B$127,1)),'Rate &amp; Vol Update'!$B$8:$B$127,0),MATCH(INDEX('Rate &amp; Vol Update'!$E$6:$Z$6,1,MATCH(BQ73,'Rate &amp; Vol Update'!$E$6:$Z$6,1)+1),'Rate &amp; Vol Update'!$E$6:$Z$6,0))*(BQ73-INDEX('Rate &amp; Vol Update'!$E$6:$Z$6,1,MATCH(BQ73,'Rate &amp; Vol Update'!$E$6:$Z$6,1)))*(INDEX('Rate &amp; Vol Update'!$B$8:$B$127,MATCH(BL73,'Rate &amp; Vol Update'!$B$8:$B$127,1)+1)-BL73)+INDEX('Rate &amp; Vol Update'!$E$8:$Z$127,MATCH(INDEX('Rate &amp; Vol Update'!$B$8:$B$127,MATCH(BL73,'Rate &amp; Vol Update'!$B$8:$B$127,1)+1),'Rate &amp; Vol Update'!$B$8:$B$127,0),MATCH(INDEX('Rate &amp; Vol Update'!$E$6:$Z$6,1,MATCH(BQ73,'Rate &amp; Vol Update'!$E$6:$Z$6,1)),'Rate &amp; Vol Update'!$E$6:$Z$6,0))*(INDEX('Rate &amp; Vol Update'!$E$6:$Z$6,1,MATCH(BQ73,'Rate &amp; Vol Update'!$E$6:$Z$6,1)+1)-BQ73)*(BL73-INDEX('Rate &amp; Vol Update'!$B$8:$B$127,MATCH(BL73,'Rate &amp; Vol Update'!$B$8:$B$127,1)))+INDEX('Rate &amp; Vol Update'!$E$8:$Z$127,MATCH(INDEX('Rate &amp; Vol Update'!$B$8:$B$127,MATCH(BL73,'Rate &amp; Vol Update'!$B$8:$B$127,1)+1),'Rate &amp; Vol Update'!$B$8:$B$127,0),MATCH(INDEX('Rate &amp; Vol Update'!$E$6:$Z$6,1,MATCH(BQ73,'Rate &amp; Vol Update'!$E$6:$Z$6,1)+1),'Rate &amp; Vol Update'!$E$6:$Z$6,0))*(BQ73-INDEX('Rate &amp; Vol Update'!$E$6:$Z$6,1,MATCH(BQ73,'Rate &amp; Vol Update'!$E$6:$Z$6,1)))*(BL73-INDEX('Rate &amp; Vol Update'!$B$8:$B$127,MATCH(BL73,'Rate &amp; Vol Update'!$B$8:$B$127,1)))))*0.01%))</f>
        <v/>
      </c>
      <c r="BT73" s="5" t="str">
        <f>IF(BK73="","",1/((1+BR73)^((BM73-'Rate &amp; Vol Update'!$C$2)/360)))</f>
        <v/>
      </c>
      <c r="BV73" s="15" t="str">
        <f>IF(BK73="","",IF(BL73&lt;'Rate &amp; Vol Update'!$C$2,MAX(0,BR73-BQ73)*(BN73/360)*BP73,(((IF('Adjustment Surface'!$C$2='Data Validation'!$A$2,BR73,IF('Adjustment Surface'!$C$2='Data Validation'!$A$3,BQ73,"Unknown Option Type"))-IF('Adjustment Surface'!$C$2='Data Validation'!$A$2,BQ73,IF('Adjustment Surface'!$C$2='Data Validation'!$A$3,BR73,"Unknown Option Type")))*(NORMDIST((IF('Adjustment Surface'!$C$2='Data Validation'!$A$2,BR73,IF('Adjustment Surface'!$C$2='Data Validation'!$A$3,BQ73,"Unknown Option Type"))-IF('Adjustment Surface'!$C$2='Data Validation'!$A$2,BQ73,IF('Adjustment Surface'!$C$2='Data Validation'!$A$3,BR73,"Unknown Option Type")))/(BS73*SQRT(BO73)),0,1,TRUE)))+((BS73*SQRT(BO73))*(NORMDIST((IF('Adjustment Surface'!$C$2='Data Validation'!$A$2,BR73,IF('Adjustment Surface'!$C$2='Data Validation'!$A$3,BQ73,"Unknown Option Type"))-IF('Adjustment Surface'!$C$2='Data Validation'!$A$2,BQ73,IF('Adjustment Surface'!$C$2='Data Validation'!$A$3,BR73,"Unknown Option Type")))/(BS73*SQRT(BO73)),0,1,FALSE))))*BT73*(BN73/360)*BP73))</f>
        <v/>
      </c>
      <c r="BW73" s="15" t="str">
        <f>IF(BK73="","",SUM(BV$4:BV73))</f>
        <v/>
      </c>
      <c r="BY73" s="15" t="str">
        <f>IF(BK73="","",IF(BL73&lt;'Rate &amp; Vol Update'!$C$2,0,((((((IF('Adjustment Surface'!$C$2='Data Validation'!$A$2,BR73,IF('Adjustment Surface'!$C$2='Data Validation'!$A$3,BQ73,"Unknown Option Type"))-IF('Adjustment Surface'!$C$2='Data Validation'!$A$2,BQ73,IF('Adjustment Surface'!$C$2='Data Validation'!$A$3,BR73,"Unknown Option Type")))*(NORMDIST((IF('Adjustment Surface'!$C$2='Data Validation'!$A$2,BR73,IF('Adjustment Surface'!$C$2='Data Validation'!$A$3,BQ73,"Unknown Option Type"))-IF('Adjustment Surface'!$C$2='Data Validation'!$A$2,BQ73,IF('Adjustment Surface'!$C$2='Data Validation'!$A$3,BR73,"Unknown Option Type")))/((BS73+0.01%)*SQRT(BO73)),0,1,TRUE)))+(((BS73+0.01%)*SQRT(BO73))*(NORMDIST((IF('Adjustment Surface'!$C$2='Data Validation'!$A$2,BR73,IF('Adjustment Surface'!$C$2='Data Validation'!$A$3,BQ73,"Unknown Option Type"))-IF('Adjustment Surface'!$C$2='Data Validation'!$A$2,BQ73,IF('Adjustment Surface'!$C$2='Data Validation'!$A$3,BR73,"Unknown Option Type")))/((BS73+0.01%)*SQRT(BO73)),0,1,FALSE))))*BT73*(BN73/360))-(BV73/BP73))*BP73)*BT73))</f>
        <v/>
      </c>
      <c r="BZ73" s="15" t="str">
        <f>IF(BK73="","",SUM(BY$4:BY73))</f>
        <v/>
      </c>
      <c r="CA73" s="15"/>
      <c r="CB73" s="20"/>
      <c r="CD73" s="4" t="str">
        <f>IF(CE72=MAX('Adjustment Surface'!$C$14:$F$14),"",CE72)</f>
        <v/>
      </c>
      <c r="CE73" s="4" t="str">
        <f>IF(CD73="","",IF(CD73&lt;EDATE('Adjustment Surface'!$C$6,DATEDIF('Adjustment Surface'!$C$6,MAX('Adjustment Surface'!$C$14:$F$14),"M")),EDATE(CD$5,COUNT(CD$5:CD73)),IF(CD73=EDATE('Adjustment Surface'!$C$6,DATEDIF('Adjustment Surface'!$C$6,MAX('Adjustment Surface'!$C$14:$F$14),"M")),MAX('Adjustment Surface'!$C$14:$F$14),EDATE('Adjustment Surface'!$C$6,DATEDIF('Adjustment Surface'!$C$6,MAX('Adjustment Surface'!$C$14:$F$14),"M")))))</f>
        <v/>
      </c>
      <c r="CF73" s="3" t="str">
        <f t="shared" si="10"/>
        <v/>
      </c>
      <c r="CG73" s="5" t="str">
        <f>IF(CC73="","",(CE73-'Rate &amp; Vol Update'!$C$2)/360)</f>
        <v/>
      </c>
      <c r="CH73" s="15" t="str">
        <f>IF(CC73="","",IF('Adjustment Surface'!$C$3='Data Validation'!$C$2,'Adjustment Surface'!$C$4,_xlfn.IFNA(IF(INDEX(Schedules!$E$3:$E$123,MATCH('Bachelier Model'!CD73,Schedules!$B$3:$B$123,0))="",CH72,INDEX(Schedules!$E$3:$E$123,MATCH('Bachelier Model'!CD73,Schedules!$B$3:$B$123,0))),CH72)))</f>
        <v/>
      </c>
      <c r="CI73" s="16" t="str">
        <f>IF(CC73="","",'Adjustment Surface'!B$18)</f>
        <v/>
      </c>
      <c r="CJ73" s="16" t="str" cm="1">
        <f t="array" ref="CJ73">IF(CC73="","",FORECAST(CD73,INDEX('Rate &amp; Vol Update'!$C$6:$C$127,MATCH(INDEX('Rate &amp; Vol Update'!$B$6:$B$127,MATCH(CD73,'Rate &amp; Vol Update'!$B$6:$B$127,1)),'Rate &amp; Vol Update'!$B$6:$B$127,0)+IF('Adjustment Surface'!$C$11='Data Validation'!$E$3,-1,0)):INDEX('Rate &amp; Vol Update'!$C$6:$C$127,MATCH(INDEX('Rate &amp; Vol Update'!$B$6:$B$127,MATCH(CD73,'Rate &amp; Vol Update'!$B$6:$B$127,1)+1),'Rate &amp; Vol Update'!$B$6:$B$127,0)+IF('Adjustment Surface'!$C$11='Data Validation'!$E$3,-1,0)),INDEX('Rate &amp; Vol Update'!$B$6:$B$127,MATCH(CD73,'Rate &amp; Vol Update'!$B$6:$B$127,1)):INDEX('Rate &amp; Vol Update'!$B$6:$B$127,MATCH(CD73,'Rate &amp; Vol Update'!$B$6:$B$127,1)+1))/100)</f>
        <v/>
      </c>
      <c r="CK73" s="16" t="str" cm="1">
        <f t="array" ref="CK73">IF(CC73="","",IF(CD73&lt;'Rate &amp; Vol Update'!$C$2,0.001%,(1/((INDEX('Rate &amp; Vol Update'!$E$6:$Z$6,1,MATCH(CI73,'Rate &amp; Vol Update'!$E$6:$Z$6,1)+1)-INDEX('Rate &amp; Vol Update'!$E$6:$Z$6,1,MATCH(CI73,'Rate &amp; Vol Update'!$E$6:$Z$6,1)))*(INDEX('Rate &amp; Vol Update'!$B$8:$B$127,MATCH(CD73,'Rate &amp; Vol Update'!$B$8:$B$127,1)+1)-INDEX('Rate &amp; Vol Update'!$B$8:$B$127,MATCH(CD73,'Rate &amp; Vol Update'!$B$8:$B$127,1))))*(INDEX('Rate &amp; Vol Update'!$E$8:$Z$127,MATCH(INDEX('Rate &amp; Vol Update'!$B$8:$B$127,MATCH(CD73,'Rate &amp; Vol Update'!$B$8:$B$127,1)),'Rate &amp; Vol Update'!$B$8:$B$127,0),MATCH(INDEX('Rate &amp; Vol Update'!$E$6:$Z$6,1,MATCH(CI73,'Rate &amp; Vol Update'!$E$6:$Z$6,1)),'Rate &amp; Vol Update'!$E$6:$Z$6,0))*(INDEX('Rate &amp; Vol Update'!$E$6:$Z$6,1,MATCH(CI73,'Rate &amp; Vol Update'!$E$6:$Z$6,1)+1)-CI73)*(INDEX('Rate &amp; Vol Update'!$B$8:$B$127,MATCH(CD73,'Rate &amp; Vol Update'!$B$8:$B$127,1)+1)-CD73)+INDEX('Rate &amp; Vol Update'!$E$8:$Z$127,MATCH(INDEX('Rate &amp; Vol Update'!$B$8:$B$127,MATCH(CD73,'Rate &amp; Vol Update'!$B$8:$B$127,1)),'Rate &amp; Vol Update'!$B$8:$B$127,0),MATCH(INDEX('Rate &amp; Vol Update'!$E$6:$Z$6,1,MATCH(CI73,'Rate &amp; Vol Update'!$E$6:$Z$6,1)+1),'Rate &amp; Vol Update'!$E$6:$Z$6,0))*(CI73-INDEX('Rate &amp; Vol Update'!$E$6:$Z$6,1,MATCH(CI73,'Rate &amp; Vol Update'!$E$6:$Z$6,1)))*(INDEX('Rate &amp; Vol Update'!$B$8:$B$127,MATCH(CD73,'Rate &amp; Vol Update'!$B$8:$B$127,1)+1)-CD73)+INDEX('Rate &amp; Vol Update'!$E$8:$Z$127,MATCH(INDEX('Rate &amp; Vol Update'!$B$8:$B$127,MATCH(CD73,'Rate &amp; Vol Update'!$B$8:$B$127,1)+1),'Rate &amp; Vol Update'!$B$8:$B$127,0),MATCH(INDEX('Rate &amp; Vol Update'!$E$6:$Z$6,1,MATCH(CI73,'Rate &amp; Vol Update'!$E$6:$Z$6,1)),'Rate &amp; Vol Update'!$E$6:$Z$6,0))*(INDEX('Rate &amp; Vol Update'!$E$6:$Z$6,1,MATCH(CI73,'Rate &amp; Vol Update'!$E$6:$Z$6,1)+1)-CI73)*(CD73-INDEX('Rate &amp; Vol Update'!$B$8:$B$127,MATCH(CD73,'Rate &amp; Vol Update'!$B$8:$B$127,1)))+INDEX('Rate &amp; Vol Update'!$E$8:$Z$127,MATCH(INDEX('Rate &amp; Vol Update'!$B$8:$B$127,MATCH(CD73,'Rate &amp; Vol Update'!$B$8:$B$127,1)+1),'Rate &amp; Vol Update'!$B$8:$B$127,0),MATCH(INDEX('Rate &amp; Vol Update'!$E$6:$Z$6,1,MATCH(CI73,'Rate &amp; Vol Update'!$E$6:$Z$6,1)+1),'Rate &amp; Vol Update'!$E$6:$Z$6,0))*(CI73-INDEX('Rate &amp; Vol Update'!$E$6:$Z$6,1,MATCH(CI73,'Rate &amp; Vol Update'!$E$6:$Z$6,1)))*(CD73-INDEX('Rate &amp; Vol Update'!$B$8:$B$127,MATCH(CD73,'Rate &amp; Vol Update'!$B$8:$B$127,1)))))*0.01%))</f>
        <v/>
      </c>
      <c r="CL73" s="5" t="str">
        <f>IF(CC73="","",1/((1+CJ73)^((CE73-'Rate &amp; Vol Update'!$C$2)/360)))</f>
        <v/>
      </c>
      <c r="CN73" s="15" t="str">
        <f>IF(CC73="","",IF(CD73&lt;'Rate &amp; Vol Update'!$C$2,MAX(0,CJ73-CI73)*(CF73/360)*CH73,(((IF('Adjustment Surface'!$C$2='Data Validation'!$A$2,CJ73,IF('Adjustment Surface'!$C$2='Data Validation'!$A$3,CI73,"Unknown Option Type"))-IF('Adjustment Surface'!$C$2='Data Validation'!$A$2,CI73,IF('Adjustment Surface'!$C$2='Data Validation'!$A$3,CJ73,"Unknown Option Type")))*(NORMDIST((IF('Adjustment Surface'!$C$2='Data Validation'!$A$2,CJ73,IF('Adjustment Surface'!$C$2='Data Validation'!$A$3,CI73,"Unknown Option Type"))-IF('Adjustment Surface'!$C$2='Data Validation'!$A$2,CI73,IF('Adjustment Surface'!$C$2='Data Validation'!$A$3,CJ73,"Unknown Option Type")))/(CK73*SQRT(CG73)),0,1,TRUE)))+((CK73*SQRT(CG73))*(NORMDIST((IF('Adjustment Surface'!$C$2='Data Validation'!$A$2,CJ73,IF('Adjustment Surface'!$C$2='Data Validation'!$A$3,CI73,"Unknown Option Type"))-IF('Adjustment Surface'!$C$2='Data Validation'!$A$2,CI73,IF('Adjustment Surface'!$C$2='Data Validation'!$A$3,CJ73,"Unknown Option Type")))/(CK73*SQRT(CG73)),0,1,FALSE))))*CL73*(CF73/360)*CH73))</f>
        <v/>
      </c>
      <c r="CO73" s="15" t="str">
        <f>IF(CC73="","",SUM(CN$4:CN73))</f>
        <v/>
      </c>
      <c r="CQ73" s="15" t="str">
        <f>IF(CC73="","",IF(CD73&lt;'Rate &amp; Vol Update'!$C$2,0,((((((IF('Adjustment Surface'!$C$2='Data Validation'!$A$2,CJ73,IF('Adjustment Surface'!$C$2='Data Validation'!$A$3,CI73,"Unknown Option Type"))-IF('Adjustment Surface'!$C$2='Data Validation'!$A$2,CI73,IF('Adjustment Surface'!$C$2='Data Validation'!$A$3,CJ73,"Unknown Option Type")))*(NORMDIST((IF('Adjustment Surface'!$C$2='Data Validation'!$A$2,CJ73,IF('Adjustment Surface'!$C$2='Data Validation'!$A$3,CI73,"Unknown Option Type"))-IF('Adjustment Surface'!$C$2='Data Validation'!$A$2,CI73,IF('Adjustment Surface'!$C$2='Data Validation'!$A$3,CJ73,"Unknown Option Type")))/((CK73+0.01%)*SQRT(CG73)),0,1,TRUE)))+(((CK73+0.01%)*SQRT(CG73))*(NORMDIST((IF('Adjustment Surface'!$C$2='Data Validation'!$A$2,CJ73,IF('Adjustment Surface'!$C$2='Data Validation'!$A$3,CI73,"Unknown Option Type"))-IF('Adjustment Surface'!$C$2='Data Validation'!$A$2,CI73,IF('Adjustment Surface'!$C$2='Data Validation'!$A$3,CJ73,"Unknown Option Type")))/((CK73+0.01%)*SQRT(CG73)),0,1,FALSE))))*CL73*(CF73/360))-(CN73/CH73))*CH73)*CL73))</f>
        <v/>
      </c>
      <c r="CR73" s="15" t="str">
        <f>IF(CC73="","",SUM(CQ$4:CQ73))</f>
        <v/>
      </c>
    </row>
    <row r="74" spans="7:96" x14ac:dyDescent="0.25">
      <c r="G74" s="28"/>
      <c r="J74" s="4" t="str">
        <f>IF(K73='Adjustment Surface'!C$8,"",K73)</f>
        <v/>
      </c>
      <c r="K74" s="4" t="str">
        <f>IF(J74="","",IF(J74&lt;'Adjustment Surface'!C$7,EDATE(J$5,COUNT(J$5:J74)),IF(J74='Adjustment Surface'!C$7,'Adjustment Surface'!C$8,'Adjustment Surface'!C$7)))</f>
        <v/>
      </c>
      <c r="L74" s="3" t="str">
        <f t="shared" si="6"/>
        <v/>
      </c>
      <c r="M74" s="5" t="str">
        <f>IF(I74="","",(K74-'Rate &amp; Vol Update'!$C$2)/360)</f>
        <v/>
      </c>
      <c r="N74" s="15" t="str">
        <f>IF(I74="","",IF('Adjustment Surface'!C$3='Data Validation'!$C$2,'Adjustment Surface'!C$4,IF(INDEX(Schedules!$E$3:$E$123,MATCH('Bachelier Model'!J74,Schedules!$B$3:$B$123,0))="",N73,INDEX(Schedules!$E$3:$E$123,MATCH('Bachelier Model'!J74,Schedules!$B$3:$B$123,0)))))</f>
        <v/>
      </c>
      <c r="O74" s="16" t="str">
        <f>IF(I74="","",IF('Adjustment Surface'!C$9='Data Validation'!$D$2,'Adjustment Surface'!C$10,IF(INDEX(Schedules!$H$3:$H$123,MATCH('Bachelier Model'!J74,Schedules!$B$3:$B$123,0))="",O73,INDEX(Schedules!$H$3:$H$123,MATCH('Bachelier Model'!J74,Schedules!$B$3:$B$123,0)))))</f>
        <v/>
      </c>
      <c r="P74" s="16" t="str" cm="1">
        <f t="array" ref="P74">IF(I74="","",FORECAST(J74,INDEX('Rate &amp; Vol Update'!$C$6:$C$127,MATCH(INDEX('Rate &amp; Vol Update'!$B$6:$B$127,MATCH(J74,'Rate &amp; Vol Update'!$B$6:$B$127,1)),'Rate &amp; Vol Update'!$B$6:$B$127,0)+IF('Adjustment Surface'!C$11='Data Validation'!$E$3,-1,0)):INDEX('Rate &amp; Vol Update'!$C$6:$C$127,MATCH(INDEX('Rate &amp; Vol Update'!$B$6:$B$127,MATCH(J74,'Rate &amp; Vol Update'!$B$6:$B$127,1)+1),'Rate &amp; Vol Update'!$B$6:$B$127,0)+IF('Adjustment Surface'!C$11='Data Validation'!$E$3,-1,0)),INDEX('Rate &amp; Vol Update'!$B$6:$B$127,MATCH(J74,'Rate &amp; Vol Update'!$B$6:$B$127,1)):INDEX('Rate &amp; Vol Update'!$B$6:$B$127,MATCH(J74,'Rate &amp; Vol Update'!$B$6:$B$127,1)+1))/100)</f>
        <v/>
      </c>
      <c r="Q74" s="16" t="str" cm="1">
        <f t="array" ref="Q74">IF(I74="","",IF(J74&lt;'Rate &amp; Vol Update'!$C$2,0.001%,(1/((INDEX('Rate &amp; Vol Update'!$E$6:$Z$6,1,MATCH(O74,'Rate &amp; Vol Update'!$E$6:$Z$6,1)+1)-INDEX('Rate &amp; Vol Update'!$E$6:$Z$6,1,MATCH(O74,'Rate &amp; Vol Update'!$E$6:$Z$6,1)))*(INDEX('Rate &amp; Vol Update'!$B$8:$B$127,MATCH(J74,'Rate &amp; Vol Update'!$B$8:$B$127,1)+1)-INDEX('Rate &amp; Vol Update'!$B$8:$B$127,MATCH(J74,'Rate &amp; Vol Update'!$B$8:$B$127,1))))*(INDEX('Rate &amp; Vol Update'!$E$8:$Z$127,MATCH(INDEX('Rate &amp; Vol Update'!$B$8:$B$127,MATCH(J74,'Rate &amp; Vol Update'!$B$8:$B$127,1)),'Rate &amp; Vol Update'!$B$8:$B$127,0),MATCH(INDEX('Rate &amp; Vol Update'!$E$6:$Z$6,1,MATCH(O74,'Rate &amp; Vol Update'!$E$6:$Z$6,1)),'Rate &amp; Vol Update'!$E$6:$Z$6,0))*(INDEX('Rate &amp; Vol Update'!$E$6:$Z$6,1,MATCH(O74,'Rate &amp; Vol Update'!$E$6:$Z$6,1)+1)-O74)*(INDEX('Rate &amp; Vol Update'!$B$8:$B$127,MATCH(J74,'Rate &amp; Vol Update'!$B$8:$B$127,1)+1)-J74)+INDEX('Rate &amp; Vol Update'!$E$8:$Z$127,MATCH(INDEX('Rate &amp; Vol Update'!$B$8:$B$127,MATCH(J74,'Rate &amp; Vol Update'!$B$8:$B$127,1)),'Rate &amp; Vol Update'!$B$8:$B$127,0),MATCH(INDEX('Rate &amp; Vol Update'!$E$6:$Z$6,1,MATCH(O74,'Rate &amp; Vol Update'!$E$6:$Z$6,1)+1),'Rate &amp; Vol Update'!$E$6:$Z$6,0))*(O74-INDEX('Rate &amp; Vol Update'!$E$6:$Z$6,1,MATCH(O74,'Rate &amp; Vol Update'!$E$6:$Z$6,1)))*(INDEX('Rate &amp; Vol Update'!$B$8:$B$127,MATCH(J74,'Rate &amp; Vol Update'!$B$8:$B$127,1)+1)-J74)+INDEX('Rate &amp; Vol Update'!$E$8:$Z$127,MATCH(INDEX('Rate &amp; Vol Update'!$B$8:$B$127,MATCH(J74,'Rate &amp; Vol Update'!$B$8:$B$127,1)+1),'Rate &amp; Vol Update'!$B$8:$B$127,0),MATCH(INDEX('Rate &amp; Vol Update'!$E$6:$Z$6,1,MATCH(O74,'Rate &amp; Vol Update'!$E$6:$Z$6,1)),'Rate &amp; Vol Update'!$E$6:$Z$6,0))*(INDEX('Rate &amp; Vol Update'!$E$6:$Z$6,1,MATCH(O74,'Rate &amp; Vol Update'!$E$6:$Z$6,1)+1)-O74)*(J74-INDEX('Rate &amp; Vol Update'!$B$8:$B$127,MATCH(J74,'Rate &amp; Vol Update'!$B$8:$B$127,1)))+INDEX('Rate &amp; Vol Update'!$E$8:$Z$127,MATCH(INDEX('Rate &amp; Vol Update'!$B$8:$B$127,MATCH(J74,'Rate &amp; Vol Update'!$B$8:$B$127,1)+1),'Rate &amp; Vol Update'!$B$8:$B$127,0),MATCH(INDEX('Rate &amp; Vol Update'!$E$6:$Z$6,1,MATCH(O74,'Rate &amp; Vol Update'!$E$6:$Z$6,1)+1),'Rate &amp; Vol Update'!$E$6:$Z$6,0))*(O74-INDEX('Rate &amp; Vol Update'!$E$6:$Z$6,1,MATCH(O74,'Rate &amp; Vol Update'!$E$6:$Z$6,1)))*(J74-INDEX('Rate &amp; Vol Update'!$B$8:$B$127,MATCH(J74,'Rate &amp; Vol Update'!$B$8:$B$127,1)))))*0.01%))</f>
        <v/>
      </c>
      <c r="R74" s="5" t="str">
        <f>IF(I74="","",1/((1+P74)^((K74-'Rate &amp; Vol Update'!$C$2)/360)))</f>
        <v/>
      </c>
      <c r="T74" s="15" t="str">
        <f>IF(I74="","",IF(J74&lt;'Rate &amp; Vol Update'!$C$2,MAX(0,P74-O74)*(L74/360)*N74,(((IF('Adjustment Surface'!C$2='Data Validation'!$A$2,P74,IF('Adjustment Surface'!C$2='Data Validation'!$A$3,O74,"Unknown Option Type"))-IF('Adjustment Surface'!C$2='Data Validation'!$A$2,O74,IF('Adjustment Surface'!C$2='Data Validation'!$A$3,P74,"Unknown Option Type")))*(NORMDIST((IF('Adjustment Surface'!C$2='Data Validation'!$A$2,P74,IF('Adjustment Surface'!C$2='Data Validation'!$A$3,O74,"Unknown Option Type"))-IF('Adjustment Surface'!C$2='Data Validation'!$A$2,O74,IF('Adjustment Surface'!C$2='Data Validation'!$A$3,P74,"Unknown Option Type")))/(Q74*SQRT(M74)),0,1,TRUE)))+((Q74*SQRT(M74))*(NORMDIST((IF('Adjustment Surface'!C$2='Data Validation'!$A$2,P74,IF('Adjustment Surface'!C$2='Data Validation'!$A$3,O74,"Unknown Option Type"))-IF('Adjustment Surface'!C$2='Data Validation'!$A$2,O74,IF('Adjustment Surface'!C$2='Data Validation'!$A$3,P74,"Unknown Option Type")))/(Q74*SQRT(M74)),0,1,FALSE))))*R74*(L74/360)*N74))</f>
        <v/>
      </c>
      <c r="U74" s="15" t="str">
        <f>IF(I74="","",SUM(T$4:T74))</f>
        <v/>
      </c>
      <c r="W74" s="15" t="str">
        <f>IF(I74="","",IF(J74&lt;'Rate &amp; Vol Update'!$C$2,0,((((((IF('Adjustment Surface'!C$2='Data Validation'!$A$2,P74,IF('Adjustment Surface'!C$2='Data Validation'!$A$3,O74,"Unknown Option Type"))-IF('Adjustment Surface'!C$2='Data Validation'!$A$2,O74,IF('Adjustment Surface'!C$2='Data Validation'!$A$3,P74,"Unknown Option Type")))*(NORMDIST((IF('Adjustment Surface'!C$2='Data Validation'!$A$2,P74,IF('Adjustment Surface'!C$2='Data Validation'!$A$3,O74,"Unknown Option Type"))-IF('Adjustment Surface'!C$2='Data Validation'!$A$2,O74,IF('Adjustment Surface'!C$2='Data Validation'!$A$3,P74,"Unknown Option Type")))/((Q74+0.01%)*SQRT(M74)),0,1,TRUE)))+(((Q74+0.01%)*SQRT(M74))*(NORMDIST((IF('Adjustment Surface'!C$2='Data Validation'!$A$2,P74,IF('Adjustment Surface'!C$2='Data Validation'!$A$3,O74,"Unknown Option Type"))-IF('Adjustment Surface'!C$2='Data Validation'!$A$2,O74,IF('Adjustment Surface'!C$2='Data Validation'!$A$3,P74,"Unknown Option Type")))/((Q74+0.01%)*SQRT(M74)),0,1,FALSE))))*R74*(L74/360))-(T74/N74))*N74)*R74))</f>
        <v/>
      </c>
      <c r="X74" s="15" t="str">
        <f>IF(I74="","",SUM(W$4:W74))</f>
        <v/>
      </c>
      <c r="Y74" s="15"/>
      <c r="Z74" s="20"/>
      <c r="AB74" s="4" t="str">
        <f>IF(AC73=MAX('Adjustment Surface'!$C$14:$F$14),"",AC73)</f>
        <v/>
      </c>
      <c r="AC74" s="4" t="str">
        <f>IF(AB74="","",IF(AB74&lt;EDATE('Adjustment Surface'!$C$6,DATEDIF('Adjustment Surface'!$C$6,MAX('Adjustment Surface'!$C$14:$F$14),"M")),EDATE(AB$5,COUNT(AB$5:AB74)),IF(AB74=EDATE('Adjustment Surface'!$C$6,DATEDIF('Adjustment Surface'!$C$6,MAX('Adjustment Surface'!$C$14:$F$14),"M")),MAX('Adjustment Surface'!$C$14:$F$14),EDATE('Adjustment Surface'!$C$6,DATEDIF('Adjustment Surface'!$C$6,MAX('Adjustment Surface'!$C$14:$F$14),"M")))))</f>
        <v/>
      </c>
      <c r="AD74" s="3" t="str">
        <f t="shared" si="7"/>
        <v/>
      </c>
      <c r="AE74" s="5" t="str">
        <f>IF(AA74="","",(AC74-'Rate &amp; Vol Update'!$C$2)/360)</f>
        <v/>
      </c>
      <c r="AF74" s="15" t="str">
        <f>IF(AA74="","",IF('Adjustment Surface'!$C$3='Data Validation'!$C$2,'Adjustment Surface'!$C$4,_xlfn.IFNA(IF(INDEX(Schedules!$E$3:$E$123,MATCH('Bachelier Model'!AB74,Schedules!$B$3:$B$123,0))="",AF73,INDEX(Schedules!$E$3:$E$123,MATCH('Bachelier Model'!AB74,Schedules!$B$3:$B$123,0))),AF73)))</f>
        <v/>
      </c>
      <c r="AG74" s="16" t="str">
        <f>IF(AA74="","",'Adjustment Surface'!B$15)</f>
        <v/>
      </c>
      <c r="AH74" s="16" t="str" cm="1">
        <f t="array" ref="AH74">IF(AA74="","",FORECAST(AB74,INDEX('Rate &amp; Vol Update'!$C$6:$C$127,MATCH(INDEX('Rate &amp; Vol Update'!$B$6:$B$127,MATCH(AB74,'Rate &amp; Vol Update'!$B$6:$B$127,1)),'Rate &amp; Vol Update'!$B$6:$B$127,0)+IF('Adjustment Surface'!$C$11='Data Validation'!$E$3,-1,0)):INDEX('Rate &amp; Vol Update'!$C$6:$C$127,MATCH(INDEX('Rate &amp; Vol Update'!$B$6:$B$127,MATCH(AB74,'Rate &amp; Vol Update'!$B$6:$B$127,1)+1),'Rate &amp; Vol Update'!$B$6:$B$127,0)+IF('Adjustment Surface'!$C$11='Data Validation'!$E$3,-1,0)),INDEX('Rate &amp; Vol Update'!$B$6:$B$127,MATCH(AB74,'Rate &amp; Vol Update'!$B$6:$B$127,1)):INDEX('Rate &amp; Vol Update'!$B$6:$B$127,MATCH(AB74,'Rate &amp; Vol Update'!$B$6:$B$127,1)+1))/100)</f>
        <v/>
      </c>
      <c r="AI74" s="16" t="str" cm="1">
        <f t="array" ref="AI74">IF(AA74="","",IF(AB74&lt;'Rate &amp; Vol Update'!$C$2,0.001%,(1/((INDEX('Rate &amp; Vol Update'!$E$6:$Z$6,1,MATCH(AG74,'Rate &amp; Vol Update'!$E$6:$Z$6,1)+1)-INDEX('Rate &amp; Vol Update'!$E$6:$Z$6,1,MATCH(AG74,'Rate &amp; Vol Update'!$E$6:$Z$6,1)))*(INDEX('Rate &amp; Vol Update'!$B$8:$B$127,MATCH(AB74,'Rate &amp; Vol Update'!$B$8:$B$127,1)+1)-INDEX('Rate &amp; Vol Update'!$B$8:$B$127,MATCH(AB74,'Rate &amp; Vol Update'!$B$8:$B$127,1))))*(INDEX('Rate &amp; Vol Update'!$E$8:$Z$127,MATCH(INDEX('Rate &amp; Vol Update'!$B$8:$B$127,MATCH(AB74,'Rate &amp; Vol Update'!$B$8:$B$127,1)),'Rate &amp; Vol Update'!$B$8:$B$127,0),MATCH(INDEX('Rate &amp; Vol Update'!$E$6:$Z$6,1,MATCH(AG74,'Rate &amp; Vol Update'!$E$6:$Z$6,1)),'Rate &amp; Vol Update'!$E$6:$Z$6,0))*(INDEX('Rate &amp; Vol Update'!$E$6:$Z$6,1,MATCH(AG74,'Rate &amp; Vol Update'!$E$6:$Z$6,1)+1)-AG74)*(INDEX('Rate &amp; Vol Update'!$B$8:$B$127,MATCH(AB74,'Rate &amp; Vol Update'!$B$8:$B$127,1)+1)-AB74)+INDEX('Rate &amp; Vol Update'!$E$8:$Z$127,MATCH(INDEX('Rate &amp; Vol Update'!$B$8:$B$127,MATCH(AB74,'Rate &amp; Vol Update'!$B$8:$B$127,1)),'Rate &amp; Vol Update'!$B$8:$B$127,0),MATCH(INDEX('Rate &amp; Vol Update'!$E$6:$Z$6,1,MATCH(AG74,'Rate &amp; Vol Update'!$E$6:$Z$6,1)+1),'Rate &amp; Vol Update'!$E$6:$Z$6,0))*(AG74-INDEX('Rate &amp; Vol Update'!$E$6:$Z$6,1,MATCH(AG74,'Rate &amp; Vol Update'!$E$6:$Z$6,1)))*(INDEX('Rate &amp; Vol Update'!$B$8:$B$127,MATCH(AB74,'Rate &amp; Vol Update'!$B$8:$B$127,1)+1)-AB74)+INDEX('Rate &amp; Vol Update'!$E$8:$Z$127,MATCH(INDEX('Rate &amp; Vol Update'!$B$8:$B$127,MATCH(AB74,'Rate &amp; Vol Update'!$B$8:$B$127,1)+1),'Rate &amp; Vol Update'!$B$8:$B$127,0),MATCH(INDEX('Rate &amp; Vol Update'!$E$6:$Z$6,1,MATCH(AG74,'Rate &amp; Vol Update'!$E$6:$Z$6,1)),'Rate &amp; Vol Update'!$E$6:$Z$6,0))*(INDEX('Rate &amp; Vol Update'!$E$6:$Z$6,1,MATCH(AG74,'Rate &amp; Vol Update'!$E$6:$Z$6,1)+1)-AG74)*(AB74-INDEX('Rate &amp; Vol Update'!$B$8:$B$127,MATCH(AB74,'Rate &amp; Vol Update'!$B$8:$B$127,1)))+INDEX('Rate &amp; Vol Update'!$E$8:$Z$127,MATCH(INDEX('Rate &amp; Vol Update'!$B$8:$B$127,MATCH(AB74,'Rate &amp; Vol Update'!$B$8:$B$127,1)+1),'Rate &amp; Vol Update'!$B$8:$B$127,0),MATCH(INDEX('Rate &amp; Vol Update'!$E$6:$Z$6,1,MATCH(AG74,'Rate &amp; Vol Update'!$E$6:$Z$6,1)+1),'Rate &amp; Vol Update'!$E$6:$Z$6,0))*(AG74-INDEX('Rate &amp; Vol Update'!$E$6:$Z$6,1,MATCH(AG74,'Rate &amp; Vol Update'!$E$6:$Z$6,1)))*(AB74-INDEX('Rate &amp; Vol Update'!$B$8:$B$127,MATCH(AB74,'Rate &amp; Vol Update'!$B$8:$B$127,1)))))*0.01%))</f>
        <v/>
      </c>
      <c r="AJ74" s="5" t="str">
        <f>IF(AA74="","",1/((1+AH74)^((AC74-'Rate &amp; Vol Update'!$C$2)/360)))</f>
        <v/>
      </c>
      <c r="AL74" s="15" t="str">
        <f>IF(AA74="","",IF(AB74&lt;'Rate &amp; Vol Update'!$C$2,MAX(0,AH74-AG74)*(AD74/360)*AF74,(((IF('Adjustment Surface'!$C$2='Data Validation'!$A$2,AH74,IF('Adjustment Surface'!$C$2='Data Validation'!$A$3,AG74,"Unknown Option Type"))-IF('Adjustment Surface'!$C$2='Data Validation'!$A$2,AG74,IF('Adjustment Surface'!$C$2='Data Validation'!$A$3,AH74,"Unknown Option Type")))*(NORMDIST((IF('Adjustment Surface'!$C$2='Data Validation'!$A$2,AH74,IF('Adjustment Surface'!$C$2='Data Validation'!$A$3,AG74,"Unknown Option Type"))-IF('Adjustment Surface'!$C$2='Data Validation'!$A$2,AG74,IF('Adjustment Surface'!$C$2='Data Validation'!$A$3,AH74,"Unknown Option Type")))/(AI74*SQRT(AE74)),0,1,TRUE)))+((AI74*SQRT(AE74))*(NORMDIST((IF('Adjustment Surface'!$C$2='Data Validation'!$A$2,AH74,IF('Adjustment Surface'!$C$2='Data Validation'!$A$3,AG74,"Unknown Option Type"))-IF('Adjustment Surface'!$C$2='Data Validation'!$A$2,AG74,IF('Adjustment Surface'!$C$2='Data Validation'!$A$3,AH74,"Unknown Option Type")))/(AI74*SQRT(AE74)),0,1,FALSE))))*AJ74*(AD74/360)*AF74))</f>
        <v/>
      </c>
      <c r="AM74" s="15" t="str">
        <f>IF(AA74="","",SUM(AL$4:AL74))</f>
        <v/>
      </c>
      <c r="AO74" s="15" t="str">
        <f>IF(AA74="","",IF(AB74&lt;'Rate &amp; Vol Update'!$C$2,0,((((((IF('Adjustment Surface'!$C$2='Data Validation'!$A$2,AH74,IF('Adjustment Surface'!$C$2='Data Validation'!$A$3,AG74,"Unknown Option Type"))-IF('Adjustment Surface'!$C$2='Data Validation'!$A$2,AG74,IF('Adjustment Surface'!$C$2='Data Validation'!$A$3,AH74,"Unknown Option Type")))*(NORMDIST((IF('Adjustment Surface'!$C$2='Data Validation'!$A$2,AH74,IF('Adjustment Surface'!$C$2='Data Validation'!$A$3,AG74,"Unknown Option Type"))-IF('Adjustment Surface'!$C$2='Data Validation'!$A$2,AG74,IF('Adjustment Surface'!$C$2='Data Validation'!$A$3,AH74,"Unknown Option Type")))/((AI74+0.01%)*SQRT(AE74)),0,1,TRUE)))+(((AI74+0.01%)*SQRT(AE74))*(NORMDIST((IF('Adjustment Surface'!$C$2='Data Validation'!$A$2,AH74,IF('Adjustment Surface'!$C$2='Data Validation'!$A$3,AG74,"Unknown Option Type"))-IF('Adjustment Surface'!$C$2='Data Validation'!$A$2,AG74,IF('Adjustment Surface'!$C$2='Data Validation'!$A$3,AH74,"Unknown Option Type")))/((AI74+0.01%)*SQRT(AE74)),0,1,FALSE))))*AJ74*(AD74/360))-(AL74/AF74))*AF74)*AJ74))</f>
        <v/>
      </c>
      <c r="AP74" s="15" t="str">
        <f>IF(AA74="","",SUM(AO$4:AO74))</f>
        <v/>
      </c>
      <c r="AQ74" s="15"/>
      <c r="AR74" s="20"/>
      <c r="AT74" s="4" t="str">
        <f>IF(AU73=MAX('Adjustment Surface'!$C$14:$F$14),"",AU73)</f>
        <v/>
      </c>
      <c r="AU74" s="4" t="str">
        <f>IF(AT74="","",IF(AT74&lt;EDATE('Adjustment Surface'!$C$6,DATEDIF('Adjustment Surface'!$C$6,MAX('Adjustment Surface'!$C$14:$F$14),"M")),EDATE(AT$5,COUNT(AT$5:AT74)),IF(AT74=EDATE('Adjustment Surface'!$C$6,DATEDIF('Adjustment Surface'!$C$6,MAX('Adjustment Surface'!$C$14:$F$14),"M")),MAX('Adjustment Surface'!$C$14:$F$14),EDATE('Adjustment Surface'!$C$6,DATEDIF('Adjustment Surface'!$C$6,MAX('Adjustment Surface'!$C$14:$F$14),"M")))))</f>
        <v/>
      </c>
      <c r="AV74" s="3" t="str">
        <f t="shared" si="8"/>
        <v/>
      </c>
      <c r="AW74" s="5" t="str">
        <f>IF(AS74="","",(AU74-'Rate &amp; Vol Update'!$C$2)/360)</f>
        <v/>
      </c>
      <c r="AX74" s="15" t="str">
        <f>IF(AS74="","",IF('Adjustment Surface'!$C$3='Data Validation'!$C$2,'Adjustment Surface'!$C$4,_xlfn.IFNA(IF(INDEX(Schedules!$E$3:$E$123,MATCH('Bachelier Model'!AT74,Schedules!$B$3:$B$123,0))="",AX73,INDEX(Schedules!$E$3:$E$123,MATCH('Bachelier Model'!AT74,Schedules!$B$3:$B$123,0))),AX73)))</f>
        <v/>
      </c>
      <c r="AY74" s="16" t="str">
        <f>IF(AS74="","",'Adjustment Surface'!B$16)</f>
        <v/>
      </c>
      <c r="AZ74" s="16" t="str" cm="1">
        <f t="array" ref="AZ74">IF(AS74="","",FORECAST(AT74,INDEX('Rate &amp; Vol Update'!$C$6:$C$127,MATCH(INDEX('Rate &amp; Vol Update'!$B$6:$B$127,MATCH(AT74,'Rate &amp; Vol Update'!$B$6:$B$127,1)),'Rate &amp; Vol Update'!$B$6:$B$127,0)+IF('Adjustment Surface'!$C$11='Data Validation'!$E$3,-1,0)):INDEX('Rate &amp; Vol Update'!$C$6:$C$127,MATCH(INDEX('Rate &amp; Vol Update'!$B$6:$B$127,MATCH(AT74,'Rate &amp; Vol Update'!$B$6:$B$127,1)+1),'Rate &amp; Vol Update'!$B$6:$B$127,0)+IF('Adjustment Surface'!$C$11='Data Validation'!$E$3,-1,0)),INDEX('Rate &amp; Vol Update'!$B$6:$B$127,MATCH(AT74,'Rate &amp; Vol Update'!$B$6:$B$127,1)):INDEX('Rate &amp; Vol Update'!$B$6:$B$127,MATCH(AT74,'Rate &amp; Vol Update'!$B$6:$B$127,1)+1))/100)</f>
        <v/>
      </c>
      <c r="BA74" s="16" t="str" cm="1">
        <f t="array" ref="BA74">IF(AS74="","",IF(AT74&lt;'Rate &amp; Vol Update'!$C$2,0.001%,(1/((INDEX('Rate &amp; Vol Update'!$E$6:$Z$6,1,MATCH(AY74,'Rate &amp; Vol Update'!$E$6:$Z$6,1)+1)-INDEX('Rate &amp; Vol Update'!$E$6:$Z$6,1,MATCH(AY74,'Rate &amp; Vol Update'!$E$6:$Z$6,1)))*(INDEX('Rate &amp; Vol Update'!$B$8:$B$127,MATCH(AT74,'Rate &amp; Vol Update'!$B$8:$B$127,1)+1)-INDEX('Rate &amp; Vol Update'!$B$8:$B$127,MATCH(AT74,'Rate &amp; Vol Update'!$B$8:$B$127,1))))*(INDEX('Rate &amp; Vol Update'!$E$8:$Z$127,MATCH(INDEX('Rate &amp; Vol Update'!$B$8:$B$127,MATCH(AT74,'Rate &amp; Vol Update'!$B$8:$B$127,1)),'Rate &amp; Vol Update'!$B$8:$B$127,0),MATCH(INDEX('Rate &amp; Vol Update'!$E$6:$Z$6,1,MATCH(AY74,'Rate &amp; Vol Update'!$E$6:$Z$6,1)),'Rate &amp; Vol Update'!$E$6:$Z$6,0))*(INDEX('Rate &amp; Vol Update'!$E$6:$Z$6,1,MATCH(AY74,'Rate &amp; Vol Update'!$E$6:$Z$6,1)+1)-AY74)*(INDEX('Rate &amp; Vol Update'!$B$8:$B$127,MATCH(AT74,'Rate &amp; Vol Update'!$B$8:$B$127,1)+1)-AT74)+INDEX('Rate &amp; Vol Update'!$E$8:$Z$127,MATCH(INDEX('Rate &amp; Vol Update'!$B$8:$B$127,MATCH(AT74,'Rate &amp; Vol Update'!$B$8:$B$127,1)),'Rate &amp; Vol Update'!$B$8:$B$127,0),MATCH(INDEX('Rate &amp; Vol Update'!$E$6:$Z$6,1,MATCH(AY74,'Rate &amp; Vol Update'!$E$6:$Z$6,1)+1),'Rate &amp; Vol Update'!$E$6:$Z$6,0))*(AY74-INDEX('Rate &amp; Vol Update'!$E$6:$Z$6,1,MATCH(AY74,'Rate &amp; Vol Update'!$E$6:$Z$6,1)))*(INDEX('Rate &amp; Vol Update'!$B$8:$B$127,MATCH(AT74,'Rate &amp; Vol Update'!$B$8:$B$127,1)+1)-AT74)+INDEX('Rate &amp; Vol Update'!$E$8:$Z$127,MATCH(INDEX('Rate &amp; Vol Update'!$B$8:$B$127,MATCH(AT74,'Rate &amp; Vol Update'!$B$8:$B$127,1)+1),'Rate &amp; Vol Update'!$B$8:$B$127,0),MATCH(INDEX('Rate &amp; Vol Update'!$E$6:$Z$6,1,MATCH(AY74,'Rate &amp; Vol Update'!$E$6:$Z$6,1)),'Rate &amp; Vol Update'!$E$6:$Z$6,0))*(INDEX('Rate &amp; Vol Update'!$E$6:$Z$6,1,MATCH(AY74,'Rate &amp; Vol Update'!$E$6:$Z$6,1)+1)-AY74)*(AT74-INDEX('Rate &amp; Vol Update'!$B$8:$B$127,MATCH(AT74,'Rate &amp; Vol Update'!$B$8:$B$127,1)))+INDEX('Rate &amp; Vol Update'!$E$8:$Z$127,MATCH(INDEX('Rate &amp; Vol Update'!$B$8:$B$127,MATCH(AT74,'Rate &amp; Vol Update'!$B$8:$B$127,1)+1),'Rate &amp; Vol Update'!$B$8:$B$127,0),MATCH(INDEX('Rate &amp; Vol Update'!$E$6:$Z$6,1,MATCH(AY74,'Rate &amp; Vol Update'!$E$6:$Z$6,1)+1),'Rate &amp; Vol Update'!$E$6:$Z$6,0))*(AY74-INDEX('Rate &amp; Vol Update'!$E$6:$Z$6,1,MATCH(AY74,'Rate &amp; Vol Update'!$E$6:$Z$6,1)))*(AT74-INDEX('Rate &amp; Vol Update'!$B$8:$B$127,MATCH(AT74,'Rate &amp; Vol Update'!$B$8:$B$127,1)))))*0.01%))</f>
        <v/>
      </c>
      <c r="BB74" s="5" t="str">
        <f>IF(AS74="","",1/((1+AZ74)^((AU74-'Rate &amp; Vol Update'!$C$2)/360)))</f>
        <v/>
      </c>
      <c r="BD74" s="15" t="str">
        <f>IF(AS74="","",IF(AT74&lt;'Rate &amp; Vol Update'!$C$2,MAX(0,AZ74-AY74)*(AV74/360)*AX74,(((IF('Adjustment Surface'!$C$2='Data Validation'!$A$2,AZ74,IF('Adjustment Surface'!$C$2='Data Validation'!$A$3,AY74,"Unknown Option Type"))-IF('Adjustment Surface'!$C$2='Data Validation'!$A$2,AY74,IF('Adjustment Surface'!$C$2='Data Validation'!$A$3,AZ74,"Unknown Option Type")))*(NORMDIST((IF('Adjustment Surface'!$C$2='Data Validation'!$A$2,AZ74,IF('Adjustment Surface'!$C$2='Data Validation'!$A$3,AY74,"Unknown Option Type"))-IF('Adjustment Surface'!$C$2='Data Validation'!$A$2,AY74,IF('Adjustment Surface'!$C$2='Data Validation'!$A$3,AZ74,"Unknown Option Type")))/(BA74*SQRT(AW74)),0,1,TRUE)))+((BA74*SQRT(AW74))*(NORMDIST((IF('Adjustment Surface'!$C$2='Data Validation'!$A$2,AZ74,IF('Adjustment Surface'!$C$2='Data Validation'!$A$3,AY74,"Unknown Option Type"))-IF('Adjustment Surface'!$C$2='Data Validation'!$A$2,AY74,IF('Adjustment Surface'!$C$2='Data Validation'!$A$3,AZ74,"Unknown Option Type")))/(BA74*SQRT(AW74)),0,1,FALSE))))*BB74*(AV74/360)*AX74))</f>
        <v/>
      </c>
      <c r="BE74" s="15" t="str">
        <f>IF(AS74="","",SUM(BD$4:BD74))</f>
        <v/>
      </c>
      <c r="BG74" s="15" t="str">
        <f>IF(AS74="","",IF(AT74&lt;'Rate &amp; Vol Update'!$C$2,0,((((((IF('Adjustment Surface'!$C$2='Data Validation'!$A$2,AZ74,IF('Adjustment Surface'!$C$2='Data Validation'!$A$3,AY74,"Unknown Option Type"))-IF('Adjustment Surface'!$C$2='Data Validation'!$A$2,AY74,IF('Adjustment Surface'!$C$2='Data Validation'!$A$3,AZ74,"Unknown Option Type")))*(NORMDIST((IF('Adjustment Surface'!$C$2='Data Validation'!$A$2,AZ74,IF('Adjustment Surface'!$C$2='Data Validation'!$A$3,AY74,"Unknown Option Type"))-IF('Adjustment Surface'!$C$2='Data Validation'!$A$2,AY74,IF('Adjustment Surface'!$C$2='Data Validation'!$A$3,AZ74,"Unknown Option Type")))/((BA74+0.01%)*SQRT(AW74)),0,1,TRUE)))+(((BA74+0.01%)*SQRT(AW74))*(NORMDIST((IF('Adjustment Surface'!$C$2='Data Validation'!$A$2,AZ74,IF('Adjustment Surface'!$C$2='Data Validation'!$A$3,AY74,"Unknown Option Type"))-IF('Adjustment Surface'!$C$2='Data Validation'!$A$2,AY74,IF('Adjustment Surface'!$C$2='Data Validation'!$A$3,AZ74,"Unknown Option Type")))/((BA74+0.01%)*SQRT(AW74)),0,1,FALSE))))*BB74*(AV74/360))-(BD74/AX74))*AX74)*BB74))</f>
        <v/>
      </c>
      <c r="BH74" s="15" t="str">
        <f>IF(AS74="","",SUM(BG$4:BG74))</f>
        <v/>
      </c>
      <c r="BI74" s="15"/>
      <c r="BJ74" s="20"/>
      <c r="BL74" s="4" t="str">
        <f>IF(BM73=MAX('Adjustment Surface'!$C$14:$F$14),"",BM73)</f>
        <v/>
      </c>
      <c r="BM74" s="4" t="str">
        <f>IF(BL74="","",IF(BL74&lt;EDATE('Adjustment Surface'!$C$6,DATEDIF('Adjustment Surface'!$C$6,MAX('Adjustment Surface'!$C$14:$F$14),"M")),EDATE(BL$5,COUNT(BL$5:BL74)),IF(BL74=EDATE('Adjustment Surface'!$C$6,DATEDIF('Adjustment Surface'!$C$6,MAX('Adjustment Surface'!$C$14:$F$14),"M")),MAX('Adjustment Surface'!$C$14:$F$14),EDATE('Adjustment Surface'!$C$6,DATEDIF('Adjustment Surface'!$C$6,MAX('Adjustment Surface'!$C$14:$F$14),"M")))))</f>
        <v/>
      </c>
      <c r="BN74" s="3" t="str">
        <f t="shared" si="9"/>
        <v/>
      </c>
      <c r="BO74" s="5" t="str">
        <f>IF(BK74="","",(BM74-'Rate &amp; Vol Update'!$C$2)/360)</f>
        <v/>
      </c>
      <c r="BP74" s="15" t="str">
        <f>IF(BK74="","",IF('Adjustment Surface'!$C$3='Data Validation'!$C$2,'Adjustment Surface'!$C$4,_xlfn.IFNA(IF(INDEX(Schedules!$E$3:$E$123,MATCH('Bachelier Model'!BL74,Schedules!$B$3:$B$123,0))="",BP73,INDEX(Schedules!$E$3:$E$123,MATCH('Bachelier Model'!BL74,Schedules!$B$3:$B$123,0))),BP73)))</f>
        <v/>
      </c>
      <c r="BQ74" s="16" t="str">
        <f>IF(BK74="","",'Adjustment Surface'!B$17)</f>
        <v/>
      </c>
      <c r="BR74" s="16" t="str" cm="1">
        <f t="array" ref="BR74">IF(BK74="","",FORECAST(BL74,INDEX('Rate &amp; Vol Update'!$C$6:$C$127,MATCH(INDEX('Rate &amp; Vol Update'!$B$6:$B$127,MATCH(BL74,'Rate &amp; Vol Update'!$B$6:$B$127,1)),'Rate &amp; Vol Update'!$B$6:$B$127,0)+IF('Adjustment Surface'!$C$11='Data Validation'!$E$3,-1,0)):INDEX('Rate &amp; Vol Update'!$C$6:$C$127,MATCH(INDEX('Rate &amp; Vol Update'!$B$6:$B$127,MATCH(BL74,'Rate &amp; Vol Update'!$B$6:$B$127,1)+1),'Rate &amp; Vol Update'!$B$6:$B$127,0)+IF('Adjustment Surface'!$C$11='Data Validation'!$E$3,-1,0)),INDEX('Rate &amp; Vol Update'!$B$6:$B$127,MATCH(BL74,'Rate &amp; Vol Update'!$B$6:$B$127,1)):INDEX('Rate &amp; Vol Update'!$B$6:$B$127,MATCH(BL74,'Rate &amp; Vol Update'!$B$6:$B$127,1)+1))/100)</f>
        <v/>
      </c>
      <c r="BS74" s="16" t="str" cm="1">
        <f t="array" ref="BS74">IF(BK74="","",IF(BL74&lt;'Rate &amp; Vol Update'!$C$2,0.001%,(1/((INDEX('Rate &amp; Vol Update'!$E$6:$Z$6,1,MATCH(BQ74,'Rate &amp; Vol Update'!$E$6:$Z$6,1)+1)-INDEX('Rate &amp; Vol Update'!$E$6:$Z$6,1,MATCH(BQ74,'Rate &amp; Vol Update'!$E$6:$Z$6,1)))*(INDEX('Rate &amp; Vol Update'!$B$8:$B$127,MATCH(BL74,'Rate &amp; Vol Update'!$B$8:$B$127,1)+1)-INDEX('Rate &amp; Vol Update'!$B$8:$B$127,MATCH(BL74,'Rate &amp; Vol Update'!$B$8:$B$127,1))))*(INDEX('Rate &amp; Vol Update'!$E$8:$Z$127,MATCH(INDEX('Rate &amp; Vol Update'!$B$8:$B$127,MATCH(BL74,'Rate &amp; Vol Update'!$B$8:$B$127,1)),'Rate &amp; Vol Update'!$B$8:$B$127,0),MATCH(INDEX('Rate &amp; Vol Update'!$E$6:$Z$6,1,MATCH(BQ74,'Rate &amp; Vol Update'!$E$6:$Z$6,1)),'Rate &amp; Vol Update'!$E$6:$Z$6,0))*(INDEX('Rate &amp; Vol Update'!$E$6:$Z$6,1,MATCH(BQ74,'Rate &amp; Vol Update'!$E$6:$Z$6,1)+1)-BQ74)*(INDEX('Rate &amp; Vol Update'!$B$8:$B$127,MATCH(BL74,'Rate &amp; Vol Update'!$B$8:$B$127,1)+1)-BL74)+INDEX('Rate &amp; Vol Update'!$E$8:$Z$127,MATCH(INDEX('Rate &amp; Vol Update'!$B$8:$B$127,MATCH(BL74,'Rate &amp; Vol Update'!$B$8:$B$127,1)),'Rate &amp; Vol Update'!$B$8:$B$127,0),MATCH(INDEX('Rate &amp; Vol Update'!$E$6:$Z$6,1,MATCH(BQ74,'Rate &amp; Vol Update'!$E$6:$Z$6,1)+1),'Rate &amp; Vol Update'!$E$6:$Z$6,0))*(BQ74-INDEX('Rate &amp; Vol Update'!$E$6:$Z$6,1,MATCH(BQ74,'Rate &amp; Vol Update'!$E$6:$Z$6,1)))*(INDEX('Rate &amp; Vol Update'!$B$8:$B$127,MATCH(BL74,'Rate &amp; Vol Update'!$B$8:$B$127,1)+1)-BL74)+INDEX('Rate &amp; Vol Update'!$E$8:$Z$127,MATCH(INDEX('Rate &amp; Vol Update'!$B$8:$B$127,MATCH(BL74,'Rate &amp; Vol Update'!$B$8:$B$127,1)+1),'Rate &amp; Vol Update'!$B$8:$B$127,0),MATCH(INDEX('Rate &amp; Vol Update'!$E$6:$Z$6,1,MATCH(BQ74,'Rate &amp; Vol Update'!$E$6:$Z$6,1)),'Rate &amp; Vol Update'!$E$6:$Z$6,0))*(INDEX('Rate &amp; Vol Update'!$E$6:$Z$6,1,MATCH(BQ74,'Rate &amp; Vol Update'!$E$6:$Z$6,1)+1)-BQ74)*(BL74-INDEX('Rate &amp; Vol Update'!$B$8:$B$127,MATCH(BL74,'Rate &amp; Vol Update'!$B$8:$B$127,1)))+INDEX('Rate &amp; Vol Update'!$E$8:$Z$127,MATCH(INDEX('Rate &amp; Vol Update'!$B$8:$B$127,MATCH(BL74,'Rate &amp; Vol Update'!$B$8:$B$127,1)+1),'Rate &amp; Vol Update'!$B$8:$B$127,0),MATCH(INDEX('Rate &amp; Vol Update'!$E$6:$Z$6,1,MATCH(BQ74,'Rate &amp; Vol Update'!$E$6:$Z$6,1)+1),'Rate &amp; Vol Update'!$E$6:$Z$6,0))*(BQ74-INDEX('Rate &amp; Vol Update'!$E$6:$Z$6,1,MATCH(BQ74,'Rate &amp; Vol Update'!$E$6:$Z$6,1)))*(BL74-INDEX('Rate &amp; Vol Update'!$B$8:$B$127,MATCH(BL74,'Rate &amp; Vol Update'!$B$8:$B$127,1)))))*0.01%))</f>
        <v/>
      </c>
      <c r="BT74" s="5" t="str">
        <f>IF(BK74="","",1/((1+BR74)^((BM74-'Rate &amp; Vol Update'!$C$2)/360)))</f>
        <v/>
      </c>
      <c r="BV74" s="15" t="str">
        <f>IF(BK74="","",IF(BL74&lt;'Rate &amp; Vol Update'!$C$2,MAX(0,BR74-BQ74)*(BN74/360)*BP74,(((IF('Adjustment Surface'!$C$2='Data Validation'!$A$2,BR74,IF('Adjustment Surface'!$C$2='Data Validation'!$A$3,BQ74,"Unknown Option Type"))-IF('Adjustment Surface'!$C$2='Data Validation'!$A$2,BQ74,IF('Adjustment Surface'!$C$2='Data Validation'!$A$3,BR74,"Unknown Option Type")))*(NORMDIST((IF('Adjustment Surface'!$C$2='Data Validation'!$A$2,BR74,IF('Adjustment Surface'!$C$2='Data Validation'!$A$3,BQ74,"Unknown Option Type"))-IF('Adjustment Surface'!$C$2='Data Validation'!$A$2,BQ74,IF('Adjustment Surface'!$C$2='Data Validation'!$A$3,BR74,"Unknown Option Type")))/(BS74*SQRT(BO74)),0,1,TRUE)))+((BS74*SQRT(BO74))*(NORMDIST((IF('Adjustment Surface'!$C$2='Data Validation'!$A$2,BR74,IF('Adjustment Surface'!$C$2='Data Validation'!$A$3,BQ74,"Unknown Option Type"))-IF('Adjustment Surface'!$C$2='Data Validation'!$A$2,BQ74,IF('Adjustment Surface'!$C$2='Data Validation'!$A$3,BR74,"Unknown Option Type")))/(BS74*SQRT(BO74)),0,1,FALSE))))*BT74*(BN74/360)*BP74))</f>
        <v/>
      </c>
      <c r="BW74" s="15" t="str">
        <f>IF(BK74="","",SUM(BV$4:BV74))</f>
        <v/>
      </c>
      <c r="BY74" s="15" t="str">
        <f>IF(BK74="","",IF(BL74&lt;'Rate &amp; Vol Update'!$C$2,0,((((((IF('Adjustment Surface'!$C$2='Data Validation'!$A$2,BR74,IF('Adjustment Surface'!$C$2='Data Validation'!$A$3,BQ74,"Unknown Option Type"))-IF('Adjustment Surface'!$C$2='Data Validation'!$A$2,BQ74,IF('Adjustment Surface'!$C$2='Data Validation'!$A$3,BR74,"Unknown Option Type")))*(NORMDIST((IF('Adjustment Surface'!$C$2='Data Validation'!$A$2,BR74,IF('Adjustment Surface'!$C$2='Data Validation'!$A$3,BQ74,"Unknown Option Type"))-IF('Adjustment Surface'!$C$2='Data Validation'!$A$2,BQ74,IF('Adjustment Surface'!$C$2='Data Validation'!$A$3,BR74,"Unknown Option Type")))/((BS74+0.01%)*SQRT(BO74)),0,1,TRUE)))+(((BS74+0.01%)*SQRT(BO74))*(NORMDIST((IF('Adjustment Surface'!$C$2='Data Validation'!$A$2,BR74,IF('Adjustment Surface'!$C$2='Data Validation'!$A$3,BQ74,"Unknown Option Type"))-IF('Adjustment Surface'!$C$2='Data Validation'!$A$2,BQ74,IF('Adjustment Surface'!$C$2='Data Validation'!$A$3,BR74,"Unknown Option Type")))/((BS74+0.01%)*SQRT(BO74)),0,1,FALSE))))*BT74*(BN74/360))-(BV74/BP74))*BP74)*BT74))</f>
        <v/>
      </c>
      <c r="BZ74" s="15" t="str">
        <f>IF(BK74="","",SUM(BY$4:BY74))</f>
        <v/>
      </c>
      <c r="CA74" s="15"/>
      <c r="CB74" s="20"/>
      <c r="CD74" s="4" t="str">
        <f>IF(CE73=MAX('Adjustment Surface'!$C$14:$F$14),"",CE73)</f>
        <v/>
      </c>
      <c r="CE74" s="4" t="str">
        <f>IF(CD74="","",IF(CD74&lt;EDATE('Adjustment Surface'!$C$6,DATEDIF('Adjustment Surface'!$C$6,MAX('Adjustment Surface'!$C$14:$F$14),"M")),EDATE(CD$5,COUNT(CD$5:CD74)),IF(CD74=EDATE('Adjustment Surface'!$C$6,DATEDIF('Adjustment Surface'!$C$6,MAX('Adjustment Surface'!$C$14:$F$14),"M")),MAX('Adjustment Surface'!$C$14:$F$14),EDATE('Adjustment Surface'!$C$6,DATEDIF('Adjustment Surface'!$C$6,MAX('Adjustment Surface'!$C$14:$F$14),"M")))))</f>
        <v/>
      </c>
      <c r="CF74" s="3" t="str">
        <f t="shared" si="10"/>
        <v/>
      </c>
      <c r="CG74" s="5" t="str">
        <f>IF(CC74="","",(CE74-'Rate &amp; Vol Update'!$C$2)/360)</f>
        <v/>
      </c>
      <c r="CH74" s="15" t="str">
        <f>IF(CC74="","",IF('Adjustment Surface'!$C$3='Data Validation'!$C$2,'Adjustment Surface'!$C$4,_xlfn.IFNA(IF(INDEX(Schedules!$E$3:$E$123,MATCH('Bachelier Model'!CD74,Schedules!$B$3:$B$123,0))="",CH73,INDEX(Schedules!$E$3:$E$123,MATCH('Bachelier Model'!CD74,Schedules!$B$3:$B$123,0))),CH73)))</f>
        <v/>
      </c>
      <c r="CI74" s="16" t="str">
        <f>IF(CC74="","",'Adjustment Surface'!B$18)</f>
        <v/>
      </c>
      <c r="CJ74" s="16" t="str" cm="1">
        <f t="array" ref="CJ74">IF(CC74="","",FORECAST(CD74,INDEX('Rate &amp; Vol Update'!$C$6:$C$127,MATCH(INDEX('Rate &amp; Vol Update'!$B$6:$B$127,MATCH(CD74,'Rate &amp; Vol Update'!$B$6:$B$127,1)),'Rate &amp; Vol Update'!$B$6:$B$127,0)+IF('Adjustment Surface'!$C$11='Data Validation'!$E$3,-1,0)):INDEX('Rate &amp; Vol Update'!$C$6:$C$127,MATCH(INDEX('Rate &amp; Vol Update'!$B$6:$B$127,MATCH(CD74,'Rate &amp; Vol Update'!$B$6:$B$127,1)+1),'Rate &amp; Vol Update'!$B$6:$B$127,0)+IF('Adjustment Surface'!$C$11='Data Validation'!$E$3,-1,0)),INDEX('Rate &amp; Vol Update'!$B$6:$B$127,MATCH(CD74,'Rate &amp; Vol Update'!$B$6:$B$127,1)):INDEX('Rate &amp; Vol Update'!$B$6:$B$127,MATCH(CD74,'Rate &amp; Vol Update'!$B$6:$B$127,1)+1))/100)</f>
        <v/>
      </c>
      <c r="CK74" s="16" t="str" cm="1">
        <f t="array" ref="CK74">IF(CC74="","",IF(CD74&lt;'Rate &amp; Vol Update'!$C$2,0.001%,(1/((INDEX('Rate &amp; Vol Update'!$E$6:$Z$6,1,MATCH(CI74,'Rate &amp; Vol Update'!$E$6:$Z$6,1)+1)-INDEX('Rate &amp; Vol Update'!$E$6:$Z$6,1,MATCH(CI74,'Rate &amp; Vol Update'!$E$6:$Z$6,1)))*(INDEX('Rate &amp; Vol Update'!$B$8:$B$127,MATCH(CD74,'Rate &amp; Vol Update'!$B$8:$B$127,1)+1)-INDEX('Rate &amp; Vol Update'!$B$8:$B$127,MATCH(CD74,'Rate &amp; Vol Update'!$B$8:$B$127,1))))*(INDEX('Rate &amp; Vol Update'!$E$8:$Z$127,MATCH(INDEX('Rate &amp; Vol Update'!$B$8:$B$127,MATCH(CD74,'Rate &amp; Vol Update'!$B$8:$B$127,1)),'Rate &amp; Vol Update'!$B$8:$B$127,0),MATCH(INDEX('Rate &amp; Vol Update'!$E$6:$Z$6,1,MATCH(CI74,'Rate &amp; Vol Update'!$E$6:$Z$6,1)),'Rate &amp; Vol Update'!$E$6:$Z$6,0))*(INDEX('Rate &amp; Vol Update'!$E$6:$Z$6,1,MATCH(CI74,'Rate &amp; Vol Update'!$E$6:$Z$6,1)+1)-CI74)*(INDEX('Rate &amp; Vol Update'!$B$8:$B$127,MATCH(CD74,'Rate &amp; Vol Update'!$B$8:$B$127,1)+1)-CD74)+INDEX('Rate &amp; Vol Update'!$E$8:$Z$127,MATCH(INDEX('Rate &amp; Vol Update'!$B$8:$B$127,MATCH(CD74,'Rate &amp; Vol Update'!$B$8:$B$127,1)),'Rate &amp; Vol Update'!$B$8:$B$127,0),MATCH(INDEX('Rate &amp; Vol Update'!$E$6:$Z$6,1,MATCH(CI74,'Rate &amp; Vol Update'!$E$6:$Z$6,1)+1),'Rate &amp; Vol Update'!$E$6:$Z$6,0))*(CI74-INDEX('Rate &amp; Vol Update'!$E$6:$Z$6,1,MATCH(CI74,'Rate &amp; Vol Update'!$E$6:$Z$6,1)))*(INDEX('Rate &amp; Vol Update'!$B$8:$B$127,MATCH(CD74,'Rate &amp; Vol Update'!$B$8:$B$127,1)+1)-CD74)+INDEX('Rate &amp; Vol Update'!$E$8:$Z$127,MATCH(INDEX('Rate &amp; Vol Update'!$B$8:$B$127,MATCH(CD74,'Rate &amp; Vol Update'!$B$8:$B$127,1)+1),'Rate &amp; Vol Update'!$B$8:$B$127,0),MATCH(INDEX('Rate &amp; Vol Update'!$E$6:$Z$6,1,MATCH(CI74,'Rate &amp; Vol Update'!$E$6:$Z$6,1)),'Rate &amp; Vol Update'!$E$6:$Z$6,0))*(INDEX('Rate &amp; Vol Update'!$E$6:$Z$6,1,MATCH(CI74,'Rate &amp; Vol Update'!$E$6:$Z$6,1)+1)-CI74)*(CD74-INDEX('Rate &amp; Vol Update'!$B$8:$B$127,MATCH(CD74,'Rate &amp; Vol Update'!$B$8:$B$127,1)))+INDEX('Rate &amp; Vol Update'!$E$8:$Z$127,MATCH(INDEX('Rate &amp; Vol Update'!$B$8:$B$127,MATCH(CD74,'Rate &amp; Vol Update'!$B$8:$B$127,1)+1),'Rate &amp; Vol Update'!$B$8:$B$127,0),MATCH(INDEX('Rate &amp; Vol Update'!$E$6:$Z$6,1,MATCH(CI74,'Rate &amp; Vol Update'!$E$6:$Z$6,1)+1),'Rate &amp; Vol Update'!$E$6:$Z$6,0))*(CI74-INDEX('Rate &amp; Vol Update'!$E$6:$Z$6,1,MATCH(CI74,'Rate &amp; Vol Update'!$E$6:$Z$6,1)))*(CD74-INDEX('Rate &amp; Vol Update'!$B$8:$B$127,MATCH(CD74,'Rate &amp; Vol Update'!$B$8:$B$127,1)))))*0.01%))</f>
        <v/>
      </c>
      <c r="CL74" s="5" t="str">
        <f>IF(CC74="","",1/((1+CJ74)^((CE74-'Rate &amp; Vol Update'!$C$2)/360)))</f>
        <v/>
      </c>
      <c r="CN74" s="15" t="str">
        <f>IF(CC74="","",IF(CD74&lt;'Rate &amp; Vol Update'!$C$2,MAX(0,CJ74-CI74)*(CF74/360)*CH74,(((IF('Adjustment Surface'!$C$2='Data Validation'!$A$2,CJ74,IF('Adjustment Surface'!$C$2='Data Validation'!$A$3,CI74,"Unknown Option Type"))-IF('Adjustment Surface'!$C$2='Data Validation'!$A$2,CI74,IF('Adjustment Surface'!$C$2='Data Validation'!$A$3,CJ74,"Unknown Option Type")))*(NORMDIST((IF('Adjustment Surface'!$C$2='Data Validation'!$A$2,CJ74,IF('Adjustment Surface'!$C$2='Data Validation'!$A$3,CI74,"Unknown Option Type"))-IF('Adjustment Surface'!$C$2='Data Validation'!$A$2,CI74,IF('Adjustment Surface'!$C$2='Data Validation'!$A$3,CJ74,"Unknown Option Type")))/(CK74*SQRT(CG74)),0,1,TRUE)))+((CK74*SQRT(CG74))*(NORMDIST((IF('Adjustment Surface'!$C$2='Data Validation'!$A$2,CJ74,IF('Adjustment Surface'!$C$2='Data Validation'!$A$3,CI74,"Unknown Option Type"))-IF('Adjustment Surface'!$C$2='Data Validation'!$A$2,CI74,IF('Adjustment Surface'!$C$2='Data Validation'!$A$3,CJ74,"Unknown Option Type")))/(CK74*SQRT(CG74)),0,1,FALSE))))*CL74*(CF74/360)*CH74))</f>
        <v/>
      </c>
      <c r="CO74" s="15" t="str">
        <f>IF(CC74="","",SUM(CN$4:CN74))</f>
        <v/>
      </c>
      <c r="CQ74" s="15" t="str">
        <f>IF(CC74="","",IF(CD74&lt;'Rate &amp; Vol Update'!$C$2,0,((((((IF('Adjustment Surface'!$C$2='Data Validation'!$A$2,CJ74,IF('Adjustment Surface'!$C$2='Data Validation'!$A$3,CI74,"Unknown Option Type"))-IF('Adjustment Surface'!$C$2='Data Validation'!$A$2,CI74,IF('Adjustment Surface'!$C$2='Data Validation'!$A$3,CJ74,"Unknown Option Type")))*(NORMDIST((IF('Adjustment Surface'!$C$2='Data Validation'!$A$2,CJ74,IF('Adjustment Surface'!$C$2='Data Validation'!$A$3,CI74,"Unknown Option Type"))-IF('Adjustment Surface'!$C$2='Data Validation'!$A$2,CI74,IF('Adjustment Surface'!$C$2='Data Validation'!$A$3,CJ74,"Unknown Option Type")))/((CK74+0.01%)*SQRT(CG74)),0,1,TRUE)))+(((CK74+0.01%)*SQRT(CG74))*(NORMDIST((IF('Adjustment Surface'!$C$2='Data Validation'!$A$2,CJ74,IF('Adjustment Surface'!$C$2='Data Validation'!$A$3,CI74,"Unknown Option Type"))-IF('Adjustment Surface'!$C$2='Data Validation'!$A$2,CI74,IF('Adjustment Surface'!$C$2='Data Validation'!$A$3,CJ74,"Unknown Option Type")))/((CK74+0.01%)*SQRT(CG74)),0,1,FALSE))))*CL74*(CF74/360))-(CN74/CH74))*CH74)*CL74))</f>
        <v/>
      </c>
      <c r="CR74" s="15" t="str">
        <f>IF(CC74="","",SUM(CQ$4:CQ74))</f>
        <v/>
      </c>
    </row>
    <row r="75" spans="7:96" x14ac:dyDescent="0.25">
      <c r="G75" s="28"/>
      <c r="J75" s="4" t="str">
        <f>IF(K74='Adjustment Surface'!C$8,"",K74)</f>
        <v/>
      </c>
      <c r="K75" s="4" t="str">
        <f>IF(J75="","",IF(J75&lt;'Adjustment Surface'!C$7,EDATE(J$5,COUNT(J$5:J75)),IF(J75='Adjustment Surface'!C$7,'Adjustment Surface'!C$8,'Adjustment Surface'!C$7)))</f>
        <v/>
      </c>
      <c r="L75" s="3" t="str">
        <f t="shared" si="6"/>
        <v/>
      </c>
      <c r="M75" s="5" t="str">
        <f>IF(I75="","",(K75-'Rate &amp; Vol Update'!$C$2)/360)</f>
        <v/>
      </c>
      <c r="N75" s="15" t="str">
        <f>IF(I75="","",IF('Adjustment Surface'!C$3='Data Validation'!$C$2,'Adjustment Surface'!C$4,IF(INDEX(Schedules!$E$3:$E$123,MATCH('Bachelier Model'!J75,Schedules!$B$3:$B$123,0))="",N74,INDEX(Schedules!$E$3:$E$123,MATCH('Bachelier Model'!J75,Schedules!$B$3:$B$123,0)))))</f>
        <v/>
      </c>
      <c r="O75" s="16" t="str">
        <f>IF(I75="","",IF('Adjustment Surface'!C$9='Data Validation'!$D$2,'Adjustment Surface'!C$10,IF(INDEX(Schedules!$H$3:$H$123,MATCH('Bachelier Model'!J75,Schedules!$B$3:$B$123,0))="",O74,INDEX(Schedules!$H$3:$H$123,MATCH('Bachelier Model'!J75,Schedules!$B$3:$B$123,0)))))</f>
        <v/>
      </c>
      <c r="P75" s="16" t="str" cm="1">
        <f t="array" ref="P75">IF(I75="","",FORECAST(J75,INDEX('Rate &amp; Vol Update'!$C$6:$C$127,MATCH(INDEX('Rate &amp; Vol Update'!$B$6:$B$127,MATCH(J75,'Rate &amp; Vol Update'!$B$6:$B$127,1)),'Rate &amp; Vol Update'!$B$6:$B$127,0)+IF('Adjustment Surface'!C$11='Data Validation'!$E$3,-1,0)):INDEX('Rate &amp; Vol Update'!$C$6:$C$127,MATCH(INDEX('Rate &amp; Vol Update'!$B$6:$B$127,MATCH(J75,'Rate &amp; Vol Update'!$B$6:$B$127,1)+1),'Rate &amp; Vol Update'!$B$6:$B$127,0)+IF('Adjustment Surface'!C$11='Data Validation'!$E$3,-1,0)),INDEX('Rate &amp; Vol Update'!$B$6:$B$127,MATCH(J75,'Rate &amp; Vol Update'!$B$6:$B$127,1)):INDEX('Rate &amp; Vol Update'!$B$6:$B$127,MATCH(J75,'Rate &amp; Vol Update'!$B$6:$B$127,1)+1))/100)</f>
        <v/>
      </c>
      <c r="Q75" s="16" t="str" cm="1">
        <f t="array" ref="Q75">IF(I75="","",IF(J75&lt;'Rate &amp; Vol Update'!$C$2,0.001%,(1/((INDEX('Rate &amp; Vol Update'!$E$6:$Z$6,1,MATCH(O75,'Rate &amp; Vol Update'!$E$6:$Z$6,1)+1)-INDEX('Rate &amp; Vol Update'!$E$6:$Z$6,1,MATCH(O75,'Rate &amp; Vol Update'!$E$6:$Z$6,1)))*(INDEX('Rate &amp; Vol Update'!$B$8:$B$127,MATCH(J75,'Rate &amp; Vol Update'!$B$8:$B$127,1)+1)-INDEX('Rate &amp; Vol Update'!$B$8:$B$127,MATCH(J75,'Rate &amp; Vol Update'!$B$8:$B$127,1))))*(INDEX('Rate &amp; Vol Update'!$E$8:$Z$127,MATCH(INDEX('Rate &amp; Vol Update'!$B$8:$B$127,MATCH(J75,'Rate &amp; Vol Update'!$B$8:$B$127,1)),'Rate &amp; Vol Update'!$B$8:$B$127,0),MATCH(INDEX('Rate &amp; Vol Update'!$E$6:$Z$6,1,MATCH(O75,'Rate &amp; Vol Update'!$E$6:$Z$6,1)),'Rate &amp; Vol Update'!$E$6:$Z$6,0))*(INDEX('Rate &amp; Vol Update'!$E$6:$Z$6,1,MATCH(O75,'Rate &amp; Vol Update'!$E$6:$Z$6,1)+1)-O75)*(INDEX('Rate &amp; Vol Update'!$B$8:$B$127,MATCH(J75,'Rate &amp; Vol Update'!$B$8:$B$127,1)+1)-J75)+INDEX('Rate &amp; Vol Update'!$E$8:$Z$127,MATCH(INDEX('Rate &amp; Vol Update'!$B$8:$B$127,MATCH(J75,'Rate &amp; Vol Update'!$B$8:$B$127,1)),'Rate &amp; Vol Update'!$B$8:$B$127,0),MATCH(INDEX('Rate &amp; Vol Update'!$E$6:$Z$6,1,MATCH(O75,'Rate &amp; Vol Update'!$E$6:$Z$6,1)+1),'Rate &amp; Vol Update'!$E$6:$Z$6,0))*(O75-INDEX('Rate &amp; Vol Update'!$E$6:$Z$6,1,MATCH(O75,'Rate &amp; Vol Update'!$E$6:$Z$6,1)))*(INDEX('Rate &amp; Vol Update'!$B$8:$B$127,MATCH(J75,'Rate &amp; Vol Update'!$B$8:$B$127,1)+1)-J75)+INDEX('Rate &amp; Vol Update'!$E$8:$Z$127,MATCH(INDEX('Rate &amp; Vol Update'!$B$8:$B$127,MATCH(J75,'Rate &amp; Vol Update'!$B$8:$B$127,1)+1),'Rate &amp; Vol Update'!$B$8:$B$127,0),MATCH(INDEX('Rate &amp; Vol Update'!$E$6:$Z$6,1,MATCH(O75,'Rate &amp; Vol Update'!$E$6:$Z$6,1)),'Rate &amp; Vol Update'!$E$6:$Z$6,0))*(INDEX('Rate &amp; Vol Update'!$E$6:$Z$6,1,MATCH(O75,'Rate &amp; Vol Update'!$E$6:$Z$6,1)+1)-O75)*(J75-INDEX('Rate &amp; Vol Update'!$B$8:$B$127,MATCH(J75,'Rate &amp; Vol Update'!$B$8:$B$127,1)))+INDEX('Rate &amp; Vol Update'!$E$8:$Z$127,MATCH(INDEX('Rate &amp; Vol Update'!$B$8:$B$127,MATCH(J75,'Rate &amp; Vol Update'!$B$8:$B$127,1)+1),'Rate &amp; Vol Update'!$B$8:$B$127,0),MATCH(INDEX('Rate &amp; Vol Update'!$E$6:$Z$6,1,MATCH(O75,'Rate &amp; Vol Update'!$E$6:$Z$6,1)+1),'Rate &amp; Vol Update'!$E$6:$Z$6,0))*(O75-INDEX('Rate &amp; Vol Update'!$E$6:$Z$6,1,MATCH(O75,'Rate &amp; Vol Update'!$E$6:$Z$6,1)))*(J75-INDEX('Rate &amp; Vol Update'!$B$8:$B$127,MATCH(J75,'Rate &amp; Vol Update'!$B$8:$B$127,1)))))*0.01%))</f>
        <v/>
      </c>
      <c r="R75" s="5" t="str">
        <f>IF(I75="","",1/((1+P75)^((K75-'Rate &amp; Vol Update'!$C$2)/360)))</f>
        <v/>
      </c>
      <c r="T75" s="15" t="str">
        <f>IF(I75="","",IF(J75&lt;'Rate &amp; Vol Update'!$C$2,MAX(0,P75-O75)*(L75/360)*N75,(((IF('Adjustment Surface'!C$2='Data Validation'!$A$2,P75,IF('Adjustment Surface'!C$2='Data Validation'!$A$3,O75,"Unknown Option Type"))-IF('Adjustment Surface'!C$2='Data Validation'!$A$2,O75,IF('Adjustment Surface'!C$2='Data Validation'!$A$3,P75,"Unknown Option Type")))*(NORMDIST((IF('Adjustment Surface'!C$2='Data Validation'!$A$2,P75,IF('Adjustment Surface'!C$2='Data Validation'!$A$3,O75,"Unknown Option Type"))-IF('Adjustment Surface'!C$2='Data Validation'!$A$2,O75,IF('Adjustment Surface'!C$2='Data Validation'!$A$3,P75,"Unknown Option Type")))/(Q75*SQRT(M75)),0,1,TRUE)))+((Q75*SQRT(M75))*(NORMDIST((IF('Adjustment Surface'!C$2='Data Validation'!$A$2,P75,IF('Adjustment Surface'!C$2='Data Validation'!$A$3,O75,"Unknown Option Type"))-IF('Adjustment Surface'!C$2='Data Validation'!$A$2,O75,IF('Adjustment Surface'!C$2='Data Validation'!$A$3,P75,"Unknown Option Type")))/(Q75*SQRT(M75)),0,1,FALSE))))*R75*(L75/360)*N75))</f>
        <v/>
      </c>
      <c r="U75" s="15" t="str">
        <f>IF(I75="","",SUM(T$4:T75))</f>
        <v/>
      </c>
      <c r="W75" s="15" t="str">
        <f>IF(I75="","",IF(J75&lt;'Rate &amp; Vol Update'!$C$2,0,((((((IF('Adjustment Surface'!C$2='Data Validation'!$A$2,P75,IF('Adjustment Surface'!C$2='Data Validation'!$A$3,O75,"Unknown Option Type"))-IF('Adjustment Surface'!C$2='Data Validation'!$A$2,O75,IF('Adjustment Surface'!C$2='Data Validation'!$A$3,P75,"Unknown Option Type")))*(NORMDIST((IF('Adjustment Surface'!C$2='Data Validation'!$A$2,P75,IF('Adjustment Surface'!C$2='Data Validation'!$A$3,O75,"Unknown Option Type"))-IF('Adjustment Surface'!C$2='Data Validation'!$A$2,O75,IF('Adjustment Surface'!C$2='Data Validation'!$A$3,P75,"Unknown Option Type")))/((Q75+0.01%)*SQRT(M75)),0,1,TRUE)))+(((Q75+0.01%)*SQRT(M75))*(NORMDIST((IF('Adjustment Surface'!C$2='Data Validation'!$A$2,P75,IF('Adjustment Surface'!C$2='Data Validation'!$A$3,O75,"Unknown Option Type"))-IF('Adjustment Surface'!C$2='Data Validation'!$A$2,O75,IF('Adjustment Surface'!C$2='Data Validation'!$A$3,P75,"Unknown Option Type")))/((Q75+0.01%)*SQRT(M75)),0,1,FALSE))))*R75*(L75/360))-(T75/N75))*N75)*R75))</f>
        <v/>
      </c>
      <c r="X75" s="15" t="str">
        <f>IF(I75="","",SUM(W$4:W75))</f>
        <v/>
      </c>
      <c r="Y75" s="15"/>
      <c r="Z75" s="20"/>
      <c r="AB75" s="4" t="str">
        <f>IF(AC74=MAX('Adjustment Surface'!$C$14:$F$14),"",AC74)</f>
        <v/>
      </c>
      <c r="AC75" s="4" t="str">
        <f>IF(AB75="","",IF(AB75&lt;EDATE('Adjustment Surface'!$C$6,DATEDIF('Adjustment Surface'!$C$6,MAX('Adjustment Surface'!$C$14:$F$14),"M")),EDATE(AB$5,COUNT(AB$5:AB75)),IF(AB75=EDATE('Adjustment Surface'!$C$6,DATEDIF('Adjustment Surface'!$C$6,MAX('Adjustment Surface'!$C$14:$F$14),"M")),MAX('Adjustment Surface'!$C$14:$F$14),EDATE('Adjustment Surface'!$C$6,DATEDIF('Adjustment Surface'!$C$6,MAX('Adjustment Surface'!$C$14:$F$14),"M")))))</f>
        <v/>
      </c>
      <c r="AD75" s="3" t="str">
        <f t="shared" si="7"/>
        <v/>
      </c>
      <c r="AE75" s="5" t="str">
        <f>IF(AA75="","",(AC75-'Rate &amp; Vol Update'!$C$2)/360)</f>
        <v/>
      </c>
      <c r="AF75" s="15" t="str">
        <f>IF(AA75="","",IF('Adjustment Surface'!$C$3='Data Validation'!$C$2,'Adjustment Surface'!$C$4,_xlfn.IFNA(IF(INDEX(Schedules!$E$3:$E$123,MATCH('Bachelier Model'!AB75,Schedules!$B$3:$B$123,0))="",AF74,INDEX(Schedules!$E$3:$E$123,MATCH('Bachelier Model'!AB75,Schedules!$B$3:$B$123,0))),AF74)))</f>
        <v/>
      </c>
      <c r="AG75" s="16" t="str">
        <f>IF(AA75="","",'Adjustment Surface'!B$15)</f>
        <v/>
      </c>
      <c r="AH75" s="16" t="str" cm="1">
        <f t="array" ref="AH75">IF(AA75="","",FORECAST(AB75,INDEX('Rate &amp; Vol Update'!$C$6:$C$127,MATCH(INDEX('Rate &amp; Vol Update'!$B$6:$B$127,MATCH(AB75,'Rate &amp; Vol Update'!$B$6:$B$127,1)),'Rate &amp; Vol Update'!$B$6:$B$127,0)+IF('Adjustment Surface'!$C$11='Data Validation'!$E$3,-1,0)):INDEX('Rate &amp; Vol Update'!$C$6:$C$127,MATCH(INDEX('Rate &amp; Vol Update'!$B$6:$B$127,MATCH(AB75,'Rate &amp; Vol Update'!$B$6:$B$127,1)+1),'Rate &amp; Vol Update'!$B$6:$B$127,0)+IF('Adjustment Surface'!$C$11='Data Validation'!$E$3,-1,0)),INDEX('Rate &amp; Vol Update'!$B$6:$B$127,MATCH(AB75,'Rate &amp; Vol Update'!$B$6:$B$127,1)):INDEX('Rate &amp; Vol Update'!$B$6:$B$127,MATCH(AB75,'Rate &amp; Vol Update'!$B$6:$B$127,1)+1))/100)</f>
        <v/>
      </c>
      <c r="AI75" s="16" t="str" cm="1">
        <f t="array" ref="AI75">IF(AA75="","",IF(AB75&lt;'Rate &amp; Vol Update'!$C$2,0.001%,(1/((INDEX('Rate &amp; Vol Update'!$E$6:$Z$6,1,MATCH(AG75,'Rate &amp; Vol Update'!$E$6:$Z$6,1)+1)-INDEX('Rate &amp; Vol Update'!$E$6:$Z$6,1,MATCH(AG75,'Rate &amp; Vol Update'!$E$6:$Z$6,1)))*(INDEX('Rate &amp; Vol Update'!$B$8:$B$127,MATCH(AB75,'Rate &amp; Vol Update'!$B$8:$B$127,1)+1)-INDEX('Rate &amp; Vol Update'!$B$8:$B$127,MATCH(AB75,'Rate &amp; Vol Update'!$B$8:$B$127,1))))*(INDEX('Rate &amp; Vol Update'!$E$8:$Z$127,MATCH(INDEX('Rate &amp; Vol Update'!$B$8:$B$127,MATCH(AB75,'Rate &amp; Vol Update'!$B$8:$B$127,1)),'Rate &amp; Vol Update'!$B$8:$B$127,0),MATCH(INDEX('Rate &amp; Vol Update'!$E$6:$Z$6,1,MATCH(AG75,'Rate &amp; Vol Update'!$E$6:$Z$6,1)),'Rate &amp; Vol Update'!$E$6:$Z$6,0))*(INDEX('Rate &amp; Vol Update'!$E$6:$Z$6,1,MATCH(AG75,'Rate &amp; Vol Update'!$E$6:$Z$6,1)+1)-AG75)*(INDEX('Rate &amp; Vol Update'!$B$8:$B$127,MATCH(AB75,'Rate &amp; Vol Update'!$B$8:$B$127,1)+1)-AB75)+INDEX('Rate &amp; Vol Update'!$E$8:$Z$127,MATCH(INDEX('Rate &amp; Vol Update'!$B$8:$B$127,MATCH(AB75,'Rate &amp; Vol Update'!$B$8:$B$127,1)),'Rate &amp; Vol Update'!$B$8:$B$127,0),MATCH(INDEX('Rate &amp; Vol Update'!$E$6:$Z$6,1,MATCH(AG75,'Rate &amp; Vol Update'!$E$6:$Z$6,1)+1),'Rate &amp; Vol Update'!$E$6:$Z$6,0))*(AG75-INDEX('Rate &amp; Vol Update'!$E$6:$Z$6,1,MATCH(AG75,'Rate &amp; Vol Update'!$E$6:$Z$6,1)))*(INDEX('Rate &amp; Vol Update'!$B$8:$B$127,MATCH(AB75,'Rate &amp; Vol Update'!$B$8:$B$127,1)+1)-AB75)+INDEX('Rate &amp; Vol Update'!$E$8:$Z$127,MATCH(INDEX('Rate &amp; Vol Update'!$B$8:$B$127,MATCH(AB75,'Rate &amp; Vol Update'!$B$8:$B$127,1)+1),'Rate &amp; Vol Update'!$B$8:$B$127,0),MATCH(INDEX('Rate &amp; Vol Update'!$E$6:$Z$6,1,MATCH(AG75,'Rate &amp; Vol Update'!$E$6:$Z$6,1)),'Rate &amp; Vol Update'!$E$6:$Z$6,0))*(INDEX('Rate &amp; Vol Update'!$E$6:$Z$6,1,MATCH(AG75,'Rate &amp; Vol Update'!$E$6:$Z$6,1)+1)-AG75)*(AB75-INDEX('Rate &amp; Vol Update'!$B$8:$B$127,MATCH(AB75,'Rate &amp; Vol Update'!$B$8:$B$127,1)))+INDEX('Rate &amp; Vol Update'!$E$8:$Z$127,MATCH(INDEX('Rate &amp; Vol Update'!$B$8:$B$127,MATCH(AB75,'Rate &amp; Vol Update'!$B$8:$B$127,1)+1),'Rate &amp; Vol Update'!$B$8:$B$127,0),MATCH(INDEX('Rate &amp; Vol Update'!$E$6:$Z$6,1,MATCH(AG75,'Rate &amp; Vol Update'!$E$6:$Z$6,1)+1),'Rate &amp; Vol Update'!$E$6:$Z$6,0))*(AG75-INDEX('Rate &amp; Vol Update'!$E$6:$Z$6,1,MATCH(AG75,'Rate &amp; Vol Update'!$E$6:$Z$6,1)))*(AB75-INDEX('Rate &amp; Vol Update'!$B$8:$B$127,MATCH(AB75,'Rate &amp; Vol Update'!$B$8:$B$127,1)))))*0.01%))</f>
        <v/>
      </c>
      <c r="AJ75" s="5" t="str">
        <f>IF(AA75="","",1/((1+AH75)^((AC75-'Rate &amp; Vol Update'!$C$2)/360)))</f>
        <v/>
      </c>
      <c r="AL75" s="15" t="str">
        <f>IF(AA75="","",IF(AB75&lt;'Rate &amp; Vol Update'!$C$2,MAX(0,AH75-AG75)*(AD75/360)*AF75,(((IF('Adjustment Surface'!$C$2='Data Validation'!$A$2,AH75,IF('Adjustment Surface'!$C$2='Data Validation'!$A$3,AG75,"Unknown Option Type"))-IF('Adjustment Surface'!$C$2='Data Validation'!$A$2,AG75,IF('Adjustment Surface'!$C$2='Data Validation'!$A$3,AH75,"Unknown Option Type")))*(NORMDIST((IF('Adjustment Surface'!$C$2='Data Validation'!$A$2,AH75,IF('Adjustment Surface'!$C$2='Data Validation'!$A$3,AG75,"Unknown Option Type"))-IF('Adjustment Surface'!$C$2='Data Validation'!$A$2,AG75,IF('Adjustment Surface'!$C$2='Data Validation'!$A$3,AH75,"Unknown Option Type")))/(AI75*SQRT(AE75)),0,1,TRUE)))+((AI75*SQRT(AE75))*(NORMDIST((IF('Adjustment Surface'!$C$2='Data Validation'!$A$2,AH75,IF('Adjustment Surface'!$C$2='Data Validation'!$A$3,AG75,"Unknown Option Type"))-IF('Adjustment Surface'!$C$2='Data Validation'!$A$2,AG75,IF('Adjustment Surface'!$C$2='Data Validation'!$A$3,AH75,"Unknown Option Type")))/(AI75*SQRT(AE75)),0,1,FALSE))))*AJ75*(AD75/360)*AF75))</f>
        <v/>
      </c>
      <c r="AM75" s="15" t="str">
        <f>IF(AA75="","",SUM(AL$4:AL75))</f>
        <v/>
      </c>
      <c r="AO75" s="15" t="str">
        <f>IF(AA75="","",IF(AB75&lt;'Rate &amp; Vol Update'!$C$2,0,((((((IF('Adjustment Surface'!$C$2='Data Validation'!$A$2,AH75,IF('Adjustment Surface'!$C$2='Data Validation'!$A$3,AG75,"Unknown Option Type"))-IF('Adjustment Surface'!$C$2='Data Validation'!$A$2,AG75,IF('Adjustment Surface'!$C$2='Data Validation'!$A$3,AH75,"Unknown Option Type")))*(NORMDIST((IF('Adjustment Surface'!$C$2='Data Validation'!$A$2,AH75,IF('Adjustment Surface'!$C$2='Data Validation'!$A$3,AG75,"Unknown Option Type"))-IF('Adjustment Surface'!$C$2='Data Validation'!$A$2,AG75,IF('Adjustment Surface'!$C$2='Data Validation'!$A$3,AH75,"Unknown Option Type")))/((AI75+0.01%)*SQRT(AE75)),0,1,TRUE)))+(((AI75+0.01%)*SQRT(AE75))*(NORMDIST((IF('Adjustment Surface'!$C$2='Data Validation'!$A$2,AH75,IF('Adjustment Surface'!$C$2='Data Validation'!$A$3,AG75,"Unknown Option Type"))-IF('Adjustment Surface'!$C$2='Data Validation'!$A$2,AG75,IF('Adjustment Surface'!$C$2='Data Validation'!$A$3,AH75,"Unknown Option Type")))/((AI75+0.01%)*SQRT(AE75)),0,1,FALSE))))*AJ75*(AD75/360))-(AL75/AF75))*AF75)*AJ75))</f>
        <v/>
      </c>
      <c r="AP75" s="15" t="str">
        <f>IF(AA75="","",SUM(AO$4:AO75))</f>
        <v/>
      </c>
      <c r="AQ75" s="15"/>
      <c r="AR75" s="20"/>
      <c r="AT75" s="4" t="str">
        <f>IF(AU74=MAX('Adjustment Surface'!$C$14:$F$14),"",AU74)</f>
        <v/>
      </c>
      <c r="AU75" s="4" t="str">
        <f>IF(AT75="","",IF(AT75&lt;EDATE('Adjustment Surface'!$C$6,DATEDIF('Adjustment Surface'!$C$6,MAX('Adjustment Surface'!$C$14:$F$14),"M")),EDATE(AT$5,COUNT(AT$5:AT75)),IF(AT75=EDATE('Adjustment Surface'!$C$6,DATEDIF('Adjustment Surface'!$C$6,MAX('Adjustment Surface'!$C$14:$F$14),"M")),MAX('Adjustment Surface'!$C$14:$F$14),EDATE('Adjustment Surface'!$C$6,DATEDIF('Adjustment Surface'!$C$6,MAX('Adjustment Surface'!$C$14:$F$14),"M")))))</f>
        <v/>
      </c>
      <c r="AV75" s="3" t="str">
        <f t="shared" si="8"/>
        <v/>
      </c>
      <c r="AW75" s="5" t="str">
        <f>IF(AS75="","",(AU75-'Rate &amp; Vol Update'!$C$2)/360)</f>
        <v/>
      </c>
      <c r="AX75" s="15" t="str">
        <f>IF(AS75="","",IF('Adjustment Surface'!$C$3='Data Validation'!$C$2,'Adjustment Surface'!$C$4,_xlfn.IFNA(IF(INDEX(Schedules!$E$3:$E$123,MATCH('Bachelier Model'!AT75,Schedules!$B$3:$B$123,0))="",AX74,INDEX(Schedules!$E$3:$E$123,MATCH('Bachelier Model'!AT75,Schedules!$B$3:$B$123,0))),AX74)))</f>
        <v/>
      </c>
      <c r="AY75" s="16" t="str">
        <f>IF(AS75="","",'Adjustment Surface'!B$16)</f>
        <v/>
      </c>
      <c r="AZ75" s="16" t="str" cm="1">
        <f t="array" ref="AZ75">IF(AS75="","",FORECAST(AT75,INDEX('Rate &amp; Vol Update'!$C$6:$C$127,MATCH(INDEX('Rate &amp; Vol Update'!$B$6:$B$127,MATCH(AT75,'Rate &amp; Vol Update'!$B$6:$B$127,1)),'Rate &amp; Vol Update'!$B$6:$B$127,0)+IF('Adjustment Surface'!$C$11='Data Validation'!$E$3,-1,0)):INDEX('Rate &amp; Vol Update'!$C$6:$C$127,MATCH(INDEX('Rate &amp; Vol Update'!$B$6:$B$127,MATCH(AT75,'Rate &amp; Vol Update'!$B$6:$B$127,1)+1),'Rate &amp; Vol Update'!$B$6:$B$127,0)+IF('Adjustment Surface'!$C$11='Data Validation'!$E$3,-1,0)),INDEX('Rate &amp; Vol Update'!$B$6:$B$127,MATCH(AT75,'Rate &amp; Vol Update'!$B$6:$B$127,1)):INDEX('Rate &amp; Vol Update'!$B$6:$B$127,MATCH(AT75,'Rate &amp; Vol Update'!$B$6:$B$127,1)+1))/100)</f>
        <v/>
      </c>
      <c r="BA75" s="16" t="str" cm="1">
        <f t="array" ref="BA75">IF(AS75="","",IF(AT75&lt;'Rate &amp; Vol Update'!$C$2,0.001%,(1/((INDEX('Rate &amp; Vol Update'!$E$6:$Z$6,1,MATCH(AY75,'Rate &amp; Vol Update'!$E$6:$Z$6,1)+1)-INDEX('Rate &amp; Vol Update'!$E$6:$Z$6,1,MATCH(AY75,'Rate &amp; Vol Update'!$E$6:$Z$6,1)))*(INDEX('Rate &amp; Vol Update'!$B$8:$B$127,MATCH(AT75,'Rate &amp; Vol Update'!$B$8:$B$127,1)+1)-INDEX('Rate &amp; Vol Update'!$B$8:$B$127,MATCH(AT75,'Rate &amp; Vol Update'!$B$8:$B$127,1))))*(INDEX('Rate &amp; Vol Update'!$E$8:$Z$127,MATCH(INDEX('Rate &amp; Vol Update'!$B$8:$B$127,MATCH(AT75,'Rate &amp; Vol Update'!$B$8:$B$127,1)),'Rate &amp; Vol Update'!$B$8:$B$127,0),MATCH(INDEX('Rate &amp; Vol Update'!$E$6:$Z$6,1,MATCH(AY75,'Rate &amp; Vol Update'!$E$6:$Z$6,1)),'Rate &amp; Vol Update'!$E$6:$Z$6,0))*(INDEX('Rate &amp; Vol Update'!$E$6:$Z$6,1,MATCH(AY75,'Rate &amp; Vol Update'!$E$6:$Z$6,1)+1)-AY75)*(INDEX('Rate &amp; Vol Update'!$B$8:$B$127,MATCH(AT75,'Rate &amp; Vol Update'!$B$8:$B$127,1)+1)-AT75)+INDEX('Rate &amp; Vol Update'!$E$8:$Z$127,MATCH(INDEX('Rate &amp; Vol Update'!$B$8:$B$127,MATCH(AT75,'Rate &amp; Vol Update'!$B$8:$B$127,1)),'Rate &amp; Vol Update'!$B$8:$B$127,0),MATCH(INDEX('Rate &amp; Vol Update'!$E$6:$Z$6,1,MATCH(AY75,'Rate &amp; Vol Update'!$E$6:$Z$6,1)+1),'Rate &amp; Vol Update'!$E$6:$Z$6,0))*(AY75-INDEX('Rate &amp; Vol Update'!$E$6:$Z$6,1,MATCH(AY75,'Rate &amp; Vol Update'!$E$6:$Z$6,1)))*(INDEX('Rate &amp; Vol Update'!$B$8:$B$127,MATCH(AT75,'Rate &amp; Vol Update'!$B$8:$B$127,1)+1)-AT75)+INDEX('Rate &amp; Vol Update'!$E$8:$Z$127,MATCH(INDEX('Rate &amp; Vol Update'!$B$8:$B$127,MATCH(AT75,'Rate &amp; Vol Update'!$B$8:$B$127,1)+1),'Rate &amp; Vol Update'!$B$8:$B$127,0),MATCH(INDEX('Rate &amp; Vol Update'!$E$6:$Z$6,1,MATCH(AY75,'Rate &amp; Vol Update'!$E$6:$Z$6,1)),'Rate &amp; Vol Update'!$E$6:$Z$6,0))*(INDEX('Rate &amp; Vol Update'!$E$6:$Z$6,1,MATCH(AY75,'Rate &amp; Vol Update'!$E$6:$Z$6,1)+1)-AY75)*(AT75-INDEX('Rate &amp; Vol Update'!$B$8:$B$127,MATCH(AT75,'Rate &amp; Vol Update'!$B$8:$B$127,1)))+INDEX('Rate &amp; Vol Update'!$E$8:$Z$127,MATCH(INDEX('Rate &amp; Vol Update'!$B$8:$B$127,MATCH(AT75,'Rate &amp; Vol Update'!$B$8:$B$127,1)+1),'Rate &amp; Vol Update'!$B$8:$B$127,0),MATCH(INDEX('Rate &amp; Vol Update'!$E$6:$Z$6,1,MATCH(AY75,'Rate &amp; Vol Update'!$E$6:$Z$6,1)+1),'Rate &amp; Vol Update'!$E$6:$Z$6,0))*(AY75-INDEX('Rate &amp; Vol Update'!$E$6:$Z$6,1,MATCH(AY75,'Rate &amp; Vol Update'!$E$6:$Z$6,1)))*(AT75-INDEX('Rate &amp; Vol Update'!$B$8:$B$127,MATCH(AT75,'Rate &amp; Vol Update'!$B$8:$B$127,1)))))*0.01%))</f>
        <v/>
      </c>
      <c r="BB75" s="5" t="str">
        <f>IF(AS75="","",1/((1+AZ75)^((AU75-'Rate &amp; Vol Update'!$C$2)/360)))</f>
        <v/>
      </c>
      <c r="BD75" s="15" t="str">
        <f>IF(AS75="","",IF(AT75&lt;'Rate &amp; Vol Update'!$C$2,MAX(0,AZ75-AY75)*(AV75/360)*AX75,(((IF('Adjustment Surface'!$C$2='Data Validation'!$A$2,AZ75,IF('Adjustment Surface'!$C$2='Data Validation'!$A$3,AY75,"Unknown Option Type"))-IF('Adjustment Surface'!$C$2='Data Validation'!$A$2,AY75,IF('Adjustment Surface'!$C$2='Data Validation'!$A$3,AZ75,"Unknown Option Type")))*(NORMDIST((IF('Adjustment Surface'!$C$2='Data Validation'!$A$2,AZ75,IF('Adjustment Surface'!$C$2='Data Validation'!$A$3,AY75,"Unknown Option Type"))-IF('Adjustment Surface'!$C$2='Data Validation'!$A$2,AY75,IF('Adjustment Surface'!$C$2='Data Validation'!$A$3,AZ75,"Unknown Option Type")))/(BA75*SQRT(AW75)),0,1,TRUE)))+((BA75*SQRT(AW75))*(NORMDIST((IF('Adjustment Surface'!$C$2='Data Validation'!$A$2,AZ75,IF('Adjustment Surface'!$C$2='Data Validation'!$A$3,AY75,"Unknown Option Type"))-IF('Adjustment Surface'!$C$2='Data Validation'!$A$2,AY75,IF('Adjustment Surface'!$C$2='Data Validation'!$A$3,AZ75,"Unknown Option Type")))/(BA75*SQRT(AW75)),0,1,FALSE))))*BB75*(AV75/360)*AX75))</f>
        <v/>
      </c>
      <c r="BE75" s="15" t="str">
        <f>IF(AS75="","",SUM(BD$4:BD75))</f>
        <v/>
      </c>
      <c r="BG75" s="15" t="str">
        <f>IF(AS75="","",IF(AT75&lt;'Rate &amp; Vol Update'!$C$2,0,((((((IF('Adjustment Surface'!$C$2='Data Validation'!$A$2,AZ75,IF('Adjustment Surface'!$C$2='Data Validation'!$A$3,AY75,"Unknown Option Type"))-IF('Adjustment Surface'!$C$2='Data Validation'!$A$2,AY75,IF('Adjustment Surface'!$C$2='Data Validation'!$A$3,AZ75,"Unknown Option Type")))*(NORMDIST((IF('Adjustment Surface'!$C$2='Data Validation'!$A$2,AZ75,IF('Adjustment Surface'!$C$2='Data Validation'!$A$3,AY75,"Unknown Option Type"))-IF('Adjustment Surface'!$C$2='Data Validation'!$A$2,AY75,IF('Adjustment Surface'!$C$2='Data Validation'!$A$3,AZ75,"Unknown Option Type")))/((BA75+0.01%)*SQRT(AW75)),0,1,TRUE)))+(((BA75+0.01%)*SQRT(AW75))*(NORMDIST((IF('Adjustment Surface'!$C$2='Data Validation'!$A$2,AZ75,IF('Adjustment Surface'!$C$2='Data Validation'!$A$3,AY75,"Unknown Option Type"))-IF('Adjustment Surface'!$C$2='Data Validation'!$A$2,AY75,IF('Adjustment Surface'!$C$2='Data Validation'!$A$3,AZ75,"Unknown Option Type")))/((BA75+0.01%)*SQRT(AW75)),0,1,FALSE))))*BB75*(AV75/360))-(BD75/AX75))*AX75)*BB75))</f>
        <v/>
      </c>
      <c r="BH75" s="15" t="str">
        <f>IF(AS75="","",SUM(BG$4:BG75))</f>
        <v/>
      </c>
      <c r="BI75" s="15"/>
      <c r="BJ75" s="20"/>
      <c r="BL75" s="4" t="str">
        <f>IF(BM74=MAX('Adjustment Surface'!$C$14:$F$14),"",BM74)</f>
        <v/>
      </c>
      <c r="BM75" s="4" t="str">
        <f>IF(BL75="","",IF(BL75&lt;EDATE('Adjustment Surface'!$C$6,DATEDIF('Adjustment Surface'!$C$6,MAX('Adjustment Surface'!$C$14:$F$14),"M")),EDATE(BL$5,COUNT(BL$5:BL75)),IF(BL75=EDATE('Adjustment Surface'!$C$6,DATEDIF('Adjustment Surface'!$C$6,MAX('Adjustment Surface'!$C$14:$F$14),"M")),MAX('Adjustment Surface'!$C$14:$F$14),EDATE('Adjustment Surface'!$C$6,DATEDIF('Adjustment Surface'!$C$6,MAX('Adjustment Surface'!$C$14:$F$14),"M")))))</f>
        <v/>
      </c>
      <c r="BN75" s="3" t="str">
        <f t="shared" si="9"/>
        <v/>
      </c>
      <c r="BO75" s="5" t="str">
        <f>IF(BK75="","",(BM75-'Rate &amp; Vol Update'!$C$2)/360)</f>
        <v/>
      </c>
      <c r="BP75" s="15" t="str">
        <f>IF(BK75="","",IF('Adjustment Surface'!$C$3='Data Validation'!$C$2,'Adjustment Surface'!$C$4,_xlfn.IFNA(IF(INDEX(Schedules!$E$3:$E$123,MATCH('Bachelier Model'!BL75,Schedules!$B$3:$B$123,0))="",BP74,INDEX(Schedules!$E$3:$E$123,MATCH('Bachelier Model'!BL75,Schedules!$B$3:$B$123,0))),BP74)))</f>
        <v/>
      </c>
      <c r="BQ75" s="16" t="str">
        <f>IF(BK75="","",'Adjustment Surface'!B$17)</f>
        <v/>
      </c>
      <c r="BR75" s="16" t="str" cm="1">
        <f t="array" ref="BR75">IF(BK75="","",FORECAST(BL75,INDEX('Rate &amp; Vol Update'!$C$6:$C$127,MATCH(INDEX('Rate &amp; Vol Update'!$B$6:$B$127,MATCH(BL75,'Rate &amp; Vol Update'!$B$6:$B$127,1)),'Rate &amp; Vol Update'!$B$6:$B$127,0)+IF('Adjustment Surface'!$C$11='Data Validation'!$E$3,-1,0)):INDEX('Rate &amp; Vol Update'!$C$6:$C$127,MATCH(INDEX('Rate &amp; Vol Update'!$B$6:$B$127,MATCH(BL75,'Rate &amp; Vol Update'!$B$6:$B$127,1)+1),'Rate &amp; Vol Update'!$B$6:$B$127,0)+IF('Adjustment Surface'!$C$11='Data Validation'!$E$3,-1,0)),INDEX('Rate &amp; Vol Update'!$B$6:$B$127,MATCH(BL75,'Rate &amp; Vol Update'!$B$6:$B$127,1)):INDEX('Rate &amp; Vol Update'!$B$6:$B$127,MATCH(BL75,'Rate &amp; Vol Update'!$B$6:$B$127,1)+1))/100)</f>
        <v/>
      </c>
      <c r="BS75" s="16" t="str" cm="1">
        <f t="array" ref="BS75">IF(BK75="","",IF(BL75&lt;'Rate &amp; Vol Update'!$C$2,0.001%,(1/((INDEX('Rate &amp; Vol Update'!$E$6:$Z$6,1,MATCH(BQ75,'Rate &amp; Vol Update'!$E$6:$Z$6,1)+1)-INDEX('Rate &amp; Vol Update'!$E$6:$Z$6,1,MATCH(BQ75,'Rate &amp; Vol Update'!$E$6:$Z$6,1)))*(INDEX('Rate &amp; Vol Update'!$B$8:$B$127,MATCH(BL75,'Rate &amp; Vol Update'!$B$8:$B$127,1)+1)-INDEX('Rate &amp; Vol Update'!$B$8:$B$127,MATCH(BL75,'Rate &amp; Vol Update'!$B$8:$B$127,1))))*(INDEX('Rate &amp; Vol Update'!$E$8:$Z$127,MATCH(INDEX('Rate &amp; Vol Update'!$B$8:$B$127,MATCH(BL75,'Rate &amp; Vol Update'!$B$8:$B$127,1)),'Rate &amp; Vol Update'!$B$8:$B$127,0),MATCH(INDEX('Rate &amp; Vol Update'!$E$6:$Z$6,1,MATCH(BQ75,'Rate &amp; Vol Update'!$E$6:$Z$6,1)),'Rate &amp; Vol Update'!$E$6:$Z$6,0))*(INDEX('Rate &amp; Vol Update'!$E$6:$Z$6,1,MATCH(BQ75,'Rate &amp; Vol Update'!$E$6:$Z$6,1)+1)-BQ75)*(INDEX('Rate &amp; Vol Update'!$B$8:$B$127,MATCH(BL75,'Rate &amp; Vol Update'!$B$8:$B$127,1)+1)-BL75)+INDEX('Rate &amp; Vol Update'!$E$8:$Z$127,MATCH(INDEX('Rate &amp; Vol Update'!$B$8:$B$127,MATCH(BL75,'Rate &amp; Vol Update'!$B$8:$B$127,1)),'Rate &amp; Vol Update'!$B$8:$B$127,0),MATCH(INDEX('Rate &amp; Vol Update'!$E$6:$Z$6,1,MATCH(BQ75,'Rate &amp; Vol Update'!$E$6:$Z$6,1)+1),'Rate &amp; Vol Update'!$E$6:$Z$6,0))*(BQ75-INDEX('Rate &amp; Vol Update'!$E$6:$Z$6,1,MATCH(BQ75,'Rate &amp; Vol Update'!$E$6:$Z$6,1)))*(INDEX('Rate &amp; Vol Update'!$B$8:$B$127,MATCH(BL75,'Rate &amp; Vol Update'!$B$8:$B$127,1)+1)-BL75)+INDEX('Rate &amp; Vol Update'!$E$8:$Z$127,MATCH(INDEX('Rate &amp; Vol Update'!$B$8:$B$127,MATCH(BL75,'Rate &amp; Vol Update'!$B$8:$B$127,1)+1),'Rate &amp; Vol Update'!$B$8:$B$127,0),MATCH(INDEX('Rate &amp; Vol Update'!$E$6:$Z$6,1,MATCH(BQ75,'Rate &amp; Vol Update'!$E$6:$Z$6,1)),'Rate &amp; Vol Update'!$E$6:$Z$6,0))*(INDEX('Rate &amp; Vol Update'!$E$6:$Z$6,1,MATCH(BQ75,'Rate &amp; Vol Update'!$E$6:$Z$6,1)+1)-BQ75)*(BL75-INDEX('Rate &amp; Vol Update'!$B$8:$B$127,MATCH(BL75,'Rate &amp; Vol Update'!$B$8:$B$127,1)))+INDEX('Rate &amp; Vol Update'!$E$8:$Z$127,MATCH(INDEX('Rate &amp; Vol Update'!$B$8:$B$127,MATCH(BL75,'Rate &amp; Vol Update'!$B$8:$B$127,1)+1),'Rate &amp; Vol Update'!$B$8:$B$127,0),MATCH(INDEX('Rate &amp; Vol Update'!$E$6:$Z$6,1,MATCH(BQ75,'Rate &amp; Vol Update'!$E$6:$Z$6,1)+1),'Rate &amp; Vol Update'!$E$6:$Z$6,0))*(BQ75-INDEX('Rate &amp; Vol Update'!$E$6:$Z$6,1,MATCH(BQ75,'Rate &amp; Vol Update'!$E$6:$Z$6,1)))*(BL75-INDEX('Rate &amp; Vol Update'!$B$8:$B$127,MATCH(BL75,'Rate &amp; Vol Update'!$B$8:$B$127,1)))))*0.01%))</f>
        <v/>
      </c>
      <c r="BT75" s="5" t="str">
        <f>IF(BK75="","",1/((1+BR75)^((BM75-'Rate &amp; Vol Update'!$C$2)/360)))</f>
        <v/>
      </c>
      <c r="BV75" s="15" t="str">
        <f>IF(BK75="","",IF(BL75&lt;'Rate &amp; Vol Update'!$C$2,MAX(0,BR75-BQ75)*(BN75/360)*BP75,(((IF('Adjustment Surface'!$C$2='Data Validation'!$A$2,BR75,IF('Adjustment Surface'!$C$2='Data Validation'!$A$3,BQ75,"Unknown Option Type"))-IF('Adjustment Surface'!$C$2='Data Validation'!$A$2,BQ75,IF('Adjustment Surface'!$C$2='Data Validation'!$A$3,BR75,"Unknown Option Type")))*(NORMDIST((IF('Adjustment Surface'!$C$2='Data Validation'!$A$2,BR75,IF('Adjustment Surface'!$C$2='Data Validation'!$A$3,BQ75,"Unknown Option Type"))-IF('Adjustment Surface'!$C$2='Data Validation'!$A$2,BQ75,IF('Adjustment Surface'!$C$2='Data Validation'!$A$3,BR75,"Unknown Option Type")))/(BS75*SQRT(BO75)),0,1,TRUE)))+((BS75*SQRT(BO75))*(NORMDIST((IF('Adjustment Surface'!$C$2='Data Validation'!$A$2,BR75,IF('Adjustment Surface'!$C$2='Data Validation'!$A$3,BQ75,"Unknown Option Type"))-IF('Adjustment Surface'!$C$2='Data Validation'!$A$2,BQ75,IF('Adjustment Surface'!$C$2='Data Validation'!$A$3,BR75,"Unknown Option Type")))/(BS75*SQRT(BO75)),0,1,FALSE))))*BT75*(BN75/360)*BP75))</f>
        <v/>
      </c>
      <c r="BW75" s="15" t="str">
        <f>IF(BK75="","",SUM(BV$4:BV75))</f>
        <v/>
      </c>
      <c r="BY75" s="15" t="str">
        <f>IF(BK75="","",IF(BL75&lt;'Rate &amp; Vol Update'!$C$2,0,((((((IF('Adjustment Surface'!$C$2='Data Validation'!$A$2,BR75,IF('Adjustment Surface'!$C$2='Data Validation'!$A$3,BQ75,"Unknown Option Type"))-IF('Adjustment Surface'!$C$2='Data Validation'!$A$2,BQ75,IF('Adjustment Surface'!$C$2='Data Validation'!$A$3,BR75,"Unknown Option Type")))*(NORMDIST((IF('Adjustment Surface'!$C$2='Data Validation'!$A$2,BR75,IF('Adjustment Surface'!$C$2='Data Validation'!$A$3,BQ75,"Unknown Option Type"))-IF('Adjustment Surface'!$C$2='Data Validation'!$A$2,BQ75,IF('Adjustment Surface'!$C$2='Data Validation'!$A$3,BR75,"Unknown Option Type")))/((BS75+0.01%)*SQRT(BO75)),0,1,TRUE)))+(((BS75+0.01%)*SQRT(BO75))*(NORMDIST((IF('Adjustment Surface'!$C$2='Data Validation'!$A$2,BR75,IF('Adjustment Surface'!$C$2='Data Validation'!$A$3,BQ75,"Unknown Option Type"))-IF('Adjustment Surface'!$C$2='Data Validation'!$A$2,BQ75,IF('Adjustment Surface'!$C$2='Data Validation'!$A$3,BR75,"Unknown Option Type")))/((BS75+0.01%)*SQRT(BO75)),0,1,FALSE))))*BT75*(BN75/360))-(BV75/BP75))*BP75)*BT75))</f>
        <v/>
      </c>
      <c r="BZ75" s="15" t="str">
        <f>IF(BK75="","",SUM(BY$4:BY75))</f>
        <v/>
      </c>
      <c r="CA75" s="15"/>
      <c r="CB75" s="20"/>
      <c r="CD75" s="4" t="str">
        <f>IF(CE74=MAX('Adjustment Surface'!$C$14:$F$14),"",CE74)</f>
        <v/>
      </c>
      <c r="CE75" s="4" t="str">
        <f>IF(CD75="","",IF(CD75&lt;EDATE('Adjustment Surface'!$C$6,DATEDIF('Adjustment Surface'!$C$6,MAX('Adjustment Surface'!$C$14:$F$14),"M")),EDATE(CD$5,COUNT(CD$5:CD75)),IF(CD75=EDATE('Adjustment Surface'!$C$6,DATEDIF('Adjustment Surface'!$C$6,MAX('Adjustment Surface'!$C$14:$F$14),"M")),MAX('Adjustment Surface'!$C$14:$F$14),EDATE('Adjustment Surface'!$C$6,DATEDIF('Adjustment Surface'!$C$6,MAX('Adjustment Surface'!$C$14:$F$14),"M")))))</f>
        <v/>
      </c>
      <c r="CF75" s="3" t="str">
        <f t="shared" si="10"/>
        <v/>
      </c>
      <c r="CG75" s="5" t="str">
        <f>IF(CC75="","",(CE75-'Rate &amp; Vol Update'!$C$2)/360)</f>
        <v/>
      </c>
      <c r="CH75" s="15" t="str">
        <f>IF(CC75="","",IF('Adjustment Surface'!$C$3='Data Validation'!$C$2,'Adjustment Surface'!$C$4,_xlfn.IFNA(IF(INDEX(Schedules!$E$3:$E$123,MATCH('Bachelier Model'!CD75,Schedules!$B$3:$B$123,0))="",CH74,INDEX(Schedules!$E$3:$E$123,MATCH('Bachelier Model'!CD75,Schedules!$B$3:$B$123,0))),CH74)))</f>
        <v/>
      </c>
      <c r="CI75" s="16" t="str">
        <f>IF(CC75="","",'Adjustment Surface'!B$18)</f>
        <v/>
      </c>
      <c r="CJ75" s="16" t="str" cm="1">
        <f t="array" ref="CJ75">IF(CC75="","",FORECAST(CD75,INDEX('Rate &amp; Vol Update'!$C$6:$C$127,MATCH(INDEX('Rate &amp; Vol Update'!$B$6:$B$127,MATCH(CD75,'Rate &amp; Vol Update'!$B$6:$B$127,1)),'Rate &amp; Vol Update'!$B$6:$B$127,0)+IF('Adjustment Surface'!$C$11='Data Validation'!$E$3,-1,0)):INDEX('Rate &amp; Vol Update'!$C$6:$C$127,MATCH(INDEX('Rate &amp; Vol Update'!$B$6:$B$127,MATCH(CD75,'Rate &amp; Vol Update'!$B$6:$B$127,1)+1),'Rate &amp; Vol Update'!$B$6:$B$127,0)+IF('Adjustment Surface'!$C$11='Data Validation'!$E$3,-1,0)),INDEX('Rate &amp; Vol Update'!$B$6:$B$127,MATCH(CD75,'Rate &amp; Vol Update'!$B$6:$B$127,1)):INDEX('Rate &amp; Vol Update'!$B$6:$B$127,MATCH(CD75,'Rate &amp; Vol Update'!$B$6:$B$127,1)+1))/100)</f>
        <v/>
      </c>
      <c r="CK75" s="16" t="str" cm="1">
        <f t="array" ref="CK75">IF(CC75="","",IF(CD75&lt;'Rate &amp; Vol Update'!$C$2,0.001%,(1/((INDEX('Rate &amp; Vol Update'!$E$6:$Z$6,1,MATCH(CI75,'Rate &amp; Vol Update'!$E$6:$Z$6,1)+1)-INDEX('Rate &amp; Vol Update'!$E$6:$Z$6,1,MATCH(CI75,'Rate &amp; Vol Update'!$E$6:$Z$6,1)))*(INDEX('Rate &amp; Vol Update'!$B$8:$B$127,MATCH(CD75,'Rate &amp; Vol Update'!$B$8:$B$127,1)+1)-INDEX('Rate &amp; Vol Update'!$B$8:$B$127,MATCH(CD75,'Rate &amp; Vol Update'!$B$8:$B$127,1))))*(INDEX('Rate &amp; Vol Update'!$E$8:$Z$127,MATCH(INDEX('Rate &amp; Vol Update'!$B$8:$B$127,MATCH(CD75,'Rate &amp; Vol Update'!$B$8:$B$127,1)),'Rate &amp; Vol Update'!$B$8:$B$127,0),MATCH(INDEX('Rate &amp; Vol Update'!$E$6:$Z$6,1,MATCH(CI75,'Rate &amp; Vol Update'!$E$6:$Z$6,1)),'Rate &amp; Vol Update'!$E$6:$Z$6,0))*(INDEX('Rate &amp; Vol Update'!$E$6:$Z$6,1,MATCH(CI75,'Rate &amp; Vol Update'!$E$6:$Z$6,1)+1)-CI75)*(INDEX('Rate &amp; Vol Update'!$B$8:$B$127,MATCH(CD75,'Rate &amp; Vol Update'!$B$8:$B$127,1)+1)-CD75)+INDEX('Rate &amp; Vol Update'!$E$8:$Z$127,MATCH(INDEX('Rate &amp; Vol Update'!$B$8:$B$127,MATCH(CD75,'Rate &amp; Vol Update'!$B$8:$B$127,1)),'Rate &amp; Vol Update'!$B$8:$B$127,0),MATCH(INDEX('Rate &amp; Vol Update'!$E$6:$Z$6,1,MATCH(CI75,'Rate &amp; Vol Update'!$E$6:$Z$6,1)+1),'Rate &amp; Vol Update'!$E$6:$Z$6,0))*(CI75-INDEX('Rate &amp; Vol Update'!$E$6:$Z$6,1,MATCH(CI75,'Rate &amp; Vol Update'!$E$6:$Z$6,1)))*(INDEX('Rate &amp; Vol Update'!$B$8:$B$127,MATCH(CD75,'Rate &amp; Vol Update'!$B$8:$B$127,1)+1)-CD75)+INDEX('Rate &amp; Vol Update'!$E$8:$Z$127,MATCH(INDEX('Rate &amp; Vol Update'!$B$8:$B$127,MATCH(CD75,'Rate &amp; Vol Update'!$B$8:$B$127,1)+1),'Rate &amp; Vol Update'!$B$8:$B$127,0),MATCH(INDEX('Rate &amp; Vol Update'!$E$6:$Z$6,1,MATCH(CI75,'Rate &amp; Vol Update'!$E$6:$Z$6,1)),'Rate &amp; Vol Update'!$E$6:$Z$6,0))*(INDEX('Rate &amp; Vol Update'!$E$6:$Z$6,1,MATCH(CI75,'Rate &amp; Vol Update'!$E$6:$Z$6,1)+1)-CI75)*(CD75-INDEX('Rate &amp; Vol Update'!$B$8:$B$127,MATCH(CD75,'Rate &amp; Vol Update'!$B$8:$B$127,1)))+INDEX('Rate &amp; Vol Update'!$E$8:$Z$127,MATCH(INDEX('Rate &amp; Vol Update'!$B$8:$B$127,MATCH(CD75,'Rate &amp; Vol Update'!$B$8:$B$127,1)+1),'Rate &amp; Vol Update'!$B$8:$B$127,0),MATCH(INDEX('Rate &amp; Vol Update'!$E$6:$Z$6,1,MATCH(CI75,'Rate &amp; Vol Update'!$E$6:$Z$6,1)+1),'Rate &amp; Vol Update'!$E$6:$Z$6,0))*(CI75-INDEX('Rate &amp; Vol Update'!$E$6:$Z$6,1,MATCH(CI75,'Rate &amp; Vol Update'!$E$6:$Z$6,1)))*(CD75-INDEX('Rate &amp; Vol Update'!$B$8:$B$127,MATCH(CD75,'Rate &amp; Vol Update'!$B$8:$B$127,1)))))*0.01%))</f>
        <v/>
      </c>
      <c r="CL75" s="5" t="str">
        <f>IF(CC75="","",1/((1+CJ75)^((CE75-'Rate &amp; Vol Update'!$C$2)/360)))</f>
        <v/>
      </c>
      <c r="CN75" s="15" t="str">
        <f>IF(CC75="","",IF(CD75&lt;'Rate &amp; Vol Update'!$C$2,MAX(0,CJ75-CI75)*(CF75/360)*CH75,(((IF('Adjustment Surface'!$C$2='Data Validation'!$A$2,CJ75,IF('Adjustment Surface'!$C$2='Data Validation'!$A$3,CI75,"Unknown Option Type"))-IF('Adjustment Surface'!$C$2='Data Validation'!$A$2,CI75,IF('Adjustment Surface'!$C$2='Data Validation'!$A$3,CJ75,"Unknown Option Type")))*(NORMDIST((IF('Adjustment Surface'!$C$2='Data Validation'!$A$2,CJ75,IF('Adjustment Surface'!$C$2='Data Validation'!$A$3,CI75,"Unknown Option Type"))-IF('Adjustment Surface'!$C$2='Data Validation'!$A$2,CI75,IF('Adjustment Surface'!$C$2='Data Validation'!$A$3,CJ75,"Unknown Option Type")))/(CK75*SQRT(CG75)),0,1,TRUE)))+((CK75*SQRT(CG75))*(NORMDIST((IF('Adjustment Surface'!$C$2='Data Validation'!$A$2,CJ75,IF('Adjustment Surface'!$C$2='Data Validation'!$A$3,CI75,"Unknown Option Type"))-IF('Adjustment Surface'!$C$2='Data Validation'!$A$2,CI75,IF('Adjustment Surface'!$C$2='Data Validation'!$A$3,CJ75,"Unknown Option Type")))/(CK75*SQRT(CG75)),0,1,FALSE))))*CL75*(CF75/360)*CH75))</f>
        <v/>
      </c>
      <c r="CO75" s="15" t="str">
        <f>IF(CC75="","",SUM(CN$4:CN75))</f>
        <v/>
      </c>
      <c r="CQ75" s="15" t="str">
        <f>IF(CC75="","",IF(CD75&lt;'Rate &amp; Vol Update'!$C$2,0,((((((IF('Adjustment Surface'!$C$2='Data Validation'!$A$2,CJ75,IF('Adjustment Surface'!$C$2='Data Validation'!$A$3,CI75,"Unknown Option Type"))-IF('Adjustment Surface'!$C$2='Data Validation'!$A$2,CI75,IF('Adjustment Surface'!$C$2='Data Validation'!$A$3,CJ75,"Unknown Option Type")))*(NORMDIST((IF('Adjustment Surface'!$C$2='Data Validation'!$A$2,CJ75,IF('Adjustment Surface'!$C$2='Data Validation'!$A$3,CI75,"Unknown Option Type"))-IF('Adjustment Surface'!$C$2='Data Validation'!$A$2,CI75,IF('Adjustment Surface'!$C$2='Data Validation'!$A$3,CJ75,"Unknown Option Type")))/((CK75+0.01%)*SQRT(CG75)),0,1,TRUE)))+(((CK75+0.01%)*SQRT(CG75))*(NORMDIST((IF('Adjustment Surface'!$C$2='Data Validation'!$A$2,CJ75,IF('Adjustment Surface'!$C$2='Data Validation'!$A$3,CI75,"Unknown Option Type"))-IF('Adjustment Surface'!$C$2='Data Validation'!$A$2,CI75,IF('Adjustment Surface'!$C$2='Data Validation'!$A$3,CJ75,"Unknown Option Type")))/((CK75+0.01%)*SQRT(CG75)),0,1,FALSE))))*CL75*(CF75/360))-(CN75/CH75))*CH75)*CL75))</f>
        <v/>
      </c>
      <c r="CR75" s="15" t="str">
        <f>IF(CC75="","",SUM(CQ$4:CQ75))</f>
        <v/>
      </c>
    </row>
    <row r="76" spans="7:96" x14ac:dyDescent="0.25">
      <c r="G76" s="28"/>
      <c r="J76" s="4" t="str">
        <f>IF(K75='Adjustment Surface'!C$8,"",K75)</f>
        <v/>
      </c>
      <c r="K76" s="4" t="str">
        <f>IF(J76="","",IF(J76&lt;'Adjustment Surface'!C$7,EDATE(J$5,COUNT(J$5:J76)),IF(J76='Adjustment Surface'!C$7,'Adjustment Surface'!C$8,'Adjustment Surface'!C$7)))</f>
        <v/>
      </c>
      <c r="L76" s="3" t="str">
        <f t="shared" si="6"/>
        <v/>
      </c>
      <c r="M76" s="5" t="str">
        <f>IF(I76="","",(K76-'Rate &amp; Vol Update'!$C$2)/360)</f>
        <v/>
      </c>
      <c r="N76" s="15" t="str">
        <f>IF(I76="","",IF('Adjustment Surface'!C$3='Data Validation'!$C$2,'Adjustment Surface'!C$4,IF(INDEX(Schedules!$E$3:$E$123,MATCH('Bachelier Model'!J76,Schedules!$B$3:$B$123,0))="",N75,INDEX(Schedules!$E$3:$E$123,MATCH('Bachelier Model'!J76,Schedules!$B$3:$B$123,0)))))</f>
        <v/>
      </c>
      <c r="O76" s="16" t="str">
        <f>IF(I76="","",IF('Adjustment Surface'!C$9='Data Validation'!$D$2,'Adjustment Surface'!C$10,IF(INDEX(Schedules!$H$3:$H$123,MATCH('Bachelier Model'!J76,Schedules!$B$3:$B$123,0))="",O75,INDEX(Schedules!$H$3:$H$123,MATCH('Bachelier Model'!J76,Schedules!$B$3:$B$123,0)))))</f>
        <v/>
      </c>
      <c r="P76" s="16" t="str" cm="1">
        <f t="array" ref="P76">IF(I76="","",FORECAST(J76,INDEX('Rate &amp; Vol Update'!$C$6:$C$127,MATCH(INDEX('Rate &amp; Vol Update'!$B$6:$B$127,MATCH(J76,'Rate &amp; Vol Update'!$B$6:$B$127,1)),'Rate &amp; Vol Update'!$B$6:$B$127,0)+IF('Adjustment Surface'!C$11='Data Validation'!$E$3,-1,0)):INDEX('Rate &amp; Vol Update'!$C$6:$C$127,MATCH(INDEX('Rate &amp; Vol Update'!$B$6:$B$127,MATCH(J76,'Rate &amp; Vol Update'!$B$6:$B$127,1)+1),'Rate &amp; Vol Update'!$B$6:$B$127,0)+IF('Adjustment Surface'!C$11='Data Validation'!$E$3,-1,0)),INDEX('Rate &amp; Vol Update'!$B$6:$B$127,MATCH(J76,'Rate &amp; Vol Update'!$B$6:$B$127,1)):INDEX('Rate &amp; Vol Update'!$B$6:$B$127,MATCH(J76,'Rate &amp; Vol Update'!$B$6:$B$127,1)+1))/100)</f>
        <v/>
      </c>
      <c r="Q76" s="16" t="str" cm="1">
        <f t="array" ref="Q76">IF(I76="","",IF(J76&lt;'Rate &amp; Vol Update'!$C$2,0.001%,(1/((INDEX('Rate &amp; Vol Update'!$E$6:$Z$6,1,MATCH(O76,'Rate &amp; Vol Update'!$E$6:$Z$6,1)+1)-INDEX('Rate &amp; Vol Update'!$E$6:$Z$6,1,MATCH(O76,'Rate &amp; Vol Update'!$E$6:$Z$6,1)))*(INDEX('Rate &amp; Vol Update'!$B$8:$B$127,MATCH(J76,'Rate &amp; Vol Update'!$B$8:$B$127,1)+1)-INDEX('Rate &amp; Vol Update'!$B$8:$B$127,MATCH(J76,'Rate &amp; Vol Update'!$B$8:$B$127,1))))*(INDEX('Rate &amp; Vol Update'!$E$8:$Z$127,MATCH(INDEX('Rate &amp; Vol Update'!$B$8:$B$127,MATCH(J76,'Rate &amp; Vol Update'!$B$8:$B$127,1)),'Rate &amp; Vol Update'!$B$8:$B$127,0),MATCH(INDEX('Rate &amp; Vol Update'!$E$6:$Z$6,1,MATCH(O76,'Rate &amp; Vol Update'!$E$6:$Z$6,1)),'Rate &amp; Vol Update'!$E$6:$Z$6,0))*(INDEX('Rate &amp; Vol Update'!$E$6:$Z$6,1,MATCH(O76,'Rate &amp; Vol Update'!$E$6:$Z$6,1)+1)-O76)*(INDEX('Rate &amp; Vol Update'!$B$8:$B$127,MATCH(J76,'Rate &amp; Vol Update'!$B$8:$B$127,1)+1)-J76)+INDEX('Rate &amp; Vol Update'!$E$8:$Z$127,MATCH(INDEX('Rate &amp; Vol Update'!$B$8:$B$127,MATCH(J76,'Rate &amp; Vol Update'!$B$8:$B$127,1)),'Rate &amp; Vol Update'!$B$8:$B$127,0),MATCH(INDEX('Rate &amp; Vol Update'!$E$6:$Z$6,1,MATCH(O76,'Rate &amp; Vol Update'!$E$6:$Z$6,1)+1),'Rate &amp; Vol Update'!$E$6:$Z$6,0))*(O76-INDEX('Rate &amp; Vol Update'!$E$6:$Z$6,1,MATCH(O76,'Rate &amp; Vol Update'!$E$6:$Z$6,1)))*(INDEX('Rate &amp; Vol Update'!$B$8:$B$127,MATCH(J76,'Rate &amp; Vol Update'!$B$8:$B$127,1)+1)-J76)+INDEX('Rate &amp; Vol Update'!$E$8:$Z$127,MATCH(INDEX('Rate &amp; Vol Update'!$B$8:$B$127,MATCH(J76,'Rate &amp; Vol Update'!$B$8:$B$127,1)+1),'Rate &amp; Vol Update'!$B$8:$B$127,0),MATCH(INDEX('Rate &amp; Vol Update'!$E$6:$Z$6,1,MATCH(O76,'Rate &amp; Vol Update'!$E$6:$Z$6,1)),'Rate &amp; Vol Update'!$E$6:$Z$6,0))*(INDEX('Rate &amp; Vol Update'!$E$6:$Z$6,1,MATCH(O76,'Rate &amp; Vol Update'!$E$6:$Z$6,1)+1)-O76)*(J76-INDEX('Rate &amp; Vol Update'!$B$8:$B$127,MATCH(J76,'Rate &amp; Vol Update'!$B$8:$B$127,1)))+INDEX('Rate &amp; Vol Update'!$E$8:$Z$127,MATCH(INDEX('Rate &amp; Vol Update'!$B$8:$B$127,MATCH(J76,'Rate &amp; Vol Update'!$B$8:$B$127,1)+1),'Rate &amp; Vol Update'!$B$8:$B$127,0),MATCH(INDEX('Rate &amp; Vol Update'!$E$6:$Z$6,1,MATCH(O76,'Rate &amp; Vol Update'!$E$6:$Z$6,1)+1),'Rate &amp; Vol Update'!$E$6:$Z$6,0))*(O76-INDEX('Rate &amp; Vol Update'!$E$6:$Z$6,1,MATCH(O76,'Rate &amp; Vol Update'!$E$6:$Z$6,1)))*(J76-INDEX('Rate &amp; Vol Update'!$B$8:$B$127,MATCH(J76,'Rate &amp; Vol Update'!$B$8:$B$127,1)))))*0.01%))</f>
        <v/>
      </c>
      <c r="R76" s="5" t="str">
        <f>IF(I76="","",1/((1+P76)^((K76-'Rate &amp; Vol Update'!$C$2)/360)))</f>
        <v/>
      </c>
      <c r="T76" s="15" t="str">
        <f>IF(I76="","",IF(J76&lt;'Rate &amp; Vol Update'!$C$2,MAX(0,P76-O76)*(L76/360)*N76,(((IF('Adjustment Surface'!C$2='Data Validation'!$A$2,P76,IF('Adjustment Surface'!C$2='Data Validation'!$A$3,O76,"Unknown Option Type"))-IF('Adjustment Surface'!C$2='Data Validation'!$A$2,O76,IF('Adjustment Surface'!C$2='Data Validation'!$A$3,P76,"Unknown Option Type")))*(NORMDIST((IF('Adjustment Surface'!C$2='Data Validation'!$A$2,P76,IF('Adjustment Surface'!C$2='Data Validation'!$A$3,O76,"Unknown Option Type"))-IF('Adjustment Surface'!C$2='Data Validation'!$A$2,O76,IF('Adjustment Surface'!C$2='Data Validation'!$A$3,P76,"Unknown Option Type")))/(Q76*SQRT(M76)),0,1,TRUE)))+((Q76*SQRT(M76))*(NORMDIST((IF('Adjustment Surface'!C$2='Data Validation'!$A$2,P76,IF('Adjustment Surface'!C$2='Data Validation'!$A$3,O76,"Unknown Option Type"))-IF('Adjustment Surface'!C$2='Data Validation'!$A$2,O76,IF('Adjustment Surface'!C$2='Data Validation'!$A$3,P76,"Unknown Option Type")))/(Q76*SQRT(M76)),0,1,FALSE))))*R76*(L76/360)*N76))</f>
        <v/>
      </c>
      <c r="U76" s="15" t="str">
        <f>IF(I76="","",SUM(T$4:T76))</f>
        <v/>
      </c>
      <c r="W76" s="15" t="str">
        <f>IF(I76="","",IF(J76&lt;'Rate &amp; Vol Update'!$C$2,0,((((((IF('Adjustment Surface'!C$2='Data Validation'!$A$2,P76,IF('Adjustment Surface'!C$2='Data Validation'!$A$3,O76,"Unknown Option Type"))-IF('Adjustment Surface'!C$2='Data Validation'!$A$2,O76,IF('Adjustment Surface'!C$2='Data Validation'!$A$3,P76,"Unknown Option Type")))*(NORMDIST((IF('Adjustment Surface'!C$2='Data Validation'!$A$2,P76,IF('Adjustment Surface'!C$2='Data Validation'!$A$3,O76,"Unknown Option Type"))-IF('Adjustment Surface'!C$2='Data Validation'!$A$2,O76,IF('Adjustment Surface'!C$2='Data Validation'!$A$3,P76,"Unknown Option Type")))/((Q76+0.01%)*SQRT(M76)),0,1,TRUE)))+(((Q76+0.01%)*SQRT(M76))*(NORMDIST((IF('Adjustment Surface'!C$2='Data Validation'!$A$2,P76,IF('Adjustment Surface'!C$2='Data Validation'!$A$3,O76,"Unknown Option Type"))-IF('Adjustment Surface'!C$2='Data Validation'!$A$2,O76,IF('Adjustment Surface'!C$2='Data Validation'!$A$3,P76,"Unknown Option Type")))/((Q76+0.01%)*SQRT(M76)),0,1,FALSE))))*R76*(L76/360))-(T76/N76))*N76)*R76))</f>
        <v/>
      </c>
      <c r="X76" s="15" t="str">
        <f>IF(I76="","",SUM(W$4:W76))</f>
        <v/>
      </c>
      <c r="Y76" s="15"/>
      <c r="Z76" s="20"/>
      <c r="AB76" s="4" t="str">
        <f>IF(AC75=MAX('Adjustment Surface'!$C$14:$F$14),"",AC75)</f>
        <v/>
      </c>
      <c r="AC76" s="4" t="str">
        <f>IF(AB76="","",IF(AB76&lt;EDATE('Adjustment Surface'!$C$6,DATEDIF('Adjustment Surface'!$C$6,MAX('Adjustment Surface'!$C$14:$F$14),"M")),EDATE(AB$5,COUNT(AB$5:AB76)),IF(AB76=EDATE('Adjustment Surface'!$C$6,DATEDIF('Adjustment Surface'!$C$6,MAX('Adjustment Surface'!$C$14:$F$14),"M")),MAX('Adjustment Surface'!$C$14:$F$14),EDATE('Adjustment Surface'!$C$6,DATEDIF('Adjustment Surface'!$C$6,MAX('Adjustment Surface'!$C$14:$F$14),"M")))))</f>
        <v/>
      </c>
      <c r="AD76" s="3" t="str">
        <f t="shared" si="7"/>
        <v/>
      </c>
      <c r="AE76" s="5" t="str">
        <f>IF(AA76="","",(AC76-'Rate &amp; Vol Update'!$C$2)/360)</f>
        <v/>
      </c>
      <c r="AF76" s="15" t="str">
        <f>IF(AA76="","",IF('Adjustment Surface'!$C$3='Data Validation'!$C$2,'Adjustment Surface'!$C$4,_xlfn.IFNA(IF(INDEX(Schedules!$E$3:$E$123,MATCH('Bachelier Model'!AB76,Schedules!$B$3:$B$123,0))="",AF75,INDEX(Schedules!$E$3:$E$123,MATCH('Bachelier Model'!AB76,Schedules!$B$3:$B$123,0))),AF75)))</f>
        <v/>
      </c>
      <c r="AG76" s="16" t="str">
        <f>IF(AA76="","",'Adjustment Surface'!B$15)</f>
        <v/>
      </c>
      <c r="AH76" s="16" t="str" cm="1">
        <f t="array" ref="AH76">IF(AA76="","",FORECAST(AB76,INDEX('Rate &amp; Vol Update'!$C$6:$C$127,MATCH(INDEX('Rate &amp; Vol Update'!$B$6:$B$127,MATCH(AB76,'Rate &amp; Vol Update'!$B$6:$B$127,1)),'Rate &amp; Vol Update'!$B$6:$B$127,0)+IF('Adjustment Surface'!$C$11='Data Validation'!$E$3,-1,0)):INDEX('Rate &amp; Vol Update'!$C$6:$C$127,MATCH(INDEX('Rate &amp; Vol Update'!$B$6:$B$127,MATCH(AB76,'Rate &amp; Vol Update'!$B$6:$B$127,1)+1),'Rate &amp; Vol Update'!$B$6:$B$127,0)+IF('Adjustment Surface'!$C$11='Data Validation'!$E$3,-1,0)),INDEX('Rate &amp; Vol Update'!$B$6:$B$127,MATCH(AB76,'Rate &amp; Vol Update'!$B$6:$B$127,1)):INDEX('Rate &amp; Vol Update'!$B$6:$B$127,MATCH(AB76,'Rate &amp; Vol Update'!$B$6:$B$127,1)+1))/100)</f>
        <v/>
      </c>
      <c r="AI76" s="16" t="str" cm="1">
        <f t="array" ref="AI76">IF(AA76="","",IF(AB76&lt;'Rate &amp; Vol Update'!$C$2,0.001%,(1/((INDEX('Rate &amp; Vol Update'!$E$6:$Z$6,1,MATCH(AG76,'Rate &amp; Vol Update'!$E$6:$Z$6,1)+1)-INDEX('Rate &amp; Vol Update'!$E$6:$Z$6,1,MATCH(AG76,'Rate &amp; Vol Update'!$E$6:$Z$6,1)))*(INDEX('Rate &amp; Vol Update'!$B$8:$B$127,MATCH(AB76,'Rate &amp; Vol Update'!$B$8:$B$127,1)+1)-INDEX('Rate &amp; Vol Update'!$B$8:$B$127,MATCH(AB76,'Rate &amp; Vol Update'!$B$8:$B$127,1))))*(INDEX('Rate &amp; Vol Update'!$E$8:$Z$127,MATCH(INDEX('Rate &amp; Vol Update'!$B$8:$B$127,MATCH(AB76,'Rate &amp; Vol Update'!$B$8:$B$127,1)),'Rate &amp; Vol Update'!$B$8:$B$127,0),MATCH(INDEX('Rate &amp; Vol Update'!$E$6:$Z$6,1,MATCH(AG76,'Rate &amp; Vol Update'!$E$6:$Z$6,1)),'Rate &amp; Vol Update'!$E$6:$Z$6,0))*(INDEX('Rate &amp; Vol Update'!$E$6:$Z$6,1,MATCH(AG76,'Rate &amp; Vol Update'!$E$6:$Z$6,1)+1)-AG76)*(INDEX('Rate &amp; Vol Update'!$B$8:$B$127,MATCH(AB76,'Rate &amp; Vol Update'!$B$8:$B$127,1)+1)-AB76)+INDEX('Rate &amp; Vol Update'!$E$8:$Z$127,MATCH(INDEX('Rate &amp; Vol Update'!$B$8:$B$127,MATCH(AB76,'Rate &amp; Vol Update'!$B$8:$B$127,1)),'Rate &amp; Vol Update'!$B$8:$B$127,0),MATCH(INDEX('Rate &amp; Vol Update'!$E$6:$Z$6,1,MATCH(AG76,'Rate &amp; Vol Update'!$E$6:$Z$6,1)+1),'Rate &amp; Vol Update'!$E$6:$Z$6,0))*(AG76-INDEX('Rate &amp; Vol Update'!$E$6:$Z$6,1,MATCH(AG76,'Rate &amp; Vol Update'!$E$6:$Z$6,1)))*(INDEX('Rate &amp; Vol Update'!$B$8:$B$127,MATCH(AB76,'Rate &amp; Vol Update'!$B$8:$B$127,1)+1)-AB76)+INDEX('Rate &amp; Vol Update'!$E$8:$Z$127,MATCH(INDEX('Rate &amp; Vol Update'!$B$8:$B$127,MATCH(AB76,'Rate &amp; Vol Update'!$B$8:$B$127,1)+1),'Rate &amp; Vol Update'!$B$8:$B$127,0),MATCH(INDEX('Rate &amp; Vol Update'!$E$6:$Z$6,1,MATCH(AG76,'Rate &amp; Vol Update'!$E$6:$Z$6,1)),'Rate &amp; Vol Update'!$E$6:$Z$6,0))*(INDEX('Rate &amp; Vol Update'!$E$6:$Z$6,1,MATCH(AG76,'Rate &amp; Vol Update'!$E$6:$Z$6,1)+1)-AG76)*(AB76-INDEX('Rate &amp; Vol Update'!$B$8:$B$127,MATCH(AB76,'Rate &amp; Vol Update'!$B$8:$B$127,1)))+INDEX('Rate &amp; Vol Update'!$E$8:$Z$127,MATCH(INDEX('Rate &amp; Vol Update'!$B$8:$B$127,MATCH(AB76,'Rate &amp; Vol Update'!$B$8:$B$127,1)+1),'Rate &amp; Vol Update'!$B$8:$B$127,0),MATCH(INDEX('Rate &amp; Vol Update'!$E$6:$Z$6,1,MATCH(AG76,'Rate &amp; Vol Update'!$E$6:$Z$6,1)+1),'Rate &amp; Vol Update'!$E$6:$Z$6,0))*(AG76-INDEX('Rate &amp; Vol Update'!$E$6:$Z$6,1,MATCH(AG76,'Rate &amp; Vol Update'!$E$6:$Z$6,1)))*(AB76-INDEX('Rate &amp; Vol Update'!$B$8:$B$127,MATCH(AB76,'Rate &amp; Vol Update'!$B$8:$B$127,1)))))*0.01%))</f>
        <v/>
      </c>
      <c r="AJ76" s="5" t="str">
        <f>IF(AA76="","",1/((1+AH76)^((AC76-'Rate &amp; Vol Update'!$C$2)/360)))</f>
        <v/>
      </c>
      <c r="AL76" s="15" t="str">
        <f>IF(AA76="","",IF(AB76&lt;'Rate &amp; Vol Update'!$C$2,MAX(0,AH76-AG76)*(AD76/360)*AF76,(((IF('Adjustment Surface'!$C$2='Data Validation'!$A$2,AH76,IF('Adjustment Surface'!$C$2='Data Validation'!$A$3,AG76,"Unknown Option Type"))-IF('Adjustment Surface'!$C$2='Data Validation'!$A$2,AG76,IF('Adjustment Surface'!$C$2='Data Validation'!$A$3,AH76,"Unknown Option Type")))*(NORMDIST((IF('Adjustment Surface'!$C$2='Data Validation'!$A$2,AH76,IF('Adjustment Surface'!$C$2='Data Validation'!$A$3,AG76,"Unknown Option Type"))-IF('Adjustment Surface'!$C$2='Data Validation'!$A$2,AG76,IF('Adjustment Surface'!$C$2='Data Validation'!$A$3,AH76,"Unknown Option Type")))/(AI76*SQRT(AE76)),0,1,TRUE)))+((AI76*SQRT(AE76))*(NORMDIST((IF('Adjustment Surface'!$C$2='Data Validation'!$A$2,AH76,IF('Adjustment Surface'!$C$2='Data Validation'!$A$3,AG76,"Unknown Option Type"))-IF('Adjustment Surface'!$C$2='Data Validation'!$A$2,AG76,IF('Adjustment Surface'!$C$2='Data Validation'!$A$3,AH76,"Unknown Option Type")))/(AI76*SQRT(AE76)),0,1,FALSE))))*AJ76*(AD76/360)*AF76))</f>
        <v/>
      </c>
      <c r="AM76" s="15" t="str">
        <f>IF(AA76="","",SUM(AL$4:AL76))</f>
        <v/>
      </c>
      <c r="AO76" s="15" t="str">
        <f>IF(AA76="","",IF(AB76&lt;'Rate &amp; Vol Update'!$C$2,0,((((((IF('Adjustment Surface'!$C$2='Data Validation'!$A$2,AH76,IF('Adjustment Surface'!$C$2='Data Validation'!$A$3,AG76,"Unknown Option Type"))-IF('Adjustment Surface'!$C$2='Data Validation'!$A$2,AG76,IF('Adjustment Surface'!$C$2='Data Validation'!$A$3,AH76,"Unknown Option Type")))*(NORMDIST((IF('Adjustment Surface'!$C$2='Data Validation'!$A$2,AH76,IF('Adjustment Surface'!$C$2='Data Validation'!$A$3,AG76,"Unknown Option Type"))-IF('Adjustment Surface'!$C$2='Data Validation'!$A$2,AG76,IF('Adjustment Surface'!$C$2='Data Validation'!$A$3,AH76,"Unknown Option Type")))/((AI76+0.01%)*SQRT(AE76)),0,1,TRUE)))+(((AI76+0.01%)*SQRT(AE76))*(NORMDIST((IF('Adjustment Surface'!$C$2='Data Validation'!$A$2,AH76,IF('Adjustment Surface'!$C$2='Data Validation'!$A$3,AG76,"Unknown Option Type"))-IF('Adjustment Surface'!$C$2='Data Validation'!$A$2,AG76,IF('Adjustment Surface'!$C$2='Data Validation'!$A$3,AH76,"Unknown Option Type")))/((AI76+0.01%)*SQRT(AE76)),0,1,FALSE))))*AJ76*(AD76/360))-(AL76/AF76))*AF76)*AJ76))</f>
        <v/>
      </c>
      <c r="AP76" s="15" t="str">
        <f>IF(AA76="","",SUM(AO$4:AO76))</f>
        <v/>
      </c>
      <c r="AQ76" s="15"/>
      <c r="AR76" s="20"/>
      <c r="AT76" s="4" t="str">
        <f>IF(AU75=MAX('Adjustment Surface'!$C$14:$F$14),"",AU75)</f>
        <v/>
      </c>
      <c r="AU76" s="4" t="str">
        <f>IF(AT76="","",IF(AT76&lt;EDATE('Adjustment Surface'!$C$6,DATEDIF('Adjustment Surface'!$C$6,MAX('Adjustment Surface'!$C$14:$F$14),"M")),EDATE(AT$5,COUNT(AT$5:AT76)),IF(AT76=EDATE('Adjustment Surface'!$C$6,DATEDIF('Adjustment Surface'!$C$6,MAX('Adjustment Surface'!$C$14:$F$14),"M")),MAX('Adjustment Surface'!$C$14:$F$14),EDATE('Adjustment Surface'!$C$6,DATEDIF('Adjustment Surface'!$C$6,MAX('Adjustment Surface'!$C$14:$F$14),"M")))))</f>
        <v/>
      </c>
      <c r="AV76" s="3" t="str">
        <f t="shared" si="8"/>
        <v/>
      </c>
      <c r="AW76" s="5" t="str">
        <f>IF(AS76="","",(AU76-'Rate &amp; Vol Update'!$C$2)/360)</f>
        <v/>
      </c>
      <c r="AX76" s="15" t="str">
        <f>IF(AS76="","",IF('Adjustment Surface'!$C$3='Data Validation'!$C$2,'Adjustment Surface'!$C$4,_xlfn.IFNA(IF(INDEX(Schedules!$E$3:$E$123,MATCH('Bachelier Model'!AT76,Schedules!$B$3:$B$123,0))="",AX75,INDEX(Schedules!$E$3:$E$123,MATCH('Bachelier Model'!AT76,Schedules!$B$3:$B$123,0))),AX75)))</f>
        <v/>
      </c>
      <c r="AY76" s="16" t="str">
        <f>IF(AS76="","",'Adjustment Surface'!B$16)</f>
        <v/>
      </c>
      <c r="AZ76" s="16" t="str" cm="1">
        <f t="array" ref="AZ76">IF(AS76="","",FORECAST(AT76,INDEX('Rate &amp; Vol Update'!$C$6:$C$127,MATCH(INDEX('Rate &amp; Vol Update'!$B$6:$B$127,MATCH(AT76,'Rate &amp; Vol Update'!$B$6:$B$127,1)),'Rate &amp; Vol Update'!$B$6:$B$127,0)+IF('Adjustment Surface'!$C$11='Data Validation'!$E$3,-1,0)):INDEX('Rate &amp; Vol Update'!$C$6:$C$127,MATCH(INDEX('Rate &amp; Vol Update'!$B$6:$B$127,MATCH(AT76,'Rate &amp; Vol Update'!$B$6:$B$127,1)+1),'Rate &amp; Vol Update'!$B$6:$B$127,0)+IF('Adjustment Surface'!$C$11='Data Validation'!$E$3,-1,0)),INDEX('Rate &amp; Vol Update'!$B$6:$B$127,MATCH(AT76,'Rate &amp; Vol Update'!$B$6:$B$127,1)):INDEX('Rate &amp; Vol Update'!$B$6:$B$127,MATCH(AT76,'Rate &amp; Vol Update'!$B$6:$B$127,1)+1))/100)</f>
        <v/>
      </c>
      <c r="BA76" s="16" t="str" cm="1">
        <f t="array" ref="BA76">IF(AS76="","",IF(AT76&lt;'Rate &amp; Vol Update'!$C$2,0.001%,(1/((INDEX('Rate &amp; Vol Update'!$E$6:$Z$6,1,MATCH(AY76,'Rate &amp; Vol Update'!$E$6:$Z$6,1)+1)-INDEX('Rate &amp; Vol Update'!$E$6:$Z$6,1,MATCH(AY76,'Rate &amp; Vol Update'!$E$6:$Z$6,1)))*(INDEX('Rate &amp; Vol Update'!$B$8:$B$127,MATCH(AT76,'Rate &amp; Vol Update'!$B$8:$B$127,1)+1)-INDEX('Rate &amp; Vol Update'!$B$8:$B$127,MATCH(AT76,'Rate &amp; Vol Update'!$B$8:$B$127,1))))*(INDEX('Rate &amp; Vol Update'!$E$8:$Z$127,MATCH(INDEX('Rate &amp; Vol Update'!$B$8:$B$127,MATCH(AT76,'Rate &amp; Vol Update'!$B$8:$B$127,1)),'Rate &amp; Vol Update'!$B$8:$B$127,0),MATCH(INDEX('Rate &amp; Vol Update'!$E$6:$Z$6,1,MATCH(AY76,'Rate &amp; Vol Update'!$E$6:$Z$6,1)),'Rate &amp; Vol Update'!$E$6:$Z$6,0))*(INDEX('Rate &amp; Vol Update'!$E$6:$Z$6,1,MATCH(AY76,'Rate &amp; Vol Update'!$E$6:$Z$6,1)+1)-AY76)*(INDEX('Rate &amp; Vol Update'!$B$8:$B$127,MATCH(AT76,'Rate &amp; Vol Update'!$B$8:$B$127,1)+1)-AT76)+INDEX('Rate &amp; Vol Update'!$E$8:$Z$127,MATCH(INDEX('Rate &amp; Vol Update'!$B$8:$B$127,MATCH(AT76,'Rate &amp; Vol Update'!$B$8:$B$127,1)),'Rate &amp; Vol Update'!$B$8:$B$127,0),MATCH(INDEX('Rate &amp; Vol Update'!$E$6:$Z$6,1,MATCH(AY76,'Rate &amp; Vol Update'!$E$6:$Z$6,1)+1),'Rate &amp; Vol Update'!$E$6:$Z$6,0))*(AY76-INDEX('Rate &amp; Vol Update'!$E$6:$Z$6,1,MATCH(AY76,'Rate &amp; Vol Update'!$E$6:$Z$6,1)))*(INDEX('Rate &amp; Vol Update'!$B$8:$B$127,MATCH(AT76,'Rate &amp; Vol Update'!$B$8:$B$127,1)+1)-AT76)+INDEX('Rate &amp; Vol Update'!$E$8:$Z$127,MATCH(INDEX('Rate &amp; Vol Update'!$B$8:$B$127,MATCH(AT76,'Rate &amp; Vol Update'!$B$8:$B$127,1)+1),'Rate &amp; Vol Update'!$B$8:$B$127,0),MATCH(INDEX('Rate &amp; Vol Update'!$E$6:$Z$6,1,MATCH(AY76,'Rate &amp; Vol Update'!$E$6:$Z$6,1)),'Rate &amp; Vol Update'!$E$6:$Z$6,0))*(INDEX('Rate &amp; Vol Update'!$E$6:$Z$6,1,MATCH(AY76,'Rate &amp; Vol Update'!$E$6:$Z$6,1)+1)-AY76)*(AT76-INDEX('Rate &amp; Vol Update'!$B$8:$B$127,MATCH(AT76,'Rate &amp; Vol Update'!$B$8:$B$127,1)))+INDEX('Rate &amp; Vol Update'!$E$8:$Z$127,MATCH(INDEX('Rate &amp; Vol Update'!$B$8:$B$127,MATCH(AT76,'Rate &amp; Vol Update'!$B$8:$B$127,1)+1),'Rate &amp; Vol Update'!$B$8:$B$127,0),MATCH(INDEX('Rate &amp; Vol Update'!$E$6:$Z$6,1,MATCH(AY76,'Rate &amp; Vol Update'!$E$6:$Z$6,1)+1),'Rate &amp; Vol Update'!$E$6:$Z$6,0))*(AY76-INDEX('Rate &amp; Vol Update'!$E$6:$Z$6,1,MATCH(AY76,'Rate &amp; Vol Update'!$E$6:$Z$6,1)))*(AT76-INDEX('Rate &amp; Vol Update'!$B$8:$B$127,MATCH(AT76,'Rate &amp; Vol Update'!$B$8:$B$127,1)))))*0.01%))</f>
        <v/>
      </c>
      <c r="BB76" s="5" t="str">
        <f>IF(AS76="","",1/((1+AZ76)^((AU76-'Rate &amp; Vol Update'!$C$2)/360)))</f>
        <v/>
      </c>
      <c r="BD76" s="15" t="str">
        <f>IF(AS76="","",IF(AT76&lt;'Rate &amp; Vol Update'!$C$2,MAX(0,AZ76-AY76)*(AV76/360)*AX76,(((IF('Adjustment Surface'!$C$2='Data Validation'!$A$2,AZ76,IF('Adjustment Surface'!$C$2='Data Validation'!$A$3,AY76,"Unknown Option Type"))-IF('Adjustment Surface'!$C$2='Data Validation'!$A$2,AY76,IF('Adjustment Surface'!$C$2='Data Validation'!$A$3,AZ76,"Unknown Option Type")))*(NORMDIST((IF('Adjustment Surface'!$C$2='Data Validation'!$A$2,AZ76,IF('Adjustment Surface'!$C$2='Data Validation'!$A$3,AY76,"Unknown Option Type"))-IF('Adjustment Surface'!$C$2='Data Validation'!$A$2,AY76,IF('Adjustment Surface'!$C$2='Data Validation'!$A$3,AZ76,"Unknown Option Type")))/(BA76*SQRT(AW76)),0,1,TRUE)))+((BA76*SQRT(AW76))*(NORMDIST((IF('Adjustment Surface'!$C$2='Data Validation'!$A$2,AZ76,IF('Adjustment Surface'!$C$2='Data Validation'!$A$3,AY76,"Unknown Option Type"))-IF('Adjustment Surface'!$C$2='Data Validation'!$A$2,AY76,IF('Adjustment Surface'!$C$2='Data Validation'!$A$3,AZ76,"Unknown Option Type")))/(BA76*SQRT(AW76)),0,1,FALSE))))*BB76*(AV76/360)*AX76))</f>
        <v/>
      </c>
      <c r="BE76" s="15" t="str">
        <f>IF(AS76="","",SUM(BD$4:BD76))</f>
        <v/>
      </c>
      <c r="BG76" s="15" t="str">
        <f>IF(AS76="","",IF(AT76&lt;'Rate &amp; Vol Update'!$C$2,0,((((((IF('Adjustment Surface'!$C$2='Data Validation'!$A$2,AZ76,IF('Adjustment Surface'!$C$2='Data Validation'!$A$3,AY76,"Unknown Option Type"))-IF('Adjustment Surface'!$C$2='Data Validation'!$A$2,AY76,IF('Adjustment Surface'!$C$2='Data Validation'!$A$3,AZ76,"Unknown Option Type")))*(NORMDIST((IF('Adjustment Surface'!$C$2='Data Validation'!$A$2,AZ76,IF('Adjustment Surface'!$C$2='Data Validation'!$A$3,AY76,"Unknown Option Type"))-IF('Adjustment Surface'!$C$2='Data Validation'!$A$2,AY76,IF('Adjustment Surface'!$C$2='Data Validation'!$A$3,AZ76,"Unknown Option Type")))/((BA76+0.01%)*SQRT(AW76)),0,1,TRUE)))+(((BA76+0.01%)*SQRT(AW76))*(NORMDIST((IF('Adjustment Surface'!$C$2='Data Validation'!$A$2,AZ76,IF('Adjustment Surface'!$C$2='Data Validation'!$A$3,AY76,"Unknown Option Type"))-IF('Adjustment Surface'!$C$2='Data Validation'!$A$2,AY76,IF('Adjustment Surface'!$C$2='Data Validation'!$A$3,AZ76,"Unknown Option Type")))/((BA76+0.01%)*SQRT(AW76)),0,1,FALSE))))*BB76*(AV76/360))-(BD76/AX76))*AX76)*BB76))</f>
        <v/>
      </c>
      <c r="BH76" s="15" t="str">
        <f>IF(AS76="","",SUM(BG$4:BG76))</f>
        <v/>
      </c>
      <c r="BI76" s="15"/>
      <c r="BJ76" s="20"/>
      <c r="BL76" s="4" t="str">
        <f>IF(BM75=MAX('Adjustment Surface'!$C$14:$F$14),"",BM75)</f>
        <v/>
      </c>
      <c r="BM76" s="4" t="str">
        <f>IF(BL76="","",IF(BL76&lt;EDATE('Adjustment Surface'!$C$6,DATEDIF('Adjustment Surface'!$C$6,MAX('Adjustment Surface'!$C$14:$F$14),"M")),EDATE(BL$5,COUNT(BL$5:BL76)),IF(BL76=EDATE('Adjustment Surface'!$C$6,DATEDIF('Adjustment Surface'!$C$6,MAX('Adjustment Surface'!$C$14:$F$14),"M")),MAX('Adjustment Surface'!$C$14:$F$14),EDATE('Adjustment Surface'!$C$6,DATEDIF('Adjustment Surface'!$C$6,MAX('Adjustment Surface'!$C$14:$F$14),"M")))))</f>
        <v/>
      </c>
      <c r="BN76" s="3" t="str">
        <f t="shared" si="9"/>
        <v/>
      </c>
      <c r="BO76" s="5" t="str">
        <f>IF(BK76="","",(BM76-'Rate &amp; Vol Update'!$C$2)/360)</f>
        <v/>
      </c>
      <c r="BP76" s="15" t="str">
        <f>IF(BK76="","",IF('Adjustment Surface'!$C$3='Data Validation'!$C$2,'Adjustment Surface'!$C$4,_xlfn.IFNA(IF(INDEX(Schedules!$E$3:$E$123,MATCH('Bachelier Model'!BL76,Schedules!$B$3:$B$123,0))="",BP75,INDEX(Schedules!$E$3:$E$123,MATCH('Bachelier Model'!BL76,Schedules!$B$3:$B$123,0))),BP75)))</f>
        <v/>
      </c>
      <c r="BQ76" s="16" t="str">
        <f>IF(BK76="","",'Adjustment Surface'!B$17)</f>
        <v/>
      </c>
      <c r="BR76" s="16" t="str" cm="1">
        <f t="array" ref="BR76">IF(BK76="","",FORECAST(BL76,INDEX('Rate &amp; Vol Update'!$C$6:$C$127,MATCH(INDEX('Rate &amp; Vol Update'!$B$6:$B$127,MATCH(BL76,'Rate &amp; Vol Update'!$B$6:$B$127,1)),'Rate &amp; Vol Update'!$B$6:$B$127,0)+IF('Adjustment Surface'!$C$11='Data Validation'!$E$3,-1,0)):INDEX('Rate &amp; Vol Update'!$C$6:$C$127,MATCH(INDEX('Rate &amp; Vol Update'!$B$6:$B$127,MATCH(BL76,'Rate &amp; Vol Update'!$B$6:$B$127,1)+1),'Rate &amp; Vol Update'!$B$6:$B$127,0)+IF('Adjustment Surface'!$C$11='Data Validation'!$E$3,-1,0)),INDEX('Rate &amp; Vol Update'!$B$6:$B$127,MATCH(BL76,'Rate &amp; Vol Update'!$B$6:$B$127,1)):INDEX('Rate &amp; Vol Update'!$B$6:$B$127,MATCH(BL76,'Rate &amp; Vol Update'!$B$6:$B$127,1)+1))/100)</f>
        <v/>
      </c>
      <c r="BS76" s="16" t="str" cm="1">
        <f t="array" ref="BS76">IF(BK76="","",IF(BL76&lt;'Rate &amp; Vol Update'!$C$2,0.001%,(1/((INDEX('Rate &amp; Vol Update'!$E$6:$Z$6,1,MATCH(BQ76,'Rate &amp; Vol Update'!$E$6:$Z$6,1)+1)-INDEX('Rate &amp; Vol Update'!$E$6:$Z$6,1,MATCH(BQ76,'Rate &amp; Vol Update'!$E$6:$Z$6,1)))*(INDEX('Rate &amp; Vol Update'!$B$8:$B$127,MATCH(BL76,'Rate &amp; Vol Update'!$B$8:$B$127,1)+1)-INDEX('Rate &amp; Vol Update'!$B$8:$B$127,MATCH(BL76,'Rate &amp; Vol Update'!$B$8:$B$127,1))))*(INDEX('Rate &amp; Vol Update'!$E$8:$Z$127,MATCH(INDEX('Rate &amp; Vol Update'!$B$8:$B$127,MATCH(BL76,'Rate &amp; Vol Update'!$B$8:$B$127,1)),'Rate &amp; Vol Update'!$B$8:$B$127,0),MATCH(INDEX('Rate &amp; Vol Update'!$E$6:$Z$6,1,MATCH(BQ76,'Rate &amp; Vol Update'!$E$6:$Z$6,1)),'Rate &amp; Vol Update'!$E$6:$Z$6,0))*(INDEX('Rate &amp; Vol Update'!$E$6:$Z$6,1,MATCH(BQ76,'Rate &amp; Vol Update'!$E$6:$Z$6,1)+1)-BQ76)*(INDEX('Rate &amp; Vol Update'!$B$8:$B$127,MATCH(BL76,'Rate &amp; Vol Update'!$B$8:$B$127,1)+1)-BL76)+INDEX('Rate &amp; Vol Update'!$E$8:$Z$127,MATCH(INDEX('Rate &amp; Vol Update'!$B$8:$B$127,MATCH(BL76,'Rate &amp; Vol Update'!$B$8:$B$127,1)),'Rate &amp; Vol Update'!$B$8:$B$127,0),MATCH(INDEX('Rate &amp; Vol Update'!$E$6:$Z$6,1,MATCH(BQ76,'Rate &amp; Vol Update'!$E$6:$Z$6,1)+1),'Rate &amp; Vol Update'!$E$6:$Z$6,0))*(BQ76-INDEX('Rate &amp; Vol Update'!$E$6:$Z$6,1,MATCH(BQ76,'Rate &amp; Vol Update'!$E$6:$Z$6,1)))*(INDEX('Rate &amp; Vol Update'!$B$8:$B$127,MATCH(BL76,'Rate &amp; Vol Update'!$B$8:$B$127,1)+1)-BL76)+INDEX('Rate &amp; Vol Update'!$E$8:$Z$127,MATCH(INDEX('Rate &amp; Vol Update'!$B$8:$B$127,MATCH(BL76,'Rate &amp; Vol Update'!$B$8:$B$127,1)+1),'Rate &amp; Vol Update'!$B$8:$B$127,0),MATCH(INDEX('Rate &amp; Vol Update'!$E$6:$Z$6,1,MATCH(BQ76,'Rate &amp; Vol Update'!$E$6:$Z$6,1)),'Rate &amp; Vol Update'!$E$6:$Z$6,0))*(INDEX('Rate &amp; Vol Update'!$E$6:$Z$6,1,MATCH(BQ76,'Rate &amp; Vol Update'!$E$6:$Z$6,1)+1)-BQ76)*(BL76-INDEX('Rate &amp; Vol Update'!$B$8:$B$127,MATCH(BL76,'Rate &amp; Vol Update'!$B$8:$B$127,1)))+INDEX('Rate &amp; Vol Update'!$E$8:$Z$127,MATCH(INDEX('Rate &amp; Vol Update'!$B$8:$B$127,MATCH(BL76,'Rate &amp; Vol Update'!$B$8:$B$127,1)+1),'Rate &amp; Vol Update'!$B$8:$B$127,0),MATCH(INDEX('Rate &amp; Vol Update'!$E$6:$Z$6,1,MATCH(BQ76,'Rate &amp; Vol Update'!$E$6:$Z$6,1)+1),'Rate &amp; Vol Update'!$E$6:$Z$6,0))*(BQ76-INDEX('Rate &amp; Vol Update'!$E$6:$Z$6,1,MATCH(BQ76,'Rate &amp; Vol Update'!$E$6:$Z$6,1)))*(BL76-INDEX('Rate &amp; Vol Update'!$B$8:$B$127,MATCH(BL76,'Rate &amp; Vol Update'!$B$8:$B$127,1)))))*0.01%))</f>
        <v/>
      </c>
      <c r="BT76" s="5" t="str">
        <f>IF(BK76="","",1/((1+BR76)^((BM76-'Rate &amp; Vol Update'!$C$2)/360)))</f>
        <v/>
      </c>
      <c r="BV76" s="15" t="str">
        <f>IF(BK76="","",IF(BL76&lt;'Rate &amp; Vol Update'!$C$2,MAX(0,BR76-BQ76)*(BN76/360)*BP76,(((IF('Adjustment Surface'!$C$2='Data Validation'!$A$2,BR76,IF('Adjustment Surface'!$C$2='Data Validation'!$A$3,BQ76,"Unknown Option Type"))-IF('Adjustment Surface'!$C$2='Data Validation'!$A$2,BQ76,IF('Adjustment Surface'!$C$2='Data Validation'!$A$3,BR76,"Unknown Option Type")))*(NORMDIST((IF('Adjustment Surface'!$C$2='Data Validation'!$A$2,BR76,IF('Adjustment Surface'!$C$2='Data Validation'!$A$3,BQ76,"Unknown Option Type"))-IF('Adjustment Surface'!$C$2='Data Validation'!$A$2,BQ76,IF('Adjustment Surface'!$C$2='Data Validation'!$A$3,BR76,"Unknown Option Type")))/(BS76*SQRT(BO76)),0,1,TRUE)))+((BS76*SQRT(BO76))*(NORMDIST((IF('Adjustment Surface'!$C$2='Data Validation'!$A$2,BR76,IF('Adjustment Surface'!$C$2='Data Validation'!$A$3,BQ76,"Unknown Option Type"))-IF('Adjustment Surface'!$C$2='Data Validation'!$A$2,BQ76,IF('Adjustment Surface'!$C$2='Data Validation'!$A$3,BR76,"Unknown Option Type")))/(BS76*SQRT(BO76)),0,1,FALSE))))*BT76*(BN76/360)*BP76))</f>
        <v/>
      </c>
      <c r="BW76" s="15" t="str">
        <f>IF(BK76="","",SUM(BV$4:BV76))</f>
        <v/>
      </c>
      <c r="BY76" s="15" t="str">
        <f>IF(BK76="","",IF(BL76&lt;'Rate &amp; Vol Update'!$C$2,0,((((((IF('Adjustment Surface'!$C$2='Data Validation'!$A$2,BR76,IF('Adjustment Surface'!$C$2='Data Validation'!$A$3,BQ76,"Unknown Option Type"))-IF('Adjustment Surface'!$C$2='Data Validation'!$A$2,BQ76,IF('Adjustment Surface'!$C$2='Data Validation'!$A$3,BR76,"Unknown Option Type")))*(NORMDIST((IF('Adjustment Surface'!$C$2='Data Validation'!$A$2,BR76,IF('Adjustment Surface'!$C$2='Data Validation'!$A$3,BQ76,"Unknown Option Type"))-IF('Adjustment Surface'!$C$2='Data Validation'!$A$2,BQ76,IF('Adjustment Surface'!$C$2='Data Validation'!$A$3,BR76,"Unknown Option Type")))/((BS76+0.01%)*SQRT(BO76)),0,1,TRUE)))+(((BS76+0.01%)*SQRT(BO76))*(NORMDIST((IF('Adjustment Surface'!$C$2='Data Validation'!$A$2,BR76,IF('Adjustment Surface'!$C$2='Data Validation'!$A$3,BQ76,"Unknown Option Type"))-IF('Adjustment Surface'!$C$2='Data Validation'!$A$2,BQ76,IF('Adjustment Surface'!$C$2='Data Validation'!$A$3,BR76,"Unknown Option Type")))/((BS76+0.01%)*SQRT(BO76)),0,1,FALSE))))*BT76*(BN76/360))-(BV76/BP76))*BP76)*BT76))</f>
        <v/>
      </c>
      <c r="BZ76" s="15" t="str">
        <f>IF(BK76="","",SUM(BY$4:BY76))</f>
        <v/>
      </c>
      <c r="CA76" s="15"/>
      <c r="CB76" s="20"/>
      <c r="CD76" s="4" t="str">
        <f>IF(CE75=MAX('Adjustment Surface'!$C$14:$F$14),"",CE75)</f>
        <v/>
      </c>
      <c r="CE76" s="4" t="str">
        <f>IF(CD76="","",IF(CD76&lt;EDATE('Adjustment Surface'!$C$6,DATEDIF('Adjustment Surface'!$C$6,MAX('Adjustment Surface'!$C$14:$F$14),"M")),EDATE(CD$5,COUNT(CD$5:CD76)),IF(CD76=EDATE('Adjustment Surface'!$C$6,DATEDIF('Adjustment Surface'!$C$6,MAX('Adjustment Surface'!$C$14:$F$14),"M")),MAX('Adjustment Surface'!$C$14:$F$14),EDATE('Adjustment Surface'!$C$6,DATEDIF('Adjustment Surface'!$C$6,MAX('Adjustment Surface'!$C$14:$F$14),"M")))))</f>
        <v/>
      </c>
      <c r="CF76" s="3" t="str">
        <f t="shared" si="10"/>
        <v/>
      </c>
      <c r="CG76" s="5" t="str">
        <f>IF(CC76="","",(CE76-'Rate &amp; Vol Update'!$C$2)/360)</f>
        <v/>
      </c>
      <c r="CH76" s="15" t="str">
        <f>IF(CC76="","",IF('Adjustment Surface'!$C$3='Data Validation'!$C$2,'Adjustment Surface'!$C$4,_xlfn.IFNA(IF(INDEX(Schedules!$E$3:$E$123,MATCH('Bachelier Model'!CD76,Schedules!$B$3:$B$123,0))="",CH75,INDEX(Schedules!$E$3:$E$123,MATCH('Bachelier Model'!CD76,Schedules!$B$3:$B$123,0))),CH75)))</f>
        <v/>
      </c>
      <c r="CI76" s="16" t="str">
        <f>IF(CC76="","",'Adjustment Surface'!B$18)</f>
        <v/>
      </c>
      <c r="CJ76" s="16" t="str" cm="1">
        <f t="array" ref="CJ76">IF(CC76="","",FORECAST(CD76,INDEX('Rate &amp; Vol Update'!$C$6:$C$127,MATCH(INDEX('Rate &amp; Vol Update'!$B$6:$B$127,MATCH(CD76,'Rate &amp; Vol Update'!$B$6:$B$127,1)),'Rate &amp; Vol Update'!$B$6:$B$127,0)+IF('Adjustment Surface'!$C$11='Data Validation'!$E$3,-1,0)):INDEX('Rate &amp; Vol Update'!$C$6:$C$127,MATCH(INDEX('Rate &amp; Vol Update'!$B$6:$B$127,MATCH(CD76,'Rate &amp; Vol Update'!$B$6:$B$127,1)+1),'Rate &amp; Vol Update'!$B$6:$B$127,0)+IF('Adjustment Surface'!$C$11='Data Validation'!$E$3,-1,0)),INDEX('Rate &amp; Vol Update'!$B$6:$B$127,MATCH(CD76,'Rate &amp; Vol Update'!$B$6:$B$127,1)):INDEX('Rate &amp; Vol Update'!$B$6:$B$127,MATCH(CD76,'Rate &amp; Vol Update'!$B$6:$B$127,1)+1))/100)</f>
        <v/>
      </c>
      <c r="CK76" s="16" t="str" cm="1">
        <f t="array" ref="CK76">IF(CC76="","",IF(CD76&lt;'Rate &amp; Vol Update'!$C$2,0.001%,(1/((INDEX('Rate &amp; Vol Update'!$E$6:$Z$6,1,MATCH(CI76,'Rate &amp; Vol Update'!$E$6:$Z$6,1)+1)-INDEX('Rate &amp; Vol Update'!$E$6:$Z$6,1,MATCH(CI76,'Rate &amp; Vol Update'!$E$6:$Z$6,1)))*(INDEX('Rate &amp; Vol Update'!$B$8:$B$127,MATCH(CD76,'Rate &amp; Vol Update'!$B$8:$B$127,1)+1)-INDEX('Rate &amp; Vol Update'!$B$8:$B$127,MATCH(CD76,'Rate &amp; Vol Update'!$B$8:$B$127,1))))*(INDEX('Rate &amp; Vol Update'!$E$8:$Z$127,MATCH(INDEX('Rate &amp; Vol Update'!$B$8:$B$127,MATCH(CD76,'Rate &amp; Vol Update'!$B$8:$B$127,1)),'Rate &amp; Vol Update'!$B$8:$B$127,0),MATCH(INDEX('Rate &amp; Vol Update'!$E$6:$Z$6,1,MATCH(CI76,'Rate &amp; Vol Update'!$E$6:$Z$6,1)),'Rate &amp; Vol Update'!$E$6:$Z$6,0))*(INDEX('Rate &amp; Vol Update'!$E$6:$Z$6,1,MATCH(CI76,'Rate &amp; Vol Update'!$E$6:$Z$6,1)+1)-CI76)*(INDEX('Rate &amp; Vol Update'!$B$8:$B$127,MATCH(CD76,'Rate &amp; Vol Update'!$B$8:$B$127,1)+1)-CD76)+INDEX('Rate &amp; Vol Update'!$E$8:$Z$127,MATCH(INDEX('Rate &amp; Vol Update'!$B$8:$B$127,MATCH(CD76,'Rate &amp; Vol Update'!$B$8:$B$127,1)),'Rate &amp; Vol Update'!$B$8:$B$127,0),MATCH(INDEX('Rate &amp; Vol Update'!$E$6:$Z$6,1,MATCH(CI76,'Rate &amp; Vol Update'!$E$6:$Z$6,1)+1),'Rate &amp; Vol Update'!$E$6:$Z$6,0))*(CI76-INDEX('Rate &amp; Vol Update'!$E$6:$Z$6,1,MATCH(CI76,'Rate &amp; Vol Update'!$E$6:$Z$6,1)))*(INDEX('Rate &amp; Vol Update'!$B$8:$B$127,MATCH(CD76,'Rate &amp; Vol Update'!$B$8:$B$127,1)+1)-CD76)+INDEX('Rate &amp; Vol Update'!$E$8:$Z$127,MATCH(INDEX('Rate &amp; Vol Update'!$B$8:$B$127,MATCH(CD76,'Rate &amp; Vol Update'!$B$8:$B$127,1)+1),'Rate &amp; Vol Update'!$B$8:$B$127,0),MATCH(INDEX('Rate &amp; Vol Update'!$E$6:$Z$6,1,MATCH(CI76,'Rate &amp; Vol Update'!$E$6:$Z$6,1)),'Rate &amp; Vol Update'!$E$6:$Z$6,0))*(INDEX('Rate &amp; Vol Update'!$E$6:$Z$6,1,MATCH(CI76,'Rate &amp; Vol Update'!$E$6:$Z$6,1)+1)-CI76)*(CD76-INDEX('Rate &amp; Vol Update'!$B$8:$B$127,MATCH(CD76,'Rate &amp; Vol Update'!$B$8:$B$127,1)))+INDEX('Rate &amp; Vol Update'!$E$8:$Z$127,MATCH(INDEX('Rate &amp; Vol Update'!$B$8:$B$127,MATCH(CD76,'Rate &amp; Vol Update'!$B$8:$B$127,1)+1),'Rate &amp; Vol Update'!$B$8:$B$127,0),MATCH(INDEX('Rate &amp; Vol Update'!$E$6:$Z$6,1,MATCH(CI76,'Rate &amp; Vol Update'!$E$6:$Z$6,1)+1),'Rate &amp; Vol Update'!$E$6:$Z$6,0))*(CI76-INDEX('Rate &amp; Vol Update'!$E$6:$Z$6,1,MATCH(CI76,'Rate &amp; Vol Update'!$E$6:$Z$6,1)))*(CD76-INDEX('Rate &amp; Vol Update'!$B$8:$B$127,MATCH(CD76,'Rate &amp; Vol Update'!$B$8:$B$127,1)))))*0.01%))</f>
        <v/>
      </c>
      <c r="CL76" s="5" t="str">
        <f>IF(CC76="","",1/((1+CJ76)^((CE76-'Rate &amp; Vol Update'!$C$2)/360)))</f>
        <v/>
      </c>
      <c r="CN76" s="15" t="str">
        <f>IF(CC76="","",IF(CD76&lt;'Rate &amp; Vol Update'!$C$2,MAX(0,CJ76-CI76)*(CF76/360)*CH76,(((IF('Adjustment Surface'!$C$2='Data Validation'!$A$2,CJ76,IF('Adjustment Surface'!$C$2='Data Validation'!$A$3,CI76,"Unknown Option Type"))-IF('Adjustment Surface'!$C$2='Data Validation'!$A$2,CI76,IF('Adjustment Surface'!$C$2='Data Validation'!$A$3,CJ76,"Unknown Option Type")))*(NORMDIST((IF('Adjustment Surface'!$C$2='Data Validation'!$A$2,CJ76,IF('Adjustment Surface'!$C$2='Data Validation'!$A$3,CI76,"Unknown Option Type"))-IF('Adjustment Surface'!$C$2='Data Validation'!$A$2,CI76,IF('Adjustment Surface'!$C$2='Data Validation'!$A$3,CJ76,"Unknown Option Type")))/(CK76*SQRT(CG76)),0,1,TRUE)))+((CK76*SQRT(CG76))*(NORMDIST((IF('Adjustment Surface'!$C$2='Data Validation'!$A$2,CJ76,IF('Adjustment Surface'!$C$2='Data Validation'!$A$3,CI76,"Unknown Option Type"))-IF('Adjustment Surface'!$C$2='Data Validation'!$A$2,CI76,IF('Adjustment Surface'!$C$2='Data Validation'!$A$3,CJ76,"Unknown Option Type")))/(CK76*SQRT(CG76)),0,1,FALSE))))*CL76*(CF76/360)*CH76))</f>
        <v/>
      </c>
      <c r="CO76" s="15" t="str">
        <f>IF(CC76="","",SUM(CN$4:CN76))</f>
        <v/>
      </c>
      <c r="CQ76" s="15" t="str">
        <f>IF(CC76="","",IF(CD76&lt;'Rate &amp; Vol Update'!$C$2,0,((((((IF('Adjustment Surface'!$C$2='Data Validation'!$A$2,CJ76,IF('Adjustment Surface'!$C$2='Data Validation'!$A$3,CI76,"Unknown Option Type"))-IF('Adjustment Surface'!$C$2='Data Validation'!$A$2,CI76,IF('Adjustment Surface'!$C$2='Data Validation'!$A$3,CJ76,"Unknown Option Type")))*(NORMDIST((IF('Adjustment Surface'!$C$2='Data Validation'!$A$2,CJ76,IF('Adjustment Surface'!$C$2='Data Validation'!$A$3,CI76,"Unknown Option Type"))-IF('Adjustment Surface'!$C$2='Data Validation'!$A$2,CI76,IF('Adjustment Surface'!$C$2='Data Validation'!$A$3,CJ76,"Unknown Option Type")))/((CK76+0.01%)*SQRT(CG76)),0,1,TRUE)))+(((CK76+0.01%)*SQRT(CG76))*(NORMDIST((IF('Adjustment Surface'!$C$2='Data Validation'!$A$2,CJ76,IF('Adjustment Surface'!$C$2='Data Validation'!$A$3,CI76,"Unknown Option Type"))-IF('Adjustment Surface'!$C$2='Data Validation'!$A$2,CI76,IF('Adjustment Surface'!$C$2='Data Validation'!$A$3,CJ76,"Unknown Option Type")))/((CK76+0.01%)*SQRT(CG76)),0,1,FALSE))))*CL76*(CF76/360))-(CN76/CH76))*CH76)*CL76))</f>
        <v/>
      </c>
      <c r="CR76" s="15" t="str">
        <f>IF(CC76="","",SUM(CQ$4:CQ76))</f>
        <v/>
      </c>
    </row>
    <row r="77" spans="7:96" x14ac:dyDescent="0.25">
      <c r="G77" s="28"/>
      <c r="J77" s="4" t="str">
        <f>IF(K76='Adjustment Surface'!C$8,"",K76)</f>
        <v/>
      </c>
      <c r="K77" s="4" t="str">
        <f>IF(J77="","",IF(J77&lt;'Adjustment Surface'!C$7,EDATE(J$5,COUNT(J$5:J77)),IF(J77='Adjustment Surface'!C$7,'Adjustment Surface'!C$8,'Adjustment Surface'!C$7)))</f>
        <v/>
      </c>
      <c r="L77" s="3" t="str">
        <f t="shared" si="6"/>
        <v/>
      </c>
      <c r="M77" s="5" t="str">
        <f>IF(I77="","",(K77-'Rate &amp; Vol Update'!$C$2)/360)</f>
        <v/>
      </c>
      <c r="N77" s="15" t="str">
        <f>IF(I77="","",IF('Adjustment Surface'!C$3='Data Validation'!$C$2,'Adjustment Surface'!C$4,IF(INDEX(Schedules!$E$3:$E$123,MATCH('Bachelier Model'!J77,Schedules!$B$3:$B$123,0))="",N76,INDEX(Schedules!$E$3:$E$123,MATCH('Bachelier Model'!J77,Schedules!$B$3:$B$123,0)))))</f>
        <v/>
      </c>
      <c r="O77" s="16" t="str">
        <f>IF(I77="","",IF('Adjustment Surface'!C$9='Data Validation'!$D$2,'Adjustment Surface'!C$10,IF(INDEX(Schedules!$H$3:$H$123,MATCH('Bachelier Model'!J77,Schedules!$B$3:$B$123,0))="",O76,INDEX(Schedules!$H$3:$H$123,MATCH('Bachelier Model'!J77,Schedules!$B$3:$B$123,0)))))</f>
        <v/>
      </c>
      <c r="P77" s="16" t="str" cm="1">
        <f t="array" ref="P77">IF(I77="","",FORECAST(J77,INDEX('Rate &amp; Vol Update'!$C$6:$C$127,MATCH(INDEX('Rate &amp; Vol Update'!$B$6:$B$127,MATCH(J77,'Rate &amp; Vol Update'!$B$6:$B$127,1)),'Rate &amp; Vol Update'!$B$6:$B$127,0)+IF('Adjustment Surface'!C$11='Data Validation'!$E$3,-1,0)):INDEX('Rate &amp; Vol Update'!$C$6:$C$127,MATCH(INDEX('Rate &amp; Vol Update'!$B$6:$B$127,MATCH(J77,'Rate &amp; Vol Update'!$B$6:$B$127,1)+1),'Rate &amp; Vol Update'!$B$6:$B$127,0)+IF('Adjustment Surface'!C$11='Data Validation'!$E$3,-1,0)),INDEX('Rate &amp; Vol Update'!$B$6:$B$127,MATCH(J77,'Rate &amp; Vol Update'!$B$6:$B$127,1)):INDEX('Rate &amp; Vol Update'!$B$6:$B$127,MATCH(J77,'Rate &amp; Vol Update'!$B$6:$B$127,1)+1))/100)</f>
        <v/>
      </c>
      <c r="Q77" s="16" t="str" cm="1">
        <f t="array" ref="Q77">IF(I77="","",IF(J77&lt;'Rate &amp; Vol Update'!$C$2,0.001%,(1/((INDEX('Rate &amp; Vol Update'!$E$6:$Z$6,1,MATCH(O77,'Rate &amp; Vol Update'!$E$6:$Z$6,1)+1)-INDEX('Rate &amp; Vol Update'!$E$6:$Z$6,1,MATCH(O77,'Rate &amp; Vol Update'!$E$6:$Z$6,1)))*(INDEX('Rate &amp; Vol Update'!$B$8:$B$127,MATCH(J77,'Rate &amp; Vol Update'!$B$8:$B$127,1)+1)-INDEX('Rate &amp; Vol Update'!$B$8:$B$127,MATCH(J77,'Rate &amp; Vol Update'!$B$8:$B$127,1))))*(INDEX('Rate &amp; Vol Update'!$E$8:$Z$127,MATCH(INDEX('Rate &amp; Vol Update'!$B$8:$B$127,MATCH(J77,'Rate &amp; Vol Update'!$B$8:$B$127,1)),'Rate &amp; Vol Update'!$B$8:$B$127,0),MATCH(INDEX('Rate &amp; Vol Update'!$E$6:$Z$6,1,MATCH(O77,'Rate &amp; Vol Update'!$E$6:$Z$6,1)),'Rate &amp; Vol Update'!$E$6:$Z$6,0))*(INDEX('Rate &amp; Vol Update'!$E$6:$Z$6,1,MATCH(O77,'Rate &amp; Vol Update'!$E$6:$Z$6,1)+1)-O77)*(INDEX('Rate &amp; Vol Update'!$B$8:$B$127,MATCH(J77,'Rate &amp; Vol Update'!$B$8:$B$127,1)+1)-J77)+INDEX('Rate &amp; Vol Update'!$E$8:$Z$127,MATCH(INDEX('Rate &amp; Vol Update'!$B$8:$B$127,MATCH(J77,'Rate &amp; Vol Update'!$B$8:$B$127,1)),'Rate &amp; Vol Update'!$B$8:$B$127,0),MATCH(INDEX('Rate &amp; Vol Update'!$E$6:$Z$6,1,MATCH(O77,'Rate &amp; Vol Update'!$E$6:$Z$6,1)+1),'Rate &amp; Vol Update'!$E$6:$Z$6,0))*(O77-INDEX('Rate &amp; Vol Update'!$E$6:$Z$6,1,MATCH(O77,'Rate &amp; Vol Update'!$E$6:$Z$6,1)))*(INDEX('Rate &amp; Vol Update'!$B$8:$B$127,MATCH(J77,'Rate &amp; Vol Update'!$B$8:$B$127,1)+1)-J77)+INDEX('Rate &amp; Vol Update'!$E$8:$Z$127,MATCH(INDEX('Rate &amp; Vol Update'!$B$8:$B$127,MATCH(J77,'Rate &amp; Vol Update'!$B$8:$B$127,1)+1),'Rate &amp; Vol Update'!$B$8:$B$127,0),MATCH(INDEX('Rate &amp; Vol Update'!$E$6:$Z$6,1,MATCH(O77,'Rate &amp; Vol Update'!$E$6:$Z$6,1)),'Rate &amp; Vol Update'!$E$6:$Z$6,0))*(INDEX('Rate &amp; Vol Update'!$E$6:$Z$6,1,MATCH(O77,'Rate &amp; Vol Update'!$E$6:$Z$6,1)+1)-O77)*(J77-INDEX('Rate &amp; Vol Update'!$B$8:$B$127,MATCH(J77,'Rate &amp; Vol Update'!$B$8:$B$127,1)))+INDEX('Rate &amp; Vol Update'!$E$8:$Z$127,MATCH(INDEX('Rate &amp; Vol Update'!$B$8:$B$127,MATCH(J77,'Rate &amp; Vol Update'!$B$8:$B$127,1)+1),'Rate &amp; Vol Update'!$B$8:$B$127,0),MATCH(INDEX('Rate &amp; Vol Update'!$E$6:$Z$6,1,MATCH(O77,'Rate &amp; Vol Update'!$E$6:$Z$6,1)+1),'Rate &amp; Vol Update'!$E$6:$Z$6,0))*(O77-INDEX('Rate &amp; Vol Update'!$E$6:$Z$6,1,MATCH(O77,'Rate &amp; Vol Update'!$E$6:$Z$6,1)))*(J77-INDEX('Rate &amp; Vol Update'!$B$8:$B$127,MATCH(J77,'Rate &amp; Vol Update'!$B$8:$B$127,1)))))*0.01%))</f>
        <v/>
      </c>
      <c r="R77" s="5" t="str">
        <f>IF(I77="","",1/((1+P77)^((K77-'Rate &amp; Vol Update'!$C$2)/360)))</f>
        <v/>
      </c>
      <c r="T77" s="15" t="str">
        <f>IF(I77="","",IF(J77&lt;'Rate &amp; Vol Update'!$C$2,MAX(0,P77-O77)*(L77/360)*N77,(((IF('Adjustment Surface'!C$2='Data Validation'!$A$2,P77,IF('Adjustment Surface'!C$2='Data Validation'!$A$3,O77,"Unknown Option Type"))-IF('Adjustment Surface'!C$2='Data Validation'!$A$2,O77,IF('Adjustment Surface'!C$2='Data Validation'!$A$3,P77,"Unknown Option Type")))*(NORMDIST((IF('Adjustment Surface'!C$2='Data Validation'!$A$2,P77,IF('Adjustment Surface'!C$2='Data Validation'!$A$3,O77,"Unknown Option Type"))-IF('Adjustment Surface'!C$2='Data Validation'!$A$2,O77,IF('Adjustment Surface'!C$2='Data Validation'!$A$3,P77,"Unknown Option Type")))/(Q77*SQRT(M77)),0,1,TRUE)))+((Q77*SQRT(M77))*(NORMDIST((IF('Adjustment Surface'!C$2='Data Validation'!$A$2,P77,IF('Adjustment Surface'!C$2='Data Validation'!$A$3,O77,"Unknown Option Type"))-IF('Adjustment Surface'!C$2='Data Validation'!$A$2,O77,IF('Adjustment Surface'!C$2='Data Validation'!$A$3,P77,"Unknown Option Type")))/(Q77*SQRT(M77)),0,1,FALSE))))*R77*(L77/360)*N77))</f>
        <v/>
      </c>
      <c r="U77" s="15" t="str">
        <f>IF(I77="","",SUM(T$4:T77))</f>
        <v/>
      </c>
      <c r="W77" s="15" t="str">
        <f>IF(I77="","",IF(J77&lt;'Rate &amp; Vol Update'!$C$2,0,((((((IF('Adjustment Surface'!C$2='Data Validation'!$A$2,P77,IF('Adjustment Surface'!C$2='Data Validation'!$A$3,O77,"Unknown Option Type"))-IF('Adjustment Surface'!C$2='Data Validation'!$A$2,O77,IF('Adjustment Surface'!C$2='Data Validation'!$A$3,P77,"Unknown Option Type")))*(NORMDIST((IF('Adjustment Surface'!C$2='Data Validation'!$A$2,P77,IF('Adjustment Surface'!C$2='Data Validation'!$A$3,O77,"Unknown Option Type"))-IF('Adjustment Surface'!C$2='Data Validation'!$A$2,O77,IF('Adjustment Surface'!C$2='Data Validation'!$A$3,P77,"Unknown Option Type")))/((Q77+0.01%)*SQRT(M77)),0,1,TRUE)))+(((Q77+0.01%)*SQRT(M77))*(NORMDIST((IF('Adjustment Surface'!C$2='Data Validation'!$A$2,P77,IF('Adjustment Surface'!C$2='Data Validation'!$A$3,O77,"Unknown Option Type"))-IF('Adjustment Surface'!C$2='Data Validation'!$A$2,O77,IF('Adjustment Surface'!C$2='Data Validation'!$A$3,P77,"Unknown Option Type")))/((Q77+0.01%)*SQRT(M77)),0,1,FALSE))))*R77*(L77/360))-(T77/N77))*N77)*R77))</f>
        <v/>
      </c>
      <c r="X77" s="15" t="str">
        <f>IF(I77="","",SUM(W$4:W77))</f>
        <v/>
      </c>
      <c r="Y77" s="15"/>
      <c r="Z77" s="20"/>
      <c r="AB77" s="4" t="str">
        <f>IF(AC76=MAX('Adjustment Surface'!$C$14:$F$14),"",AC76)</f>
        <v/>
      </c>
      <c r="AC77" s="4" t="str">
        <f>IF(AB77="","",IF(AB77&lt;EDATE('Adjustment Surface'!$C$6,DATEDIF('Adjustment Surface'!$C$6,MAX('Adjustment Surface'!$C$14:$F$14),"M")),EDATE(AB$5,COUNT(AB$5:AB77)),IF(AB77=EDATE('Adjustment Surface'!$C$6,DATEDIF('Adjustment Surface'!$C$6,MAX('Adjustment Surface'!$C$14:$F$14),"M")),MAX('Adjustment Surface'!$C$14:$F$14),EDATE('Adjustment Surface'!$C$6,DATEDIF('Adjustment Surface'!$C$6,MAX('Adjustment Surface'!$C$14:$F$14),"M")))))</f>
        <v/>
      </c>
      <c r="AD77" s="3" t="str">
        <f t="shared" si="7"/>
        <v/>
      </c>
      <c r="AE77" s="5" t="str">
        <f>IF(AA77="","",(AC77-'Rate &amp; Vol Update'!$C$2)/360)</f>
        <v/>
      </c>
      <c r="AF77" s="15" t="str">
        <f>IF(AA77="","",IF('Adjustment Surface'!$C$3='Data Validation'!$C$2,'Adjustment Surface'!$C$4,_xlfn.IFNA(IF(INDEX(Schedules!$E$3:$E$123,MATCH('Bachelier Model'!AB77,Schedules!$B$3:$B$123,0))="",AF76,INDEX(Schedules!$E$3:$E$123,MATCH('Bachelier Model'!AB77,Schedules!$B$3:$B$123,0))),AF76)))</f>
        <v/>
      </c>
      <c r="AG77" s="16" t="str">
        <f>IF(AA77="","",'Adjustment Surface'!B$15)</f>
        <v/>
      </c>
      <c r="AH77" s="16" t="str" cm="1">
        <f t="array" ref="AH77">IF(AA77="","",FORECAST(AB77,INDEX('Rate &amp; Vol Update'!$C$6:$C$127,MATCH(INDEX('Rate &amp; Vol Update'!$B$6:$B$127,MATCH(AB77,'Rate &amp; Vol Update'!$B$6:$B$127,1)),'Rate &amp; Vol Update'!$B$6:$B$127,0)+IF('Adjustment Surface'!$C$11='Data Validation'!$E$3,-1,0)):INDEX('Rate &amp; Vol Update'!$C$6:$C$127,MATCH(INDEX('Rate &amp; Vol Update'!$B$6:$B$127,MATCH(AB77,'Rate &amp; Vol Update'!$B$6:$B$127,1)+1),'Rate &amp; Vol Update'!$B$6:$B$127,0)+IF('Adjustment Surface'!$C$11='Data Validation'!$E$3,-1,0)),INDEX('Rate &amp; Vol Update'!$B$6:$B$127,MATCH(AB77,'Rate &amp; Vol Update'!$B$6:$B$127,1)):INDEX('Rate &amp; Vol Update'!$B$6:$B$127,MATCH(AB77,'Rate &amp; Vol Update'!$B$6:$B$127,1)+1))/100)</f>
        <v/>
      </c>
      <c r="AI77" s="16" t="str" cm="1">
        <f t="array" ref="AI77">IF(AA77="","",IF(AB77&lt;'Rate &amp; Vol Update'!$C$2,0.001%,(1/((INDEX('Rate &amp; Vol Update'!$E$6:$Z$6,1,MATCH(AG77,'Rate &amp; Vol Update'!$E$6:$Z$6,1)+1)-INDEX('Rate &amp; Vol Update'!$E$6:$Z$6,1,MATCH(AG77,'Rate &amp; Vol Update'!$E$6:$Z$6,1)))*(INDEX('Rate &amp; Vol Update'!$B$8:$B$127,MATCH(AB77,'Rate &amp; Vol Update'!$B$8:$B$127,1)+1)-INDEX('Rate &amp; Vol Update'!$B$8:$B$127,MATCH(AB77,'Rate &amp; Vol Update'!$B$8:$B$127,1))))*(INDEX('Rate &amp; Vol Update'!$E$8:$Z$127,MATCH(INDEX('Rate &amp; Vol Update'!$B$8:$B$127,MATCH(AB77,'Rate &amp; Vol Update'!$B$8:$B$127,1)),'Rate &amp; Vol Update'!$B$8:$B$127,0),MATCH(INDEX('Rate &amp; Vol Update'!$E$6:$Z$6,1,MATCH(AG77,'Rate &amp; Vol Update'!$E$6:$Z$6,1)),'Rate &amp; Vol Update'!$E$6:$Z$6,0))*(INDEX('Rate &amp; Vol Update'!$E$6:$Z$6,1,MATCH(AG77,'Rate &amp; Vol Update'!$E$6:$Z$6,1)+1)-AG77)*(INDEX('Rate &amp; Vol Update'!$B$8:$B$127,MATCH(AB77,'Rate &amp; Vol Update'!$B$8:$B$127,1)+1)-AB77)+INDEX('Rate &amp; Vol Update'!$E$8:$Z$127,MATCH(INDEX('Rate &amp; Vol Update'!$B$8:$B$127,MATCH(AB77,'Rate &amp; Vol Update'!$B$8:$B$127,1)),'Rate &amp; Vol Update'!$B$8:$B$127,0),MATCH(INDEX('Rate &amp; Vol Update'!$E$6:$Z$6,1,MATCH(AG77,'Rate &amp; Vol Update'!$E$6:$Z$6,1)+1),'Rate &amp; Vol Update'!$E$6:$Z$6,0))*(AG77-INDEX('Rate &amp; Vol Update'!$E$6:$Z$6,1,MATCH(AG77,'Rate &amp; Vol Update'!$E$6:$Z$6,1)))*(INDEX('Rate &amp; Vol Update'!$B$8:$B$127,MATCH(AB77,'Rate &amp; Vol Update'!$B$8:$B$127,1)+1)-AB77)+INDEX('Rate &amp; Vol Update'!$E$8:$Z$127,MATCH(INDEX('Rate &amp; Vol Update'!$B$8:$B$127,MATCH(AB77,'Rate &amp; Vol Update'!$B$8:$B$127,1)+1),'Rate &amp; Vol Update'!$B$8:$B$127,0),MATCH(INDEX('Rate &amp; Vol Update'!$E$6:$Z$6,1,MATCH(AG77,'Rate &amp; Vol Update'!$E$6:$Z$6,1)),'Rate &amp; Vol Update'!$E$6:$Z$6,0))*(INDEX('Rate &amp; Vol Update'!$E$6:$Z$6,1,MATCH(AG77,'Rate &amp; Vol Update'!$E$6:$Z$6,1)+1)-AG77)*(AB77-INDEX('Rate &amp; Vol Update'!$B$8:$B$127,MATCH(AB77,'Rate &amp; Vol Update'!$B$8:$B$127,1)))+INDEX('Rate &amp; Vol Update'!$E$8:$Z$127,MATCH(INDEX('Rate &amp; Vol Update'!$B$8:$B$127,MATCH(AB77,'Rate &amp; Vol Update'!$B$8:$B$127,1)+1),'Rate &amp; Vol Update'!$B$8:$B$127,0),MATCH(INDEX('Rate &amp; Vol Update'!$E$6:$Z$6,1,MATCH(AG77,'Rate &amp; Vol Update'!$E$6:$Z$6,1)+1),'Rate &amp; Vol Update'!$E$6:$Z$6,0))*(AG77-INDEX('Rate &amp; Vol Update'!$E$6:$Z$6,1,MATCH(AG77,'Rate &amp; Vol Update'!$E$6:$Z$6,1)))*(AB77-INDEX('Rate &amp; Vol Update'!$B$8:$B$127,MATCH(AB77,'Rate &amp; Vol Update'!$B$8:$B$127,1)))))*0.01%))</f>
        <v/>
      </c>
      <c r="AJ77" s="5" t="str">
        <f>IF(AA77="","",1/((1+AH77)^((AC77-'Rate &amp; Vol Update'!$C$2)/360)))</f>
        <v/>
      </c>
      <c r="AL77" s="15" t="str">
        <f>IF(AA77="","",IF(AB77&lt;'Rate &amp; Vol Update'!$C$2,MAX(0,AH77-AG77)*(AD77/360)*AF77,(((IF('Adjustment Surface'!$C$2='Data Validation'!$A$2,AH77,IF('Adjustment Surface'!$C$2='Data Validation'!$A$3,AG77,"Unknown Option Type"))-IF('Adjustment Surface'!$C$2='Data Validation'!$A$2,AG77,IF('Adjustment Surface'!$C$2='Data Validation'!$A$3,AH77,"Unknown Option Type")))*(NORMDIST((IF('Adjustment Surface'!$C$2='Data Validation'!$A$2,AH77,IF('Adjustment Surface'!$C$2='Data Validation'!$A$3,AG77,"Unknown Option Type"))-IF('Adjustment Surface'!$C$2='Data Validation'!$A$2,AG77,IF('Adjustment Surface'!$C$2='Data Validation'!$A$3,AH77,"Unknown Option Type")))/(AI77*SQRT(AE77)),0,1,TRUE)))+((AI77*SQRT(AE77))*(NORMDIST((IF('Adjustment Surface'!$C$2='Data Validation'!$A$2,AH77,IF('Adjustment Surface'!$C$2='Data Validation'!$A$3,AG77,"Unknown Option Type"))-IF('Adjustment Surface'!$C$2='Data Validation'!$A$2,AG77,IF('Adjustment Surface'!$C$2='Data Validation'!$A$3,AH77,"Unknown Option Type")))/(AI77*SQRT(AE77)),0,1,FALSE))))*AJ77*(AD77/360)*AF77))</f>
        <v/>
      </c>
      <c r="AM77" s="15" t="str">
        <f>IF(AA77="","",SUM(AL$4:AL77))</f>
        <v/>
      </c>
      <c r="AO77" s="15" t="str">
        <f>IF(AA77="","",IF(AB77&lt;'Rate &amp; Vol Update'!$C$2,0,((((((IF('Adjustment Surface'!$C$2='Data Validation'!$A$2,AH77,IF('Adjustment Surface'!$C$2='Data Validation'!$A$3,AG77,"Unknown Option Type"))-IF('Adjustment Surface'!$C$2='Data Validation'!$A$2,AG77,IF('Adjustment Surface'!$C$2='Data Validation'!$A$3,AH77,"Unknown Option Type")))*(NORMDIST((IF('Adjustment Surface'!$C$2='Data Validation'!$A$2,AH77,IF('Adjustment Surface'!$C$2='Data Validation'!$A$3,AG77,"Unknown Option Type"))-IF('Adjustment Surface'!$C$2='Data Validation'!$A$2,AG77,IF('Adjustment Surface'!$C$2='Data Validation'!$A$3,AH77,"Unknown Option Type")))/((AI77+0.01%)*SQRT(AE77)),0,1,TRUE)))+(((AI77+0.01%)*SQRT(AE77))*(NORMDIST((IF('Adjustment Surface'!$C$2='Data Validation'!$A$2,AH77,IF('Adjustment Surface'!$C$2='Data Validation'!$A$3,AG77,"Unknown Option Type"))-IF('Adjustment Surface'!$C$2='Data Validation'!$A$2,AG77,IF('Adjustment Surface'!$C$2='Data Validation'!$A$3,AH77,"Unknown Option Type")))/((AI77+0.01%)*SQRT(AE77)),0,1,FALSE))))*AJ77*(AD77/360))-(AL77/AF77))*AF77)*AJ77))</f>
        <v/>
      </c>
      <c r="AP77" s="15" t="str">
        <f>IF(AA77="","",SUM(AO$4:AO77))</f>
        <v/>
      </c>
      <c r="AQ77" s="15"/>
      <c r="AR77" s="20"/>
      <c r="AT77" s="4" t="str">
        <f>IF(AU76=MAX('Adjustment Surface'!$C$14:$F$14),"",AU76)</f>
        <v/>
      </c>
      <c r="AU77" s="4" t="str">
        <f>IF(AT77="","",IF(AT77&lt;EDATE('Adjustment Surface'!$C$6,DATEDIF('Adjustment Surface'!$C$6,MAX('Adjustment Surface'!$C$14:$F$14),"M")),EDATE(AT$5,COUNT(AT$5:AT77)),IF(AT77=EDATE('Adjustment Surface'!$C$6,DATEDIF('Adjustment Surface'!$C$6,MAX('Adjustment Surface'!$C$14:$F$14),"M")),MAX('Adjustment Surface'!$C$14:$F$14),EDATE('Adjustment Surface'!$C$6,DATEDIF('Adjustment Surface'!$C$6,MAX('Adjustment Surface'!$C$14:$F$14),"M")))))</f>
        <v/>
      </c>
      <c r="AV77" s="3" t="str">
        <f t="shared" si="8"/>
        <v/>
      </c>
      <c r="AW77" s="5" t="str">
        <f>IF(AS77="","",(AU77-'Rate &amp; Vol Update'!$C$2)/360)</f>
        <v/>
      </c>
      <c r="AX77" s="15" t="str">
        <f>IF(AS77="","",IF('Adjustment Surface'!$C$3='Data Validation'!$C$2,'Adjustment Surface'!$C$4,_xlfn.IFNA(IF(INDEX(Schedules!$E$3:$E$123,MATCH('Bachelier Model'!AT77,Schedules!$B$3:$B$123,0))="",AX76,INDEX(Schedules!$E$3:$E$123,MATCH('Bachelier Model'!AT77,Schedules!$B$3:$B$123,0))),AX76)))</f>
        <v/>
      </c>
      <c r="AY77" s="16" t="str">
        <f>IF(AS77="","",'Adjustment Surface'!B$16)</f>
        <v/>
      </c>
      <c r="AZ77" s="16" t="str" cm="1">
        <f t="array" ref="AZ77">IF(AS77="","",FORECAST(AT77,INDEX('Rate &amp; Vol Update'!$C$6:$C$127,MATCH(INDEX('Rate &amp; Vol Update'!$B$6:$B$127,MATCH(AT77,'Rate &amp; Vol Update'!$B$6:$B$127,1)),'Rate &amp; Vol Update'!$B$6:$B$127,0)+IF('Adjustment Surface'!$C$11='Data Validation'!$E$3,-1,0)):INDEX('Rate &amp; Vol Update'!$C$6:$C$127,MATCH(INDEX('Rate &amp; Vol Update'!$B$6:$B$127,MATCH(AT77,'Rate &amp; Vol Update'!$B$6:$B$127,1)+1),'Rate &amp; Vol Update'!$B$6:$B$127,0)+IF('Adjustment Surface'!$C$11='Data Validation'!$E$3,-1,0)),INDEX('Rate &amp; Vol Update'!$B$6:$B$127,MATCH(AT77,'Rate &amp; Vol Update'!$B$6:$B$127,1)):INDEX('Rate &amp; Vol Update'!$B$6:$B$127,MATCH(AT77,'Rate &amp; Vol Update'!$B$6:$B$127,1)+1))/100)</f>
        <v/>
      </c>
      <c r="BA77" s="16" t="str" cm="1">
        <f t="array" ref="BA77">IF(AS77="","",IF(AT77&lt;'Rate &amp; Vol Update'!$C$2,0.001%,(1/((INDEX('Rate &amp; Vol Update'!$E$6:$Z$6,1,MATCH(AY77,'Rate &amp; Vol Update'!$E$6:$Z$6,1)+1)-INDEX('Rate &amp; Vol Update'!$E$6:$Z$6,1,MATCH(AY77,'Rate &amp; Vol Update'!$E$6:$Z$6,1)))*(INDEX('Rate &amp; Vol Update'!$B$8:$B$127,MATCH(AT77,'Rate &amp; Vol Update'!$B$8:$B$127,1)+1)-INDEX('Rate &amp; Vol Update'!$B$8:$B$127,MATCH(AT77,'Rate &amp; Vol Update'!$B$8:$B$127,1))))*(INDEX('Rate &amp; Vol Update'!$E$8:$Z$127,MATCH(INDEX('Rate &amp; Vol Update'!$B$8:$B$127,MATCH(AT77,'Rate &amp; Vol Update'!$B$8:$B$127,1)),'Rate &amp; Vol Update'!$B$8:$B$127,0),MATCH(INDEX('Rate &amp; Vol Update'!$E$6:$Z$6,1,MATCH(AY77,'Rate &amp; Vol Update'!$E$6:$Z$6,1)),'Rate &amp; Vol Update'!$E$6:$Z$6,0))*(INDEX('Rate &amp; Vol Update'!$E$6:$Z$6,1,MATCH(AY77,'Rate &amp; Vol Update'!$E$6:$Z$6,1)+1)-AY77)*(INDEX('Rate &amp; Vol Update'!$B$8:$B$127,MATCH(AT77,'Rate &amp; Vol Update'!$B$8:$B$127,1)+1)-AT77)+INDEX('Rate &amp; Vol Update'!$E$8:$Z$127,MATCH(INDEX('Rate &amp; Vol Update'!$B$8:$B$127,MATCH(AT77,'Rate &amp; Vol Update'!$B$8:$B$127,1)),'Rate &amp; Vol Update'!$B$8:$B$127,0),MATCH(INDEX('Rate &amp; Vol Update'!$E$6:$Z$6,1,MATCH(AY77,'Rate &amp; Vol Update'!$E$6:$Z$6,1)+1),'Rate &amp; Vol Update'!$E$6:$Z$6,0))*(AY77-INDEX('Rate &amp; Vol Update'!$E$6:$Z$6,1,MATCH(AY77,'Rate &amp; Vol Update'!$E$6:$Z$6,1)))*(INDEX('Rate &amp; Vol Update'!$B$8:$B$127,MATCH(AT77,'Rate &amp; Vol Update'!$B$8:$B$127,1)+1)-AT77)+INDEX('Rate &amp; Vol Update'!$E$8:$Z$127,MATCH(INDEX('Rate &amp; Vol Update'!$B$8:$B$127,MATCH(AT77,'Rate &amp; Vol Update'!$B$8:$B$127,1)+1),'Rate &amp; Vol Update'!$B$8:$B$127,0),MATCH(INDEX('Rate &amp; Vol Update'!$E$6:$Z$6,1,MATCH(AY77,'Rate &amp; Vol Update'!$E$6:$Z$6,1)),'Rate &amp; Vol Update'!$E$6:$Z$6,0))*(INDEX('Rate &amp; Vol Update'!$E$6:$Z$6,1,MATCH(AY77,'Rate &amp; Vol Update'!$E$6:$Z$6,1)+1)-AY77)*(AT77-INDEX('Rate &amp; Vol Update'!$B$8:$B$127,MATCH(AT77,'Rate &amp; Vol Update'!$B$8:$B$127,1)))+INDEX('Rate &amp; Vol Update'!$E$8:$Z$127,MATCH(INDEX('Rate &amp; Vol Update'!$B$8:$B$127,MATCH(AT77,'Rate &amp; Vol Update'!$B$8:$B$127,1)+1),'Rate &amp; Vol Update'!$B$8:$B$127,0),MATCH(INDEX('Rate &amp; Vol Update'!$E$6:$Z$6,1,MATCH(AY77,'Rate &amp; Vol Update'!$E$6:$Z$6,1)+1),'Rate &amp; Vol Update'!$E$6:$Z$6,0))*(AY77-INDEX('Rate &amp; Vol Update'!$E$6:$Z$6,1,MATCH(AY77,'Rate &amp; Vol Update'!$E$6:$Z$6,1)))*(AT77-INDEX('Rate &amp; Vol Update'!$B$8:$B$127,MATCH(AT77,'Rate &amp; Vol Update'!$B$8:$B$127,1)))))*0.01%))</f>
        <v/>
      </c>
      <c r="BB77" s="5" t="str">
        <f>IF(AS77="","",1/((1+AZ77)^((AU77-'Rate &amp; Vol Update'!$C$2)/360)))</f>
        <v/>
      </c>
      <c r="BD77" s="15" t="str">
        <f>IF(AS77="","",IF(AT77&lt;'Rate &amp; Vol Update'!$C$2,MAX(0,AZ77-AY77)*(AV77/360)*AX77,(((IF('Adjustment Surface'!$C$2='Data Validation'!$A$2,AZ77,IF('Adjustment Surface'!$C$2='Data Validation'!$A$3,AY77,"Unknown Option Type"))-IF('Adjustment Surface'!$C$2='Data Validation'!$A$2,AY77,IF('Adjustment Surface'!$C$2='Data Validation'!$A$3,AZ77,"Unknown Option Type")))*(NORMDIST((IF('Adjustment Surface'!$C$2='Data Validation'!$A$2,AZ77,IF('Adjustment Surface'!$C$2='Data Validation'!$A$3,AY77,"Unknown Option Type"))-IF('Adjustment Surface'!$C$2='Data Validation'!$A$2,AY77,IF('Adjustment Surface'!$C$2='Data Validation'!$A$3,AZ77,"Unknown Option Type")))/(BA77*SQRT(AW77)),0,1,TRUE)))+((BA77*SQRT(AW77))*(NORMDIST((IF('Adjustment Surface'!$C$2='Data Validation'!$A$2,AZ77,IF('Adjustment Surface'!$C$2='Data Validation'!$A$3,AY77,"Unknown Option Type"))-IF('Adjustment Surface'!$C$2='Data Validation'!$A$2,AY77,IF('Adjustment Surface'!$C$2='Data Validation'!$A$3,AZ77,"Unknown Option Type")))/(BA77*SQRT(AW77)),0,1,FALSE))))*BB77*(AV77/360)*AX77))</f>
        <v/>
      </c>
      <c r="BE77" s="15" t="str">
        <f>IF(AS77="","",SUM(BD$4:BD77))</f>
        <v/>
      </c>
      <c r="BG77" s="15" t="str">
        <f>IF(AS77="","",IF(AT77&lt;'Rate &amp; Vol Update'!$C$2,0,((((((IF('Adjustment Surface'!$C$2='Data Validation'!$A$2,AZ77,IF('Adjustment Surface'!$C$2='Data Validation'!$A$3,AY77,"Unknown Option Type"))-IF('Adjustment Surface'!$C$2='Data Validation'!$A$2,AY77,IF('Adjustment Surface'!$C$2='Data Validation'!$A$3,AZ77,"Unknown Option Type")))*(NORMDIST((IF('Adjustment Surface'!$C$2='Data Validation'!$A$2,AZ77,IF('Adjustment Surface'!$C$2='Data Validation'!$A$3,AY77,"Unknown Option Type"))-IF('Adjustment Surface'!$C$2='Data Validation'!$A$2,AY77,IF('Adjustment Surface'!$C$2='Data Validation'!$A$3,AZ77,"Unknown Option Type")))/((BA77+0.01%)*SQRT(AW77)),0,1,TRUE)))+(((BA77+0.01%)*SQRT(AW77))*(NORMDIST((IF('Adjustment Surface'!$C$2='Data Validation'!$A$2,AZ77,IF('Adjustment Surface'!$C$2='Data Validation'!$A$3,AY77,"Unknown Option Type"))-IF('Adjustment Surface'!$C$2='Data Validation'!$A$2,AY77,IF('Adjustment Surface'!$C$2='Data Validation'!$A$3,AZ77,"Unknown Option Type")))/((BA77+0.01%)*SQRT(AW77)),0,1,FALSE))))*BB77*(AV77/360))-(BD77/AX77))*AX77)*BB77))</f>
        <v/>
      </c>
      <c r="BH77" s="15" t="str">
        <f>IF(AS77="","",SUM(BG$4:BG77))</f>
        <v/>
      </c>
      <c r="BI77" s="15"/>
      <c r="BJ77" s="20"/>
      <c r="BL77" s="4" t="str">
        <f>IF(BM76=MAX('Adjustment Surface'!$C$14:$F$14),"",BM76)</f>
        <v/>
      </c>
      <c r="BM77" s="4" t="str">
        <f>IF(BL77="","",IF(BL77&lt;EDATE('Adjustment Surface'!$C$6,DATEDIF('Adjustment Surface'!$C$6,MAX('Adjustment Surface'!$C$14:$F$14),"M")),EDATE(BL$5,COUNT(BL$5:BL77)),IF(BL77=EDATE('Adjustment Surface'!$C$6,DATEDIF('Adjustment Surface'!$C$6,MAX('Adjustment Surface'!$C$14:$F$14),"M")),MAX('Adjustment Surface'!$C$14:$F$14),EDATE('Adjustment Surface'!$C$6,DATEDIF('Adjustment Surface'!$C$6,MAX('Adjustment Surface'!$C$14:$F$14),"M")))))</f>
        <v/>
      </c>
      <c r="BN77" s="3" t="str">
        <f t="shared" si="9"/>
        <v/>
      </c>
      <c r="BO77" s="5" t="str">
        <f>IF(BK77="","",(BM77-'Rate &amp; Vol Update'!$C$2)/360)</f>
        <v/>
      </c>
      <c r="BP77" s="15" t="str">
        <f>IF(BK77="","",IF('Adjustment Surface'!$C$3='Data Validation'!$C$2,'Adjustment Surface'!$C$4,_xlfn.IFNA(IF(INDEX(Schedules!$E$3:$E$123,MATCH('Bachelier Model'!BL77,Schedules!$B$3:$B$123,0))="",BP76,INDEX(Schedules!$E$3:$E$123,MATCH('Bachelier Model'!BL77,Schedules!$B$3:$B$123,0))),BP76)))</f>
        <v/>
      </c>
      <c r="BQ77" s="16" t="str">
        <f>IF(BK77="","",'Adjustment Surface'!B$17)</f>
        <v/>
      </c>
      <c r="BR77" s="16" t="str" cm="1">
        <f t="array" ref="BR77">IF(BK77="","",FORECAST(BL77,INDEX('Rate &amp; Vol Update'!$C$6:$C$127,MATCH(INDEX('Rate &amp; Vol Update'!$B$6:$B$127,MATCH(BL77,'Rate &amp; Vol Update'!$B$6:$B$127,1)),'Rate &amp; Vol Update'!$B$6:$B$127,0)+IF('Adjustment Surface'!$C$11='Data Validation'!$E$3,-1,0)):INDEX('Rate &amp; Vol Update'!$C$6:$C$127,MATCH(INDEX('Rate &amp; Vol Update'!$B$6:$B$127,MATCH(BL77,'Rate &amp; Vol Update'!$B$6:$B$127,1)+1),'Rate &amp; Vol Update'!$B$6:$B$127,0)+IF('Adjustment Surface'!$C$11='Data Validation'!$E$3,-1,0)),INDEX('Rate &amp; Vol Update'!$B$6:$B$127,MATCH(BL77,'Rate &amp; Vol Update'!$B$6:$B$127,1)):INDEX('Rate &amp; Vol Update'!$B$6:$B$127,MATCH(BL77,'Rate &amp; Vol Update'!$B$6:$B$127,1)+1))/100)</f>
        <v/>
      </c>
      <c r="BS77" s="16" t="str" cm="1">
        <f t="array" ref="BS77">IF(BK77="","",IF(BL77&lt;'Rate &amp; Vol Update'!$C$2,0.001%,(1/((INDEX('Rate &amp; Vol Update'!$E$6:$Z$6,1,MATCH(BQ77,'Rate &amp; Vol Update'!$E$6:$Z$6,1)+1)-INDEX('Rate &amp; Vol Update'!$E$6:$Z$6,1,MATCH(BQ77,'Rate &amp; Vol Update'!$E$6:$Z$6,1)))*(INDEX('Rate &amp; Vol Update'!$B$8:$B$127,MATCH(BL77,'Rate &amp; Vol Update'!$B$8:$B$127,1)+1)-INDEX('Rate &amp; Vol Update'!$B$8:$B$127,MATCH(BL77,'Rate &amp; Vol Update'!$B$8:$B$127,1))))*(INDEX('Rate &amp; Vol Update'!$E$8:$Z$127,MATCH(INDEX('Rate &amp; Vol Update'!$B$8:$B$127,MATCH(BL77,'Rate &amp; Vol Update'!$B$8:$B$127,1)),'Rate &amp; Vol Update'!$B$8:$B$127,0),MATCH(INDEX('Rate &amp; Vol Update'!$E$6:$Z$6,1,MATCH(BQ77,'Rate &amp; Vol Update'!$E$6:$Z$6,1)),'Rate &amp; Vol Update'!$E$6:$Z$6,0))*(INDEX('Rate &amp; Vol Update'!$E$6:$Z$6,1,MATCH(BQ77,'Rate &amp; Vol Update'!$E$6:$Z$6,1)+1)-BQ77)*(INDEX('Rate &amp; Vol Update'!$B$8:$B$127,MATCH(BL77,'Rate &amp; Vol Update'!$B$8:$B$127,1)+1)-BL77)+INDEX('Rate &amp; Vol Update'!$E$8:$Z$127,MATCH(INDEX('Rate &amp; Vol Update'!$B$8:$B$127,MATCH(BL77,'Rate &amp; Vol Update'!$B$8:$B$127,1)),'Rate &amp; Vol Update'!$B$8:$B$127,0),MATCH(INDEX('Rate &amp; Vol Update'!$E$6:$Z$6,1,MATCH(BQ77,'Rate &amp; Vol Update'!$E$6:$Z$6,1)+1),'Rate &amp; Vol Update'!$E$6:$Z$6,0))*(BQ77-INDEX('Rate &amp; Vol Update'!$E$6:$Z$6,1,MATCH(BQ77,'Rate &amp; Vol Update'!$E$6:$Z$6,1)))*(INDEX('Rate &amp; Vol Update'!$B$8:$B$127,MATCH(BL77,'Rate &amp; Vol Update'!$B$8:$B$127,1)+1)-BL77)+INDEX('Rate &amp; Vol Update'!$E$8:$Z$127,MATCH(INDEX('Rate &amp; Vol Update'!$B$8:$B$127,MATCH(BL77,'Rate &amp; Vol Update'!$B$8:$B$127,1)+1),'Rate &amp; Vol Update'!$B$8:$B$127,0),MATCH(INDEX('Rate &amp; Vol Update'!$E$6:$Z$6,1,MATCH(BQ77,'Rate &amp; Vol Update'!$E$6:$Z$6,1)),'Rate &amp; Vol Update'!$E$6:$Z$6,0))*(INDEX('Rate &amp; Vol Update'!$E$6:$Z$6,1,MATCH(BQ77,'Rate &amp; Vol Update'!$E$6:$Z$6,1)+1)-BQ77)*(BL77-INDEX('Rate &amp; Vol Update'!$B$8:$B$127,MATCH(BL77,'Rate &amp; Vol Update'!$B$8:$B$127,1)))+INDEX('Rate &amp; Vol Update'!$E$8:$Z$127,MATCH(INDEX('Rate &amp; Vol Update'!$B$8:$B$127,MATCH(BL77,'Rate &amp; Vol Update'!$B$8:$B$127,1)+1),'Rate &amp; Vol Update'!$B$8:$B$127,0),MATCH(INDEX('Rate &amp; Vol Update'!$E$6:$Z$6,1,MATCH(BQ77,'Rate &amp; Vol Update'!$E$6:$Z$6,1)+1),'Rate &amp; Vol Update'!$E$6:$Z$6,0))*(BQ77-INDEX('Rate &amp; Vol Update'!$E$6:$Z$6,1,MATCH(BQ77,'Rate &amp; Vol Update'!$E$6:$Z$6,1)))*(BL77-INDEX('Rate &amp; Vol Update'!$B$8:$B$127,MATCH(BL77,'Rate &amp; Vol Update'!$B$8:$B$127,1)))))*0.01%))</f>
        <v/>
      </c>
      <c r="BT77" s="5" t="str">
        <f>IF(BK77="","",1/((1+BR77)^((BM77-'Rate &amp; Vol Update'!$C$2)/360)))</f>
        <v/>
      </c>
      <c r="BV77" s="15" t="str">
        <f>IF(BK77="","",IF(BL77&lt;'Rate &amp; Vol Update'!$C$2,MAX(0,BR77-BQ77)*(BN77/360)*BP77,(((IF('Adjustment Surface'!$C$2='Data Validation'!$A$2,BR77,IF('Adjustment Surface'!$C$2='Data Validation'!$A$3,BQ77,"Unknown Option Type"))-IF('Adjustment Surface'!$C$2='Data Validation'!$A$2,BQ77,IF('Adjustment Surface'!$C$2='Data Validation'!$A$3,BR77,"Unknown Option Type")))*(NORMDIST((IF('Adjustment Surface'!$C$2='Data Validation'!$A$2,BR77,IF('Adjustment Surface'!$C$2='Data Validation'!$A$3,BQ77,"Unknown Option Type"))-IF('Adjustment Surface'!$C$2='Data Validation'!$A$2,BQ77,IF('Adjustment Surface'!$C$2='Data Validation'!$A$3,BR77,"Unknown Option Type")))/(BS77*SQRT(BO77)),0,1,TRUE)))+((BS77*SQRT(BO77))*(NORMDIST((IF('Adjustment Surface'!$C$2='Data Validation'!$A$2,BR77,IF('Adjustment Surface'!$C$2='Data Validation'!$A$3,BQ77,"Unknown Option Type"))-IF('Adjustment Surface'!$C$2='Data Validation'!$A$2,BQ77,IF('Adjustment Surface'!$C$2='Data Validation'!$A$3,BR77,"Unknown Option Type")))/(BS77*SQRT(BO77)),0,1,FALSE))))*BT77*(BN77/360)*BP77))</f>
        <v/>
      </c>
      <c r="BW77" s="15" t="str">
        <f>IF(BK77="","",SUM(BV$4:BV77))</f>
        <v/>
      </c>
      <c r="BY77" s="15" t="str">
        <f>IF(BK77="","",IF(BL77&lt;'Rate &amp; Vol Update'!$C$2,0,((((((IF('Adjustment Surface'!$C$2='Data Validation'!$A$2,BR77,IF('Adjustment Surface'!$C$2='Data Validation'!$A$3,BQ77,"Unknown Option Type"))-IF('Adjustment Surface'!$C$2='Data Validation'!$A$2,BQ77,IF('Adjustment Surface'!$C$2='Data Validation'!$A$3,BR77,"Unknown Option Type")))*(NORMDIST((IF('Adjustment Surface'!$C$2='Data Validation'!$A$2,BR77,IF('Adjustment Surface'!$C$2='Data Validation'!$A$3,BQ77,"Unknown Option Type"))-IF('Adjustment Surface'!$C$2='Data Validation'!$A$2,BQ77,IF('Adjustment Surface'!$C$2='Data Validation'!$A$3,BR77,"Unknown Option Type")))/((BS77+0.01%)*SQRT(BO77)),0,1,TRUE)))+(((BS77+0.01%)*SQRT(BO77))*(NORMDIST((IF('Adjustment Surface'!$C$2='Data Validation'!$A$2,BR77,IF('Adjustment Surface'!$C$2='Data Validation'!$A$3,BQ77,"Unknown Option Type"))-IF('Adjustment Surface'!$C$2='Data Validation'!$A$2,BQ77,IF('Adjustment Surface'!$C$2='Data Validation'!$A$3,BR77,"Unknown Option Type")))/((BS77+0.01%)*SQRT(BO77)),0,1,FALSE))))*BT77*(BN77/360))-(BV77/BP77))*BP77)*BT77))</f>
        <v/>
      </c>
      <c r="BZ77" s="15" t="str">
        <f>IF(BK77="","",SUM(BY$4:BY77))</f>
        <v/>
      </c>
      <c r="CA77" s="15"/>
      <c r="CB77" s="20"/>
      <c r="CD77" s="4" t="str">
        <f>IF(CE76=MAX('Adjustment Surface'!$C$14:$F$14),"",CE76)</f>
        <v/>
      </c>
      <c r="CE77" s="4" t="str">
        <f>IF(CD77="","",IF(CD77&lt;EDATE('Adjustment Surface'!$C$6,DATEDIF('Adjustment Surface'!$C$6,MAX('Adjustment Surface'!$C$14:$F$14),"M")),EDATE(CD$5,COUNT(CD$5:CD77)),IF(CD77=EDATE('Adjustment Surface'!$C$6,DATEDIF('Adjustment Surface'!$C$6,MAX('Adjustment Surface'!$C$14:$F$14),"M")),MAX('Adjustment Surface'!$C$14:$F$14),EDATE('Adjustment Surface'!$C$6,DATEDIF('Adjustment Surface'!$C$6,MAX('Adjustment Surface'!$C$14:$F$14),"M")))))</f>
        <v/>
      </c>
      <c r="CF77" s="3" t="str">
        <f t="shared" si="10"/>
        <v/>
      </c>
      <c r="CG77" s="5" t="str">
        <f>IF(CC77="","",(CE77-'Rate &amp; Vol Update'!$C$2)/360)</f>
        <v/>
      </c>
      <c r="CH77" s="15" t="str">
        <f>IF(CC77="","",IF('Adjustment Surface'!$C$3='Data Validation'!$C$2,'Adjustment Surface'!$C$4,_xlfn.IFNA(IF(INDEX(Schedules!$E$3:$E$123,MATCH('Bachelier Model'!CD77,Schedules!$B$3:$B$123,0))="",CH76,INDEX(Schedules!$E$3:$E$123,MATCH('Bachelier Model'!CD77,Schedules!$B$3:$B$123,0))),CH76)))</f>
        <v/>
      </c>
      <c r="CI77" s="16" t="str">
        <f>IF(CC77="","",'Adjustment Surface'!B$18)</f>
        <v/>
      </c>
      <c r="CJ77" s="16" t="str" cm="1">
        <f t="array" ref="CJ77">IF(CC77="","",FORECAST(CD77,INDEX('Rate &amp; Vol Update'!$C$6:$C$127,MATCH(INDEX('Rate &amp; Vol Update'!$B$6:$B$127,MATCH(CD77,'Rate &amp; Vol Update'!$B$6:$B$127,1)),'Rate &amp; Vol Update'!$B$6:$B$127,0)+IF('Adjustment Surface'!$C$11='Data Validation'!$E$3,-1,0)):INDEX('Rate &amp; Vol Update'!$C$6:$C$127,MATCH(INDEX('Rate &amp; Vol Update'!$B$6:$B$127,MATCH(CD77,'Rate &amp; Vol Update'!$B$6:$B$127,1)+1),'Rate &amp; Vol Update'!$B$6:$B$127,0)+IF('Adjustment Surface'!$C$11='Data Validation'!$E$3,-1,0)),INDEX('Rate &amp; Vol Update'!$B$6:$B$127,MATCH(CD77,'Rate &amp; Vol Update'!$B$6:$B$127,1)):INDEX('Rate &amp; Vol Update'!$B$6:$B$127,MATCH(CD77,'Rate &amp; Vol Update'!$B$6:$B$127,1)+1))/100)</f>
        <v/>
      </c>
      <c r="CK77" s="16" t="str" cm="1">
        <f t="array" ref="CK77">IF(CC77="","",IF(CD77&lt;'Rate &amp; Vol Update'!$C$2,0.001%,(1/((INDEX('Rate &amp; Vol Update'!$E$6:$Z$6,1,MATCH(CI77,'Rate &amp; Vol Update'!$E$6:$Z$6,1)+1)-INDEX('Rate &amp; Vol Update'!$E$6:$Z$6,1,MATCH(CI77,'Rate &amp; Vol Update'!$E$6:$Z$6,1)))*(INDEX('Rate &amp; Vol Update'!$B$8:$B$127,MATCH(CD77,'Rate &amp; Vol Update'!$B$8:$B$127,1)+1)-INDEX('Rate &amp; Vol Update'!$B$8:$B$127,MATCH(CD77,'Rate &amp; Vol Update'!$B$8:$B$127,1))))*(INDEX('Rate &amp; Vol Update'!$E$8:$Z$127,MATCH(INDEX('Rate &amp; Vol Update'!$B$8:$B$127,MATCH(CD77,'Rate &amp; Vol Update'!$B$8:$B$127,1)),'Rate &amp; Vol Update'!$B$8:$B$127,0),MATCH(INDEX('Rate &amp; Vol Update'!$E$6:$Z$6,1,MATCH(CI77,'Rate &amp; Vol Update'!$E$6:$Z$6,1)),'Rate &amp; Vol Update'!$E$6:$Z$6,0))*(INDEX('Rate &amp; Vol Update'!$E$6:$Z$6,1,MATCH(CI77,'Rate &amp; Vol Update'!$E$6:$Z$6,1)+1)-CI77)*(INDEX('Rate &amp; Vol Update'!$B$8:$B$127,MATCH(CD77,'Rate &amp; Vol Update'!$B$8:$B$127,1)+1)-CD77)+INDEX('Rate &amp; Vol Update'!$E$8:$Z$127,MATCH(INDEX('Rate &amp; Vol Update'!$B$8:$B$127,MATCH(CD77,'Rate &amp; Vol Update'!$B$8:$B$127,1)),'Rate &amp; Vol Update'!$B$8:$B$127,0),MATCH(INDEX('Rate &amp; Vol Update'!$E$6:$Z$6,1,MATCH(CI77,'Rate &amp; Vol Update'!$E$6:$Z$6,1)+1),'Rate &amp; Vol Update'!$E$6:$Z$6,0))*(CI77-INDEX('Rate &amp; Vol Update'!$E$6:$Z$6,1,MATCH(CI77,'Rate &amp; Vol Update'!$E$6:$Z$6,1)))*(INDEX('Rate &amp; Vol Update'!$B$8:$B$127,MATCH(CD77,'Rate &amp; Vol Update'!$B$8:$B$127,1)+1)-CD77)+INDEX('Rate &amp; Vol Update'!$E$8:$Z$127,MATCH(INDEX('Rate &amp; Vol Update'!$B$8:$B$127,MATCH(CD77,'Rate &amp; Vol Update'!$B$8:$B$127,1)+1),'Rate &amp; Vol Update'!$B$8:$B$127,0),MATCH(INDEX('Rate &amp; Vol Update'!$E$6:$Z$6,1,MATCH(CI77,'Rate &amp; Vol Update'!$E$6:$Z$6,1)),'Rate &amp; Vol Update'!$E$6:$Z$6,0))*(INDEX('Rate &amp; Vol Update'!$E$6:$Z$6,1,MATCH(CI77,'Rate &amp; Vol Update'!$E$6:$Z$6,1)+1)-CI77)*(CD77-INDEX('Rate &amp; Vol Update'!$B$8:$B$127,MATCH(CD77,'Rate &amp; Vol Update'!$B$8:$B$127,1)))+INDEX('Rate &amp; Vol Update'!$E$8:$Z$127,MATCH(INDEX('Rate &amp; Vol Update'!$B$8:$B$127,MATCH(CD77,'Rate &amp; Vol Update'!$B$8:$B$127,1)+1),'Rate &amp; Vol Update'!$B$8:$B$127,0),MATCH(INDEX('Rate &amp; Vol Update'!$E$6:$Z$6,1,MATCH(CI77,'Rate &amp; Vol Update'!$E$6:$Z$6,1)+1),'Rate &amp; Vol Update'!$E$6:$Z$6,0))*(CI77-INDEX('Rate &amp; Vol Update'!$E$6:$Z$6,1,MATCH(CI77,'Rate &amp; Vol Update'!$E$6:$Z$6,1)))*(CD77-INDEX('Rate &amp; Vol Update'!$B$8:$B$127,MATCH(CD77,'Rate &amp; Vol Update'!$B$8:$B$127,1)))))*0.01%))</f>
        <v/>
      </c>
      <c r="CL77" s="5" t="str">
        <f>IF(CC77="","",1/((1+CJ77)^((CE77-'Rate &amp; Vol Update'!$C$2)/360)))</f>
        <v/>
      </c>
      <c r="CN77" s="15" t="str">
        <f>IF(CC77="","",IF(CD77&lt;'Rate &amp; Vol Update'!$C$2,MAX(0,CJ77-CI77)*(CF77/360)*CH77,(((IF('Adjustment Surface'!$C$2='Data Validation'!$A$2,CJ77,IF('Adjustment Surface'!$C$2='Data Validation'!$A$3,CI77,"Unknown Option Type"))-IF('Adjustment Surface'!$C$2='Data Validation'!$A$2,CI77,IF('Adjustment Surface'!$C$2='Data Validation'!$A$3,CJ77,"Unknown Option Type")))*(NORMDIST((IF('Adjustment Surface'!$C$2='Data Validation'!$A$2,CJ77,IF('Adjustment Surface'!$C$2='Data Validation'!$A$3,CI77,"Unknown Option Type"))-IF('Adjustment Surface'!$C$2='Data Validation'!$A$2,CI77,IF('Adjustment Surface'!$C$2='Data Validation'!$A$3,CJ77,"Unknown Option Type")))/(CK77*SQRT(CG77)),0,1,TRUE)))+((CK77*SQRT(CG77))*(NORMDIST((IF('Adjustment Surface'!$C$2='Data Validation'!$A$2,CJ77,IF('Adjustment Surface'!$C$2='Data Validation'!$A$3,CI77,"Unknown Option Type"))-IF('Adjustment Surface'!$C$2='Data Validation'!$A$2,CI77,IF('Adjustment Surface'!$C$2='Data Validation'!$A$3,CJ77,"Unknown Option Type")))/(CK77*SQRT(CG77)),0,1,FALSE))))*CL77*(CF77/360)*CH77))</f>
        <v/>
      </c>
      <c r="CO77" s="15" t="str">
        <f>IF(CC77="","",SUM(CN$4:CN77))</f>
        <v/>
      </c>
      <c r="CQ77" s="15" t="str">
        <f>IF(CC77="","",IF(CD77&lt;'Rate &amp; Vol Update'!$C$2,0,((((((IF('Adjustment Surface'!$C$2='Data Validation'!$A$2,CJ77,IF('Adjustment Surface'!$C$2='Data Validation'!$A$3,CI77,"Unknown Option Type"))-IF('Adjustment Surface'!$C$2='Data Validation'!$A$2,CI77,IF('Adjustment Surface'!$C$2='Data Validation'!$A$3,CJ77,"Unknown Option Type")))*(NORMDIST((IF('Adjustment Surface'!$C$2='Data Validation'!$A$2,CJ77,IF('Adjustment Surface'!$C$2='Data Validation'!$A$3,CI77,"Unknown Option Type"))-IF('Adjustment Surface'!$C$2='Data Validation'!$A$2,CI77,IF('Adjustment Surface'!$C$2='Data Validation'!$A$3,CJ77,"Unknown Option Type")))/((CK77+0.01%)*SQRT(CG77)),0,1,TRUE)))+(((CK77+0.01%)*SQRT(CG77))*(NORMDIST((IF('Adjustment Surface'!$C$2='Data Validation'!$A$2,CJ77,IF('Adjustment Surface'!$C$2='Data Validation'!$A$3,CI77,"Unknown Option Type"))-IF('Adjustment Surface'!$C$2='Data Validation'!$A$2,CI77,IF('Adjustment Surface'!$C$2='Data Validation'!$A$3,CJ77,"Unknown Option Type")))/((CK77+0.01%)*SQRT(CG77)),0,1,FALSE))))*CL77*(CF77/360))-(CN77/CH77))*CH77)*CL77))</f>
        <v/>
      </c>
      <c r="CR77" s="15" t="str">
        <f>IF(CC77="","",SUM(CQ$4:CQ77))</f>
        <v/>
      </c>
    </row>
    <row r="78" spans="7:96" x14ac:dyDescent="0.25">
      <c r="G78" s="28"/>
      <c r="J78" s="4" t="str">
        <f>IF(K77='Adjustment Surface'!C$8,"",K77)</f>
        <v/>
      </c>
      <c r="K78" s="4" t="str">
        <f>IF(J78="","",IF(J78&lt;'Adjustment Surface'!C$7,EDATE(J$5,COUNT(J$5:J78)),IF(J78='Adjustment Surface'!C$7,'Adjustment Surface'!C$8,'Adjustment Surface'!C$7)))</f>
        <v/>
      </c>
      <c r="L78" s="3" t="str">
        <f t="shared" si="6"/>
        <v/>
      </c>
      <c r="M78" s="5" t="str">
        <f>IF(I78="","",(K78-'Rate &amp; Vol Update'!$C$2)/360)</f>
        <v/>
      </c>
      <c r="N78" s="15" t="str">
        <f>IF(I78="","",IF('Adjustment Surface'!C$3='Data Validation'!$C$2,'Adjustment Surface'!C$4,IF(INDEX(Schedules!$E$3:$E$123,MATCH('Bachelier Model'!J78,Schedules!$B$3:$B$123,0))="",N77,INDEX(Schedules!$E$3:$E$123,MATCH('Bachelier Model'!J78,Schedules!$B$3:$B$123,0)))))</f>
        <v/>
      </c>
      <c r="O78" s="16" t="str">
        <f>IF(I78="","",IF('Adjustment Surface'!C$9='Data Validation'!$D$2,'Adjustment Surface'!C$10,IF(INDEX(Schedules!$H$3:$H$123,MATCH('Bachelier Model'!J78,Schedules!$B$3:$B$123,0))="",O77,INDEX(Schedules!$H$3:$H$123,MATCH('Bachelier Model'!J78,Schedules!$B$3:$B$123,0)))))</f>
        <v/>
      </c>
      <c r="P78" s="16" t="str" cm="1">
        <f t="array" ref="P78">IF(I78="","",FORECAST(J78,INDEX('Rate &amp; Vol Update'!$C$6:$C$127,MATCH(INDEX('Rate &amp; Vol Update'!$B$6:$B$127,MATCH(J78,'Rate &amp; Vol Update'!$B$6:$B$127,1)),'Rate &amp; Vol Update'!$B$6:$B$127,0)+IF('Adjustment Surface'!C$11='Data Validation'!$E$3,-1,0)):INDEX('Rate &amp; Vol Update'!$C$6:$C$127,MATCH(INDEX('Rate &amp; Vol Update'!$B$6:$B$127,MATCH(J78,'Rate &amp; Vol Update'!$B$6:$B$127,1)+1),'Rate &amp; Vol Update'!$B$6:$B$127,0)+IF('Adjustment Surface'!C$11='Data Validation'!$E$3,-1,0)),INDEX('Rate &amp; Vol Update'!$B$6:$B$127,MATCH(J78,'Rate &amp; Vol Update'!$B$6:$B$127,1)):INDEX('Rate &amp; Vol Update'!$B$6:$B$127,MATCH(J78,'Rate &amp; Vol Update'!$B$6:$B$127,1)+1))/100)</f>
        <v/>
      </c>
      <c r="Q78" s="16" t="str" cm="1">
        <f t="array" ref="Q78">IF(I78="","",IF(J78&lt;'Rate &amp; Vol Update'!$C$2,0.001%,(1/((INDEX('Rate &amp; Vol Update'!$E$6:$Z$6,1,MATCH(O78,'Rate &amp; Vol Update'!$E$6:$Z$6,1)+1)-INDEX('Rate &amp; Vol Update'!$E$6:$Z$6,1,MATCH(O78,'Rate &amp; Vol Update'!$E$6:$Z$6,1)))*(INDEX('Rate &amp; Vol Update'!$B$8:$B$127,MATCH(J78,'Rate &amp; Vol Update'!$B$8:$B$127,1)+1)-INDEX('Rate &amp; Vol Update'!$B$8:$B$127,MATCH(J78,'Rate &amp; Vol Update'!$B$8:$B$127,1))))*(INDEX('Rate &amp; Vol Update'!$E$8:$Z$127,MATCH(INDEX('Rate &amp; Vol Update'!$B$8:$B$127,MATCH(J78,'Rate &amp; Vol Update'!$B$8:$B$127,1)),'Rate &amp; Vol Update'!$B$8:$B$127,0),MATCH(INDEX('Rate &amp; Vol Update'!$E$6:$Z$6,1,MATCH(O78,'Rate &amp; Vol Update'!$E$6:$Z$6,1)),'Rate &amp; Vol Update'!$E$6:$Z$6,0))*(INDEX('Rate &amp; Vol Update'!$E$6:$Z$6,1,MATCH(O78,'Rate &amp; Vol Update'!$E$6:$Z$6,1)+1)-O78)*(INDEX('Rate &amp; Vol Update'!$B$8:$B$127,MATCH(J78,'Rate &amp; Vol Update'!$B$8:$B$127,1)+1)-J78)+INDEX('Rate &amp; Vol Update'!$E$8:$Z$127,MATCH(INDEX('Rate &amp; Vol Update'!$B$8:$B$127,MATCH(J78,'Rate &amp; Vol Update'!$B$8:$B$127,1)),'Rate &amp; Vol Update'!$B$8:$B$127,0),MATCH(INDEX('Rate &amp; Vol Update'!$E$6:$Z$6,1,MATCH(O78,'Rate &amp; Vol Update'!$E$6:$Z$6,1)+1),'Rate &amp; Vol Update'!$E$6:$Z$6,0))*(O78-INDEX('Rate &amp; Vol Update'!$E$6:$Z$6,1,MATCH(O78,'Rate &amp; Vol Update'!$E$6:$Z$6,1)))*(INDEX('Rate &amp; Vol Update'!$B$8:$B$127,MATCH(J78,'Rate &amp; Vol Update'!$B$8:$B$127,1)+1)-J78)+INDEX('Rate &amp; Vol Update'!$E$8:$Z$127,MATCH(INDEX('Rate &amp; Vol Update'!$B$8:$B$127,MATCH(J78,'Rate &amp; Vol Update'!$B$8:$B$127,1)+1),'Rate &amp; Vol Update'!$B$8:$B$127,0),MATCH(INDEX('Rate &amp; Vol Update'!$E$6:$Z$6,1,MATCH(O78,'Rate &amp; Vol Update'!$E$6:$Z$6,1)),'Rate &amp; Vol Update'!$E$6:$Z$6,0))*(INDEX('Rate &amp; Vol Update'!$E$6:$Z$6,1,MATCH(O78,'Rate &amp; Vol Update'!$E$6:$Z$6,1)+1)-O78)*(J78-INDEX('Rate &amp; Vol Update'!$B$8:$B$127,MATCH(J78,'Rate &amp; Vol Update'!$B$8:$B$127,1)))+INDEX('Rate &amp; Vol Update'!$E$8:$Z$127,MATCH(INDEX('Rate &amp; Vol Update'!$B$8:$B$127,MATCH(J78,'Rate &amp; Vol Update'!$B$8:$B$127,1)+1),'Rate &amp; Vol Update'!$B$8:$B$127,0),MATCH(INDEX('Rate &amp; Vol Update'!$E$6:$Z$6,1,MATCH(O78,'Rate &amp; Vol Update'!$E$6:$Z$6,1)+1),'Rate &amp; Vol Update'!$E$6:$Z$6,0))*(O78-INDEX('Rate &amp; Vol Update'!$E$6:$Z$6,1,MATCH(O78,'Rate &amp; Vol Update'!$E$6:$Z$6,1)))*(J78-INDEX('Rate &amp; Vol Update'!$B$8:$B$127,MATCH(J78,'Rate &amp; Vol Update'!$B$8:$B$127,1)))))*0.01%))</f>
        <v/>
      </c>
      <c r="R78" s="5" t="str">
        <f>IF(I78="","",1/((1+P78)^((K78-'Rate &amp; Vol Update'!$C$2)/360)))</f>
        <v/>
      </c>
      <c r="T78" s="15" t="str">
        <f>IF(I78="","",IF(J78&lt;'Rate &amp; Vol Update'!$C$2,MAX(0,P78-O78)*(L78/360)*N78,(((IF('Adjustment Surface'!C$2='Data Validation'!$A$2,P78,IF('Adjustment Surface'!C$2='Data Validation'!$A$3,O78,"Unknown Option Type"))-IF('Adjustment Surface'!C$2='Data Validation'!$A$2,O78,IF('Adjustment Surface'!C$2='Data Validation'!$A$3,P78,"Unknown Option Type")))*(NORMDIST((IF('Adjustment Surface'!C$2='Data Validation'!$A$2,P78,IF('Adjustment Surface'!C$2='Data Validation'!$A$3,O78,"Unknown Option Type"))-IF('Adjustment Surface'!C$2='Data Validation'!$A$2,O78,IF('Adjustment Surface'!C$2='Data Validation'!$A$3,P78,"Unknown Option Type")))/(Q78*SQRT(M78)),0,1,TRUE)))+((Q78*SQRT(M78))*(NORMDIST((IF('Adjustment Surface'!C$2='Data Validation'!$A$2,P78,IF('Adjustment Surface'!C$2='Data Validation'!$A$3,O78,"Unknown Option Type"))-IF('Adjustment Surface'!C$2='Data Validation'!$A$2,O78,IF('Adjustment Surface'!C$2='Data Validation'!$A$3,P78,"Unknown Option Type")))/(Q78*SQRT(M78)),0,1,FALSE))))*R78*(L78/360)*N78))</f>
        <v/>
      </c>
      <c r="U78" s="15" t="str">
        <f>IF(I78="","",SUM(T$4:T78))</f>
        <v/>
      </c>
      <c r="W78" s="15" t="str">
        <f>IF(I78="","",IF(J78&lt;'Rate &amp; Vol Update'!$C$2,0,((((((IF('Adjustment Surface'!C$2='Data Validation'!$A$2,P78,IF('Adjustment Surface'!C$2='Data Validation'!$A$3,O78,"Unknown Option Type"))-IF('Adjustment Surface'!C$2='Data Validation'!$A$2,O78,IF('Adjustment Surface'!C$2='Data Validation'!$A$3,P78,"Unknown Option Type")))*(NORMDIST((IF('Adjustment Surface'!C$2='Data Validation'!$A$2,P78,IF('Adjustment Surface'!C$2='Data Validation'!$A$3,O78,"Unknown Option Type"))-IF('Adjustment Surface'!C$2='Data Validation'!$A$2,O78,IF('Adjustment Surface'!C$2='Data Validation'!$A$3,P78,"Unknown Option Type")))/((Q78+0.01%)*SQRT(M78)),0,1,TRUE)))+(((Q78+0.01%)*SQRT(M78))*(NORMDIST((IF('Adjustment Surface'!C$2='Data Validation'!$A$2,P78,IF('Adjustment Surface'!C$2='Data Validation'!$A$3,O78,"Unknown Option Type"))-IF('Adjustment Surface'!C$2='Data Validation'!$A$2,O78,IF('Adjustment Surface'!C$2='Data Validation'!$A$3,P78,"Unknown Option Type")))/((Q78+0.01%)*SQRT(M78)),0,1,FALSE))))*R78*(L78/360))-(T78/N78))*N78)*R78))</f>
        <v/>
      </c>
      <c r="X78" s="15" t="str">
        <f>IF(I78="","",SUM(W$4:W78))</f>
        <v/>
      </c>
      <c r="Y78" s="15"/>
      <c r="Z78" s="20"/>
      <c r="AB78" s="4" t="str">
        <f>IF(AC77=MAX('Adjustment Surface'!$C$14:$F$14),"",AC77)</f>
        <v/>
      </c>
      <c r="AC78" s="4" t="str">
        <f>IF(AB78="","",IF(AB78&lt;EDATE('Adjustment Surface'!$C$6,DATEDIF('Adjustment Surface'!$C$6,MAX('Adjustment Surface'!$C$14:$F$14),"M")),EDATE(AB$5,COUNT(AB$5:AB78)),IF(AB78=EDATE('Adjustment Surface'!$C$6,DATEDIF('Adjustment Surface'!$C$6,MAX('Adjustment Surface'!$C$14:$F$14),"M")),MAX('Adjustment Surface'!$C$14:$F$14),EDATE('Adjustment Surface'!$C$6,DATEDIF('Adjustment Surface'!$C$6,MAX('Adjustment Surface'!$C$14:$F$14),"M")))))</f>
        <v/>
      </c>
      <c r="AD78" s="3" t="str">
        <f t="shared" si="7"/>
        <v/>
      </c>
      <c r="AE78" s="5" t="str">
        <f>IF(AA78="","",(AC78-'Rate &amp; Vol Update'!$C$2)/360)</f>
        <v/>
      </c>
      <c r="AF78" s="15" t="str">
        <f>IF(AA78="","",IF('Adjustment Surface'!$C$3='Data Validation'!$C$2,'Adjustment Surface'!$C$4,_xlfn.IFNA(IF(INDEX(Schedules!$E$3:$E$123,MATCH('Bachelier Model'!AB78,Schedules!$B$3:$B$123,0))="",AF77,INDEX(Schedules!$E$3:$E$123,MATCH('Bachelier Model'!AB78,Schedules!$B$3:$B$123,0))),AF77)))</f>
        <v/>
      </c>
      <c r="AG78" s="16" t="str">
        <f>IF(AA78="","",'Adjustment Surface'!B$15)</f>
        <v/>
      </c>
      <c r="AH78" s="16" t="str" cm="1">
        <f t="array" ref="AH78">IF(AA78="","",FORECAST(AB78,INDEX('Rate &amp; Vol Update'!$C$6:$C$127,MATCH(INDEX('Rate &amp; Vol Update'!$B$6:$B$127,MATCH(AB78,'Rate &amp; Vol Update'!$B$6:$B$127,1)),'Rate &amp; Vol Update'!$B$6:$B$127,0)+IF('Adjustment Surface'!$C$11='Data Validation'!$E$3,-1,0)):INDEX('Rate &amp; Vol Update'!$C$6:$C$127,MATCH(INDEX('Rate &amp; Vol Update'!$B$6:$B$127,MATCH(AB78,'Rate &amp; Vol Update'!$B$6:$B$127,1)+1),'Rate &amp; Vol Update'!$B$6:$B$127,0)+IF('Adjustment Surface'!$C$11='Data Validation'!$E$3,-1,0)),INDEX('Rate &amp; Vol Update'!$B$6:$B$127,MATCH(AB78,'Rate &amp; Vol Update'!$B$6:$B$127,1)):INDEX('Rate &amp; Vol Update'!$B$6:$B$127,MATCH(AB78,'Rate &amp; Vol Update'!$B$6:$B$127,1)+1))/100)</f>
        <v/>
      </c>
      <c r="AI78" s="16" t="str" cm="1">
        <f t="array" ref="AI78">IF(AA78="","",IF(AB78&lt;'Rate &amp; Vol Update'!$C$2,0.001%,(1/((INDEX('Rate &amp; Vol Update'!$E$6:$Z$6,1,MATCH(AG78,'Rate &amp; Vol Update'!$E$6:$Z$6,1)+1)-INDEX('Rate &amp; Vol Update'!$E$6:$Z$6,1,MATCH(AG78,'Rate &amp; Vol Update'!$E$6:$Z$6,1)))*(INDEX('Rate &amp; Vol Update'!$B$8:$B$127,MATCH(AB78,'Rate &amp; Vol Update'!$B$8:$B$127,1)+1)-INDEX('Rate &amp; Vol Update'!$B$8:$B$127,MATCH(AB78,'Rate &amp; Vol Update'!$B$8:$B$127,1))))*(INDEX('Rate &amp; Vol Update'!$E$8:$Z$127,MATCH(INDEX('Rate &amp; Vol Update'!$B$8:$B$127,MATCH(AB78,'Rate &amp; Vol Update'!$B$8:$B$127,1)),'Rate &amp; Vol Update'!$B$8:$B$127,0),MATCH(INDEX('Rate &amp; Vol Update'!$E$6:$Z$6,1,MATCH(AG78,'Rate &amp; Vol Update'!$E$6:$Z$6,1)),'Rate &amp; Vol Update'!$E$6:$Z$6,0))*(INDEX('Rate &amp; Vol Update'!$E$6:$Z$6,1,MATCH(AG78,'Rate &amp; Vol Update'!$E$6:$Z$6,1)+1)-AG78)*(INDEX('Rate &amp; Vol Update'!$B$8:$B$127,MATCH(AB78,'Rate &amp; Vol Update'!$B$8:$B$127,1)+1)-AB78)+INDEX('Rate &amp; Vol Update'!$E$8:$Z$127,MATCH(INDEX('Rate &amp; Vol Update'!$B$8:$B$127,MATCH(AB78,'Rate &amp; Vol Update'!$B$8:$B$127,1)),'Rate &amp; Vol Update'!$B$8:$B$127,0),MATCH(INDEX('Rate &amp; Vol Update'!$E$6:$Z$6,1,MATCH(AG78,'Rate &amp; Vol Update'!$E$6:$Z$6,1)+1),'Rate &amp; Vol Update'!$E$6:$Z$6,0))*(AG78-INDEX('Rate &amp; Vol Update'!$E$6:$Z$6,1,MATCH(AG78,'Rate &amp; Vol Update'!$E$6:$Z$6,1)))*(INDEX('Rate &amp; Vol Update'!$B$8:$B$127,MATCH(AB78,'Rate &amp; Vol Update'!$B$8:$B$127,1)+1)-AB78)+INDEX('Rate &amp; Vol Update'!$E$8:$Z$127,MATCH(INDEX('Rate &amp; Vol Update'!$B$8:$B$127,MATCH(AB78,'Rate &amp; Vol Update'!$B$8:$B$127,1)+1),'Rate &amp; Vol Update'!$B$8:$B$127,0),MATCH(INDEX('Rate &amp; Vol Update'!$E$6:$Z$6,1,MATCH(AG78,'Rate &amp; Vol Update'!$E$6:$Z$6,1)),'Rate &amp; Vol Update'!$E$6:$Z$6,0))*(INDEX('Rate &amp; Vol Update'!$E$6:$Z$6,1,MATCH(AG78,'Rate &amp; Vol Update'!$E$6:$Z$6,1)+1)-AG78)*(AB78-INDEX('Rate &amp; Vol Update'!$B$8:$B$127,MATCH(AB78,'Rate &amp; Vol Update'!$B$8:$B$127,1)))+INDEX('Rate &amp; Vol Update'!$E$8:$Z$127,MATCH(INDEX('Rate &amp; Vol Update'!$B$8:$B$127,MATCH(AB78,'Rate &amp; Vol Update'!$B$8:$B$127,1)+1),'Rate &amp; Vol Update'!$B$8:$B$127,0),MATCH(INDEX('Rate &amp; Vol Update'!$E$6:$Z$6,1,MATCH(AG78,'Rate &amp; Vol Update'!$E$6:$Z$6,1)+1),'Rate &amp; Vol Update'!$E$6:$Z$6,0))*(AG78-INDEX('Rate &amp; Vol Update'!$E$6:$Z$6,1,MATCH(AG78,'Rate &amp; Vol Update'!$E$6:$Z$6,1)))*(AB78-INDEX('Rate &amp; Vol Update'!$B$8:$B$127,MATCH(AB78,'Rate &amp; Vol Update'!$B$8:$B$127,1)))))*0.01%))</f>
        <v/>
      </c>
      <c r="AJ78" s="5" t="str">
        <f>IF(AA78="","",1/((1+AH78)^((AC78-'Rate &amp; Vol Update'!$C$2)/360)))</f>
        <v/>
      </c>
      <c r="AL78" s="15" t="str">
        <f>IF(AA78="","",IF(AB78&lt;'Rate &amp; Vol Update'!$C$2,MAX(0,AH78-AG78)*(AD78/360)*AF78,(((IF('Adjustment Surface'!$C$2='Data Validation'!$A$2,AH78,IF('Adjustment Surface'!$C$2='Data Validation'!$A$3,AG78,"Unknown Option Type"))-IF('Adjustment Surface'!$C$2='Data Validation'!$A$2,AG78,IF('Adjustment Surface'!$C$2='Data Validation'!$A$3,AH78,"Unknown Option Type")))*(NORMDIST((IF('Adjustment Surface'!$C$2='Data Validation'!$A$2,AH78,IF('Adjustment Surface'!$C$2='Data Validation'!$A$3,AG78,"Unknown Option Type"))-IF('Adjustment Surface'!$C$2='Data Validation'!$A$2,AG78,IF('Adjustment Surface'!$C$2='Data Validation'!$A$3,AH78,"Unknown Option Type")))/(AI78*SQRT(AE78)),0,1,TRUE)))+((AI78*SQRT(AE78))*(NORMDIST((IF('Adjustment Surface'!$C$2='Data Validation'!$A$2,AH78,IF('Adjustment Surface'!$C$2='Data Validation'!$A$3,AG78,"Unknown Option Type"))-IF('Adjustment Surface'!$C$2='Data Validation'!$A$2,AG78,IF('Adjustment Surface'!$C$2='Data Validation'!$A$3,AH78,"Unknown Option Type")))/(AI78*SQRT(AE78)),0,1,FALSE))))*AJ78*(AD78/360)*AF78))</f>
        <v/>
      </c>
      <c r="AM78" s="15" t="str">
        <f>IF(AA78="","",SUM(AL$4:AL78))</f>
        <v/>
      </c>
      <c r="AO78" s="15" t="str">
        <f>IF(AA78="","",IF(AB78&lt;'Rate &amp; Vol Update'!$C$2,0,((((((IF('Adjustment Surface'!$C$2='Data Validation'!$A$2,AH78,IF('Adjustment Surface'!$C$2='Data Validation'!$A$3,AG78,"Unknown Option Type"))-IF('Adjustment Surface'!$C$2='Data Validation'!$A$2,AG78,IF('Adjustment Surface'!$C$2='Data Validation'!$A$3,AH78,"Unknown Option Type")))*(NORMDIST((IF('Adjustment Surface'!$C$2='Data Validation'!$A$2,AH78,IF('Adjustment Surface'!$C$2='Data Validation'!$A$3,AG78,"Unknown Option Type"))-IF('Adjustment Surface'!$C$2='Data Validation'!$A$2,AG78,IF('Adjustment Surface'!$C$2='Data Validation'!$A$3,AH78,"Unknown Option Type")))/((AI78+0.01%)*SQRT(AE78)),0,1,TRUE)))+(((AI78+0.01%)*SQRT(AE78))*(NORMDIST((IF('Adjustment Surface'!$C$2='Data Validation'!$A$2,AH78,IF('Adjustment Surface'!$C$2='Data Validation'!$A$3,AG78,"Unknown Option Type"))-IF('Adjustment Surface'!$C$2='Data Validation'!$A$2,AG78,IF('Adjustment Surface'!$C$2='Data Validation'!$A$3,AH78,"Unknown Option Type")))/((AI78+0.01%)*SQRT(AE78)),0,1,FALSE))))*AJ78*(AD78/360))-(AL78/AF78))*AF78)*AJ78))</f>
        <v/>
      </c>
      <c r="AP78" s="15" t="str">
        <f>IF(AA78="","",SUM(AO$4:AO78))</f>
        <v/>
      </c>
      <c r="AQ78" s="15"/>
      <c r="AR78" s="20"/>
      <c r="AT78" s="4" t="str">
        <f>IF(AU77=MAX('Adjustment Surface'!$C$14:$F$14),"",AU77)</f>
        <v/>
      </c>
      <c r="AU78" s="4" t="str">
        <f>IF(AT78="","",IF(AT78&lt;EDATE('Adjustment Surface'!$C$6,DATEDIF('Adjustment Surface'!$C$6,MAX('Adjustment Surface'!$C$14:$F$14),"M")),EDATE(AT$5,COUNT(AT$5:AT78)),IF(AT78=EDATE('Adjustment Surface'!$C$6,DATEDIF('Adjustment Surface'!$C$6,MAX('Adjustment Surface'!$C$14:$F$14),"M")),MAX('Adjustment Surface'!$C$14:$F$14),EDATE('Adjustment Surface'!$C$6,DATEDIF('Adjustment Surface'!$C$6,MAX('Adjustment Surface'!$C$14:$F$14),"M")))))</f>
        <v/>
      </c>
      <c r="AV78" s="3" t="str">
        <f t="shared" si="8"/>
        <v/>
      </c>
      <c r="AW78" s="5" t="str">
        <f>IF(AS78="","",(AU78-'Rate &amp; Vol Update'!$C$2)/360)</f>
        <v/>
      </c>
      <c r="AX78" s="15" t="str">
        <f>IF(AS78="","",IF('Adjustment Surface'!$C$3='Data Validation'!$C$2,'Adjustment Surface'!$C$4,_xlfn.IFNA(IF(INDEX(Schedules!$E$3:$E$123,MATCH('Bachelier Model'!AT78,Schedules!$B$3:$B$123,0))="",AX77,INDEX(Schedules!$E$3:$E$123,MATCH('Bachelier Model'!AT78,Schedules!$B$3:$B$123,0))),AX77)))</f>
        <v/>
      </c>
      <c r="AY78" s="16" t="str">
        <f>IF(AS78="","",'Adjustment Surface'!B$16)</f>
        <v/>
      </c>
      <c r="AZ78" s="16" t="str" cm="1">
        <f t="array" ref="AZ78">IF(AS78="","",FORECAST(AT78,INDEX('Rate &amp; Vol Update'!$C$6:$C$127,MATCH(INDEX('Rate &amp; Vol Update'!$B$6:$B$127,MATCH(AT78,'Rate &amp; Vol Update'!$B$6:$B$127,1)),'Rate &amp; Vol Update'!$B$6:$B$127,0)+IF('Adjustment Surface'!$C$11='Data Validation'!$E$3,-1,0)):INDEX('Rate &amp; Vol Update'!$C$6:$C$127,MATCH(INDEX('Rate &amp; Vol Update'!$B$6:$B$127,MATCH(AT78,'Rate &amp; Vol Update'!$B$6:$B$127,1)+1),'Rate &amp; Vol Update'!$B$6:$B$127,0)+IF('Adjustment Surface'!$C$11='Data Validation'!$E$3,-1,0)),INDEX('Rate &amp; Vol Update'!$B$6:$B$127,MATCH(AT78,'Rate &amp; Vol Update'!$B$6:$B$127,1)):INDEX('Rate &amp; Vol Update'!$B$6:$B$127,MATCH(AT78,'Rate &amp; Vol Update'!$B$6:$B$127,1)+1))/100)</f>
        <v/>
      </c>
      <c r="BA78" s="16" t="str" cm="1">
        <f t="array" ref="BA78">IF(AS78="","",IF(AT78&lt;'Rate &amp; Vol Update'!$C$2,0.001%,(1/((INDEX('Rate &amp; Vol Update'!$E$6:$Z$6,1,MATCH(AY78,'Rate &amp; Vol Update'!$E$6:$Z$6,1)+1)-INDEX('Rate &amp; Vol Update'!$E$6:$Z$6,1,MATCH(AY78,'Rate &amp; Vol Update'!$E$6:$Z$6,1)))*(INDEX('Rate &amp; Vol Update'!$B$8:$B$127,MATCH(AT78,'Rate &amp; Vol Update'!$B$8:$B$127,1)+1)-INDEX('Rate &amp; Vol Update'!$B$8:$B$127,MATCH(AT78,'Rate &amp; Vol Update'!$B$8:$B$127,1))))*(INDEX('Rate &amp; Vol Update'!$E$8:$Z$127,MATCH(INDEX('Rate &amp; Vol Update'!$B$8:$B$127,MATCH(AT78,'Rate &amp; Vol Update'!$B$8:$B$127,1)),'Rate &amp; Vol Update'!$B$8:$B$127,0),MATCH(INDEX('Rate &amp; Vol Update'!$E$6:$Z$6,1,MATCH(AY78,'Rate &amp; Vol Update'!$E$6:$Z$6,1)),'Rate &amp; Vol Update'!$E$6:$Z$6,0))*(INDEX('Rate &amp; Vol Update'!$E$6:$Z$6,1,MATCH(AY78,'Rate &amp; Vol Update'!$E$6:$Z$6,1)+1)-AY78)*(INDEX('Rate &amp; Vol Update'!$B$8:$B$127,MATCH(AT78,'Rate &amp; Vol Update'!$B$8:$B$127,1)+1)-AT78)+INDEX('Rate &amp; Vol Update'!$E$8:$Z$127,MATCH(INDEX('Rate &amp; Vol Update'!$B$8:$B$127,MATCH(AT78,'Rate &amp; Vol Update'!$B$8:$B$127,1)),'Rate &amp; Vol Update'!$B$8:$B$127,0),MATCH(INDEX('Rate &amp; Vol Update'!$E$6:$Z$6,1,MATCH(AY78,'Rate &amp; Vol Update'!$E$6:$Z$6,1)+1),'Rate &amp; Vol Update'!$E$6:$Z$6,0))*(AY78-INDEX('Rate &amp; Vol Update'!$E$6:$Z$6,1,MATCH(AY78,'Rate &amp; Vol Update'!$E$6:$Z$6,1)))*(INDEX('Rate &amp; Vol Update'!$B$8:$B$127,MATCH(AT78,'Rate &amp; Vol Update'!$B$8:$B$127,1)+1)-AT78)+INDEX('Rate &amp; Vol Update'!$E$8:$Z$127,MATCH(INDEX('Rate &amp; Vol Update'!$B$8:$B$127,MATCH(AT78,'Rate &amp; Vol Update'!$B$8:$B$127,1)+1),'Rate &amp; Vol Update'!$B$8:$B$127,0),MATCH(INDEX('Rate &amp; Vol Update'!$E$6:$Z$6,1,MATCH(AY78,'Rate &amp; Vol Update'!$E$6:$Z$6,1)),'Rate &amp; Vol Update'!$E$6:$Z$6,0))*(INDEX('Rate &amp; Vol Update'!$E$6:$Z$6,1,MATCH(AY78,'Rate &amp; Vol Update'!$E$6:$Z$6,1)+1)-AY78)*(AT78-INDEX('Rate &amp; Vol Update'!$B$8:$B$127,MATCH(AT78,'Rate &amp; Vol Update'!$B$8:$B$127,1)))+INDEX('Rate &amp; Vol Update'!$E$8:$Z$127,MATCH(INDEX('Rate &amp; Vol Update'!$B$8:$B$127,MATCH(AT78,'Rate &amp; Vol Update'!$B$8:$B$127,1)+1),'Rate &amp; Vol Update'!$B$8:$B$127,0),MATCH(INDEX('Rate &amp; Vol Update'!$E$6:$Z$6,1,MATCH(AY78,'Rate &amp; Vol Update'!$E$6:$Z$6,1)+1),'Rate &amp; Vol Update'!$E$6:$Z$6,0))*(AY78-INDEX('Rate &amp; Vol Update'!$E$6:$Z$6,1,MATCH(AY78,'Rate &amp; Vol Update'!$E$6:$Z$6,1)))*(AT78-INDEX('Rate &amp; Vol Update'!$B$8:$B$127,MATCH(AT78,'Rate &amp; Vol Update'!$B$8:$B$127,1)))))*0.01%))</f>
        <v/>
      </c>
      <c r="BB78" s="5" t="str">
        <f>IF(AS78="","",1/((1+AZ78)^((AU78-'Rate &amp; Vol Update'!$C$2)/360)))</f>
        <v/>
      </c>
      <c r="BD78" s="15" t="str">
        <f>IF(AS78="","",IF(AT78&lt;'Rate &amp; Vol Update'!$C$2,MAX(0,AZ78-AY78)*(AV78/360)*AX78,(((IF('Adjustment Surface'!$C$2='Data Validation'!$A$2,AZ78,IF('Adjustment Surface'!$C$2='Data Validation'!$A$3,AY78,"Unknown Option Type"))-IF('Adjustment Surface'!$C$2='Data Validation'!$A$2,AY78,IF('Adjustment Surface'!$C$2='Data Validation'!$A$3,AZ78,"Unknown Option Type")))*(NORMDIST((IF('Adjustment Surface'!$C$2='Data Validation'!$A$2,AZ78,IF('Adjustment Surface'!$C$2='Data Validation'!$A$3,AY78,"Unknown Option Type"))-IF('Adjustment Surface'!$C$2='Data Validation'!$A$2,AY78,IF('Adjustment Surface'!$C$2='Data Validation'!$A$3,AZ78,"Unknown Option Type")))/(BA78*SQRT(AW78)),0,1,TRUE)))+((BA78*SQRT(AW78))*(NORMDIST((IF('Adjustment Surface'!$C$2='Data Validation'!$A$2,AZ78,IF('Adjustment Surface'!$C$2='Data Validation'!$A$3,AY78,"Unknown Option Type"))-IF('Adjustment Surface'!$C$2='Data Validation'!$A$2,AY78,IF('Adjustment Surface'!$C$2='Data Validation'!$A$3,AZ78,"Unknown Option Type")))/(BA78*SQRT(AW78)),0,1,FALSE))))*BB78*(AV78/360)*AX78))</f>
        <v/>
      </c>
      <c r="BE78" s="15" t="str">
        <f>IF(AS78="","",SUM(BD$4:BD78))</f>
        <v/>
      </c>
      <c r="BG78" s="15" t="str">
        <f>IF(AS78="","",IF(AT78&lt;'Rate &amp; Vol Update'!$C$2,0,((((((IF('Adjustment Surface'!$C$2='Data Validation'!$A$2,AZ78,IF('Adjustment Surface'!$C$2='Data Validation'!$A$3,AY78,"Unknown Option Type"))-IF('Adjustment Surface'!$C$2='Data Validation'!$A$2,AY78,IF('Adjustment Surface'!$C$2='Data Validation'!$A$3,AZ78,"Unknown Option Type")))*(NORMDIST((IF('Adjustment Surface'!$C$2='Data Validation'!$A$2,AZ78,IF('Adjustment Surface'!$C$2='Data Validation'!$A$3,AY78,"Unknown Option Type"))-IF('Adjustment Surface'!$C$2='Data Validation'!$A$2,AY78,IF('Adjustment Surface'!$C$2='Data Validation'!$A$3,AZ78,"Unknown Option Type")))/((BA78+0.01%)*SQRT(AW78)),0,1,TRUE)))+(((BA78+0.01%)*SQRT(AW78))*(NORMDIST((IF('Adjustment Surface'!$C$2='Data Validation'!$A$2,AZ78,IF('Adjustment Surface'!$C$2='Data Validation'!$A$3,AY78,"Unknown Option Type"))-IF('Adjustment Surface'!$C$2='Data Validation'!$A$2,AY78,IF('Adjustment Surface'!$C$2='Data Validation'!$A$3,AZ78,"Unknown Option Type")))/((BA78+0.01%)*SQRT(AW78)),0,1,FALSE))))*BB78*(AV78/360))-(BD78/AX78))*AX78)*BB78))</f>
        <v/>
      </c>
      <c r="BH78" s="15" t="str">
        <f>IF(AS78="","",SUM(BG$4:BG78))</f>
        <v/>
      </c>
      <c r="BI78" s="15"/>
      <c r="BJ78" s="20"/>
      <c r="BL78" s="4" t="str">
        <f>IF(BM77=MAX('Adjustment Surface'!$C$14:$F$14),"",BM77)</f>
        <v/>
      </c>
      <c r="BM78" s="4" t="str">
        <f>IF(BL78="","",IF(BL78&lt;EDATE('Adjustment Surface'!$C$6,DATEDIF('Adjustment Surface'!$C$6,MAX('Adjustment Surface'!$C$14:$F$14),"M")),EDATE(BL$5,COUNT(BL$5:BL78)),IF(BL78=EDATE('Adjustment Surface'!$C$6,DATEDIF('Adjustment Surface'!$C$6,MAX('Adjustment Surface'!$C$14:$F$14),"M")),MAX('Adjustment Surface'!$C$14:$F$14),EDATE('Adjustment Surface'!$C$6,DATEDIF('Adjustment Surface'!$C$6,MAX('Adjustment Surface'!$C$14:$F$14),"M")))))</f>
        <v/>
      </c>
      <c r="BN78" s="3" t="str">
        <f t="shared" si="9"/>
        <v/>
      </c>
      <c r="BO78" s="5" t="str">
        <f>IF(BK78="","",(BM78-'Rate &amp; Vol Update'!$C$2)/360)</f>
        <v/>
      </c>
      <c r="BP78" s="15" t="str">
        <f>IF(BK78="","",IF('Adjustment Surface'!$C$3='Data Validation'!$C$2,'Adjustment Surface'!$C$4,_xlfn.IFNA(IF(INDEX(Schedules!$E$3:$E$123,MATCH('Bachelier Model'!BL78,Schedules!$B$3:$B$123,0))="",BP77,INDEX(Schedules!$E$3:$E$123,MATCH('Bachelier Model'!BL78,Schedules!$B$3:$B$123,0))),BP77)))</f>
        <v/>
      </c>
      <c r="BQ78" s="16" t="str">
        <f>IF(BK78="","",'Adjustment Surface'!B$17)</f>
        <v/>
      </c>
      <c r="BR78" s="16" t="str" cm="1">
        <f t="array" ref="BR78">IF(BK78="","",FORECAST(BL78,INDEX('Rate &amp; Vol Update'!$C$6:$C$127,MATCH(INDEX('Rate &amp; Vol Update'!$B$6:$B$127,MATCH(BL78,'Rate &amp; Vol Update'!$B$6:$B$127,1)),'Rate &amp; Vol Update'!$B$6:$B$127,0)+IF('Adjustment Surface'!$C$11='Data Validation'!$E$3,-1,0)):INDEX('Rate &amp; Vol Update'!$C$6:$C$127,MATCH(INDEX('Rate &amp; Vol Update'!$B$6:$B$127,MATCH(BL78,'Rate &amp; Vol Update'!$B$6:$B$127,1)+1),'Rate &amp; Vol Update'!$B$6:$B$127,0)+IF('Adjustment Surface'!$C$11='Data Validation'!$E$3,-1,0)),INDEX('Rate &amp; Vol Update'!$B$6:$B$127,MATCH(BL78,'Rate &amp; Vol Update'!$B$6:$B$127,1)):INDEX('Rate &amp; Vol Update'!$B$6:$B$127,MATCH(BL78,'Rate &amp; Vol Update'!$B$6:$B$127,1)+1))/100)</f>
        <v/>
      </c>
      <c r="BS78" s="16" t="str" cm="1">
        <f t="array" ref="BS78">IF(BK78="","",IF(BL78&lt;'Rate &amp; Vol Update'!$C$2,0.001%,(1/((INDEX('Rate &amp; Vol Update'!$E$6:$Z$6,1,MATCH(BQ78,'Rate &amp; Vol Update'!$E$6:$Z$6,1)+1)-INDEX('Rate &amp; Vol Update'!$E$6:$Z$6,1,MATCH(BQ78,'Rate &amp; Vol Update'!$E$6:$Z$6,1)))*(INDEX('Rate &amp; Vol Update'!$B$8:$B$127,MATCH(BL78,'Rate &amp; Vol Update'!$B$8:$B$127,1)+1)-INDEX('Rate &amp; Vol Update'!$B$8:$B$127,MATCH(BL78,'Rate &amp; Vol Update'!$B$8:$B$127,1))))*(INDEX('Rate &amp; Vol Update'!$E$8:$Z$127,MATCH(INDEX('Rate &amp; Vol Update'!$B$8:$B$127,MATCH(BL78,'Rate &amp; Vol Update'!$B$8:$B$127,1)),'Rate &amp; Vol Update'!$B$8:$B$127,0),MATCH(INDEX('Rate &amp; Vol Update'!$E$6:$Z$6,1,MATCH(BQ78,'Rate &amp; Vol Update'!$E$6:$Z$6,1)),'Rate &amp; Vol Update'!$E$6:$Z$6,0))*(INDEX('Rate &amp; Vol Update'!$E$6:$Z$6,1,MATCH(BQ78,'Rate &amp; Vol Update'!$E$6:$Z$6,1)+1)-BQ78)*(INDEX('Rate &amp; Vol Update'!$B$8:$B$127,MATCH(BL78,'Rate &amp; Vol Update'!$B$8:$B$127,1)+1)-BL78)+INDEX('Rate &amp; Vol Update'!$E$8:$Z$127,MATCH(INDEX('Rate &amp; Vol Update'!$B$8:$B$127,MATCH(BL78,'Rate &amp; Vol Update'!$B$8:$B$127,1)),'Rate &amp; Vol Update'!$B$8:$B$127,0),MATCH(INDEX('Rate &amp; Vol Update'!$E$6:$Z$6,1,MATCH(BQ78,'Rate &amp; Vol Update'!$E$6:$Z$6,1)+1),'Rate &amp; Vol Update'!$E$6:$Z$6,0))*(BQ78-INDEX('Rate &amp; Vol Update'!$E$6:$Z$6,1,MATCH(BQ78,'Rate &amp; Vol Update'!$E$6:$Z$6,1)))*(INDEX('Rate &amp; Vol Update'!$B$8:$B$127,MATCH(BL78,'Rate &amp; Vol Update'!$B$8:$B$127,1)+1)-BL78)+INDEX('Rate &amp; Vol Update'!$E$8:$Z$127,MATCH(INDEX('Rate &amp; Vol Update'!$B$8:$B$127,MATCH(BL78,'Rate &amp; Vol Update'!$B$8:$B$127,1)+1),'Rate &amp; Vol Update'!$B$8:$B$127,0),MATCH(INDEX('Rate &amp; Vol Update'!$E$6:$Z$6,1,MATCH(BQ78,'Rate &amp; Vol Update'!$E$6:$Z$6,1)),'Rate &amp; Vol Update'!$E$6:$Z$6,0))*(INDEX('Rate &amp; Vol Update'!$E$6:$Z$6,1,MATCH(BQ78,'Rate &amp; Vol Update'!$E$6:$Z$6,1)+1)-BQ78)*(BL78-INDEX('Rate &amp; Vol Update'!$B$8:$B$127,MATCH(BL78,'Rate &amp; Vol Update'!$B$8:$B$127,1)))+INDEX('Rate &amp; Vol Update'!$E$8:$Z$127,MATCH(INDEX('Rate &amp; Vol Update'!$B$8:$B$127,MATCH(BL78,'Rate &amp; Vol Update'!$B$8:$B$127,1)+1),'Rate &amp; Vol Update'!$B$8:$B$127,0),MATCH(INDEX('Rate &amp; Vol Update'!$E$6:$Z$6,1,MATCH(BQ78,'Rate &amp; Vol Update'!$E$6:$Z$6,1)+1),'Rate &amp; Vol Update'!$E$6:$Z$6,0))*(BQ78-INDEX('Rate &amp; Vol Update'!$E$6:$Z$6,1,MATCH(BQ78,'Rate &amp; Vol Update'!$E$6:$Z$6,1)))*(BL78-INDEX('Rate &amp; Vol Update'!$B$8:$B$127,MATCH(BL78,'Rate &amp; Vol Update'!$B$8:$B$127,1)))))*0.01%))</f>
        <v/>
      </c>
      <c r="BT78" s="5" t="str">
        <f>IF(BK78="","",1/((1+BR78)^((BM78-'Rate &amp; Vol Update'!$C$2)/360)))</f>
        <v/>
      </c>
      <c r="BV78" s="15" t="str">
        <f>IF(BK78="","",IF(BL78&lt;'Rate &amp; Vol Update'!$C$2,MAX(0,BR78-BQ78)*(BN78/360)*BP78,(((IF('Adjustment Surface'!$C$2='Data Validation'!$A$2,BR78,IF('Adjustment Surface'!$C$2='Data Validation'!$A$3,BQ78,"Unknown Option Type"))-IF('Adjustment Surface'!$C$2='Data Validation'!$A$2,BQ78,IF('Adjustment Surface'!$C$2='Data Validation'!$A$3,BR78,"Unknown Option Type")))*(NORMDIST((IF('Adjustment Surface'!$C$2='Data Validation'!$A$2,BR78,IF('Adjustment Surface'!$C$2='Data Validation'!$A$3,BQ78,"Unknown Option Type"))-IF('Adjustment Surface'!$C$2='Data Validation'!$A$2,BQ78,IF('Adjustment Surface'!$C$2='Data Validation'!$A$3,BR78,"Unknown Option Type")))/(BS78*SQRT(BO78)),0,1,TRUE)))+((BS78*SQRT(BO78))*(NORMDIST((IF('Adjustment Surface'!$C$2='Data Validation'!$A$2,BR78,IF('Adjustment Surface'!$C$2='Data Validation'!$A$3,BQ78,"Unknown Option Type"))-IF('Adjustment Surface'!$C$2='Data Validation'!$A$2,BQ78,IF('Adjustment Surface'!$C$2='Data Validation'!$A$3,BR78,"Unknown Option Type")))/(BS78*SQRT(BO78)),0,1,FALSE))))*BT78*(BN78/360)*BP78))</f>
        <v/>
      </c>
      <c r="BW78" s="15" t="str">
        <f>IF(BK78="","",SUM(BV$4:BV78))</f>
        <v/>
      </c>
      <c r="BY78" s="15" t="str">
        <f>IF(BK78="","",IF(BL78&lt;'Rate &amp; Vol Update'!$C$2,0,((((((IF('Adjustment Surface'!$C$2='Data Validation'!$A$2,BR78,IF('Adjustment Surface'!$C$2='Data Validation'!$A$3,BQ78,"Unknown Option Type"))-IF('Adjustment Surface'!$C$2='Data Validation'!$A$2,BQ78,IF('Adjustment Surface'!$C$2='Data Validation'!$A$3,BR78,"Unknown Option Type")))*(NORMDIST((IF('Adjustment Surface'!$C$2='Data Validation'!$A$2,BR78,IF('Adjustment Surface'!$C$2='Data Validation'!$A$3,BQ78,"Unknown Option Type"))-IF('Adjustment Surface'!$C$2='Data Validation'!$A$2,BQ78,IF('Adjustment Surface'!$C$2='Data Validation'!$A$3,BR78,"Unknown Option Type")))/((BS78+0.01%)*SQRT(BO78)),0,1,TRUE)))+(((BS78+0.01%)*SQRT(BO78))*(NORMDIST((IF('Adjustment Surface'!$C$2='Data Validation'!$A$2,BR78,IF('Adjustment Surface'!$C$2='Data Validation'!$A$3,BQ78,"Unknown Option Type"))-IF('Adjustment Surface'!$C$2='Data Validation'!$A$2,BQ78,IF('Adjustment Surface'!$C$2='Data Validation'!$A$3,BR78,"Unknown Option Type")))/((BS78+0.01%)*SQRT(BO78)),0,1,FALSE))))*BT78*(BN78/360))-(BV78/BP78))*BP78)*BT78))</f>
        <v/>
      </c>
      <c r="BZ78" s="15" t="str">
        <f>IF(BK78="","",SUM(BY$4:BY78))</f>
        <v/>
      </c>
      <c r="CA78" s="15"/>
      <c r="CB78" s="20"/>
      <c r="CD78" s="4" t="str">
        <f>IF(CE77=MAX('Adjustment Surface'!$C$14:$F$14),"",CE77)</f>
        <v/>
      </c>
      <c r="CE78" s="4" t="str">
        <f>IF(CD78="","",IF(CD78&lt;EDATE('Adjustment Surface'!$C$6,DATEDIF('Adjustment Surface'!$C$6,MAX('Adjustment Surface'!$C$14:$F$14),"M")),EDATE(CD$5,COUNT(CD$5:CD78)),IF(CD78=EDATE('Adjustment Surface'!$C$6,DATEDIF('Adjustment Surface'!$C$6,MAX('Adjustment Surface'!$C$14:$F$14),"M")),MAX('Adjustment Surface'!$C$14:$F$14),EDATE('Adjustment Surface'!$C$6,DATEDIF('Adjustment Surface'!$C$6,MAX('Adjustment Surface'!$C$14:$F$14),"M")))))</f>
        <v/>
      </c>
      <c r="CF78" s="3" t="str">
        <f t="shared" si="10"/>
        <v/>
      </c>
      <c r="CG78" s="5" t="str">
        <f>IF(CC78="","",(CE78-'Rate &amp; Vol Update'!$C$2)/360)</f>
        <v/>
      </c>
      <c r="CH78" s="15" t="str">
        <f>IF(CC78="","",IF('Adjustment Surface'!$C$3='Data Validation'!$C$2,'Adjustment Surface'!$C$4,_xlfn.IFNA(IF(INDEX(Schedules!$E$3:$E$123,MATCH('Bachelier Model'!CD78,Schedules!$B$3:$B$123,0))="",CH77,INDEX(Schedules!$E$3:$E$123,MATCH('Bachelier Model'!CD78,Schedules!$B$3:$B$123,0))),CH77)))</f>
        <v/>
      </c>
      <c r="CI78" s="16" t="str">
        <f>IF(CC78="","",'Adjustment Surface'!B$18)</f>
        <v/>
      </c>
      <c r="CJ78" s="16" t="str" cm="1">
        <f t="array" ref="CJ78">IF(CC78="","",FORECAST(CD78,INDEX('Rate &amp; Vol Update'!$C$6:$C$127,MATCH(INDEX('Rate &amp; Vol Update'!$B$6:$B$127,MATCH(CD78,'Rate &amp; Vol Update'!$B$6:$B$127,1)),'Rate &amp; Vol Update'!$B$6:$B$127,0)+IF('Adjustment Surface'!$C$11='Data Validation'!$E$3,-1,0)):INDEX('Rate &amp; Vol Update'!$C$6:$C$127,MATCH(INDEX('Rate &amp; Vol Update'!$B$6:$B$127,MATCH(CD78,'Rate &amp; Vol Update'!$B$6:$B$127,1)+1),'Rate &amp; Vol Update'!$B$6:$B$127,0)+IF('Adjustment Surface'!$C$11='Data Validation'!$E$3,-1,0)),INDEX('Rate &amp; Vol Update'!$B$6:$B$127,MATCH(CD78,'Rate &amp; Vol Update'!$B$6:$B$127,1)):INDEX('Rate &amp; Vol Update'!$B$6:$B$127,MATCH(CD78,'Rate &amp; Vol Update'!$B$6:$B$127,1)+1))/100)</f>
        <v/>
      </c>
      <c r="CK78" s="16" t="str" cm="1">
        <f t="array" ref="CK78">IF(CC78="","",IF(CD78&lt;'Rate &amp; Vol Update'!$C$2,0.001%,(1/((INDEX('Rate &amp; Vol Update'!$E$6:$Z$6,1,MATCH(CI78,'Rate &amp; Vol Update'!$E$6:$Z$6,1)+1)-INDEX('Rate &amp; Vol Update'!$E$6:$Z$6,1,MATCH(CI78,'Rate &amp; Vol Update'!$E$6:$Z$6,1)))*(INDEX('Rate &amp; Vol Update'!$B$8:$B$127,MATCH(CD78,'Rate &amp; Vol Update'!$B$8:$B$127,1)+1)-INDEX('Rate &amp; Vol Update'!$B$8:$B$127,MATCH(CD78,'Rate &amp; Vol Update'!$B$8:$B$127,1))))*(INDEX('Rate &amp; Vol Update'!$E$8:$Z$127,MATCH(INDEX('Rate &amp; Vol Update'!$B$8:$B$127,MATCH(CD78,'Rate &amp; Vol Update'!$B$8:$B$127,1)),'Rate &amp; Vol Update'!$B$8:$B$127,0),MATCH(INDEX('Rate &amp; Vol Update'!$E$6:$Z$6,1,MATCH(CI78,'Rate &amp; Vol Update'!$E$6:$Z$6,1)),'Rate &amp; Vol Update'!$E$6:$Z$6,0))*(INDEX('Rate &amp; Vol Update'!$E$6:$Z$6,1,MATCH(CI78,'Rate &amp; Vol Update'!$E$6:$Z$6,1)+1)-CI78)*(INDEX('Rate &amp; Vol Update'!$B$8:$B$127,MATCH(CD78,'Rate &amp; Vol Update'!$B$8:$B$127,1)+1)-CD78)+INDEX('Rate &amp; Vol Update'!$E$8:$Z$127,MATCH(INDEX('Rate &amp; Vol Update'!$B$8:$B$127,MATCH(CD78,'Rate &amp; Vol Update'!$B$8:$B$127,1)),'Rate &amp; Vol Update'!$B$8:$B$127,0),MATCH(INDEX('Rate &amp; Vol Update'!$E$6:$Z$6,1,MATCH(CI78,'Rate &amp; Vol Update'!$E$6:$Z$6,1)+1),'Rate &amp; Vol Update'!$E$6:$Z$6,0))*(CI78-INDEX('Rate &amp; Vol Update'!$E$6:$Z$6,1,MATCH(CI78,'Rate &amp; Vol Update'!$E$6:$Z$6,1)))*(INDEX('Rate &amp; Vol Update'!$B$8:$B$127,MATCH(CD78,'Rate &amp; Vol Update'!$B$8:$B$127,1)+1)-CD78)+INDEX('Rate &amp; Vol Update'!$E$8:$Z$127,MATCH(INDEX('Rate &amp; Vol Update'!$B$8:$B$127,MATCH(CD78,'Rate &amp; Vol Update'!$B$8:$B$127,1)+1),'Rate &amp; Vol Update'!$B$8:$B$127,0),MATCH(INDEX('Rate &amp; Vol Update'!$E$6:$Z$6,1,MATCH(CI78,'Rate &amp; Vol Update'!$E$6:$Z$6,1)),'Rate &amp; Vol Update'!$E$6:$Z$6,0))*(INDEX('Rate &amp; Vol Update'!$E$6:$Z$6,1,MATCH(CI78,'Rate &amp; Vol Update'!$E$6:$Z$6,1)+1)-CI78)*(CD78-INDEX('Rate &amp; Vol Update'!$B$8:$B$127,MATCH(CD78,'Rate &amp; Vol Update'!$B$8:$B$127,1)))+INDEX('Rate &amp; Vol Update'!$E$8:$Z$127,MATCH(INDEX('Rate &amp; Vol Update'!$B$8:$B$127,MATCH(CD78,'Rate &amp; Vol Update'!$B$8:$B$127,1)+1),'Rate &amp; Vol Update'!$B$8:$B$127,0),MATCH(INDEX('Rate &amp; Vol Update'!$E$6:$Z$6,1,MATCH(CI78,'Rate &amp; Vol Update'!$E$6:$Z$6,1)+1),'Rate &amp; Vol Update'!$E$6:$Z$6,0))*(CI78-INDEX('Rate &amp; Vol Update'!$E$6:$Z$6,1,MATCH(CI78,'Rate &amp; Vol Update'!$E$6:$Z$6,1)))*(CD78-INDEX('Rate &amp; Vol Update'!$B$8:$B$127,MATCH(CD78,'Rate &amp; Vol Update'!$B$8:$B$127,1)))))*0.01%))</f>
        <v/>
      </c>
      <c r="CL78" s="5" t="str">
        <f>IF(CC78="","",1/((1+CJ78)^((CE78-'Rate &amp; Vol Update'!$C$2)/360)))</f>
        <v/>
      </c>
      <c r="CN78" s="15" t="str">
        <f>IF(CC78="","",IF(CD78&lt;'Rate &amp; Vol Update'!$C$2,MAX(0,CJ78-CI78)*(CF78/360)*CH78,(((IF('Adjustment Surface'!$C$2='Data Validation'!$A$2,CJ78,IF('Adjustment Surface'!$C$2='Data Validation'!$A$3,CI78,"Unknown Option Type"))-IF('Adjustment Surface'!$C$2='Data Validation'!$A$2,CI78,IF('Adjustment Surface'!$C$2='Data Validation'!$A$3,CJ78,"Unknown Option Type")))*(NORMDIST((IF('Adjustment Surface'!$C$2='Data Validation'!$A$2,CJ78,IF('Adjustment Surface'!$C$2='Data Validation'!$A$3,CI78,"Unknown Option Type"))-IF('Adjustment Surface'!$C$2='Data Validation'!$A$2,CI78,IF('Adjustment Surface'!$C$2='Data Validation'!$A$3,CJ78,"Unknown Option Type")))/(CK78*SQRT(CG78)),0,1,TRUE)))+((CK78*SQRT(CG78))*(NORMDIST((IF('Adjustment Surface'!$C$2='Data Validation'!$A$2,CJ78,IF('Adjustment Surface'!$C$2='Data Validation'!$A$3,CI78,"Unknown Option Type"))-IF('Adjustment Surface'!$C$2='Data Validation'!$A$2,CI78,IF('Adjustment Surface'!$C$2='Data Validation'!$A$3,CJ78,"Unknown Option Type")))/(CK78*SQRT(CG78)),0,1,FALSE))))*CL78*(CF78/360)*CH78))</f>
        <v/>
      </c>
      <c r="CO78" s="15" t="str">
        <f>IF(CC78="","",SUM(CN$4:CN78))</f>
        <v/>
      </c>
      <c r="CQ78" s="15" t="str">
        <f>IF(CC78="","",IF(CD78&lt;'Rate &amp; Vol Update'!$C$2,0,((((((IF('Adjustment Surface'!$C$2='Data Validation'!$A$2,CJ78,IF('Adjustment Surface'!$C$2='Data Validation'!$A$3,CI78,"Unknown Option Type"))-IF('Adjustment Surface'!$C$2='Data Validation'!$A$2,CI78,IF('Adjustment Surface'!$C$2='Data Validation'!$A$3,CJ78,"Unknown Option Type")))*(NORMDIST((IF('Adjustment Surface'!$C$2='Data Validation'!$A$2,CJ78,IF('Adjustment Surface'!$C$2='Data Validation'!$A$3,CI78,"Unknown Option Type"))-IF('Adjustment Surface'!$C$2='Data Validation'!$A$2,CI78,IF('Adjustment Surface'!$C$2='Data Validation'!$A$3,CJ78,"Unknown Option Type")))/((CK78+0.01%)*SQRT(CG78)),0,1,TRUE)))+(((CK78+0.01%)*SQRT(CG78))*(NORMDIST((IF('Adjustment Surface'!$C$2='Data Validation'!$A$2,CJ78,IF('Adjustment Surface'!$C$2='Data Validation'!$A$3,CI78,"Unknown Option Type"))-IF('Adjustment Surface'!$C$2='Data Validation'!$A$2,CI78,IF('Adjustment Surface'!$C$2='Data Validation'!$A$3,CJ78,"Unknown Option Type")))/((CK78+0.01%)*SQRT(CG78)),0,1,FALSE))))*CL78*(CF78/360))-(CN78/CH78))*CH78)*CL78))</f>
        <v/>
      </c>
      <c r="CR78" s="15" t="str">
        <f>IF(CC78="","",SUM(CQ$4:CQ78))</f>
        <v/>
      </c>
    </row>
    <row r="79" spans="7:96" x14ac:dyDescent="0.25">
      <c r="G79" s="28"/>
      <c r="J79" s="4" t="str">
        <f>IF(K78='Adjustment Surface'!C$8,"",K78)</f>
        <v/>
      </c>
      <c r="K79" s="4" t="str">
        <f>IF(J79="","",IF(J79&lt;'Adjustment Surface'!C$7,EDATE(J$5,COUNT(J$5:J79)),IF(J79='Adjustment Surface'!C$7,'Adjustment Surface'!C$8,'Adjustment Surface'!C$7)))</f>
        <v/>
      </c>
      <c r="L79" s="3" t="str">
        <f t="shared" si="6"/>
        <v/>
      </c>
      <c r="M79" s="5" t="str">
        <f>IF(I79="","",(K79-'Rate &amp; Vol Update'!$C$2)/360)</f>
        <v/>
      </c>
      <c r="N79" s="15" t="str">
        <f>IF(I79="","",IF('Adjustment Surface'!C$3='Data Validation'!$C$2,'Adjustment Surface'!C$4,IF(INDEX(Schedules!$E$3:$E$123,MATCH('Bachelier Model'!J79,Schedules!$B$3:$B$123,0))="",N78,INDEX(Schedules!$E$3:$E$123,MATCH('Bachelier Model'!J79,Schedules!$B$3:$B$123,0)))))</f>
        <v/>
      </c>
      <c r="O79" s="16" t="str">
        <f>IF(I79="","",IF('Adjustment Surface'!C$9='Data Validation'!$D$2,'Adjustment Surface'!C$10,IF(INDEX(Schedules!$H$3:$H$123,MATCH('Bachelier Model'!J79,Schedules!$B$3:$B$123,0))="",O78,INDEX(Schedules!$H$3:$H$123,MATCH('Bachelier Model'!J79,Schedules!$B$3:$B$123,0)))))</f>
        <v/>
      </c>
      <c r="P79" s="16" t="str" cm="1">
        <f t="array" ref="P79">IF(I79="","",FORECAST(J79,INDEX('Rate &amp; Vol Update'!$C$6:$C$127,MATCH(INDEX('Rate &amp; Vol Update'!$B$6:$B$127,MATCH(J79,'Rate &amp; Vol Update'!$B$6:$B$127,1)),'Rate &amp; Vol Update'!$B$6:$B$127,0)+IF('Adjustment Surface'!C$11='Data Validation'!$E$3,-1,0)):INDEX('Rate &amp; Vol Update'!$C$6:$C$127,MATCH(INDEX('Rate &amp; Vol Update'!$B$6:$B$127,MATCH(J79,'Rate &amp; Vol Update'!$B$6:$B$127,1)+1),'Rate &amp; Vol Update'!$B$6:$B$127,0)+IF('Adjustment Surface'!C$11='Data Validation'!$E$3,-1,0)),INDEX('Rate &amp; Vol Update'!$B$6:$B$127,MATCH(J79,'Rate &amp; Vol Update'!$B$6:$B$127,1)):INDEX('Rate &amp; Vol Update'!$B$6:$B$127,MATCH(J79,'Rate &amp; Vol Update'!$B$6:$B$127,1)+1))/100)</f>
        <v/>
      </c>
      <c r="Q79" s="16" t="str" cm="1">
        <f t="array" ref="Q79">IF(I79="","",IF(J79&lt;'Rate &amp; Vol Update'!$C$2,0.001%,(1/((INDEX('Rate &amp; Vol Update'!$E$6:$Z$6,1,MATCH(O79,'Rate &amp; Vol Update'!$E$6:$Z$6,1)+1)-INDEX('Rate &amp; Vol Update'!$E$6:$Z$6,1,MATCH(O79,'Rate &amp; Vol Update'!$E$6:$Z$6,1)))*(INDEX('Rate &amp; Vol Update'!$B$8:$B$127,MATCH(J79,'Rate &amp; Vol Update'!$B$8:$B$127,1)+1)-INDEX('Rate &amp; Vol Update'!$B$8:$B$127,MATCH(J79,'Rate &amp; Vol Update'!$B$8:$B$127,1))))*(INDEX('Rate &amp; Vol Update'!$E$8:$Z$127,MATCH(INDEX('Rate &amp; Vol Update'!$B$8:$B$127,MATCH(J79,'Rate &amp; Vol Update'!$B$8:$B$127,1)),'Rate &amp; Vol Update'!$B$8:$B$127,0),MATCH(INDEX('Rate &amp; Vol Update'!$E$6:$Z$6,1,MATCH(O79,'Rate &amp; Vol Update'!$E$6:$Z$6,1)),'Rate &amp; Vol Update'!$E$6:$Z$6,0))*(INDEX('Rate &amp; Vol Update'!$E$6:$Z$6,1,MATCH(O79,'Rate &amp; Vol Update'!$E$6:$Z$6,1)+1)-O79)*(INDEX('Rate &amp; Vol Update'!$B$8:$B$127,MATCH(J79,'Rate &amp; Vol Update'!$B$8:$B$127,1)+1)-J79)+INDEX('Rate &amp; Vol Update'!$E$8:$Z$127,MATCH(INDEX('Rate &amp; Vol Update'!$B$8:$B$127,MATCH(J79,'Rate &amp; Vol Update'!$B$8:$B$127,1)),'Rate &amp; Vol Update'!$B$8:$B$127,0),MATCH(INDEX('Rate &amp; Vol Update'!$E$6:$Z$6,1,MATCH(O79,'Rate &amp; Vol Update'!$E$6:$Z$6,1)+1),'Rate &amp; Vol Update'!$E$6:$Z$6,0))*(O79-INDEX('Rate &amp; Vol Update'!$E$6:$Z$6,1,MATCH(O79,'Rate &amp; Vol Update'!$E$6:$Z$6,1)))*(INDEX('Rate &amp; Vol Update'!$B$8:$B$127,MATCH(J79,'Rate &amp; Vol Update'!$B$8:$B$127,1)+1)-J79)+INDEX('Rate &amp; Vol Update'!$E$8:$Z$127,MATCH(INDEX('Rate &amp; Vol Update'!$B$8:$B$127,MATCH(J79,'Rate &amp; Vol Update'!$B$8:$B$127,1)+1),'Rate &amp; Vol Update'!$B$8:$B$127,0),MATCH(INDEX('Rate &amp; Vol Update'!$E$6:$Z$6,1,MATCH(O79,'Rate &amp; Vol Update'!$E$6:$Z$6,1)),'Rate &amp; Vol Update'!$E$6:$Z$6,0))*(INDEX('Rate &amp; Vol Update'!$E$6:$Z$6,1,MATCH(O79,'Rate &amp; Vol Update'!$E$6:$Z$6,1)+1)-O79)*(J79-INDEX('Rate &amp; Vol Update'!$B$8:$B$127,MATCH(J79,'Rate &amp; Vol Update'!$B$8:$B$127,1)))+INDEX('Rate &amp; Vol Update'!$E$8:$Z$127,MATCH(INDEX('Rate &amp; Vol Update'!$B$8:$B$127,MATCH(J79,'Rate &amp; Vol Update'!$B$8:$B$127,1)+1),'Rate &amp; Vol Update'!$B$8:$B$127,0),MATCH(INDEX('Rate &amp; Vol Update'!$E$6:$Z$6,1,MATCH(O79,'Rate &amp; Vol Update'!$E$6:$Z$6,1)+1),'Rate &amp; Vol Update'!$E$6:$Z$6,0))*(O79-INDEX('Rate &amp; Vol Update'!$E$6:$Z$6,1,MATCH(O79,'Rate &amp; Vol Update'!$E$6:$Z$6,1)))*(J79-INDEX('Rate &amp; Vol Update'!$B$8:$B$127,MATCH(J79,'Rate &amp; Vol Update'!$B$8:$B$127,1)))))*0.01%))</f>
        <v/>
      </c>
      <c r="R79" s="5" t="str">
        <f>IF(I79="","",1/((1+P79)^((K79-'Rate &amp; Vol Update'!$C$2)/360)))</f>
        <v/>
      </c>
      <c r="T79" s="15" t="str">
        <f>IF(I79="","",IF(J79&lt;'Rate &amp; Vol Update'!$C$2,MAX(0,P79-O79)*(L79/360)*N79,(((IF('Adjustment Surface'!C$2='Data Validation'!$A$2,P79,IF('Adjustment Surface'!C$2='Data Validation'!$A$3,O79,"Unknown Option Type"))-IF('Adjustment Surface'!C$2='Data Validation'!$A$2,O79,IF('Adjustment Surface'!C$2='Data Validation'!$A$3,P79,"Unknown Option Type")))*(NORMDIST((IF('Adjustment Surface'!C$2='Data Validation'!$A$2,P79,IF('Adjustment Surface'!C$2='Data Validation'!$A$3,O79,"Unknown Option Type"))-IF('Adjustment Surface'!C$2='Data Validation'!$A$2,O79,IF('Adjustment Surface'!C$2='Data Validation'!$A$3,P79,"Unknown Option Type")))/(Q79*SQRT(M79)),0,1,TRUE)))+((Q79*SQRT(M79))*(NORMDIST((IF('Adjustment Surface'!C$2='Data Validation'!$A$2,P79,IF('Adjustment Surface'!C$2='Data Validation'!$A$3,O79,"Unknown Option Type"))-IF('Adjustment Surface'!C$2='Data Validation'!$A$2,O79,IF('Adjustment Surface'!C$2='Data Validation'!$A$3,P79,"Unknown Option Type")))/(Q79*SQRT(M79)),0,1,FALSE))))*R79*(L79/360)*N79))</f>
        <v/>
      </c>
      <c r="U79" s="15" t="str">
        <f>IF(I79="","",SUM(T$4:T79))</f>
        <v/>
      </c>
      <c r="W79" s="15" t="str">
        <f>IF(I79="","",IF(J79&lt;'Rate &amp; Vol Update'!$C$2,0,((((((IF('Adjustment Surface'!C$2='Data Validation'!$A$2,P79,IF('Adjustment Surface'!C$2='Data Validation'!$A$3,O79,"Unknown Option Type"))-IF('Adjustment Surface'!C$2='Data Validation'!$A$2,O79,IF('Adjustment Surface'!C$2='Data Validation'!$A$3,P79,"Unknown Option Type")))*(NORMDIST((IF('Adjustment Surface'!C$2='Data Validation'!$A$2,P79,IF('Adjustment Surface'!C$2='Data Validation'!$A$3,O79,"Unknown Option Type"))-IF('Adjustment Surface'!C$2='Data Validation'!$A$2,O79,IF('Adjustment Surface'!C$2='Data Validation'!$A$3,P79,"Unknown Option Type")))/((Q79+0.01%)*SQRT(M79)),0,1,TRUE)))+(((Q79+0.01%)*SQRT(M79))*(NORMDIST((IF('Adjustment Surface'!C$2='Data Validation'!$A$2,P79,IF('Adjustment Surface'!C$2='Data Validation'!$A$3,O79,"Unknown Option Type"))-IF('Adjustment Surface'!C$2='Data Validation'!$A$2,O79,IF('Adjustment Surface'!C$2='Data Validation'!$A$3,P79,"Unknown Option Type")))/((Q79+0.01%)*SQRT(M79)),0,1,FALSE))))*R79*(L79/360))-(T79/N79))*N79)*R79))</f>
        <v/>
      </c>
      <c r="X79" s="15" t="str">
        <f>IF(I79="","",SUM(W$4:W79))</f>
        <v/>
      </c>
      <c r="Y79" s="15"/>
      <c r="Z79" s="20"/>
      <c r="AB79" s="4" t="str">
        <f>IF(AC78=MAX('Adjustment Surface'!$C$14:$F$14),"",AC78)</f>
        <v/>
      </c>
      <c r="AC79" s="4" t="str">
        <f>IF(AB79="","",IF(AB79&lt;EDATE('Adjustment Surface'!$C$6,DATEDIF('Adjustment Surface'!$C$6,MAX('Adjustment Surface'!$C$14:$F$14),"M")),EDATE(AB$5,COUNT(AB$5:AB79)),IF(AB79=EDATE('Adjustment Surface'!$C$6,DATEDIF('Adjustment Surface'!$C$6,MAX('Adjustment Surface'!$C$14:$F$14),"M")),MAX('Adjustment Surface'!$C$14:$F$14),EDATE('Adjustment Surface'!$C$6,DATEDIF('Adjustment Surface'!$C$6,MAX('Adjustment Surface'!$C$14:$F$14),"M")))))</f>
        <v/>
      </c>
      <c r="AD79" s="3" t="str">
        <f t="shared" si="7"/>
        <v/>
      </c>
      <c r="AE79" s="5" t="str">
        <f>IF(AA79="","",(AC79-'Rate &amp; Vol Update'!$C$2)/360)</f>
        <v/>
      </c>
      <c r="AF79" s="15" t="str">
        <f>IF(AA79="","",IF('Adjustment Surface'!$C$3='Data Validation'!$C$2,'Adjustment Surface'!$C$4,_xlfn.IFNA(IF(INDEX(Schedules!$E$3:$E$123,MATCH('Bachelier Model'!AB79,Schedules!$B$3:$B$123,0))="",AF78,INDEX(Schedules!$E$3:$E$123,MATCH('Bachelier Model'!AB79,Schedules!$B$3:$B$123,0))),AF78)))</f>
        <v/>
      </c>
      <c r="AG79" s="16" t="str">
        <f>IF(AA79="","",'Adjustment Surface'!B$15)</f>
        <v/>
      </c>
      <c r="AH79" s="16" t="str" cm="1">
        <f t="array" ref="AH79">IF(AA79="","",FORECAST(AB79,INDEX('Rate &amp; Vol Update'!$C$6:$C$127,MATCH(INDEX('Rate &amp; Vol Update'!$B$6:$B$127,MATCH(AB79,'Rate &amp; Vol Update'!$B$6:$B$127,1)),'Rate &amp; Vol Update'!$B$6:$B$127,0)+IF('Adjustment Surface'!$C$11='Data Validation'!$E$3,-1,0)):INDEX('Rate &amp; Vol Update'!$C$6:$C$127,MATCH(INDEX('Rate &amp; Vol Update'!$B$6:$B$127,MATCH(AB79,'Rate &amp; Vol Update'!$B$6:$B$127,1)+1),'Rate &amp; Vol Update'!$B$6:$B$127,0)+IF('Adjustment Surface'!$C$11='Data Validation'!$E$3,-1,0)),INDEX('Rate &amp; Vol Update'!$B$6:$B$127,MATCH(AB79,'Rate &amp; Vol Update'!$B$6:$B$127,1)):INDEX('Rate &amp; Vol Update'!$B$6:$B$127,MATCH(AB79,'Rate &amp; Vol Update'!$B$6:$B$127,1)+1))/100)</f>
        <v/>
      </c>
      <c r="AI79" s="16" t="str" cm="1">
        <f t="array" ref="AI79">IF(AA79="","",IF(AB79&lt;'Rate &amp; Vol Update'!$C$2,0.001%,(1/((INDEX('Rate &amp; Vol Update'!$E$6:$Z$6,1,MATCH(AG79,'Rate &amp; Vol Update'!$E$6:$Z$6,1)+1)-INDEX('Rate &amp; Vol Update'!$E$6:$Z$6,1,MATCH(AG79,'Rate &amp; Vol Update'!$E$6:$Z$6,1)))*(INDEX('Rate &amp; Vol Update'!$B$8:$B$127,MATCH(AB79,'Rate &amp; Vol Update'!$B$8:$B$127,1)+1)-INDEX('Rate &amp; Vol Update'!$B$8:$B$127,MATCH(AB79,'Rate &amp; Vol Update'!$B$8:$B$127,1))))*(INDEX('Rate &amp; Vol Update'!$E$8:$Z$127,MATCH(INDEX('Rate &amp; Vol Update'!$B$8:$B$127,MATCH(AB79,'Rate &amp; Vol Update'!$B$8:$B$127,1)),'Rate &amp; Vol Update'!$B$8:$B$127,0),MATCH(INDEX('Rate &amp; Vol Update'!$E$6:$Z$6,1,MATCH(AG79,'Rate &amp; Vol Update'!$E$6:$Z$6,1)),'Rate &amp; Vol Update'!$E$6:$Z$6,0))*(INDEX('Rate &amp; Vol Update'!$E$6:$Z$6,1,MATCH(AG79,'Rate &amp; Vol Update'!$E$6:$Z$6,1)+1)-AG79)*(INDEX('Rate &amp; Vol Update'!$B$8:$B$127,MATCH(AB79,'Rate &amp; Vol Update'!$B$8:$B$127,1)+1)-AB79)+INDEX('Rate &amp; Vol Update'!$E$8:$Z$127,MATCH(INDEX('Rate &amp; Vol Update'!$B$8:$B$127,MATCH(AB79,'Rate &amp; Vol Update'!$B$8:$B$127,1)),'Rate &amp; Vol Update'!$B$8:$B$127,0),MATCH(INDEX('Rate &amp; Vol Update'!$E$6:$Z$6,1,MATCH(AG79,'Rate &amp; Vol Update'!$E$6:$Z$6,1)+1),'Rate &amp; Vol Update'!$E$6:$Z$6,0))*(AG79-INDEX('Rate &amp; Vol Update'!$E$6:$Z$6,1,MATCH(AG79,'Rate &amp; Vol Update'!$E$6:$Z$6,1)))*(INDEX('Rate &amp; Vol Update'!$B$8:$B$127,MATCH(AB79,'Rate &amp; Vol Update'!$B$8:$B$127,1)+1)-AB79)+INDEX('Rate &amp; Vol Update'!$E$8:$Z$127,MATCH(INDEX('Rate &amp; Vol Update'!$B$8:$B$127,MATCH(AB79,'Rate &amp; Vol Update'!$B$8:$B$127,1)+1),'Rate &amp; Vol Update'!$B$8:$B$127,0),MATCH(INDEX('Rate &amp; Vol Update'!$E$6:$Z$6,1,MATCH(AG79,'Rate &amp; Vol Update'!$E$6:$Z$6,1)),'Rate &amp; Vol Update'!$E$6:$Z$6,0))*(INDEX('Rate &amp; Vol Update'!$E$6:$Z$6,1,MATCH(AG79,'Rate &amp; Vol Update'!$E$6:$Z$6,1)+1)-AG79)*(AB79-INDEX('Rate &amp; Vol Update'!$B$8:$B$127,MATCH(AB79,'Rate &amp; Vol Update'!$B$8:$B$127,1)))+INDEX('Rate &amp; Vol Update'!$E$8:$Z$127,MATCH(INDEX('Rate &amp; Vol Update'!$B$8:$B$127,MATCH(AB79,'Rate &amp; Vol Update'!$B$8:$B$127,1)+1),'Rate &amp; Vol Update'!$B$8:$B$127,0),MATCH(INDEX('Rate &amp; Vol Update'!$E$6:$Z$6,1,MATCH(AG79,'Rate &amp; Vol Update'!$E$6:$Z$6,1)+1),'Rate &amp; Vol Update'!$E$6:$Z$6,0))*(AG79-INDEX('Rate &amp; Vol Update'!$E$6:$Z$6,1,MATCH(AG79,'Rate &amp; Vol Update'!$E$6:$Z$6,1)))*(AB79-INDEX('Rate &amp; Vol Update'!$B$8:$B$127,MATCH(AB79,'Rate &amp; Vol Update'!$B$8:$B$127,1)))))*0.01%))</f>
        <v/>
      </c>
      <c r="AJ79" s="5" t="str">
        <f>IF(AA79="","",1/((1+AH79)^((AC79-'Rate &amp; Vol Update'!$C$2)/360)))</f>
        <v/>
      </c>
      <c r="AL79" s="15" t="str">
        <f>IF(AA79="","",IF(AB79&lt;'Rate &amp; Vol Update'!$C$2,MAX(0,AH79-AG79)*(AD79/360)*AF79,(((IF('Adjustment Surface'!$C$2='Data Validation'!$A$2,AH79,IF('Adjustment Surface'!$C$2='Data Validation'!$A$3,AG79,"Unknown Option Type"))-IF('Adjustment Surface'!$C$2='Data Validation'!$A$2,AG79,IF('Adjustment Surface'!$C$2='Data Validation'!$A$3,AH79,"Unknown Option Type")))*(NORMDIST((IF('Adjustment Surface'!$C$2='Data Validation'!$A$2,AH79,IF('Adjustment Surface'!$C$2='Data Validation'!$A$3,AG79,"Unknown Option Type"))-IF('Adjustment Surface'!$C$2='Data Validation'!$A$2,AG79,IF('Adjustment Surface'!$C$2='Data Validation'!$A$3,AH79,"Unknown Option Type")))/(AI79*SQRT(AE79)),0,1,TRUE)))+((AI79*SQRT(AE79))*(NORMDIST((IF('Adjustment Surface'!$C$2='Data Validation'!$A$2,AH79,IF('Adjustment Surface'!$C$2='Data Validation'!$A$3,AG79,"Unknown Option Type"))-IF('Adjustment Surface'!$C$2='Data Validation'!$A$2,AG79,IF('Adjustment Surface'!$C$2='Data Validation'!$A$3,AH79,"Unknown Option Type")))/(AI79*SQRT(AE79)),0,1,FALSE))))*AJ79*(AD79/360)*AF79))</f>
        <v/>
      </c>
      <c r="AM79" s="15" t="str">
        <f>IF(AA79="","",SUM(AL$4:AL79))</f>
        <v/>
      </c>
      <c r="AO79" s="15" t="str">
        <f>IF(AA79="","",IF(AB79&lt;'Rate &amp; Vol Update'!$C$2,0,((((((IF('Adjustment Surface'!$C$2='Data Validation'!$A$2,AH79,IF('Adjustment Surface'!$C$2='Data Validation'!$A$3,AG79,"Unknown Option Type"))-IF('Adjustment Surface'!$C$2='Data Validation'!$A$2,AG79,IF('Adjustment Surface'!$C$2='Data Validation'!$A$3,AH79,"Unknown Option Type")))*(NORMDIST((IF('Adjustment Surface'!$C$2='Data Validation'!$A$2,AH79,IF('Adjustment Surface'!$C$2='Data Validation'!$A$3,AG79,"Unknown Option Type"))-IF('Adjustment Surface'!$C$2='Data Validation'!$A$2,AG79,IF('Adjustment Surface'!$C$2='Data Validation'!$A$3,AH79,"Unknown Option Type")))/((AI79+0.01%)*SQRT(AE79)),0,1,TRUE)))+(((AI79+0.01%)*SQRT(AE79))*(NORMDIST((IF('Adjustment Surface'!$C$2='Data Validation'!$A$2,AH79,IF('Adjustment Surface'!$C$2='Data Validation'!$A$3,AG79,"Unknown Option Type"))-IF('Adjustment Surface'!$C$2='Data Validation'!$A$2,AG79,IF('Adjustment Surface'!$C$2='Data Validation'!$A$3,AH79,"Unknown Option Type")))/((AI79+0.01%)*SQRT(AE79)),0,1,FALSE))))*AJ79*(AD79/360))-(AL79/AF79))*AF79)*AJ79))</f>
        <v/>
      </c>
      <c r="AP79" s="15" t="str">
        <f>IF(AA79="","",SUM(AO$4:AO79))</f>
        <v/>
      </c>
      <c r="AQ79" s="15"/>
      <c r="AR79" s="20"/>
      <c r="AT79" s="4" t="str">
        <f>IF(AU78=MAX('Adjustment Surface'!$C$14:$F$14),"",AU78)</f>
        <v/>
      </c>
      <c r="AU79" s="4" t="str">
        <f>IF(AT79="","",IF(AT79&lt;EDATE('Adjustment Surface'!$C$6,DATEDIF('Adjustment Surface'!$C$6,MAX('Adjustment Surface'!$C$14:$F$14),"M")),EDATE(AT$5,COUNT(AT$5:AT79)),IF(AT79=EDATE('Adjustment Surface'!$C$6,DATEDIF('Adjustment Surface'!$C$6,MAX('Adjustment Surface'!$C$14:$F$14),"M")),MAX('Adjustment Surface'!$C$14:$F$14),EDATE('Adjustment Surface'!$C$6,DATEDIF('Adjustment Surface'!$C$6,MAX('Adjustment Surface'!$C$14:$F$14),"M")))))</f>
        <v/>
      </c>
      <c r="AV79" s="3" t="str">
        <f t="shared" si="8"/>
        <v/>
      </c>
      <c r="AW79" s="5" t="str">
        <f>IF(AS79="","",(AU79-'Rate &amp; Vol Update'!$C$2)/360)</f>
        <v/>
      </c>
      <c r="AX79" s="15" t="str">
        <f>IF(AS79="","",IF('Adjustment Surface'!$C$3='Data Validation'!$C$2,'Adjustment Surface'!$C$4,_xlfn.IFNA(IF(INDEX(Schedules!$E$3:$E$123,MATCH('Bachelier Model'!AT79,Schedules!$B$3:$B$123,0))="",AX78,INDEX(Schedules!$E$3:$E$123,MATCH('Bachelier Model'!AT79,Schedules!$B$3:$B$123,0))),AX78)))</f>
        <v/>
      </c>
      <c r="AY79" s="16" t="str">
        <f>IF(AS79="","",'Adjustment Surface'!B$16)</f>
        <v/>
      </c>
      <c r="AZ79" s="16" t="str" cm="1">
        <f t="array" ref="AZ79">IF(AS79="","",FORECAST(AT79,INDEX('Rate &amp; Vol Update'!$C$6:$C$127,MATCH(INDEX('Rate &amp; Vol Update'!$B$6:$B$127,MATCH(AT79,'Rate &amp; Vol Update'!$B$6:$B$127,1)),'Rate &amp; Vol Update'!$B$6:$B$127,0)+IF('Adjustment Surface'!$C$11='Data Validation'!$E$3,-1,0)):INDEX('Rate &amp; Vol Update'!$C$6:$C$127,MATCH(INDEX('Rate &amp; Vol Update'!$B$6:$B$127,MATCH(AT79,'Rate &amp; Vol Update'!$B$6:$B$127,1)+1),'Rate &amp; Vol Update'!$B$6:$B$127,0)+IF('Adjustment Surface'!$C$11='Data Validation'!$E$3,-1,0)),INDEX('Rate &amp; Vol Update'!$B$6:$B$127,MATCH(AT79,'Rate &amp; Vol Update'!$B$6:$B$127,1)):INDEX('Rate &amp; Vol Update'!$B$6:$B$127,MATCH(AT79,'Rate &amp; Vol Update'!$B$6:$B$127,1)+1))/100)</f>
        <v/>
      </c>
      <c r="BA79" s="16" t="str" cm="1">
        <f t="array" ref="BA79">IF(AS79="","",IF(AT79&lt;'Rate &amp; Vol Update'!$C$2,0.001%,(1/((INDEX('Rate &amp; Vol Update'!$E$6:$Z$6,1,MATCH(AY79,'Rate &amp; Vol Update'!$E$6:$Z$6,1)+1)-INDEX('Rate &amp; Vol Update'!$E$6:$Z$6,1,MATCH(AY79,'Rate &amp; Vol Update'!$E$6:$Z$6,1)))*(INDEX('Rate &amp; Vol Update'!$B$8:$B$127,MATCH(AT79,'Rate &amp; Vol Update'!$B$8:$B$127,1)+1)-INDEX('Rate &amp; Vol Update'!$B$8:$B$127,MATCH(AT79,'Rate &amp; Vol Update'!$B$8:$B$127,1))))*(INDEX('Rate &amp; Vol Update'!$E$8:$Z$127,MATCH(INDEX('Rate &amp; Vol Update'!$B$8:$B$127,MATCH(AT79,'Rate &amp; Vol Update'!$B$8:$B$127,1)),'Rate &amp; Vol Update'!$B$8:$B$127,0),MATCH(INDEX('Rate &amp; Vol Update'!$E$6:$Z$6,1,MATCH(AY79,'Rate &amp; Vol Update'!$E$6:$Z$6,1)),'Rate &amp; Vol Update'!$E$6:$Z$6,0))*(INDEX('Rate &amp; Vol Update'!$E$6:$Z$6,1,MATCH(AY79,'Rate &amp; Vol Update'!$E$6:$Z$6,1)+1)-AY79)*(INDEX('Rate &amp; Vol Update'!$B$8:$B$127,MATCH(AT79,'Rate &amp; Vol Update'!$B$8:$B$127,1)+1)-AT79)+INDEX('Rate &amp; Vol Update'!$E$8:$Z$127,MATCH(INDEX('Rate &amp; Vol Update'!$B$8:$B$127,MATCH(AT79,'Rate &amp; Vol Update'!$B$8:$B$127,1)),'Rate &amp; Vol Update'!$B$8:$B$127,0),MATCH(INDEX('Rate &amp; Vol Update'!$E$6:$Z$6,1,MATCH(AY79,'Rate &amp; Vol Update'!$E$6:$Z$6,1)+1),'Rate &amp; Vol Update'!$E$6:$Z$6,0))*(AY79-INDEX('Rate &amp; Vol Update'!$E$6:$Z$6,1,MATCH(AY79,'Rate &amp; Vol Update'!$E$6:$Z$6,1)))*(INDEX('Rate &amp; Vol Update'!$B$8:$B$127,MATCH(AT79,'Rate &amp; Vol Update'!$B$8:$B$127,1)+1)-AT79)+INDEX('Rate &amp; Vol Update'!$E$8:$Z$127,MATCH(INDEX('Rate &amp; Vol Update'!$B$8:$B$127,MATCH(AT79,'Rate &amp; Vol Update'!$B$8:$B$127,1)+1),'Rate &amp; Vol Update'!$B$8:$B$127,0),MATCH(INDEX('Rate &amp; Vol Update'!$E$6:$Z$6,1,MATCH(AY79,'Rate &amp; Vol Update'!$E$6:$Z$6,1)),'Rate &amp; Vol Update'!$E$6:$Z$6,0))*(INDEX('Rate &amp; Vol Update'!$E$6:$Z$6,1,MATCH(AY79,'Rate &amp; Vol Update'!$E$6:$Z$6,1)+1)-AY79)*(AT79-INDEX('Rate &amp; Vol Update'!$B$8:$B$127,MATCH(AT79,'Rate &amp; Vol Update'!$B$8:$B$127,1)))+INDEX('Rate &amp; Vol Update'!$E$8:$Z$127,MATCH(INDEX('Rate &amp; Vol Update'!$B$8:$B$127,MATCH(AT79,'Rate &amp; Vol Update'!$B$8:$B$127,1)+1),'Rate &amp; Vol Update'!$B$8:$B$127,0),MATCH(INDEX('Rate &amp; Vol Update'!$E$6:$Z$6,1,MATCH(AY79,'Rate &amp; Vol Update'!$E$6:$Z$6,1)+1),'Rate &amp; Vol Update'!$E$6:$Z$6,0))*(AY79-INDEX('Rate &amp; Vol Update'!$E$6:$Z$6,1,MATCH(AY79,'Rate &amp; Vol Update'!$E$6:$Z$6,1)))*(AT79-INDEX('Rate &amp; Vol Update'!$B$8:$B$127,MATCH(AT79,'Rate &amp; Vol Update'!$B$8:$B$127,1)))))*0.01%))</f>
        <v/>
      </c>
      <c r="BB79" s="5" t="str">
        <f>IF(AS79="","",1/((1+AZ79)^((AU79-'Rate &amp; Vol Update'!$C$2)/360)))</f>
        <v/>
      </c>
      <c r="BD79" s="15" t="str">
        <f>IF(AS79="","",IF(AT79&lt;'Rate &amp; Vol Update'!$C$2,MAX(0,AZ79-AY79)*(AV79/360)*AX79,(((IF('Adjustment Surface'!$C$2='Data Validation'!$A$2,AZ79,IF('Adjustment Surface'!$C$2='Data Validation'!$A$3,AY79,"Unknown Option Type"))-IF('Adjustment Surface'!$C$2='Data Validation'!$A$2,AY79,IF('Adjustment Surface'!$C$2='Data Validation'!$A$3,AZ79,"Unknown Option Type")))*(NORMDIST((IF('Adjustment Surface'!$C$2='Data Validation'!$A$2,AZ79,IF('Adjustment Surface'!$C$2='Data Validation'!$A$3,AY79,"Unknown Option Type"))-IF('Adjustment Surface'!$C$2='Data Validation'!$A$2,AY79,IF('Adjustment Surface'!$C$2='Data Validation'!$A$3,AZ79,"Unknown Option Type")))/(BA79*SQRT(AW79)),0,1,TRUE)))+((BA79*SQRT(AW79))*(NORMDIST((IF('Adjustment Surface'!$C$2='Data Validation'!$A$2,AZ79,IF('Adjustment Surface'!$C$2='Data Validation'!$A$3,AY79,"Unknown Option Type"))-IF('Adjustment Surface'!$C$2='Data Validation'!$A$2,AY79,IF('Adjustment Surface'!$C$2='Data Validation'!$A$3,AZ79,"Unknown Option Type")))/(BA79*SQRT(AW79)),0,1,FALSE))))*BB79*(AV79/360)*AX79))</f>
        <v/>
      </c>
      <c r="BE79" s="15" t="str">
        <f>IF(AS79="","",SUM(BD$4:BD79))</f>
        <v/>
      </c>
      <c r="BG79" s="15" t="str">
        <f>IF(AS79="","",IF(AT79&lt;'Rate &amp; Vol Update'!$C$2,0,((((((IF('Adjustment Surface'!$C$2='Data Validation'!$A$2,AZ79,IF('Adjustment Surface'!$C$2='Data Validation'!$A$3,AY79,"Unknown Option Type"))-IF('Adjustment Surface'!$C$2='Data Validation'!$A$2,AY79,IF('Adjustment Surface'!$C$2='Data Validation'!$A$3,AZ79,"Unknown Option Type")))*(NORMDIST((IF('Adjustment Surface'!$C$2='Data Validation'!$A$2,AZ79,IF('Adjustment Surface'!$C$2='Data Validation'!$A$3,AY79,"Unknown Option Type"))-IF('Adjustment Surface'!$C$2='Data Validation'!$A$2,AY79,IF('Adjustment Surface'!$C$2='Data Validation'!$A$3,AZ79,"Unknown Option Type")))/((BA79+0.01%)*SQRT(AW79)),0,1,TRUE)))+(((BA79+0.01%)*SQRT(AW79))*(NORMDIST((IF('Adjustment Surface'!$C$2='Data Validation'!$A$2,AZ79,IF('Adjustment Surface'!$C$2='Data Validation'!$A$3,AY79,"Unknown Option Type"))-IF('Adjustment Surface'!$C$2='Data Validation'!$A$2,AY79,IF('Adjustment Surface'!$C$2='Data Validation'!$A$3,AZ79,"Unknown Option Type")))/((BA79+0.01%)*SQRT(AW79)),0,1,FALSE))))*BB79*(AV79/360))-(BD79/AX79))*AX79)*BB79))</f>
        <v/>
      </c>
      <c r="BH79" s="15" t="str">
        <f>IF(AS79="","",SUM(BG$4:BG79))</f>
        <v/>
      </c>
      <c r="BI79" s="15"/>
      <c r="BJ79" s="20"/>
      <c r="BL79" s="4" t="str">
        <f>IF(BM78=MAX('Adjustment Surface'!$C$14:$F$14),"",BM78)</f>
        <v/>
      </c>
      <c r="BM79" s="4" t="str">
        <f>IF(BL79="","",IF(BL79&lt;EDATE('Adjustment Surface'!$C$6,DATEDIF('Adjustment Surface'!$C$6,MAX('Adjustment Surface'!$C$14:$F$14),"M")),EDATE(BL$5,COUNT(BL$5:BL79)),IF(BL79=EDATE('Adjustment Surface'!$C$6,DATEDIF('Adjustment Surface'!$C$6,MAX('Adjustment Surface'!$C$14:$F$14),"M")),MAX('Adjustment Surface'!$C$14:$F$14),EDATE('Adjustment Surface'!$C$6,DATEDIF('Adjustment Surface'!$C$6,MAX('Adjustment Surface'!$C$14:$F$14),"M")))))</f>
        <v/>
      </c>
      <c r="BN79" s="3" t="str">
        <f t="shared" si="9"/>
        <v/>
      </c>
      <c r="BO79" s="5" t="str">
        <f>IF(BK79="","",(BM79-'Rate &amp; Vol Update'!$C$2)/360)</f>
        <v/>
      </c>
      <c r="BP79" s="15" t="str">
        <f>IF(BK79="","",IF('Adjustment Surface'!$C$3='Data Validation'!$C$2,'Adjustment Surface'!$C$4,_xlfn.IFNA(IF(INDEX(Schedules!$E$3:$E$123,MATCH('Bachelier Model'!BL79,Schedules!$B$3:$B$123,0))="",BP78,INDEX(Schedules!$E$3:$E$123,MATCH('Bachelier Model'!BL79,Schedules!$B$3:$B$123,0))),BP78)))</f>
        <v/>
      </c>
      <c r="BQ79" s="16" t="str">
        <f>IF(BK79="","",'Adjustment Surface'!B$17)</f>
        <v/>
      </c>
      <c r="BR79" s="16" t="str" cm="1">
        <f t="array" ref="BR79">IF(BK79="","",FORECAST(BL79,INDEX('Rate &amp; Vol Update'!$C$6:$C$127,MATCH(INDEX('Rate &amp; Vol Update'!$B$6:$B$127,MATCH(BL79,'Rate &amp; Vol Update'!$B$6:$B$127,1)),'Rate &amp; Vol Update'!$B$6:$B$127,0)+IF('Adjustment Surface'!$C$11='Data Validation'!$E$3,-1,0)):INDEX('Rate &amp; Vol Update'!$C$6:$C$127,MATCH(INDEX('Rate &amp; Vol Update'!$B$6:$B$127,MATCH(BL79,'Rate &amp; Vol Update'!$B$6:$B$127,1)+1),'Rate &amp; Vol Update'!$B$6:$B$127,0)+IF('Adjustment Surface'!$C$11='Data Validation'!$E$3,-1,0)),INDEX('Rate &amp; Vol Update'!$B$6:$B$127,MATCH(BL79,'Rate &amp; Vol Update'!$B$6:$B$127,1)):INDEX('Rate &amp; Vol Update'!$B$6:$B$127,MATCH(BL79,'Rate &amp; Vol Update'!$B$6:$B$127,1)+1))/100)</f>
        <v/>
      </c>
      <c r="BS79" s="16" t="str" cm="1">
        <f t="array" ref="BS79">IF(BK79="","",IF(BL79&lt;'Rate &amp; Vol Update'!$C$2,0.001%,(1/((INDEX('Rate &amp; Vol Update'!$E$6:$Z$6,1,MATCH(BQ79,'Rate &amp; Vol Update'!$E$6:$Z$6,1)+1)-INDEX('Rate &amp; Vol Update'!$E$6:$Z$6,1,MATCH(BQ79,'Rate &amp; Vol Update'!$E$6:$Z$6,1)))*(INDEX('Rate &amp; Vol Update'!$B$8:$B$127,MATCH(BL79,'Rate &amp; Vol Update'!$B$8:$B$127,1)+1)-INDEX('Rate &amp; Vol Update'!$B$8:$B$127,MATCH(BL79,'Rate &amp; Vol Update'!$B$8:$B$127,1))))*(INDEX('Rate &amp; Vol Update'!$E$8:$Z$127,MATCH(INDEX('Rate &amp; Vol Update'!$B$8:$B$127,MATCH(BL79,'Rate &amp; Vol Update'!$B$8:$B$127,1)),'Rate &amp; Vol Update'!$B$8:$B$127,0),MATCH(INDEX('Rate &amp; Vol Update'!$E$6:$Z$6,1,MATCH(BQ79,'Rate &amp; Vol Update'!$E$6:$Z$6,1)),'Rate &amp; Vol Update'!$E$6:$Z$6,0))*(INDEX('Rate &amp; Vol Update'!$E$6:$Z$6,1,MATCH(BQ79,'Rate &amp; Vol Update'!$E$6:$Z$6,1)+1)-BQ79)*(INDEX('Rate &amp; Vol Update'!$B$8:$B$127,MATCH(BL79,'Rate &amp; Vol Update'!$B$8:$B$127,1)+1)-BL79)+INDEX('Rate &amp; Vol Update'!$E$8:$Z$127,MATCH(INDEX('Rate &amp; Vol Update'!$B$8:$B$127,MATCH(BL79,'Rate &amp; Vol Update'!$B$8:$B$127,1)),'Rate &amp; Vol Update'!$B$8:$B$127,0),MATCH(INDEX('Rate &amp; Vol Update'!$E$6:$Z$6,1,MATCH(BQ79,'Rate &amp; Vol Update'!$E$6:$Z$6,1)+1),'Rate &amp; Vol Update'!$E$6:$Z$6,0))*(BQ79-INDEX('Rate &amp; Vol Update'!$E$6:$Z$6,1,MATCH(BQ79,'Rate &amp; Vol Update'!$E$6:$Z$6,1)))*(INDEX('Rate &amp; Vol Update'!$B$8:$B$127,MATCH(BL79,'Rate &amp; Vol Update'!$B$8:$B$127,1)+1)-BL79)+INDEX('Rate &amp; Vol Update'!$E$8:$Z$127,MATCH(INDEX('Rate &amp; Vol Update'!$B$8:$B$127,MATCH(BL79,'Rate &amp; Vol Update'!$B$8:$B$127,1)+1),'Rate &amp; Vol Update'!$B$8:$B$127,0),MATCH(INDEX('Rate &amp; Vol Update'!$E$6:$Z$6,1,MATCH(BQ79,'Rate &amp; Vol Update'!$E$6:$Z$6,1)),'Rate &amp; Vol Update'!$E$6:$Z$6,0))*(INDEX('Rate &amp; Vol Update'!$E$6:$Z$6,1,MATCH(BQ79,'Rate &amp; Vol Update'!$E$6:$Z$6,1)+1)-BQ79)*(BL79-INDEX('Rate &amp; Vol Update'!$B$8:$B$127,MATCH(BL79,'Rate &amp; Vol Update'!$B$8:$B$127,1)))+INDEX('Rate &amp; Vol Update'!$E$8:$Z$127,MATCH(INDEX('Rate &amp; Vol Update'!$B$8:$B$127,MATCH(BL79,'Rate &amp; Vol Update'!$B$8:$B$127,1)+1),'Rate &amp; Vol Update'!$B$8:$B$127,0),MATCH(INDEX('Rate &amp; Vol Update'!$E$6:$Z$6,1,MATCH(BQ79,'Rate &amp; Vol Update'!$E$6:$Z$6,1)+1),'Rate &amp; Vol Update'!$E$6:$Z$6,0))*(BQ79-INDEX('Rate &amp; Vol Update'!$E$6:$Z$6,1,MATCH(BQ79,'Rate &amp; Vol Update'!$E$6:$Z$6,1)))*(BL79-INDEX('Rate &amp; Vol Update'!$B$8:$B$127,MATCH(BL79,'Rate &amp; Vol Update'!$B$8:$B$127,1)))))*0.01%))</f>
        <v/>
      </c>
      <c r="BT79" s="5" t="str">
        <f>IF(BK79="","",1/((1+BR79)^((BM79-'Rate &amp; Vol Update'!$C$2)/360)))</f>
        <v/>
      </c>
      <c r="BV79" s="15" t="str">
        <f>IF(BK79="","",IF(BL79&lt;'Rate &amp; Vol Update'!$C$2,MAX(0,BR79-BQ79)*(BN79/360)*BP79,(((IF('Adjustment Surface'!$C$2='Data Validation'!$A$2,BR79,IF('Adjustment Surface'!$C$2='Data Validation'!$A$3,BQ79,"Unknown Option Type"))-IF('Adjustment Surface'!$C$2='Data Validation'!$A$2,BQ79,IF('Adjustment Surface'!$C$2='Data Validation'!$A$3,BR79,"Unknown Option Type")))*(NORMDIST((IF('Adjustment Surface'!$C$2='Data Validation'!$A$2,BR79,IF('Adjustment Surface'!$C$2='Data Validation'!$A$3,BQ79,"Unknown Option Type"))-IF('Adjustment Surface'!$C$2='Data Validation'!$A$2,BQ79,IF('Adjustment Surface'!$C$2='Data Validation'!$A$3,BR79,"Unknown Option Type")))/(BS79*SQRT(BO79)),0,1,TRUE)))+((BS79*SQRT(BO79))*(NORMDIST((IF('Adjustment Surface'!$C$2='Data Validation'!$A$2,BR79,IF('Adjustment Surface'!$C$2='Data Validation'!$A$3,BQ79,"Unknown Option Type"))-IF('Adjustment Surface'!$C$2='Data Validation'!$A$2,BQ79,IF('Adjustment Surface'!$C$2='Data Validation'!$A$3,BR79,"Unknown Option Type")))/(BS79*SQRT(BO79)),0,1,FALSE))))*BT79*(BN79/360)*BP79))</f>
        <v/>
      </c>
      <c r="BW79" s="15" t="str">
        <f>IF(BK79="","",SUM(BV$4:BV79))</f>
        <v/>
      </c>
      <c r="BY79" s="15" t="str">
        <f>IF(BK79="","",IF(BL79&lt;'Rate &amp; Vol Update'!$C$2,0,((((((IF('Adjustment Surface'!$C$2='Data Validation'!$A$2,BR79,IF('Adjustment Surface'!$C$2='Data Validation'!$A$3,BQ79,"Unknown Option Type"))-IF('Adjustment Surface'!$C$2='Data Validation'!$A$2,BQ79,IF('Adjustment Surface'!$C$2='Data Validation'!$A$3,BR79,"Unknown Option Type")))*(NORMDIST((IF('Adjustment Surface'!$C$2='Data Validation'!$A$2,BR79,IF('Adjustment Surface'!$C$2='Data Validation'!$A$3,BQ79,"Unknown Option Type"))-IF('Adjustment Surface'!$C$2='Data Validation'!$A$2,BQ79,IF('Adjustment Surface'!$C$2='Data Validation'!$A$3,BR79,"Unknown Option Type")))/((BS79+0.01%)*SQRT(BO79)),0,1,TRUE)))+(((BS79+0.01%)*SQRT(BO79))*(NORMDIST((IF('Adjustment Surface'!$C$2='Data Validation'!$A$2,BR79,IF('Adjustment Surface'!$C$2='Data Validation'!$A$3,BQ79,"Unknown Option Type"))-IF('Adjustment Surface'!$C$2='Data Validation'!$A$2,BQ79,IF('Adjustment Surface'!$C$2='Data Validation'!$A$3,BR79,"Unknown Option Type")))/((BS79+0.01%)*SQRT(BO79)),0,1,FALSE))))*BT79*(BN79/360))-(BV79/BP79))*BP79)*BT79))</f>
        <v/>
      </c>
      <c r="BZ79" s="15" t="str">
        <f>IF(BK79="","",SUM(BY$4:BY79))</f>
        <v/>
      </c>
      <c r="CA79" s="15"/>
      <c r="CB79" s="20"/>
      <c r="CD79" s="4" t="str">
        <f>IF(CE78=MAX('Adjustment Surface'!$C$14:$F$14),"",CE78)</f>
        <v/>
      </c>
      <c r="CE79" s="4" t="str">
        <f>IF(CD79="","",IF(CD79&lt;EDATE('Adjustment Surface'!$C$6,DATEDIF('Adjustment Surface'!$C$6,MAX('Adjustment Surface'!$C$14:$F$14),"M")),EDATE(CD$5,COUNT(CD$5:CD79)),IF(CD79=EDATE('Adjustment Surface'!$C$6,DATEDIF('Adjustment Surface'!$C$6,MAX('Adjustment Surface'!$C$14:$F$14),"M")),MAX('Adjustment Surface'!$C$14:$F$14),EDATE('Adjustment Surface'!$C$6,DATEDIF('Adjustment Surface'!$C$6,MAX('Adjustment Surface'!$C$14:$F$14),"M")))))</f>
        <v/>
      </c>
      <c r="CF79" s="3" t="str">
        <f t="shared" si="10"/>
        <v/>
      </c>
      <c r="CG79" s="5" t="str">
        <f>IF(CC79="","",(CE79-'Rate &amp; Vol Update'!$C$2)/360)</f>
        <v/>
      </c>
      <c r="CH79" s="15" t="str">
        <f>IF(CC79="","",IF('Adjustment Surface'!$C$3='Data Validation'!$C$2,'Adjustment Surface'!$C$4,_xlfn.IFNA(IF(INDEX(Schedules!$E$3:$E$123,MATCH('Bachelier Model'!CD79,Schedules!$B$3:$B$123,0))="",CH78,INDEX(Schedules!$E$3:$E$123,MATCH('Bachelier Model'!CD79,Schedules!$B$3:$B$123,0))),CH78)))</f>
        <v/>
      </c>
      <c r="CI79" s="16" t="str">
        <f>IF(CC79="","",'Adjustment Surface'!B$18)</f>
        <v/>
      </c>
      <c r="CJ79" s="16" t="str" cm="1">
        <f t="array" ref="CJ79">IF(CC79="","",FORECAST(CD79,INDEX('Rate &amp; Vol Update'!$C$6:$C$127,MATCH(INDEX('Rate &amp; Vol Update'!$B$6:$B$127,MATCH(CD79,'Rate &amp; Vol Update'!$B$6:$B$127,1)),'Rate &amp; Vol Update'!$B$6:$B$127,0)+IF('Adjustment Surface'!$C$11='Data Validation'!$E$3,-1,0)):INDEX('Rate &amp; Vol Update'!$C$6:$C$127,MATCH(INDEX('Rate &amp; Vol Update'!$B$6:$B$127,MATCH(CD79,'Rate &amp; Vol Update'!$B$6:$B$127,1)+1),'Rate &amp; Vol Update'!$B$6:$B$127,0)+IF('Adjustment Surface'!$C$11='Data Validation'!$E$3,-1,0)),INDEX('Rate &amp; Vol Update'!$B$6:$B$127,MATCH(CD79,'Rate &amp; Vol Update'!$B$6:$B$127,1)):INDEX('Rate &amp; Vol Update'!$B$6:$B$127,MATCH(CD79,'Rate &amp; Vol Update'!$B$6:$B$127,1)+1))/100)</f>
        <v/>
      </c>
      <c r="CK79" s="16" t="str" cm="1">
        <f t="array" ref="CK79">IF(CC79="","",IF(CD79&lt;'Rate &amp; Vol Update'!$C$2,0.001%,(1/((INDEX('Rate &amp; Vol Update'!$E$6:$Z$6,1,MATCH(CI79,'Rate &amp; Vol Update'!$E$6:$Z$6,1)+1)-INDEX('Rate &amp; Vol Update'!$E$6:$Z$6,1,MATCH(CI79,'Rate &amp; Vol Update'!$E$6:$Z$6,1)))*(INDEX('Rate &amp; Vol Update'!$B$8:$B$127,MATCH(CD79,'Rate &amp; Vol Update'!$B$8:$B$127,1)+1)-INDEX('Rate &amp; Vol Update'!$B$8:$B$127,MATCH(CD79,'Rate &amp; Vol Update'!$B$8:$B$127,1))))*(INDEX('Rate &amp; Vol Update'!$E$8:$Z$127,MATCH(INDEX('Rate &amp; Vol Update'!$B$8:$B$127,MATCH(CD79,'Rate &amp; Vol Update'!$B$8:$B$127,1)),'Rate &amp; Vol Update'!$B$8:$B$127,0),MATCH(INDEX('Rate &amp; Vol Update'!$E$6:$Z$6,1,MATCH(CI79,'Rate &amp; Vol Update'!$E$6:$Z$6,1)),'Rate &amp; Vol Update'!$E$6:$Z$6,0))*(INDEX('Rate &amp; Vol Update'!$E$6:$Z$6,1,MATCH(CI79,'Rate &amp; Vol Update'!$E$6:$Z$6,1)+1)-CI79)*(INDEX('Rate &amp; Vol Update'!$B$8:$B$127,MATCH(CD79,'Rate &amp; Vol Update'!$B$8:$B$127,1)+1)-CD79)+INDEX('Rate &amp; Vol Update'!$E$8:$Z$127,MATCH(INDEX('Rate &amp; Vol Update'!$B$8:$B$127,MATCH(CD79,'Rate &amp; Vol Update'!$B$8:$B$127,1)),'Rate &amp; Vol Update'!$B$8:$B$127,0),MATCH(INDEX('Rate &amp; Vol Update'!$E$6:$Z$6,1,MATCH(CI79,'Rate &amp; Vol Update'!$E$6:$Z$6,1)+1),'Rate &amp; Vol Update'!$E$6:$Z$6,0))*(CI79-INDEX('Rate &amp; Vol Update'!$E$6:$Z$6,1,MATCH(CI79,'Rate &amp; Vol Update'!$E$6:$Z$6,1)))*(INDEX('Rate &amp; Vol Update'!$B$8:$B$127,MATCH(CD79,'Rate &amp; Vol Update'!$B$8:$B$127,1)+1)-CD79)+INDEX('Rate &amp; Vol Update'!$E$8:$Z$127,MATCH(INDEX('Rate &amp; Vol Update'!$B$8:$B$127,MATCH(CD79,'Rate &amp; Vol Update'!$B$8:$B$127,1)+1),'Rate &amp; Vol Update'!$B$8:$B$127,0),MATCH(INDEX('Rate &amp; Vol Update'!$E$6:$Z$6,1,MATCH(CI79,'Rate &amp; Vol Update'!$E$6:$Z$6,1)),'Rate &amp; Vol Update'!$E$6:$Z$6,0))*(INDEX('Rate &amp; Vol Update'!$E$6:$Z$6,1,MATCH(CI79,'Rate &amp; Vol Update'!$E$6:$Z$6,1)+1)-CI79)*(CD79-INDEX('Rate &amp; Vol Update'!$B$8:$B$127,MATCH(CD79,'Rate &amp; Vol Update'!$B$8:$B$127,1)))+INDEX('Rate &amp; Vol Update'!$E$8:$Z$127,MATCH(INDEX('Rate &amp; Vol Update'!$B$8:$B$127,MATCH(CD79,'Rate &amp; Vol Update'!$B$8:$B$127,1)+1),'Rate &amp; Vol Update'!$B$8:$B$127,0),MATCH(INDEX('Rate &amp; Vol Update'!$E$6:$Z$6,1,MATCH(CI79,'Rate &amp; Vol Update'!$E$6:$Z$6,1)+1),'Rate &amp; Vol Update'!$E$6:$Z$6,0))*(CI79-INDEX('Rate &amp; Vol Update'!$E$6:$Z$6,1,MATCH(CI79,'Rate &amp; Vol Update'!$E$6:$Z$6,1)))*(CD79-INDEX('Rate &amp; Vol Update'!$B$8:$B$127,MATCH(CD79,'Rate &amp; Vol Update'!$B$8:$B$127,1)))))*0.01%))</f>
        <v/>
      </c>
      <c r="CL79" s="5" t="str">
        <f>IF(CC79="","",1/((1+CJ79)^((CE79-'Rate &amp; Vol Update'!$C$2)/360)))</f>
        <v/>
      </c>
      <c r="CN79" s="15" t="str">
        <f>IF(CC79="","",IF(CD79&lt;'Rate &amp; Vol Update'!$C$2,MAX(0,CJ79-CI79)*(CF79/360)*CH79,(((IF('Adjustment Surface'!$C$2='Data Validation'!$A$2,CJ79,IF('Adjustment Surface'!$C$2='Data Validation'!$A$3,CI79,"Unknown Option Type"))-IF('Adjustment Surface'!$C$2='Data Validation'!$A$2,CI79,IF('Adjustment Surface'!$C$2='Data Validation'!$A$3,CJ79,"Unknown Option Type")))*(NORMDIST((IF('Adjustment Surface'!$C$2='Data Validation'!$A$2,CJ79,IF('Adjustment Surface'!$C$2='Data Validation'!$A$3,CI79,"Unknown Option Type"))-IF('Adjustment Surface'!$C$2='Data Validation'!$A$2,CI79,IF('Adjustment Surface'!$C$2='Data Validation'!$A$3,CJ79,"Unknown Option Type")))/(CK79*SQRT(CG79)),0,1,TRUE)))+((CK79*SQRT(CG79))*(NORMDIST((IF('Adjustment Surface'!$C$2='Data Validation'!$A$2,CJ79,IF('Adjustment Surface'!$C$2='Data Validation'!$A$3,CI79,"Unknown Option Type"))-IF('Adjustment Surface'!$C$2='Data Validation'!$A$2,CI79,IF('Adjustment Surface'!$C$2='Data Validation'!$A$3,CJ79,"Unknown Option Type")))/(CK79*SQRT(CG79)),0,1,FALSE))))*CL79*(CF79/360)*CH79))</f>
        <v/>
      </c>
      <c r="CO79" s="15" t="str">
        <f>IF(CC79="","",SUM(CN$4:CN79))</f>
        <v/>
      </c>
      <c r="CQ79" s="15" t="str">
        <f>IF(CC79="","",IF(CD79&lt;'Rate &amp; Vol Update'!$C$2,0,((((((IF('Adjustment Surface'!$C$2='Data Validation'!$A$2,CJ79,IF('Adjustment Surface'!$C$2='Data Validation'!$A$3,CI79,"Unknown Option Type"))-IF('Adjustment Surface'!$C$2='Data Validation'!$A$2,CI79,IF('Adjustment Surface'!$C$2='Data Validation'!$A$3,CJ79,"Unknown Option Type")))*(NORMDIST((IF('Adjustment Surface'!$C$2='Data Validation'!$A$2,CJ79,IF('Adjustment Surface'!$C$2='Data Validation'!$A$3,CI79,"Unknown Option Type"))-IF('Adjustment Surface'!$C$2='Data Validation'!$A$2,CI79,IF('Adjustment Surface'!$C$2='Data Validation'!$A$3,CJ79,"Unknown Option Type")))/((CK79+0.01%)*SQRT(CG79)),0,1,TRUE)))+(((CK79+0.01%)*SQRT(CG79))*(NORMDIST((IF('Adjustment Surface'!$C$2='Data Validation'!$A$2,CJ79,IF('Adjustment Surface'!$C$2='Data Validation'!$A$3,CI79,"Unknown Option Type"))-IF('Adjustment Surface'!$C$2='Data Validation'!$A$2,CI79,IF('Adjustment Surface'!$C$2='Data Validation'!$A$3,CJ79,"Unknown Option Type")))/((CK79+0.01%)*SQRT(CG79)),0,1,FALSE))))*CL79*(CF79/360))-(CN79/CH79))*CH79)*CL79))</f>
        <v/>
      </c>
      <c r="CR79" s="15" t="str">
        <f>IF(CC79="","",SUM(CQ$4:CQ79))</f>
        <v/>
      </c>
    </row>
    <row r="80" spans="7:96" x14ac:dyDescent="0.25">
      <c r="G80" s="28"/>
      <c r="J80" s="4" t="str">
        <f>IF(K79='Adjustment Surface'!C$8,"",K79)</f>
        <v/>
      </c>
      <c r="K80" s="4" t="str">
        <f>IF(J80="","",IF(J80&lt;'Adjustment Surface'!C$7,EDATE(J$5,COUNT(J$5:J80)),IF(J80='Adjustment Surface'!C$7,'Adjustment Surface'!C$8,'Adjustment Surface'!C$7)))</f>
        <v/>
      </c>
      <c r="L80" s="3" t="str">
        <f t="shared" si="6"/>
        <v/>
      </c>
      <c r="M80" s="5" t="str">
        <f>IF(I80="","",(K80-'Rate &amp; Vol Update'!$C$2)/360)</f>
        <v/>
      </c>
      <c r="N80" s="15" t="str">
        <f>IF(I80="","",IF('Adjustment Surface'!C$3='Data Validation'!$C$2,'Adjustment Surface'!C$4,IF(INDEX(Schedules!$E$3:$E$123,MATCH('Bachelier Model'!J80,Schedules!$B$3:$B$123,0))="",N79,INDEX(Schedules!$E$3:$E$123,MATCH('Bachelier Model'!J80,Schedules!$B$3:$B$123,0)))))</f>
        <v/>
      </c>
      <c r="O80" s="16" t="str">
        <f>IF(I80="","",IF('Adjustment Surface'!C$9='Data Validation'!$D$2,'Adjustment Surface'!C$10,IF(INDEX(Schedules!$H$3:$H$123,MATCH('Bachelier Model'!J80,Schedules!$B$3:$B$123,0))="",O79,INDEX(Schedules!$H$3:$H$123,MATCH('Bachelier Model'!J80,Schedules!$B$3:$B$123,0)))))</f>
        <v/>
      </c>
      <c r="P80" s="16" t="str" cm="1">
        <f t="array" ref="P80">IF(I80="","",FORECAST(J80,INDEX('Rate &amp; Vol Update'!$C$6:$C$127,MATCH(INDEX('Rate &amp; Vol Update'!$B$6:$B$127,MATCH(J80,'Rate &amp; Vol Update'!$B$6:$B$127,1)),'Rate &amp; Vol Update'!$B$6:$B$127,0)+IF('Adjustment Surface'!C$11='Data Validation'!$E$3,-1,0)):INDEX('Rate &amp; Vol Update'!$C$6:$C$127,MATCH(INDEX('Rate &amp; Vol Update'!$B$6:$B$127,MATCH(J80,'Rate &amp; Vol Update'!$B$6:$B$127,1)+1),'Rate &amp; Vol Update'!$B$6:$B$127,0)+IF('Adjustment Surface'!C$11='Data Validation'!$E$3,-1,0)),INDEX('Rate &amp; Vol Update'!$B$6:$B$127,MATCH(J80,'Rate &amp; Vol Update'!$B$6:$B$127,1)):INDEX('Rate &amp; Vol Update'!$B$6:$B$127,MATCH(J80,'Rate &amp; Vol Update'!$B$6:$B$127,1)+1))/100)</f>
        <v/>
      </c>
      <c r="Q80" s="16" t="str" cm="1">
        <f t="array" ref="Q80">IF(I80="","",IF(J80&lt;'Rate &amp; Vol Update'!$C$2,0.001%,(1/((INDEX('Rate &amp; Vol Update'!$E$6:$Z$6,1,MATCH(O80,'Rate &amp; Vol Update'!$E$6:$Z$6,1)+1)-INDEX('Rate &amp; Vol Update'!$E$6:$Z$6,1,MATCH(O80,'Rate &amp; Vol Update'!$E$6:$Z$6,1)))*(INDEX('Rate &amp; Vol Update'!$B$8:$B$127,MATCH(J80,'Rate &amp; Vol Update'!$B$8:$B$127,1)+1)-INDEX('Rate &amp; Vol Update'!$B$8:$B$127,MATCH(J80,'Rate &amp; Vol Update'!$B$8:$B$127,1))))*(INDEX('Rate &amp; Vol Update'!$E$8:$Z$127,MATCH(INDEX('Rate &amp; Vol Update'!$B$8:$B$127,MATCH(J80,'Rate &amp; Vol Update'!$B$8:$B$127,1)),'Rate &amp; Vol Update'!$B$8:$B$127,0),MATCH(INDEX('Rate &amp; Vol Update'!$E$6:$Z$6,1,MATCH(O80,'Rate &amp; Vol Update'!$E$6:$Z$6,1)),'Rate &amp; Vol Update'!$E$6:$Z$6,0))*(INDEX('Rate &amp; Vol Update'!$E$6:$Z$6,1,MATCH(O80,'Rate &amp; Vol Update'!$E$6:$Z$6,1)+1)-O80)*(INDEX('Rate &amp; Vol Update'!$B$8:$B$127,MATCH(J80,'Rate &amp; Vol Update'!$B$8:$B$127,1)+1)-J80)+INDEX('Rate &amp; Vol Update'!$E$8:$Z$127,MATCH(INDEX('Rate &amp; Vol Update'!$B$8:$B$127,MATCH(J80,'Rate &amp; Vol Update'!$B$8:$B$127,1)),'Rate &amp; Vol Update'!$B$8:$B$127,0),MATCH(INDEX('Rate &amp; Vol Update'!$E$6:$Z$6,1,MATCH(O80,'Rate &amp; Vol Update'!$E$6:$Z$6,1)+1),'Rate &amp; Vol Update'!$E$6:$Z$6,0))*(O80-INDEX('Rate &amp; Vol Update'!$E$6:$Z$6,1,MATCH(O80,'Rate &amp; Vol Update'!$E$6:$Z$6,1)))*(INDEX('Rate &amp; Vol Update'!$B$8:$B$127,MATCH(J80,'Rate &amp; Vol Update'!$B$8:$B$127,1)+1)-J80)+INDEX('Rate &amp; Vol Update'!$E$8:$Z$127,MATCH(INDEX('Rate &amp; Vol Update'!$B$8:$B$127,MATCH(J80,'Rate &amp; Vol Update'!$B$8:$B$127,1)+1),'Rate &amp; Vol Update'!$B$8:$B$127,0),MATCH(INDEX('Rate &amp; Vol Update'!$E$6:$Z$6,1,MATCH(O80,'Rate &amp; Vol Update'!$E$6:$Z$6,1)),'Rate &amp; Vol Update'!$E$6:$Z$6,0))*(INDEX('Rate &amp; Vol Update'!$E$6:$Z$6,1,MATCH(O80,'Rate &amp; Vol Update'!$E$6:$Z$6,1)+1)-O80)*(J80-INDEX('Rate &amp; Vol Update'!$B$8:$B$127,MATCH(J80,'Rate &amp; Vol Update'!$B$8:$B$127,1)))+INDEX('Rate &amp; Vol Update'!$E$8:$Z$127,MATCH(INDEX('Rate &amp; Vol Update'!$B$8:$B$127,MATCH(J80,'Rate &amp; Vol Update'!$B$8:$B$127,1)+1),'Rate &amp; Vol Update'!$B$8:$B$127,0),MATCH(INDEX('Rate &amp; Vol Update'!$E$6:$Z$6,1,MATCH(O80,'Rate &amp; Vol Update'!$E$6:$Z$6,1)+1),'Rate &amp; Vol Update'!$E$6:$Z$6,0))*(O80-INDEX('Rate &amp; Vol Update'!$E$6:$Z$6,1,MATCH(O80,'Rate &amp; Vol Update'!$E$6:$Z$6,1)))*(J80-INDEX('Rate &amp; Vol Update'!$B$8:$B$127,MATCH(J80,'Rate &amp; Vol Update'!$B$8:$B$127,1)))))*0.01%))</f>
        <v/>
      </c>
      <c r="R80" s="5" t="str">
        <f>IF(I80="","",1/((1+P80)^((K80-'Rate &amp; Vol Update'!$C$2)/360)))</f>
        <v/>
      </c>
      <c r="T80" s="15" t="str">
        <f>IF(I80="","",IF(J80&lt;'Rate &amp; Vol Update'!$C$2,MAX(0,P80-O80)*(L80/360)*N80,(((IF('Adjustment Surface'!C$2='Data Validation'!$A$2,P80,IF('Adjustment Surface'!C$2='Data Validation'!$A$3,O80,"Unknown Option Type"))-IF('Adjustment Surface'!C$2='Data Validation'!$A$2,O80,IF('Adjustment Surface'!C$2='Data Validation'!$A$3,P80,"Unknown Option Type")))*(NORMDIST((IF('Adjustment Surface'!C$2='Data Validation'!$A$2,P80,IF('Adjustment Surface'!C$2='Data Validation'!$A$3,O80,"Unknown Option Type"))-IF('Adjustment Surface'!C$2='Data Validation'!$A$2,O80,IF('Adjustment Surface'!C$2='Data Validation'!$A$3,P80,"Unknown Option Type")))/(Q80*SQRT(M80)),0,1,TRUE)))+((Q80*SQRT(M80))*(NORMDIST((IF('Adjustment Surface'!C$2='Data Validation'!$A$2,P80,IF('Adjustment Surface'!C$2='Data Validation'!$A$3,O80,"Unknown Option Type"))-IF('Adjustment Surface'!C$2='Data Validation'!$A$2,O80,IF('Adjustment Surface'!C$2='Data Validation'!$A$3,P80,"Unknown Option Type")))/(Q80*SQRT(M80)),0,1,FALSE))))*R80*(L80/360)*N80))</f>
        <v/>
      </c>
      <c r="U80" s="15" t="str">
        <f>IF(I80="","",SUM(T$4:T80))</f>
        <v/>
      </c>
      <c r="W80" s="15" t="str">
        <f>IF(I80="","",IF(J80&lt;'Rate &amp; Vol Update'!$C$2,0,((((((IF('Adjustment Surface'!C$2='Data Validation'!$A$2,P80,IF('Adjustment Surface'!C$2='Data Validation'!$A$3,O80,"Unknown Option Type"))-IF('Adjustment Surface'!C$2='Data Validation'!$A$2,O80,IF('Adjustment Surface'!C$2='Data Validation'!$A$3,P80,"Unknown Option Type")))*(NORMDIST((IF('Adjustment Surface'!C$2='Data Validation'!$A$2,P80,IF('Adjustment Surface'!C$2='Data Validation'!$A$3,O80,"Unknown Option Type"))-IF('Adjustment Surface'!C$2='Data Validation'!$A$2,O80,IF('Adjustment Surface'!C$2='Data Validation'!$A$3,P80,"Unknown Option Type")))/((Q80+0.01%)*SQRT(M80)),0,1,TRUE)))+(((Q80+0.01%)*SQRT(M80))*(NORMDIST((IF('Adjustment Surface'!C$2='Data Validation'!$A$2,P80,IF('Adjustment Surface'!C$2='Data Validation'!$A$3,O80,"Unknown Option Type"))-IF('Adjustment Surface'!C$2='Data Validation'!$A$2,O80,IF('Adjustment Surface'!C$2='Data Validation'!$A$3,P80,"Unknown Option Type")))/((Q80+0.01%)*SQRT(M80)),0,1,FALSE))))*R80*(L80/360))-(T80/N80))*N80)*R80))</f>
        <v/>
      </c>
      <c r="X80" s="15" t="str">
        <f>IF(I80="","",SUM(W$4:W80))</f>
        <v/>
      </c>
      <c r="Y80" s="15"/>
      <c r="Z80" s="20"/>
      <c r="AB80" s="4" t="str">
        <f>IF(AC79=MAX('Adjustment Surface'!$C$14:$F$14),"",AC79)</f>
        <v/>
      </c>
      <c r="AC80" s="4" t="str">
        <f>IF(AB80="","",IF(AB80&lt;EDATE('Adjustment Surface'!$C$6,DATEDIF('Adjustment Surface'!$C$6,MAX('Adjustment Surface'!$C$14:$F$14),"M")),EDATE(AB$5,COUNT(AB$5:AB80)),IF(AB80=EDATE('Adjustment Surface'!$C$6,DATEDIF('Adjustment Surface'!$C$6,MAX('Adjustment Surface'!$C$14:$F$14),"M")),MAX('Adjustment Surface'!$C$14:$F$14),EDATE('Adjustment Surface'!$C$6,DATEDIF('Adjustment Surface'!$C$6,MAX('Adjustment Surface'!$C$14:$F$14),"M")))))</f>
        <v/>
      </c>
      <c r="AD80" s="3" t="str">
        <f t="shared" si="7"/>
        <v/>
      </c>
      <c r="AE80" s="5" t="str">
        <f>IF(AA80="","",(AC80-'Rate &amp; Vol Update'!$C$2)/360)</f>
        <v/>
      </c>
      <c r="AF80" s="15" t="str">
        <f>IF(AA80="","",IF('Adjustment Surface'!$C$3='Data Validation'!$C$2,'Adjustment Surface'!$C$4,_xlfn.IFNA(IF(INDEX(Schedules!$E$3:$E$123,MATCH('Bachelier Model'!AB80,Schedules!$B$3:$B$123,0))="",AF79,INDEX(Schedules!$E$3:$E$123,MATCH('Bachelier Model'!AB80,Schedules!$B$3:$B$123,0))),AF79)))</f>
        <v/>
      </c>
      <c r="AG80" s="16" t="str">
        <f>IF(AA80="","",'Adjustment Surface'!B$15)</f>
        <v/>
      </c>
      <c r="AH80" s="16" t="str" cm="1">
        <f t="array" ref="AH80">IF(AA80="","",FORECAST(AB80,INDEX('Rate &amp; Vol Update'!$C$6:$C$127,MATCH(INDEX('Rate &amp; Vol Update'!$B$6:$B$127,MATCH(AB80,'Rate &amp; Vol Update'!$B$6:$B$127,1)),'Rate &amp; Vol Update'!$B$6:$B$127,0)+IF('Adjustment Surface'!$C$11='Data Validation'!$E$3,-1,0)):INDEX('Rate &amp; Vol Update'!$C$6:$C$127,MATCH(INDEX('Rate &amp; Vol Update'!$B$6:$B$127,MATCH(AB80,'Rate &amp; Vol Update'!$B$6:$B$127,1)+1),'Rate &amp; Vol Update'!$B$6:$B$127,0)+IF('Adjustment Surface'!$C$11='Data Validation'!$E$3,-1,0)),INDEX('Rate &amp; Vol Update'!$B$6:$B$127,MATCH(AB80,'Rate &amp; Vol Update'!$B$6:$B$127,1)):INDEX('Rate &amp; Vol Update'!$B$6:$B$127,MATCH(AB80,'Rate &amp; Vol Update'!$B$6:$B$127,1)+1))/100)</f>
        <v/>
      </c>
      <c r="AI80" s="16" t="str" cm="1">
        <f t="array" ref="AI80">IF(AA80="","",IF(AB80&lt;'Rate &amp; Vol Update'!$C$2,0.001%,(1/((INDEX('Rate &amp; Vol Update'!$E$6:$Z$6,1,MATCH(AG80,'Rate &amp; Vol Update'!$E$6:$Z$6,1)+1)-INDEX('Rate &amp; Vol Update'!$E$6:$Z$6,1,MATCH(AG80,'Rate &amp; Vol Update'!$E$6:$Z$6,1)))*(INDEX('Rate &amp; Vol Update'!$B$8:$B$127,MATCH(AB80,'Rate &amp; Vol Update'!$B$8:$B$127,1)+1)-INDEX('Rate &amp; Vol Update'!$B$8:$B$127,MATCH(AB80,'Rate &amp; Vol Update'!$B$8:$B$127,1))))*(INDEX('Rate &amp; Vol Update'!$E$8:$Z$127,MATCH(INDEX('Rate &amp; Vol Update'!$B$8:$B$127,MATCH(AB80,'Rate &amp; Vol Update'!$B$8:$B$127,1)),'Rate &amp; Vol Update'!$B$8:$B$127,0),MATCH(INDEX('Rate &amp; Vol Update'!$E$6:$Z$6,1,MATCH(AG80,'Rate &amp; Vol Update'!$E$6:$Z$6,1)),'Rate &amp; Vol Update'!$E$6:$Z$6,0))*(INDEX('Rate &amp; Vol Update'!$E$6:$Z$6,1,MATCH(AG80,'Rate &amp; Vol Update'!$E$6:$Z$6,1)+1)-AG80)*(INDEX('Rate &amp; Vol Update'!$B$8:$B$127,MATCH(AB80,'Rate &amp; Vol Update'!$B$8:$B$127,1)+1)-AB80)+INDEX('Rate &amp; Vol Update'!$E$8:$Z$127,MATCH(INDEX('Rate &amp; Vol Update'!$B$8:$B$127,MATCH(AB80,'Rate &amp; Vol Update'!$B$8:$B$127,1)),'Rate &amp; Vol Update'!$B$8:$B$127,0),MATCH(INDEX('Rate &amp; Vol Update'!$E$6:$Z$6,1,MATCH(AG80,'Rate &amp; Vol Update'!$E$6:$Z$6,1)+1),'Rate &amp; Vol Update'!$E$6:$Z$6,0))*(AG80-INDEX('Rate &amp; Vol Update'!$E$6:$Z$6,1,MATCH(AG80,'Rate &amp; Vol Update'!$E$6:$Z$6,1)))*(INDEX('Rate &amp; Vol Update'!$B$8:$B$127,MATCH(AB80,'Rate &amp; Vol Update'!$B$8:$B$127,1)+1)-AB80)+INDEX('Rate &amp; Vol Update'!$E$8:$Z$127,MATCH(INDEX('Rate &amp; Vol Update'!$B$8:$B$127,MATCH(AB80,'Rate &amp; Vol Update'!$B$8:$B$127,1)+1),'Rate &amp; Vol Update'!$B$8:$B$127,0),MATCH(INDEX('Rate &amp; Vol Update'!$E$6:$Z$6,1,MATCH(AG80,'Rate &amp; Vol Update'!$E$6:$Z$6,1)),'Rate &amp; Vol Update'!$E$6:$Z$6,0))*(INDEX('Rate &amp; Vol Update'!$E$6:$Z$6,1,MATCH(AG80,'Rate &amp; Vol Update'!$E$6:$Z$6,1)+1)-AG80)*(AB80-INDEX('Rate &amp; Vol Update'!$B$8:$B$127,MATCH(AB80,'Rate &amp; Vol Update'!$B$8:$B$127,1)))+INDEX('Rate &amp; Vol Update'!$E$8:$Z$127,MATCH(INDEX('Rate &amp; Vol Update'!$B$8:$B$127,MATCH(AB80,'Rate &amp; Vol Update'!$B$8:$B$127,1)+1),'Rate &amp; Vol Update'!$B$8:$B$127,0),MATCH(INDEX('Rate &amp; Vol Update'!$E$6:$Z$6,1,MATCH(AG80,'Rate &amp; Vol Update'!$E$6:$Z$6,1)+1),'Rate &amp; Vol Update'!$E$6:$Z$6,0))*(AG80-INDEX('Rate &amp; Vol Update'!$E$6:$Z$6,1,MATCH(AG80,'Rate &amp; Vol Update'!$E$6:$Z$6,1)))*(AB80-INDEX('Rate &amp; Vol Update'!$B$8:$B$127,MATCH(AB80,'Rate &amp; Vol Update'!$B$8:$B$127,1)))))*0.01%))</f>
        <v/>
      </c>
      <c r="AJ80" s="5" t="str">
        <f>IF(AA80="","",1/((1+AH80)^((AC80-'Rate &amp; Vol Update'!$C$2)/360)))</f>
        <v/>
      </c>
      <c r="AL80" s="15" t="str">
        <f>IF(AA80="","",IF(AB80&lt;'Rate &amp; Vol Update'!$C$2,MAX(0,AH80-AG80)*(AD80/360)*AF80,(((IF('Adjustment Surface'!$C$2='Data Validation'!$A$2,AH80,IF('Adjustment Surface'!$C$2='Data Validation'!$A$3,AG80,"Unknown Option Type"))-IF('Adjustment Surface'!$C$2='Data Validation'!$A$2,AG80,IF('Adjustment Surface'!$C$2='Data Validation'!$A$3,AH80,"Unknown Option Type")))*(NORMDIST((IF('Adjustment Surface'!$C$2='Data Validation'!$A$2,AH80,IF('Adjustment Surface'!$C$2='Data Validation'!$A$3,AG80,"Unknown Option Type"))-IF('Adjustment Surface'!$C$2='Data Validation'!$A$2,AG80,IF('Adjustment Surface'!$C$2='Data Validation'!$A$3,AH80,"Unknown Option Type")))/(AI80*SQRT(AE80)),0,1,TRUE)))+((AI80*SQRT(AE80))*(NORMDIST((IF('Adjustment Surface'!$C$2='Data Validation'!$A$2,AH80,IF('Adjustment Surface'!$C$2='Data Validation'!$A$3,AG80,"Unknown Option Type"))-IF('Adjustment Surface'!$C$2='Data Validation'!$A$2,AG80,IF('Adjustment Surface'!$C$2='Data Validation'!$A$3,AH80,"Unknown Option Type")))/(AI80*SQRT(AE80)),0,1,FALSE))))*AJ80*(AD80/360)*AF80))</f>
        <v/>
      </c>
      <c r="AM80" s="15" t="str">
        <f>IF(AA80="","",SUM(AL$4:AL80))</f>
        <v/>
      </c>
      <c r="AO80" s="15" t="str">
        <f>IF(AA80="","",IF(AB80&lt;'Rate &amp; Vol Update'!$C$2,0,((((((IF('Adjustment Surface'!$C$2='Data Validation'!$A$2,AH80,IF('Adjustment Surface'!$C$2='Data Validation'!$A$3,AG80,"Unknown Option Type"))-IF('Adjustment Surface'!$C$2='Data Validation'!$A$2,AG80,IF('Adjustment Surface'!$C$2='Data Validation'!$A$3,AH80,"Unknown Option Type")))*(NORMDIST((IF('Adjustment Surface'!$C$2='Data Validation'!$A$2,AH80,IF('Adjustment Surface'!$C$2='Data Validation'!$A$3,AG80,"Unknown Option Type"))-IF('Adjustment Surface'!$C$2='Data Validation'!$A$2,AG80,IF('Adjustment Surface'!$C$2='Data Validation'!$A$3,AH80,"Unknown Option Type")))/((AI80+0.01%)*SQRT(AE80)),0,1,TRUE)))+(((AI80+0.01%)*SQRT(AE80))*(NORMDIST((IF('Adjustment Surface'!$C$2='Data Validation'!$A$2,AH80,IF('Adjustment Surface'!$C$2='Data Validation'!$A$3,AG80,"Unknown Option Type"))-IF('Adjustment Surface'!$C$2='Data Validation'!$A$2,AG80,IF('Adjustment Surface'!$C$2='Data Validation'!$A$3,AH80,"Unknown Option Type")))/((AI80+0.01%)*SQRT(AE80)),0,1,FALSE))))*AJ80*(AD80/360))-(AL80/AF80))*AF80)*AJ80))</f>
        <v/>
      </c>
      <c r="AP80" s="15" t="str">
        <f>IF(AA80="","",SUM(AO$4:AO80))</f>
        <v/>
      </c>
      <c r="AQ80" s="15"/>
      <c r="AR80" s="20"/>
      <c r="AT80" s="4" t="str">
        <f>IF(AU79=MAX('Adjustment Surface'!$C$14:$F$14),"",AU79)</f>
        <v/>
      </c>
      <c r="AU80" s="4" t="str">
        <f>IF(AT80="","",IF(AT80&lt;EDATE('Adjustment Surface'!$C$6,DATEDIF('Adjustment Surface'!$C$6,MAX('Adjustment Surface'!$C$14:$F$14),"M")),EDATE(AT$5,COUNT(AT$5:AT80)),IF(AT80=EDATE('Adjustment Surface'!$C$6,DATEDIF('Adjustment Surface'!$C$6,MAX('Adjustment Surface'!$C$14:$F$14),"M")),MAX('Adjustment Surface'!$C$14:$F$14),EDATE('Adjustment Surface'!$C$6,DATEDIF('Adjustment Surface'!$C$6,MAX('Adjustment Surface'!$C$14:$F$14),"M")))))</f>
        <v/>
      </c>
      <c r="AV80" s="3" t="str">
        <f t="shared" si="8"/>
        <v/>
      </c>
      <c r="AW80" s="5" t="str">
        <f>IF(AS80="","",(AU80-'Rate &amp; Vol Update'!$C$2)/360)</f>
        <v/>
      </c>
      <c r="AX80" s="15" t="str">
        <f>IF(AS80="","",IF('Adjustment Surface'!$C$3='Data Validation'!$C$2,'Adjustment Surface'!$C$4,_xlfn.IFNA(IF(INDEX(Schedules!$E$3:$E$123,MATCH('Bachelier Model'!AT80,Schedules!$B$3:$B$123,0))="",AX79,INDEX(Schedules!$E$3:$E$123,MATCH('Bachelier Model'!AT80,Schedules!$B$3:$B$123,0))),AX79)))</f>
        <v/>
      </c>
      <c r="AY80" s="16" t="str">
        <f>IF(AS80="","",'Adjustment Surface'!B$16)</f>
        <v/>
      </c>
      <c r="AZ80" s="16" t="str" cm="1">
        <f t="array" ref="AZ80">IF(AS80="","",FORECAST(AT80,INDEX('Rate &amp; Vol Update'!$C$6:$C$127,MATCH(INDEX('Rate &amp; Vol Update'!$B$6:$B$127,MATCH(AT80,'Rate &amp; Vol Update'!$B$6:$B$127,1)),'Rate &amp; Vol Update'!$B$6:$B$127,0)+IF('Adjustment Surface'!$C$11='Data Validation'!$E$3,-1,0)):INDEX('Rate &amp; Vol Update'!$C$6:$C$127,MATCH(INDEX('Rate &amp; Vol Update'!$B$6:$B$127,MATCH(AT80,'Rate &amp; Vol Update'!$B$6:$B$127,1)+1),'Rate &amp; Vol Update'!$B$6:$B$127,0)+IF('Adjustment Surface'!$C$11='Data Validation'!$E$3,-1,0)),INDEX('Rate &amp; Vol Update'!$B$6:$B$127,MATCH(AT80,'Rate &amp; Vol Update'!$B$6:$B$127,1)):INDEX('Rate &amp; Vol Update'!$B$6:$B$127,MATCH(AT80,'Rate &amp; Vol Update'!$B$6:$B$127,1)+1))/100)</f>
        <v/>
      </c>
      <c r="BA80" s="16" t="str" cm="1">
        <f t="array" ref="BA80">IF(AS80="","",IF(AT80&lt;'Rate &amp; Vol Update'!$C$2,0.001%,(1/((INDEX('Rate &amp; Vol Update'!$E$6:$Z$6,1,MATCH(AY80,'Rate &amp; Vol Update'!$E$6:$Z$6,1)+1)-INDEX('Rate &amp; Vol Update'!$E$6:$Z$6,1,MATCH(AY80,'Rate &amp; Vol Update'!$E$6:$Z$6,1)))*(INDEX('Rate &amp; Vol Update'!$B$8:$B$127,MATCH(AT80,'Rate &amp; Vol Update'!$B$8:$B$127,1)+1)-INDEX('Rate &amp; Vol Update'!$B$8:$B$127,MATCH(AT80,'Rate &amp; Vol Update'!$B$8:$B$127,1))))*(INDEX('Rate &amp; Vol Update'!$E$8:$Z$127,MATCH(INDEX('Rate &amp; Vol Update'!$B$8:$B$127,MATCH(AT80,'Rate &amp; Vol Update'!$B$8:$B$127,1)),'Rate &amp; Vol Update'!$B$8:$B$127,0),MATCH(INDEX('Rate &amp; Vol Update'!$E$6:$Z$6,1,MATCH(AY80,'Rate &amp; Vol Update'!$E$6:$Z$6,1)),'Rate &amp; Vol Update'!$E$6:$Z$6,0))*(INDEX('Rate &amp; Vol Update'!$E$6:$Z$6,1,MATCH(AY80,'Rate &amp; Vol Update'!$E$6:$Z$6,1)+1)-AY80)*(INDEX('Rate &amp; Vol Update'!$B$8:$B$127,MATCH(AT80,'Rate &amp; Vol Update'!$B$8:$B$127,1)+1)-AT80)+INDEX('Rate &amp; Vol Update'!$E$8:$Z$127,MATCH(INDEX('Rate &amp; Vol Update'!$B$8:$B$127,MATCH(AT80,'Rate &amp; Vol Update'!$B$8:$B$127,1)),'Rate &amp; Vol Update'!$B$8:$B$127,0),MATCH(INDEX('Rate &amp; Vol Update'!$E$6:$Z$6,1,MATCH(AY80,'Rate &amp; Vol Update'!$E$6:$Z$6,1)+1),'Rate &amp; Vol Update'!$E$6:$Z$6,0))*(AY80-INDEX('Rate &amp; Vol Update'!$E$6:$Z$6,1,MATCH(AY80,'Rate &amp; Vol Update'!$E$6:$Z$6,1)))*(INDEX('Rate &amp; Vol Update'!$B$8:$B$127,MATCH(AT80,'Rate &amp; Vol Update'!$B$8:$B$127,1)+1)-AT80)+INDEX('Rate &amp; Vol Update'!$E$8:$Z$127,MATCH(INDEX('Rate &amp; Vol Update'!$B$8:$B$127,MATCH(AT80,'Rate &amp; Vol Update'!$B$8:$B$127,1)+1),'Rate &amp; Vol Update'!$B$8:$B$127,0),MATCH(INDEX('Rate &amp; Vol Update'!$E$6:$Z$6,1,MATCH(AY80,'Rate &amp; Vol Update'!$E$6:$Z$6,1)),'Rate &amp; Vol Update'!$E$6:$Z$6,0))*(INDEX('Rate &amp; Vol Update'!$E$6:$Z$6,1,MATCH(AY80,'Rate &amp; Vol Update'!$E$6:$Z$6,1)+1)-AY80)*(AT80-INDEX('Rate &amp; Vol Update'!$B$8:$B$127,MATCH(AT80,'Rate &amp; Vol Update'!$B$8:$B$127,1)))+INDEX('Rate &amp; Vol Update'!$E$8:$Z$127,MATCH(INDEX('Rate &amp; Vol Update'!$B$8:$B$127,MATCH(AT80,'Rate &amp; Vol Update'!$B$8:$B$127,1)+1),'Rate &amp; Vol Update'!$B$8:$B$127,0),MATCH(INDEX('Rate &amp; Vol Update'!$E$6:$Z$6,1,MATCH(AY80,'Rate &amp; Vol Update'!$E$6:$Z$6,1)+1),'Rate &amp; Vol Update'!$E$6:$Z$6,0))*(AY80-INDEX('Rate &amp; Vol Update'!$E$6:$Z$6,1,MATCH(AY80,'Rate &amp; Vol Update'!$E$6:$Z$6,1)))*(AT80-INDEX('Rate &amp; Vol Update'!$B$8:$B$127,MATCH(AT80,'Rate &amp; Vol Update'!$B$8:$B$127,1)))))*0.01%))</f>
        <v/>
      </c>
      <c r="BB80" s="5" t="str">
        <f>IF(AS80="","",1/((1+AZ80)^((AU80-'Rate &amp; Vol Update'!$C$2)/360)))</f>
        <v/>
      </c>
      <c r="BD80" s="15" t="str">
        <f>IF(AS80="","",IF(AT80&lt;'Rate &amp; Vol Update'!$C$2,MAX(0,AZ80-AY80)*(AV80/360)*AX80,(((IF('Adjustment Surface'!$C$2='Data Validation'!$A$2,AZ80,IF('Adjustment Surface'!$C$2='Data Validation'!$A$3,AY80,"Unknown Option Type"))-IF('Adjustment Surface'!$C$2='Data Validation'!$A$2,AY80,IF('Adjustment Surface'!$C$2='Data Validation'!$A$3,AZ80,"Unknown Option Type")))*(NORMDIST((IF('Adjustment Surface'!$C$2='Data Validation'!$A$2,AZ80,IF('Adjustment Surface'!$C$2='Data Validation'!$A$3,AY80,"Unknown Option Type"))-IF('Adjustment Surface'!$C$2='Data Validation'!$A$2,AY80,IF('Adjustment Surface'!$C$2='Data Validation'!$A$3,AZ80,"Unknown Option Type")))/(BA80*SQRT(AW80)),0,1,TRUE)))+((BA80*SQRT(AW80))*(NORMDIST((IF('Adjustment Surface'!$C$2='Data Validation'!$A$2,AZ80,IF('Adjustment Surface'!$C$2='Data Validation'!$A$3,AY80,"Unknown Option Type"))-IF('Adjustment Surface'!$C$2='Data Validation'!$A$2,AY80,IF('Adjustment Surface'!$C$2='Data Validation'!$A$3,AZ80,"Unknown Option Type")))/(BA80*SQRT(AW80)),0,1,FALSE))))*BB80*(AV80/360)*AX80))</f>
        <v/>
      </c>
      <c r="BE80" s="15" t="str">
        <f>IF(AS80="","",SUM(BD$4:BD80))</f>
        <v/>
      </c>
      <c r="BG80" s="15" t="str">
        <f>IF(AS80="","",IF(AT80&lt;'Rate &amp; Vol Update'!$C$2,0,((((((IF('Adjustment Surface'!$C$2='Data Validation'!$A$2,AZ80,IF('Adjustment Surface'!$C$2='Data Validation'!$A$3,AY80,"Unknown Option Type"))-IF('Adjustment Surface'!$C$2='Data Validation'!$A$2,AY80,IF('Adjustment Surface'!$C$2='Data Validation'!$A$3,AZ80,"Unknown Option Type")))*(NORMDIST((IF('Adjustment Surface'!$C$2='Data Validation'!$A$2,AZ80,IF('Adjustment Surface'!$C$2='Data Validation'!$A$3,AY80,"Unknown Option Type"))-IF('Adjustment Surface'!$C$2='Data Validation'!$A$2,AY80,IF('Adjustment Surface'!$C$2='Data Validation'!$A$3,AZ80,"Unknown Option Type")))/((BA80+0.01%)*SQRT(AW80)),0,1,TRUE)))+(((BA80+0.01%)*SQRT(AW80))*(NORMDIST((IF('Adjustment Surface'!$C$2='Data Validation'!$A$2,AZ80,IF('Adjustment Surface'!$C$2='Data Validation'!$A$3,AY80,"Unknown Option Type"))-IF('Adjustment Surface'!$C$2='Data Validation'!$A$2,AY80,IF('Adjustment Surface'!$C$2='Data Validation'!$A$3,AZ80,"Unknown Option Type")))/((BA80+0.01%)*SQRT(AW80)),0,1,FALSE))))*BB80*(AV80/360))-(BD80/AX80))*AX80)*BB80))</f>
        <v/>
      </c>
      <c r="BH80" s="15" t="str">
        <f>IF(AS80="","",SUM(BG$4:BG80))</f>
        <v/>
      </c>
      <c r="BI80" s="15"/>
      <c r="BJ80" s="20"/>
      <c r="BL80" s="4" t="str">
        <f>IF(BM79=MAX('Adjustment Surface'!$C$14:$F$14),"",BM79)</f>
        <v/>
      </c>
      <c r="BM80" s="4" t="str">
        <f>IF(BL80="","",IF(BL80&lt;EDATE('Adjustment Surface'!$C$6,DATEDIF('Adjustment Surface'!$C$6,MAX('Adjustment Surface'!$C$14:$F$14),"M")),EDATE(BL$5,COUNT(BL$5:BL80)),IF(BL80=EDATE('Adjustment Surface'!$C$6,DATEDIF('Adjustment Surface'!$C$6,MAX('Adjustment Surface'!$C$14:$F$14),"M")),MAX('Adjustment Surface'!$C$14:$F$14),EDATE('Adjustment Surface'!$C$6,DATEDIF('Adjustment Surface'!$C$6,MAX('Adjustment Surface'!$C$14:$F$14),"M")))))</f>
        <v/>
      </c>
      <c r="BN80" s="3" t="str">
        <f t="shared" si="9"/>
        <v/>
      </c>
      <c r="BO80" s="5" t="str">
        <f>IF(BK80="","",(BM80-'Rate &amp; Vol Update'!$C$2)/360)</f>
        <v/>
      </c>
      <c r="BP80" s="15" t="str">
        <f>IF(BK80="","",IF('Adjustment Surface'!$C$3='Data Validation'!$C$2,'Adjustment Surface'!$C$4,_xlfn.IFNA(IF(INDEX(Schedules!$E$3:$E$123,MATCH('Bachelier Model'!BL80,Schedules!$B$3:$B$123,0))="",BP79,INDEX(Schedules!$E$3:$E$123,MATCH('Bachelier Model'!BL80,Schedules!$B$3:$B$123,0))),BP79)))</f>
        <v/>
      </c>
      <c r="BQ80" s="16" t="str">
        <f>IF(BK80="","",'Adjustment Surface'!B$17)</f>
        <v/>
      </c>
      <c r="BR80" s="16" t="str" cm="1">
        <f t="array" ref="BR80">IF(BK80="","",FORECAST(BL80,INDEX('Rate &amp; Vol Update'!$C$6:$C$127,MATCH(INDEX('Rate &amp; Vol Update'!$B$6:$B$127,MATCH(BL80,'Rate &amp; Vol Update'!$B$6:$B$127,1)),'Rate &amp; Vol Update'!$B$6:$B$127,0)+IF('Adjustment Surface'!$C$11='Data Validation'!$E$3,-1,0)):INDEX('Rate &amp; Vol Update'!$C$6:$C$127,MATCH(INDEX('Rate &amp; Vol Update'!$B$6:$B$127,MATCH(BL80,'Rate &amp; Vol Update'!$B$6:$B$127,1)+1),'Rate &amp; Vol Update'!$B$6:$B$127,0)+IF('Adjustment Surface'!$C$11='Data Validation'!$E$3,-1,0)),INDEX('Rate &amp; Vol Update'!$B$6:$B$127,MATCH(BL80,'Rate &amp; Vol Update'!$B$6:$B$127,1)):INDEX('Rate &amp; Vol Update'!$B$6:$B$127,MATCH(BL80,'Rate &amp; Vol Update'!$B$6:$B$127,1)+1))/100)</f>
        <v/>
      </c>
      <c r="BS80" s="16" t="str" cm="1">
        <f t="array" ref="BS80">IF(BK80="","",IF(BL80&lt;'Rate &amp; Vol Update'!$C$2,0.001%,(1/((INDEX('Rate &amp; Vol Update'!$E$6:$Z$6,1,MATCH(BQ80,'Rate &amp; Vol Update'!$E$6:$Z$6,1)+1)-INDEX('Rate &amp; Vol Update'!$E$6:$Z$6,1,MATCH(BQ80,'Rate &amp; Vol Update'!$E$6:$Z$6,1)))*(INDEX('Rate &amp; Vol Update'!$B$8:$B$127,MATCH(BL80,'Rate &amp; Vol Update'!$B$8:$B$127,1)+1)-INDEX('Rate &amp; Vol Update'!$B$8:$B$127,MATCH(BL80,'Rate &amp; Vol Update'!$B$8:$B$127,1))))*(INDEX('Rate &amp; Vol Update'!$E$8:$Z$127,MATCH(INDEX('Rate &amp; Vol Update'!$B$8:$B$127,MATCH(BL80,'Rate &amp; Vol Update'!$B$8:$B$127,1)),'Rate &amp; Vol Update'!$B$8:$B$127,0),MATCH(INDEX('Rate &amp; Vol Update'!$E$6:$Z$6,1,MATCH(BQ80,'Rate &amp; Vol Update'!$E$6:$Z$6,1)),'Rate &amp; Vol Update'!$E$6:$Z$6,0))*(INDEX('Rate &amp; Vol Update'!$E$6:$Z$6,1,MATCH(BQ80,'Rate &amp; Vol Update'!$E$6:$Z$6,1)+1)-BQ80)*(INDEX('Rate &amp; Vol Update'!$B$8:$B$127,MATCH(BL80,'Rate &amp; Vol Update'!$B$8:$B$127,1)+1)-BL80)+INDEX('Rate &amp; Vol Update'!$E$8:$Z$127,MATCH(INDEX('Rate &amp; Vol Update'!$B$8:$B$127,MATCH(BL80,'Rate &amp; Vol Update'!$B$8:$B$127,1)),'Rate &amp; Vol Update'!$B$8:$B$127,0),MATCH(INDEX('Rate &amp; Vol Update'!$E$6:$Z$6,1,MATCH(BQ80,'Rate &amp; Vol Update'!$E$6:$Z$6,1)+1),'Rate &amp; Vol Update'!$E$6:$Z$6,0))*(BQ80-INDEX('Rate &amp; Vol Update'!$E$6:$Z$6,1,MATCH(BQ80,'Rate &amp; Vol Update'!$E$6:$Z$6,1)))*(INDEX('Rate &amp; Vol Update'!$B$8:$B$127,MATCH(BL80,'Rate &amp; Vol Update'!$B$8:$B$127,1)+1)-BL80)+INDEX('Rate &amp; Vol Update'!$E$8:$Z$127,MATCH(INDEX('Rate &amp; Vol Update'!$B$8:$B$127,MATCH(BL80,'Rate &amp; Vol Update'!$B$8:$B$127,1)+1),'Rate &amp; Vol Update'!$B$8:$B$127,0),MATCH(INDEX('Rate &amp; Vol Update'!$E$6:$Z$6,1,MATCH(BQ80,'Rate &amp; Vol Update'!$E$6:$Z$6,1)),'Rate &amp; Vol Update'!$E$6:$Z$6,0))*(INDEX('Rate &amp; Vol Update'!$E$6:$Z$6,1,MATCH(BQ80,'Rate &amp; Vol Update'!$E$6:$Z$6,1)+1)-BQ80)*(BL80-INDEX('Rate &amp; Vol Update'!$B$8:$B$127,MATCH(BL80,'Rate &amp; Vol Update'!$B$8:$B$127,1)))+INDEX('Rate &amp; Vol Update'!$E$8:$Z$127,MATCH(INDEX('Rate &amp; Vol Update'!$B$8:$B$127,MATCH(BL80,'Rate &amp; Vol Update'!$B$8:$B$127,1)+1),'Rate &amp; Vol Update'!$B$8:$B$127,0),MATCH(INDEX('Rate &amp; Vol Update'!$E$6:$Z$6,1,MATCH(BQ80,'Rate &amp; Vol Update'!$E$6:$Z$6,1)+1),'Rate &amp; Vol Update'!$E$6:$Z$6,0))*(BQ80-INDEX('Rate &amp; Vol Update'!$E$6:$Z$6,1,MATCH(BQ80,'Rate &amp; Vol Update'!$E$6:$Z$6,1)))*(BL80-INDEX('Rate &amp; Vol Update'!$B$8:$B$127,MATCH(BL80,'Rate &amp; Vol Update'!$B$8:$B$127,1)))))*0.01%))</f>
        <v/>
      </c>
      <c r="BT80" s="5" t="str">
        <f>IF(BK80="","",1/((1+BR80)^((BM80-'Rate &amp; Vol Update'!$C$2)/360)))</f>
        <v/>
      </c>
      <c r="BV80" s="15" t="str">
        <f>IF(BK80="","",IF(BL80&lt;'Rate &amp; Vol Update'!$C$2,MAX(0,BR80-BQ80)*(BN80/360)*BP80,(((IF('Adjustment Surface'!$C$2='Data Validation'!$A$2,BR80,IF('Adjustment Surface'!$C$2='Data Validation'!$A$3,BQ80,"Unknown Option Type"))-IF('Adjustment Surface'!$C$2='Data Validation'!$A$2,BQ80,IF('Adjustment Surface'!$C$2='Data Validation'!$A$3,BR80,"Unknown Option Type")))*(NORMDIST((IF('Adjustment Surface'!$C$2='Data Validation'!$A$2,BR80,IF('Adjustment Surface'!$C$2='Data Validation'!$A$3,BQ80,"Unknown Option Type"))-IF('Adjustment Surface'!$C$2='Data Validation'!$A$2,BQ80,IF('Adjustment Surface'!$C$2='Data Validation'!$A$3,BR80,"Unknown Option Type")))/(BS80*SQRT(BO80)),0,1,TRUE)))+((BS80*SQRT(BO80))*(NORMDIST((IF('Adjustment Surface'!$C$2='Data Validation'!$A$2,BR80,IF('Adjustment Surface'!$C$2='Data Validation'!$A$3,BQ80,"Unknown Option Type"))-IF('Adjustment Surface'!$C$2='Data Validation'!$A$2,BQ80,IF('Adjustment Surface'!$C$2='Data Validation'!$A$3,BR80,"Unknown Option Type")))/(BS80*SQRT(BO80)),0,1,FALSE))))*BT80*(BN80/360)*BP80))</f>
        <v/>
      </c>
      <c r="BW80" s="15" t="str">
        <f>IF(BK80="","",SUM(BV$4:BV80))</f>
        <v/>
      </c>
      <c r="BY80" s="15" t="str">
        <f>IF(BK80="","",IF(BL80&lt;'Rate &amp; Vol Update'!$C$2,0,((((((IF('Adjustment Surface'!$C$2='Data Validation'!$A$2,BR80,IF('Adjustment Surface'!$C$2='Data Validation'!$A$3,BQ80,"Unknown Option Type"))-IF('Adjustment Surface'!$C$2='Data Validation'!$A$2,BQ80,IF('Adjustment Surface'!$C$2='Data Validation'!$A$3,BR80,"Unknown Option Type")))*(NORMDIST((IF('Adjustment Surface'!$C$2='Data Validation'!$A$2,BR80,IF('Adjustment Surface'!$C$2='Data Validation'!$A$3,BQ80,"Unknown Option Type"))-IF('Adjustment Surface'!$C$2='Data Validation'!$A$2,BQ80,IF('Adjustment Surface'!$C$2='Data Validation'!$A$3,BR80,"Unknown Option Type")))/((BS80+0.01%)*SQRT(BO80)),0,1,TRUE)))+(((BS80+0.01%)*SQRT(BO80))*(NORMDIST((IF('Adjustment Surface'!$C$2='Data Validation'!$A$2,BR80,IF('Adjustment Surface'!$C$2='Data Validation'!$A$3,BQ80,"Unknown Option Type"))-IF('Adjustment Surface'!$C$2='Data Validation'!$A$2,BQ80,IF('Adjustment Surface'!$C$2='Data Validation'!$A$3,BR80,"Unknown Option Type")))/((BS80+0.01%)*SQRT(BO80)),0,1,FALSE))))*BT80*(BN80/360))-(BV80/BP80))*BP80)*BT80))</f>
        <v/>
      </c>
      <c r="BZ80" s="15" t="str">
        <f>IF(BK80="","",SUM(BY$4:BY80))</f>
        <v/>
      </c>
      <c r="CA80" s="15"/>
      <c r="CB80" s="20"/>
      <c r="CD80" s="4" t="str">
        <f>IF(CE79=MAX('Adjustment Surface'!$C$14:$F$14),"",CE79)</f>
        <v/>
      </c>
      <c r="CE80" s="4" t="str">
        <f>IF(CD80="","",IF(CD80&lt;EDATE('Adjustment Surface'!$C$6,DATEDIF('Adjustment Surface'!$C$6,MAX('Adjustment Surface'!$C$14:$F$14),"M")),EDATE(CD$5,COUNT(CD$5:CD80)),IF(CD80=EDATE('Adjustment Surface'!$C$6,DATEDIF('Adjustment Surface'!$C$6,MAX('Adjustment Surface'!$C$14:$F$14),"M")),MAX('Adjustment Surface'!$C$14:$F$14),EDATE('Adjustment Surface'!$C$6,DATEDIF('Adjustment Surface'!$C$6,MAX('Adjustment Surface'!$C$14:$F$14),"M")))))</f>
        <v/>
      </c>
      <c r="CF80" s="3" t="str">
        <f t="shared" si="10"/>
        <v/>
      </c>
      <c r="CG80" s="5" t="str">
        <f>IF(CC80="","",(CE80-'Rate &amp; Vol Update'!$C$2)/360)</f>
        <v/>
      </c>
      <c r="CH80" s="15" t="str">
        <f>IF(CC80="","",IF('Adjustment Surface'!$C$3='Data Validation'!$C$2,'Adjustment Surface'!$C$4,_xlfn.IFNA(IF(INDEX(Schedules!$E$3:$E$123,MATCH('Bachelier Model'!CD80,Schedules!$B$3:$B$123,0))="",CH79,INDEX(Schedules!$E$3:$E$123,MATCH('Bachelier Model'!CD80,Schedules!$B$3:$B$123,0))),CH79)))</f>
        <v/>
      </c>
      <c r="CI80" s="16" t="str">
        <f>IF(CC80="","",'Adjustment Surface'!B$18)</f>
        <v/>
      </c>
      <c r="CJ80" s="16" t="str" cm="1">
        <f t="array" ref="CJ80">IF(CC80="","",FORECAST(CD80,INDEX('Rate &amp; Vol Update'!$C$6:$C$127,MATCH(INDEX('Rate &amp; Vol Update'!$B$6:$B$127,MATCH(CD80,'Rate &amp; Vol Update'!$B$6:$B$127,1)),'Rate &amp; Vol Update'!$B$6:$B$127,0)+IF('Adjustment Surface'!$C$11='Data Validation'!$E$3,-1,0)):INDEX('Rate &amp; Vol Update'!$C$6:$C$127,MATCH(INDEX('Rate &amp; Vol Update'!$B$6:$B$127,MATCH(CD80,'Rate &amp; Vol Update'!$B$6:$B$127,1)+1),'Rate &amp; Vol Update'!$B$6:$B$127,0)+IF('Adjustment Surface'!$C$11='Data Validation'!$E$3,-1,0)),INDEX('Rate &amp; Vol Update'!$B$6:$B$127,MATCH(CD80,'Rate &amp; Vol Update'!$B$6:$B$127,1)):INDEX('Rate &amp; Vol Update'!$B$6:$B$127,MATCH(CD80,'Rate &amp; Vol Update'!$B$6:$B$127,1)+1))/100)</f>
        <v/>
      </c>
      <c r="CK80" s="16" t="str" cm="1">
        <f t="array" ref="CK80">IF(CC80="","",IF(CD80&lt;'Rate &amp; Vol Update'!$C$2,0.001%,(1/((INDEX('Rate &amp; Vol Update'!$E$6:$Z$6,1,MATCH(CI80,'Rate &amp; Vol Update'!$E$6:$Z$6,1)+1)-INDEX('Rate &amp; Vol Update'!$E$6:$Z$6,1,MATCH(CI80,'Rate &amp; Vol Update'!$E$6:$Z$6,1)))*(INDEX('Rate &amp; Vol Update'!$B$8:$B$127,MATCH(CD80,'Rate &amp; Vol Update'!$B$8:$B$127,1)+1)-INDEX('Rate &amp; Vol Update'!$B$8:$B$127,MATCH(CD80,'Rate &amp; Vol Update'!$B$8:$B$127,1))))*(INDEX('Rate &amp; Vol Update'!$E$8:$Z$127,MATCH(INDEX('Rate &amp; Vol Update'!$B$8:$B$127,MATCH(CD80,'Rate &amp; Vol Update'!$B$8:$B$127,1)),'Rate &amp; Vol Update'!$B$8:$B$127,0),MATCH(INDEX('Rate &amp; Vol Update'!$E$6:$Z$6,1,MATCH(CI80,'Rate &amp; Vol Update'!$E$6:$Z$6,1)),'Rate &amp; Vol Update'!$E$6:$Z$6,0))*(INDEX('Rate &amp; Vol Update'!$E$6:$Z$6,1,MATCH(CI80,'Rate &amp; Vol Update'!$E$6:$Z$6,1)+1)-CI80)*(INDEX('Rate &amp; Vol Update'!$B$8:$B$127,MATCH(CD80,'Rate &amp; Vol Update'!$B$8:$B$127,1)+1)-CD80)+INDEX('Rate &amp; Vol Update'!$E$8:$Z$127,MATCH(INDEX('Rate &amp; Vol Update'!$B$8:$B$127,MATCH(CD80,'Rate &amp; Vol Update'!$B$8:$B$127,1)),'Rate &amp; Vol Update'!$B$8:$B$127,0),MATCH(INDEX('Rate &amp; Vol Update'!$E$6:$Z$6,1,MATCH(CI80,'Rate &amp; Vol Update'!$E$6:$Z$6,1)+1),'Rate &amp; Vol Update'!$E$6:$Z$6,0))*(CI80-INDEX('Rate &amp; Vol Update'!$E$6:$Z$6,1,MATCH(CI80,'Rate &amp; Vol Update'!$E$6:$Z$6,1)))*(INDEX('Rate &amp; Vol Update'!$B$8:$B$127,MATCH(CD80,'Rate &amp; Vol Update'!$B$8:$B$127,1)+1)-CD80)+INDEX('Rate &amp; Vol Update'!$E$8:$Z$127,MATCH(INDEX('Rate &amp; Vol Update'!$B$8:$B$127,MATCH(CD80,'Rate &amp; Vol Update'!$B$8:$B$127,1)+1),'Rate &amp; Vol Update'!$B$8:$B$127,0),MATCH(INDEX('Rate &amp; Vol Update'!$E$6:$Z$6,1,MATCH(CI80,'Rate &amp; Vol Update'!$E$6:$Z$6,1)),'Rate &amp; Vol Update'!$E$6:$Z$6,0))*(INDEX('Rate &amp; Vol Update'!$E$6:$Z$6,1,MATCH(CI80,'Rate &amp; Vol Update'!$E$6:$Z$6,1)+1)-CI80)*(CD80-INDEX('Rate &amp; Vol Update'!$B$8:$B$127,MATCH(CD80,'Rate &amp; Vol Update'!$B$8:$B$127,1)))+INDEX('Rate &amp; Vol Update'!$E$8:$Z$127,MATCH(INDEX('Rate &amp; Vol Update'!$B$8:$B$127,MATCH(CD80,'Rate &amp; Vol Update'!$B$8:$B$127,1)+1),'Rate &amp; Vol Update'!$B$8:$B$127,0),MATCH(INDEX('Rate &amp; Vol Update'!$E$6:$Z$6,1,MATCH(CI80,'Rate &amp; Vol Update'!$E$6:$Z$6,1)+1),'Rate &amp; Vol Update'!$E$6:$Z$6,0))*(CI80-INDEX('Rate &amp; Vol Update'!$E$6:$Z$6,1,MATCH(CI80,'Rate &amp; Vol Update'!$E$6:$Z$6,1)))*(CD80-INDEX('Rate &amp; Vol Update'!$B$8:$B$127,MATCH(CD80,'Rate &amp; Vol Update'!$B$8:$B$127,1)))))*0.01%))</f>
        <v/>
      </c>
      <c r="CL80" s="5" t="str">
        <f>IF(CC80="","",1/((1+CJ80)^((CE80-'Rate &amp; Vol Update'!$C$2)/360)))</f>
        <v/>
      </c>
      <c r="CN80" s="15" t="str">
        <f>IF(CC80="","",IF(CD80&lt;'Rate &amp; Vol Update'!$C$2,MAX(0,CJ80-CI80)*(CF80/360)*CH80,(((IF('Adjustment Surface'!$C$2='Data Validation'!$A$2,CJ80,IF('Adjustment Surface'!$C$2='Data Validation'!$A$3,CI80,"Unknown Option Type"))-IF('Adjustment Surface'!$C$2='Data Validation'!$A$2,CI80,IF('Adjustment Surface'!$C$2='Data Validation'!$A$3,CJ80,"Unknown Option Type")))*(NORMDIST((IF('Adjustment Surface'!$C$2='Data Validation'!$A$2,CJ80,IF('Adjustment Surface'!$C$2='Data Validation'!$A$3,CI80,"Unknown Option Type"))-IF('Adjustment Surface'!$C$2='Data Validation'!$A$2,CI80,IF('Adjustment Surface'!$C$2='Data Validation'!$A$3,CJ80,"Unknown Option Type")))/(CK80*SQRT(CG80)),0,1,TRUE)))+((CK80*SQRT(CG80))*(NORMDIST((IF('Adjustment Surface'!$C$2='Data Validation'!$A$2,CJ80,IF('Adjustment Surface'!$C$2='Data Validation'!$A$3,CI80,"Unknown Option Type"))-IF('Adjustment Surface'!$C$2='Data Validation'!$A$2,CI80,IF('Adjustment Surface'!$C$2='Data Validation'!$A$3,CJ80,"Unknown Option Type")))/(CK80*SQRT(CG80)),0,1,FALSE))))*CL80*(CF80/360)*CH80))</f>
        <v/>
      </c>
      <c r="CO80" s="15" t="str">
        <f>IF(CC80="","",SUM(CN$4:CN80))</f>
        <v/>
      </c>
      <c r="CQ80" s="15" t="str">
        <f>IF(CC80="","",IF(CD80&lt;'Rate &amp; Vol Update'!$C$2,0,((((((IF('Adjustment Surface'!$C$2='Data Validation'!$A$2,CJ80,IF('Adjustment Surface'!$C$2='Data Validation'!$A$3,CI80,"Unknown Option Type"))-IF('Adjustment Surface'!$C$2='Data Validation'!$A$2,CI80,IF('Adjustment Surface'!$C$2='Data Validation'!$A$3,CJ80,"Unknown Option Type")))*(NORMDIST((IF('Adjustment Surface'!$C$2='Data Validation'!$A$2,CJ80,IF('Adjustment Surface'!$C$2='Data Validation'!$A$3,CI80,"Unknown Option Type"))-IF('Adjustment Surface'!$C$2='Data Validation'!$A$2,CI80,IF('Adjustment Surface'!$C$2='Data Validation'!$A$3,CJ80,"Unknown Option Type")))/((CK80+0.01%)*SQRT(CG80)),0,1,TRUE)))+(((CK80+0.01%)*SQRT(CG80))*(NORMDIST((IF('Adjustment Surface'!$C$2='Data Validation'!$A$2,CJ80,IF('Adjustment Surface'!$C$2='Data Validation'!$A$3,CI80,"Unknown Option Type"))-IF('Adjustment Surface'!$C$2='Data Validation'!$A$2,CI80,IF('Adjustment Surface'!$C$2='Data Validation'!$A$3,CJ80,"Unknown Option Type")))/((CK80+0.01%)*SQRT(CG80)),0,1,FALSE))))*CL80*(CF80/360))-(CN80/CH80))*CH80)*CL80))</f>
        <v/>
      </c>
      <c r="CR80" s="15" t="str">
        <f>IF(CC80="","",SUM(CQ$4:CQ80))</f>
        <v/>
      </c>
    </row>
    <row r="81" spans="7:96" x14ac:dyDescent="0.25">
      <c r="G81" s="28"/>
      <c r="J81" s="4" t="str">
        <f>IF(K80='Adjustment Surface'!C$8,"",K80)</f>
        <v/>
      </c>
      <c r="K81" s="4" t="str">
        <f>IF(J81="","",IF(J81&lt;'Adjustment Surface'!C$7,EDATE(J$5,COUNT(J$5:J81)),IF(J81='Adjustment Surface'!C$7,'Adjustment Surface'!C$8,'Adjustment Surface'!C$7)))</f>
        <v/>
      </c>
      <c r="L81" s="3" t="str">
        <f t="shared" si="6"/>
        <v/>
      </c>
      <c r="M81" s="5" t="str">
        <f>IF(I81="","",(K81-'Rate &amp; Vol Update'!$C$2)/360)</f>
        <v/>
      </c>
      <c r="N81" s="15" t="str">
        <f>IF(I81="","",IF('Adjustment Surface'!C$3='Data Validation'!$C$2,'Adjustment Surface'!C$4,IF(INDEX(Schedules!$E$3:$E$123,MATCH('Bachelier Model'!J81,Schedules!$B$3:$B$123,0))="",N80,INDEX(Schedules!$E$3:$E$123,MATCH('Bachelier Model'!J81,Schedules!$B$3:$B$123,0)))))</f>
        <v/>
      </c>
      <c r="O81" s="16" t="str">
        <f>IF(I81="","",IF('Adjustment Surface'!C$9='Data Validation'!$D$2,'Adjustment Surface'!C$10,IF(INDEX(Schedules!$H$3:$H$123,MATCH('Bachelier Model'!J81,Schedules!$B$3:$B$123,0))="",O80,INDEX(Schedules!$H$3:$H$123,MATCH('Bachelier Model'!J81,Schedules!$B$3:$B$123,0)))))</f>
        <v/>
      </c>
      <c r="P81" s="16" t="str" cm="1">
        <f t="array" ref="P81">IF(I81="","",FORECAST(J81,INDEX('Rate &amp; Vol Update'!$C$6:$C$127,MATCH(INDEX('Rate &amp; Vol Update'!$B$6:$B$127,MATCH(J81,'Rate &amp; Vol Update'!$B$6:$B$127,1)),'Rate &amp; Vol Update'!$B$6:$B$127,0)+IF('Adjustment Surface'!C$11='Data Validation'!$E$3,-1,0)):INDEX('Rate &amp; Vol Update'!$C$6:$C$127,MATCH(INDEX('Rate &amp; Vol Update'!$B$6:$B$127,MATCH(J81,'Rate &amp; Vol Update'!$B$6:$B$127,1)+1),'Rate &amp; Vol Update'!$B$6:$B$127,0)+IF('Adjustment Surface'!C$11='Data Validation'!$E$3,-1,0)),INDEX('Rate &amp; Vol Update'!$B$6:$B$127,MATCH(J81,'Rate &amp; Vol Update'!$B$6:$B$127,1)):INDEX('Rate &amp; Vol Update'!$B$6:$B$127,MATCH(J81,'Rate &amp; Vol Update'!$B$6:$B$127,1)+1))/100)</f>
        <v/>
      </c>
      <c r="Q81" s="16" t="str" cm="1">
        <f t="array" ref="Q81">IF(I81="","",IF(J81&lt;'Rate &amp; Vol Update'!$C$2,0.001%,(1/((INDEX('Rate &amp; Vol Update'!$E$6:$Z$6,1,MATCH(O81,'Rate &amp; Vol Update'!$E$6:$Z$6,1)+1)-INDEX('Rate &amp; Vol Update'!$E$6:$Z$6,1,MATCH(O81,'Rate &amp; Vol Update'!$E$6:$Z$6,1)))*(INDEX('Rate &amp; Vol Update'!$B$8:$B$127,MATCH(J81,'Rate &amp; Vol Update'!$B$8:$B$127,1)+1)-INDEX('Rate &amp; Vol Update'!$B$8:$B$127,MATCH(J81,'Rate &amp; Vol Update'!$B$8:$B$127,1))))*(INDEX('Rate &amp; Vol Update'!$E$8:$Z$127,MATCH(INDEX('Rate &amp; Vol Update'!$B$8:$B$127,MATCH(J81,'Rate &amp; Vol Update'!$B$8:$B$127,1)),'Rate &amp; Vol Update'!$B$8:$B$127,0),MATCH(INDEX('Rate &amp; Vol Update'!$E$6:$Z$6,1,MATCH(O81,'Rate &amp; Vol Update'!$E$6:$Z$6,1)),'Rate &amp; Vol Update'!$E$6:$Z$6,0))*(INDEX('Rate &amp; Vol Update'!$E$6:$Z$6,1,MATCH(O81,'Rate &amp; Vol Update'!$E$6:$Z$6,1)+1)-O81)*(INDEX('Rate &amp; Vol Update'!$B$8:$B$127,MATCH(J81,'Rate &amp; Vol Update'!$B$8:$B$127,1)+1)-J81)+INDEX('Rate &amp; Vol Update'!$E$8:$Z$127,MATCH(INDEX('Rate &amp; Vol Update'!$B$8:$B$127,MATCH(J81,'Rate &amp; Vol Update'!$B$8:$B$127,1)),'Rate &amp; Vol Update'!$B$8:$B$127,0),MATCH(INDEX('Rate &amp; Vol Update'!$E$6:$Z$6,1,MATCH(O81,'Rate &amp; Vol Update'!$E$6:$Z$6,1)+1),'Rate &amp; Vol Update'!$E$6:$Z$6,0))*(O81-INDEX('Rate &amp; Vol Update'!$E$6:$Z$6,1,MATCH(O81,'Rate &amp; Vol Update'!$E$6:$Z$6,1)))*(INDEX('Rate &amp; Vol Update'!$B$8:$B$127,MATCH(J81,'Rate &amp; Vol Update'!$B$8:$B$127,1)+1)-J81)+INDEX('Rate &amp; Vol Update'!$E$8:$Z$127,MATCH(INDEX('Rate &amp; Vol Update'!$B$8:$B$127,MATCH(J81,'Rate &amp; Vol Update'!$B$8:$B$127,1)+1),'Rate &amp; Vol Update'!$B$8:$B$127,0),MATCH(INDEX('Rate &amp; Vol Update'!$E$6:$Z$6,1,MATCH(O81,'Rate &amp; Vol Update'!$E$6:$Z$6,1)),'Rate &amp; Vol Update'!$E$6:$Z$6,0))*(INDEX('Rate &amp; Vol Update'!$E$6:$Z$6,1,MATCH(O81,'Rate &amp; Vol Update'!$E$6:$Z$6,1)+1)-O81)*(J81-INDEX('Rate &amp; Vol Update'!$B$8:$B$127,MATCH(J81,'Rate &amp; Vol Update'!$B$8:$B$127,1)))+INDEX('Rate &amp; Vol Update'!$E$8:$Z$127,MATCH(INDEX('Rate &amp; Vol Update'!$B$8:$B$127,MATCH(J81,'Rate &amp; Vol Update'!$B$8:$B$127,1)+1),'Rate &amp; Vol Update'!$B$8:$B$127,0),MATCH(INDEX('Rate &amp; Vol Update'!$E$6:$Z$6,1,MATCH(O81,'Rate &amp; Vol Update'!$E$6:$Z$6,1)+1),'Rate &amp; Vol Update'!$E$6:$Z$6,0))*(O81-INDEX('Rate &amp; Vol Update'!$E$6:$Z$6,1,MATCH(O81,'Rate &amp; Vol Update'!$E$6:$Z$6,1)))*(J81-INDEX('Rate &amp; Vol Update'!$B$8:$B$127,MATCH(J81,'Rate &amp; Vol Update'!$B$8:$B$127,1)))))*0.01%))</f>
        <v/>
      </c>
      <c r="R81" s="5" t="str">
        <f>IF(I81="","",1/((1+P81)^((K81-'Rate &amp; Vol Update'!$C$2)/360)))</f>
        <v/>
      </c>
      <c r="T81" s="15" t="str">
        <f>IF(I81="","",IF(J81&lt;'Rate &amp; Vol Update'!$C$2,MAX(0,P81-O81)*(L81/360)*N81,(((IF('Adjustment Surface'!C$2='Data Validation'!$A$2,P81,IF('Adjustment Surface'!C$2='Data Validation'!$A$3,O81,"Unknown Option Type"))-IF('Adjustment Surface'!C$2='Data Validation'!$A$2,O81,IF('Adjustment Surface'!C$2='Data Validation'!$A$3,P81,"Unknown Option Type")))*(NORMDIST((IF('Adjustment Surface'!C$2='Data Validation'!$A$2,P81,IF('Adjustment Surface'!C$2='Data Validation'!$A$3,O81,"Unknown Option Type"))-IF('Adjustment Surface'!C$2='Data Validation'!$A$2,O81,IF('Adjustment Surface'!C$2='Data Validation'!$A$3,P81,"Unknown Option Type")))/(Q81*SQRT(M81)),0,1,TRUE)))+((Q81*SQRT(M81))*(NORMDIST((IF('Adjustment Surface'!C$2='Data Validation'!$A$2,P81,IF('Adjustment Surface'!C$2='Data Validation'!$A$3,O81,"Unknown Option Type"))-IF('Adjustment Surface'!C$2='Data Validation'!$A$2,O81,IF('Adjustment Surface'!C$2='Data Validation'!$A$3,P81,"Unknown Option Type")))/(Q81*SQRT(M81)),0,1,FALSE))))*R81*(L81/360)*N81))</f>
        <v/>
      </c>
      <c r="U81" s="15" t="str">
        <f>IF(I81="","",SUM(T$4:T81))</f>
        <v/>
      </c>
      <c r="W81" s="15" t="str">
        <f>IF(I81="","",IF(J81&lt;'Rate &amp; Vol Update'!$C$2,0,((((((IF('Adjustment Surface'!C$2='Data Validation'!$A$2,P81,IF('Adjustment Surface'!C$2='Data Validation'!$A$3,O81,"Unknown Option Type"))-IF('Adjustment Surface'!C$2='Data Validation'!$A$2,O81,IF('Adjustment Surface'!C$2='Data Validation'!$A$3,P81,"Unknown Option Type")))*(NORMDIST((IF('Adjustment Surface'!C$2='Data Validation'!$A$2,P81,IF('Adjustment Surface'!C$2='Data Validation'!$A$3,O81,"Unknown Option Type"))-IF('Adjustment Surface'!C$2='Data Validation'!$A$2,O81,IF('Adjustment Surface'!C$2='Data Validation'!$A$3,P81,"Unknown Option Type")))/((Q81+0.01%)*SQRT(M81)),0,1,TRUE)))+(((Q81+0.01%)*SQRT(M81))*(NORMDIST((IF('Adjustment Surface'!C$2='Data Validation'!$A$2,P81,IF('Adjustment Surface'!C$2='Data Validation'!$A$3,O81,"Unknown Option Type"))-IF('Adjustment Surface'!C$2='Data Validation'!$A$2,O81,IF('Adjustment Surface'!C$2='Data Validation'!$A$3,P81,"Unknown Option Type")))/((Q81+0.01%)*SQRT(M81)),0,1,FALSE))))*R81*(L81/360))-(T81/N81))*N81)*R81))</f>
        <v/>
      </c>
      <c r="X81" s="15" t="str">
        <f>IF(I81="","",SUM(W$4:W81))</f>
        <v/>
      </c>
      <c r="Y81" s="15"/>
      <c r="Z81" s="20"/>
      <c r="AB81" s="4" t="str">
        <f>IF(AC80=MAX('Adjustment Surface'!$C$14:$F$14),"",AC80)</f>
        <v/>
      </c>
      <c r="AC81" s="4" t="str">
        <f>IF(AB81="","",IF(AB81&lt;EDATE('Adjustment Surface'!$C$6,DATEDIF('Adjustment Surface'!$C$6,MAX('Adjustment Surface'!$C$14:$F$14),"M")),EDATE(AB$5,COUNT(AB$5:AB81)),IF(AB81=EDATE('Adjustment Surface'!$C$6,DATEDIF('Adjustment Surface'!$C$6,MAX('Adjustment Surface'!$C$14:$F$14),"M")),MAX('Adjustment Surface'!$C$14:$F$14),EDATE('Adjustment Surface'!$C$6,DATEDIF('Adjustment Surface'!$C$6,MAX('Adjustment Surface'!$C$14:$F$14),"M")))))</f>
        <v/>
      </c>
      <c r="AD81" s="3" t="str">
        <f t="shared" si="7"/>
        <v/>
      </c>
      <c r="AE81" s="5" t="str">
        <f>IF(AA81="","",(AC81-'Rate &amp; Vol Update'!$C$2)/360)</f>
        <v/>
      </c>
      <c r="AF81" s="15" t="str">
        <f>IF(AA81="","",IF('Adjustment Surface'!$C$3='Data Validation'!$C$2,'Adjustment Surface'!$C$4,_xlfn.IFNA(IF(INDEX(Schedules!$E$3:$E$123,MATCH('Bachelier Model'!AB81,Schedules!$B$3:$B$123,0))="",AF80,INDEX(Schedules!$E$3:$E$123,MATCH('Bachelier Model'!AB81,Schedules!$B$3:$B$123,0))),AF80)))</f>
        <v/>
      </c>
      <c r="AG81" s="16" t="str">
        <f>IF(AA81="","",'Adjustment Surface'!B$15)</f>
        <v/>
      </c>
      <c r="AH81" s="16" t="str" cm="1">
        <f t="array" ref="AH81">IF(AA81="","",FORECAST(AB81,INDEX('Rate &amp; Vol Update'!$C$6:$C$127,MATCH(INDEX('Rate &amp; Vol Update'!$B$6:$B$127,MATCH(AB81,'Rate &amp; Vol Update'!$B$6:$B$127,1)),'Rate &amp; Vol Update'!$B$6:$B$127,0)+IF('Adjustment Surface'!$C$11='Data Validation'!$E$3,-1,0)):INDEX('Rate &amp; Vol Update'!$C$6:$C$127,MATCH(INDEX('Rate &amp; Vol Update'!$B$6:$B$127,MATCH(AB81,'Rate &amp; Vol Update'!$B$6:$B$127,1)+1),'Rate &amp; Vol Update'!$B$6:$B$127,0)+IF('Adjustment Surface'!$C$11='Data Validation'!$E$3,-1,0)),INDEX('Rate &amp; Vol Update'!$B$6:$B$127,MATCH(AB81,'Rate &amp; Vol Update'!$B$6:$B$127,1)):INDEX('Rate &amp; Vol Update'!$B$6:$B$127,MATCH(AB81,'Rate &amp; Vol Update'!$B$6:$B$127,1)+1))/100)</f>
        <v/>
      </c>
      <c r="AI81" s="16" t="str" cm="1">
        <f t="array" ref="AI81">IF(AA81="","",IF(AB81&lt;'Rate &amp; Vol Update'!$C$2,0.001%,(1/((INDEX('Rate &amp; Vol Update'!$E$6:$Z$6,1,MATCH(AG81,'Rate &amp; Vol Update'!$E$6:$Z$6,1)+1)-INDEX('Rate &amp; Vol Update'!$E$6:$Z$6,1,MATCH(AG81,'Rate &amp; Vol Update'!$E$6:$Z$6,1)))*(INDEX('Rate &amp; Vol Update'!$B$8:$B$127,MATCH(AB81,'Rate &amp; Vol Update'!$B$8:$B$127,1)+1)-INDEX('Rate &amp; Vol Update'!$B$8:$B$127,MATCH(AB81,'Rate &amp; Vol Update'!$B$8:$B$127,1))))*(INDEX('Rate &amp; Vol Update'!$E$8:$Z$127,MATCH(INDEX('Rate &amp; Vol Update'!$B$8:$B$127,MATCH(AB81,'Rate &amp; Vol Update'!$B$8:$B$127,1)),'Rate &amp; Vol Update'!$B$8:$B$127,0),MATCH(INDEX('Rate &amp; Vol Update'!$E$6:$Z$6,1,MATCH(AG81,'Rate &amp; Vol Update'!$E$6:$Z$6,1)),'Rate &amp; Vol Update'!$E$6:$Z$6,0))*(INDEX('Rate &amp; Vol Update'!$E$6:$Z$6,1,MATCH(AG81,'Rate &amp; Vol Update'!$E$6:$Z$6,1)+1)-AG81)*(INDEX('Rate &amp; Vol Update'!$B$8:$B$127,MATCH(AB81,'Rate &amp; Vol Update'!$B$8:$B$127,1)+1)-AB81)+INDEX('Rate &amp; Vol Update'!$E$8:$Z$127,MATCH(INDEX('Rate &amp; Vol Update'!$B$8:$B$127,MATCH(AB81,'Rate &amp; Vol Update'!$B$8:$B$127,1)),'Rate &amp; Vol Update'!$B$8:$B$127,0),MATCH(INDEX('Rate &amp; Vol Update'!$E$6:$Z$6,1,MATCH(AG81,'Rate &amp; Vol Update'!$E$6:$Z$6,1)+1),'Rate &amp; Vol Update'!$E$6:$Z$6,0))*(AG81-INDEX('Rate &amp; Vol Update'!$E$6:$Z$6,1,MATCH(AG81,'Rate &amp; Vol Update'!$E$6:$Z$6,1)))*(INDEX('Rate &amp; Vol Update'!$B$8:$B$127,MATCH(AB81,'Rate &amp; Vol Update'!$B$8:$B$127,1)+1)-AB81)+INDEX('Rate &amp; Vol Update'!$E$8:$Z$127,MATCH(INDEX('Rate &amp; Vol Update'!$B$8:$B$127,MATCH(AB81,'Rate &amp; Vol Update'!$B$8:$B$127,1)+1),'Rate &amp; Vol Update'!$B$8:$B$127,0),MATCH(INDEX('Rate &amp; Vol Update'!$E$6:$Z$6,1,MATCH(AG81,'Rate &amp; Vol Update'!$E$6:$Z$6,1)),'Rate &amp; Vol Update'!$E$6:$Z$6,0))*(INDEX('Rate &amp; Vol Update'!$E$6:$Z$6,1,MATCH(AG81,'Rate &amp; Vol Update'!$E$6:$Z$6,1)+1)-AG81)*(AB81-INDEX('Rate &amp; Vol Update'!$B$8:$B$127,MATCH(AB81,'Rate &amp; Vol Update'!$B$8:$B$127,1)))+INDEX('Rate &amp; Vol Update'!$E$8:$Z$127,MATCH(INDEX('Rate &amp; Vol Update'!$B$8:$B$127,MATCH(AB81,'Rate &amp; Vol Update'!$B$8:$B$127,1)+1),'Rate &amp; Vol Update'!$B$8:$B$127,0),MATCH(INDEX('Rate &amp; Vol Update'!$E$6:$Z$6,1,MATCH(AG81,'Rate &amp; Vol Update'!$E$6:$Z$6,1)+1),'Rate &amp; Vol Update'!$E$6:$Z$6,0))*(AG81-INDEX('Rate &amp; Vol Update'!$E$6:$Z$6,1,MATCH(AG81,'Rate &amp; Vol Update'!$E$6:$Z$6,1)))*(AB81-INDEX('Rate &amp; Vol Update'!$B$8:$B$127,MATCH(AB81,'Rate &amp; Vol Update'!$B$8:$B$127,1)))))*0.01%))</f>
        <v/>
      </c>
      <c r="AJ81" s="5" t="str">
        <f>IF(AA81="","",1/((1+AH81)^((AC81-'Rate &amp; Vol Update'!$C$2)/360)))</f>
        <v/>
      </c>
      <c r="AL81" s="15" t="str">
        <f>IF(AA81="","",IF(AB81&lt;'Rate &amp; Vol Update'!$C$2,MAX(0,AH81-AG81)*(AD81/360)*AF81,(((IF('Adjustment Surface'!$C$2='Data Validation'!$A$2,AH81,IF('Adjustment Surface'!$C$2='Data Validation'!$A$3,AG81,"Unknown Option Type"))-IF('Adjustment Surface'!$C$2='Data Validation'!$A$2,AG81,IF('Adjustment Surface'!$C$2='Data Validation'!$A$3,AH81,"Unknown Option Type")))*(NORMDIST((IF('Adjustment Surface'!$C$2='Data Validation'!$A$2,AH81,IF('Adjustment Surface'!$C$2='Data Validation'!$A$3,AG81,"Unknown Option Type"))-IF('Adjustment Surface'!$C$2='Data Validation'!$A$2,AG81,IF('Adjustment Surface'!$C$2='Data Validation'!$A$3,AH81,"Unknown Option Type")))/(AI81*SQRT(AE81)),0,1,TRUE)))+((AI81*SQRT(AE81))*(NORMDIST((IF('Adjustment Surface'!$C$2='Data Validation'!$A$2,AH81,IF('Adjustment Surface'!$C$2='Data Validation'!$A$3,AG81,"Unknown Option Type"))-IF('Adjustment Surface'!$C$2='Data Validation'!$A$2,AG81,IF('Adjustment Surface'!$C$2='Data Validation'!$A$3,AH81,"Unknown Option Type")))/(AI81*SQRT(AE81)),0,1,FALSE))))*AJ81*(AD81/360)*AF81))</f>
        <v/>
      </c>
      <c r="AM81" s="15" t="str">
        <f>IF(AA81="","",SUM(AL$4:AL81))</f>
        <v/>
      </c>
      <c r="AO81" s="15" t="str">
        <f>IF(AA81="","",IF(AB81&lt;'Rate &amp; Vol Update'!$C$2,0,((((((IF('Adjustment Surface'!$C$2='Data Validation'!$A$2,AH81,IF('Adjustment Surface'!$C$2='Data Validation'!$A$3,AG81,"Unknown Option Type"))-IF('Adjustment Surface'!$C$2='Data Validation'!$A$2,AG81,IF('Adjustment Surface'!$C$2='Data Validation'!$A$3,AH81,"Unknown Option Type")))*(NORMDIST((IF('Adjustment Surface'!$C$2='Data Validation'!$A$2,AH81,IF('Adjustment Surface'!$C$2='Data Validation'!$A$3,AG81,"Unknown Option Type"))-IF('Adjustment Surface'!$C$2='Data Validation'!$A$2,AG81,IF('Adjustment Surface'!$C$2='Data Validation'!$A$3,AH81,"Unknown Option Type")))/((AI81+0.01%)*SQRT(AE81)),0,1,TRUE)))+(((AI81+0.01%)*SQRT(AE81))*(NORMDIST((IF('Adjustment Surface'!$C$2='Data Validation'!$A$2,AH81,IF('Adjustment Surface'!$C$2='Data Validation'!$A$3,AG81,"Unknown Option Type"))-IF('Adjustment Surface'!$C$2='Data Validation'!$A$2,AG81,IF('Adjustment Surface'!$C$2='Data Validation'!$A$3,AH81,"Unknown Option Type")))/((AI81+0.01%)*SQRT(AE81)),0,1,FALSE))))*AJ81*(AD81/360))-(AL81/AF81))*AF81)*AJ81))</f>
        <v/>
      </c>
      <c r="AP81" s="15" t="str">
        <f>IF(AA81="","",SUM(AO$4:AO81))</f>
        <v/>
      </c>
      <c r="AQ81" s="15"/>
      <c r="AR81" s="20"/>
      <c r="AT81" s="4" t="str">
        <f>IF(AU80=MAX('Adjustment Surface'!$C$14:$F$14),"",AU80)</f>
        <v/>
      </c>
      <c r="AU81" s="4" t="str">
        <f>IF(AT81="","",IF(AT81&lt;EDATE('Adjustment Surface'!$C$6,DATEDIF('Adjustment Surface'!$C$6,MAX('Adjustment Surface'!$C$14:$F$14),"M")),EDATE(AT$5,COUNT(AT$5:AT81)),IF(AT81=EDATE('Adjustment Surface'!$C$6,DATEDIF('Adjustment Surface'!$C$6,MAX('Adjustment Surface'!$C$14:$F$14),"M")),MAX('Adjustment Surface'!$C$14:$F$14),EDATE('Adjustment Surface'!$C$6,DATEDIF('Adjustment Surface'!$C$6,MAX('Adjustment Surface'!$C$14:$F$14),"M")))))</f>
        <v/>
      </c>
      <c r="AV81" s="3" t="str">
        <f t="shared" si="8"/>
        <v/>
      </c>
      <c r="AW81" s="5" t="str">
        <f>IF(AS81="","",(AU81-'Rate &amp; Vol Update'!$C$2)/360)</f>
        <v/>
      </c>
      <c r="AX81" s="15" t="str">
        <f>IF(AS81="","",IF('Adjustment Surface'!$C$3='Data Validation'!$C$2,'Adjustment Surface'!$C$4,_xlfn.IFNA(IF(INDEX(Schedules!$E$3:$E$123,MATCH('Bachelier Model'!AT81,Schedules!$B$3:$B$123,0))="",AX80,INDEX(Schedules!$E$3:$E$123,MATCH('Bachelier Model'!AT81,Schedules!$B$3:$B$123,0))),AX80)))</f>
        <v/>
      </c>
      <c r="AY81" s="16" t="str">
        <f>IF(AS81="","",'Adjustment Surface'!B$16)</f>
        <v/>
      </c>
      <c r="AZ81" s="16" t="str" cm="1">
        <f t="array" ref="AZ81">IF(AS81="","",FORECAST(AT81,INDEX('Rate &amp; Vol Update'!$C$6:$C$127,MATCH(INDEX('Rate &amp; Vol Update'!$B$6:$B$127,MATCH(AT81,'Rate &amp; Vol Update'!$B$6:$B$127,1)),'Rate &amp; Vol Update'!$B$6:$B$127,0)+IF('Adjustment Surface'!$C$11='Data Validation'!$E$3,-1,0)):INDEX('Rate &amp; Vol Update'!$C$6:$C$127,MATCH(INDEX('Rate &amp; Vol Update'!$B$6:$B$127,MATCH(AT81,'Rate &amp; Vol Update'!$B$6:$B$127,1)+1),'Rate &amp; Vol Update'!$B$6:$B$127,0)+IF('Adjustment Surface'!$C$11='Data Validation'!$E$3,-1,0)),INDEX('Rate &amp; Vol Update'!$B$6:$B$127,MATCH(AT81,'Rate &amp; Vol Update'!$B$6:$B$127,1)):INDEX('Rate &amp; Vol Update'!$B$6:$B$127,MATCH(AT81,'Rate &amp; Vol Update'!$B$6:$B$127,1)+1))/100)</f>
        <v/>
      </c>
      <c r="BA81" s="16" t="str" cm="1">
        <f t="array" ref="BA81">IF(AS81="","",IF(AT81&lt;'Rate &amp; Vol Update'!$C$2,0.001%,(1/((INDEX('Rate &amp; Vol Update'!$E$6:$Z$6,1,MATCH(AY81,'Rate &amp; Vol Update'!$E$6:$Z$6,1)+1)-INDEX('Rate &amp; Vol Update'!$E$6:$Z$6,1,MATCH(AY81,'Rate &amp; Vol Update'!$E$6:$Z$6,1)))*(INDEX('Rate &amp; Vol Update'!$B$8:$B$127,MATCH(AT81,'Rate &amp; Vol Update'!$B$8:$B$127,1)+1)-INDEX('Rate &amp; Vol Update'!$B$8:$B$127,MATCH(AT81,'Rate &amp; Vol Update'!$B$8:$B$127,1))))*(INDEX('Rate &amp; Vol Update'!$E$8:$Z$127,MATCH(INDEX('Rate &amp; Vol Update'!$B$8:$B$127,MATCH(AT81,'Rate &amp; Vol Update'!$B$8:$B$127,1)),'Rate &amp; Vol Update'!$B$8:$B$127,0),MATCH(INDEX('Rate &amp; Vol Update'!$E$6:$Z$6,1,MATCH(AY81,'Rate &amp; Vol Update'!$E$6:$Z$6,1)),'Rate &amp; Vol Update'!$E$6:$Z$6,0))*(INDEX('Rate &amp; Vol Update'!$E$6:$Z$6,1,MATCH(AY81,'Rate &amp; Vol Update'!$E$6:$Z$6,1)+1)-AY81)*(INDEX('Rate &amp; Vol Update'!$B$8:$B$127,MATCH(AT81,'Rate &amp; Vol Update'!$B$8:$B$127,1)+1)-AT81)+INDEX('Rate &amp; Vol Update'!$E$8:$Z$127,MATCH(INDEX('Rate &amp; Vol Update'!$B$8:$B$127,MATCH(AT81,'Rate &amp; Vol Update'!$B$8:$B$127,1)),'Rate &amp; Vol Update'!$B$8:$B$127,0),MATCH(INDEX('Rate &amp; Vol Update'!$E$6:$Z$6,1,MATCH(AY81,'Rate &amp; Vol Update'!$E$6:$Z$6,1)+1),'Rate &amp; Vol Update'!$E$6:$Z$6,0))*(AY81-INDEX('Rate &amp; Vol Update'!$E$6:$Z$6,1,MATCH(AY81,'Rate &amp; Vol Update'!$E$6:$Z$6,1)))*(INDEX('Rate &amp; Vol Update'!$B$8:$B$127,MATCH(AT81,'Rate &amp; Vol Update'!$B$8:$B$127,1)+1)-AT81)+INDEX('Rate &amp; Vol Update'!$E$8:$Z$127,MATCH(INDEX('Rate &amp; Vol Update'!$B$8:$B$127,MATCH(AT81,'Rate &amp; Vol Update'!$B$8:$B$127,1)+1),'Rate &amp; Vol Update'!$B$8:$B$127,0),MATCH(INDEX('Rate &amp; Vol Update'!$E$6:$Z$6,1,MATCH(AY81,'Rate &amp; Vol Update'!$E$6:$Z$6,1)),'Rate &amp; Vol Update'!$E$6:$Z$6,0))*(INDEX('Rate &amp; Vol Update'!$E$6:$Z$6,1,MATCH(AY81,'Rate &amp; Vol Update'!$E$6:$Z$6,1)+1)-AY81)*(AT81-INDEX('Rate &amp; Vol Update'!$B$8:$B$127,MATCH(AT81,'Rate &amp; Vol Update'!$B$8:$B$127,1)))+INDEX('Rate &amp; Vol Update'!$E$8:$Z$127,MATCH(INDEX('Rate &amp; Vol Update'!$B$8:$B$127,MATCH(AT81,'Rate &amp; Vol Update'!$B$8:$B$127,1)+1),'Rate &amp; Vol Update'!$B$8:$B$127,0),MATCH(INDEX('Rate &amp; Vol Update'!$E$6:$Z$6,1,MATCH(AY81,'Rate &amp; Vol Update'!$E$6:$Z$6,1)+1),'Rate &amp; Vol Update'!$E$6:$Z$6,0))*(AY81-INDEX('Rate &amp; Vol Update'!$E$6:$Z$6,1,MATCH(AY81,'Rate &amp; Vol Update'!$E$6:$Z$6,1)))*(AT81-INDEX('Rate &amp; Vol Update'!$B$8:$B$127,MATCH(AT81,'Rate &amp; Vol Update'!$B$8:$B$127,1)))))*0.01%))</f>
        <v/>
      </c>
      <c r="BB81" s="5" t="str">
        <f>IF(AS81="","",1/((1+AZ81)^((AU81-'Rate &amp; Vol Update'!$C$2)/360)))</f>
        <v/>
      </c>
      <c r="BD81" s="15" t="str">
        <f>IF(AS81="","",IF(AT81&lt;'Rate &amp; Vol Update'!$C$2,MAX(0,AZ81-AY81)*(AV81/360)*AX81,(((IF('Adjustment Surface'!$C$2='Data Validation'!$A$2,AZ81,IF('Adjustment Surface'!$C$2='Data Validation'!$A$3,AY81,"Unknown Option Type"))-IF('Adjustment Surface'!$C$2='Data Validation'!$A$2,AY81,IF('Adjustment Surface'!$C$2='Data Validation'!$A$3,AZ81,"Unknown Option Type")))*(NORMDIST((IF('Adjustment Surface'!$C$2='Data Validation'!$A$2,AZ81,IF('Adjustment Surface'!$C$2='Data Validation'!$A$3,AY81,"Unknown Option Type"))-IF('Adjustment Surface'!$C$2='Data Validation'!$A$2,AY81,IF('Adjustment Surface'!$C$2='Data Validation'!$A$3,AZ81,"Unknown Option Type")))/(BA81*SQRT(AW81)),0,1,TRUE)))+((BA81*SQRT(AW81))*(NORMDIST((IF('Adjustment Surface'!$C$2='Data Validation'!$A$2,AZ81,IF('Adjustment Surface'!$C$2='Data Validation'!$A$3,AY81,"Unknown Option Type"))-IF('Adjustment Surface'!$C$2='Data Validation'!$A$2,AY81,IF('Adjustment Surface'!$C$2='Data Validation'!$A$3,AZ81,"Unknown Option Type")))/(BA81*SQRT(AW81)),0,1,FALSE))))*BB81*(AV81/360)*AX81))</f>
        <v/>
      </c>
      <c r="BE81" s="15" t="str">
        <f>IF(AS81="","",SUM(BD$4:BD81))</f>
        <v/>
      </c>
      <c r="BG81" s="15" t="str">
        <f>IF(AS81="","",IF(AT81&lt;'Rate &amp; Vol Update'!$C$2,0,((((((IF('Adjustment Surface'!$C$2='Data Validation'!$A$2,AZ81,IF('Adjustment Surface'!$C$2='Data Validation'!$A$3,AY81,"Unknown Option Type"))-IF('Adjustment Surface'!$C$2='Data Validation'!$A$2,AY81,IF('Adjustment Surface'!$C$2='Data Validation'!$A$3,AZ81,"Unknown Option Type")))*(NORMDIST((IF('Adjustment Surface'!$C$2='Data Validation'!$A$2,AZ81,IF('Adjustment Surface'!$C$2='Data Validation'!$A$3,AY81,"Unknown Option Type"))-IF('Adjustment Surface'!$C$2='Data Validation'!$A$2,AY81,IF('Adjustment Surface'!$C$2='Data Validation'!$A$3,AZ81,"Unknown Option Type")))/((BA81+0.01%)*SQRT(AW81)),0,1,TRUE)))+(((BA81+0.01%)*SQRT(AW81))*(NORMDIST((IF('Adjustment Surface'!$C$2='Data Validation'!$A$2,AZ81,IF('Adjustment Surface'!$C$2='Data Validation'!$A$3,AY81,"Unknown Option Type"))-IF('Adjustment Surface'!$C$2='Data Validation'!$A$2,AY81,IF('Adjustment Surface'!$C$2='Data Validation'!$A$3,AZ81,"Unknown Option Type")))/((BA81+0.01%)*SQRT(AW81)),0,1,FALSE))))*BB81*(AV81/360))-(BD81/AX81))*AX81)*BB81))</f>
        <v/>
      </c>
      <c r="BH81" s="15" t="str">
        <f>IF(AS81="","",SUM(BG$4:BG81))</f>
        <v/>
      </c>
      <c r="BI81" s="15"/>
      <c r="BJ81" s="20"/>
      <c r="BL81" s="4" t="str">
        <f>IF(BM80=MAX('Adjustment Surface'!$C$14:$F$14),"",BM80)</f>
        <v/>
      </c>
      <c r="BM81" s="4" t="str">
        <f>IF(BL81="","",IF(BL81&lt;EDATE('Adjustment Surface'!$C$6,DATEDIF('Adjustment Surface'!$C$6,MAX('Adjustment Surface'!$C$14:$F$14),"M")),EDATE(BL$5,COUNT(BL$5:BL81)),IF(BL81=EDATE('Adjustment Surface'!$C$6,DATEDIF('Adjustment Surface'!$C$6,MAX('Adjustment Surface'!$C$14:$F$14),"M")),MAX('Adjustment Surface'!$C$14:$F$14),EDATE('Adjustment Surface'!$C$6,DATEDIF('Adjustment Surface'!$C$6,MAX('Adjustment Surface'!$C$14:$F$14),"M")))))</f>
        <v/>
      </c>
      <c r="BN81" s="3" t="str">
        <f t="shared" si="9"/>
        <v/>
      </c>
      <c r="BO81" s="5" t="str">
        <f>IF(BK81="","",(BM81-'Rate &amp; Vol Update'!$C$2)/360)</f>
        <v/>
      </c>
      <c r="BP81" s="15" t="str">
        <f>IF(BK81="","",IF('Adjustment Surface'!$C$3='Data Validation'!$C$2,'Adjustment Surface'!$C$4,_xlfn.IFNA(IF(INDEX(Schedules!$E$3:$E$123,MATCH('Bachelier Model'!BL81,Schedules!$B$3:$B$123,0))="",BP80,INDEX(Schedules!$E$3:$E$123,MATCH('Bachelier Model'!BL81,Schedules!$B$3:$B$123,0))),BP80)))</f>
        <v/>
      </c>
      <c r="BQ81" s="16" t="str">
        <f>IF(BK81="","",'Adjustment Surface'!B$17)</f>
        <v/>
      </c>
      <c r="BR81" s="16" t="str" cm="1">
        <f t="array" ref="BR81">IF(BK81="","",FORECAST(BL81,INDEX('Rate &amp; Vol Update'!$C$6:$C$127,MATCH(INDEX('Rate &amp; Vol Update'!$B$6:$B$127,MATCH(BL81,'Rate &amp; Vol Update'!$B$6:$B$127,1)),'Rate &amp; Vol Update'!$B$6:$B$127,0)+IF('Adjustment Surface'!$C$11='Data Validation'!$E$3,-1,0)):INDEX('Rate &amp; Vol Update'!$C$6:$C$127,MATCH(INDEX('Rate &amp; Vol Update'!$B$6:$B$127,MATCH(BL81,'Rate &amp; Vol Update'!$B$6:$B$127,1)+1),'Rate &amp; Vol Update'!$B$6:$B$127,0)+IF('Adjustment Surface'!$C$11='Data Validation'!$E$3,-1,0)),INDEX('Rate &amp; Vol Update'!$B$6:$B$127,MATCH(BL81,'Rate &amp; Vol Update'!$B$6:$B$127,1)):INDEX('Rate &amp; Vol Update'!$B$6:$B$127,MATCH(BL81,'Rate &amp; Vol Update'!$B$6:$B$127,1)+1))/100)</f>
        <v/>
      </c>
      <c r="BS81" s="16" t="str" cm="1">
        <f t="array" ref="BS81">IF(BK81="","",IF(BL81&lt;'Rate &amp; Vol Update'!$C$2,0.001%,(1/((INDEX('Rate &amp; Vol Update'!$E$6:$Z$6,1,MATCH(BQ81,'Rate &amp; Vol Update'!$E$6:$Z$6,1)+1)-INDEX('Rate &amp; Vol Update'!$E$6:$Z$6,1,MATCH(BQ81,'Rate &amp; Vol Update'!$E$6:$Z$6,1)))*(INDEX('Rate &amp; Vol Update'!$B$8:$B$127,MATCH(BL81,'Rate &amp; Vol Update'!$B$8:$B$127,1)+1)-INDEX('Rate &amp; Vol Update'!$B$8:$B$127,MATCH(BL81,'Rate &amp; Vol Update'!$B$8:$B$127,1))))*(INDEX('Rate &amp; Vol Update'!$E$8:$Z$127,MATCH(INDEX('Rate &amp; Vol Update'!$B$8:$B$127,MATCH(BL81,'Rate &amp; Vol Update'!$B$8:$B$127,1)),'Rate &amp; Vol Update'!$B$8:$B$127,0),MATCH(INDEX('Rate &amp; Vol Update'!$E$6:$Z$6,1,MATCH(BQ81,'Rate &amp; Vol Update'!$E$6:$Z$6,1)),'Rate &amp; Vol Update'!$E$6:$Z$6,0))*(INDEX('Rate &amp; Vol Update'!$E$6:$Z$6,1,MATCH(BQ81,'Rate &amp; Vol Update'!$E$6:$Z$6,1)+1)-BQ81)*(INDEX('Rate &amp; Vol Update'!$B$8:$B$127,MATCH(BL81,'Rate &amp; Vol Update'!$B$8:$B$127,1)+1)-BL81)+INDEX('Rate &amp; Vol Update'!$E$8:$Z$127,MATCH(INDEX('Rate &amp; Vol Update'!$B$8:$B$127,MATCH(BL81,'Rate &amp; Vol Update'!$B$8:$B$127,1)),'Rate &amp; Vol Update'!$B$8:$B$127,0),MATCH(INDEX('Rate &amp; Vol Update'!$E$6:$Z$6,1,MATCH(BQ81,'Rate &amp; Vol Update'!$E$6:$Z$6,1)+1),'Rate &amp; Vol Update'!$E$6:$Z$6,0))*(BQ81-INDEX('Rate &amp; Vol Update'!$E$6:$Z$6,1,MATCH(BQ81,'Rate &amp; Vol Update'!$E$6:$Z$6,1)))*(INDEX('Rate &amp; Vol Update'!$B$8:$B$127,MATCH(BL81,'Rate &amp; Vol Update'!$B$8:$B$127,1)+1)-BL81)+INDEX('Rate &amp; Vol Update'!$E$8:$Z$127,MATCH(INDEX('Rate &amp; Vol Update'!$B$8:$B$127,MATCH(BL81,'Rate &amp; Vol Update'!$B$8:$B$127,1)+1),'Rate &amp; Vol Update'!$B$8:$B$127,0),MATCH(INDEX('Rate &amp; Vol Update'!$E$6:$Z$6,1,MATCH(BQ81,'Rate &amp; Vol Update'!$E$6:$Z$6,1)),'Rate &amp; Vol Update'!$E$6:$Z$6,0))*(INDEX('Rate &amp; Vol Update'!$E$6:$Z$6,1,MATCH(BQ81,'Rate &amp; Vol Update'!$E$6:$Z$6,1)+1)-BQ81)*(BL81-INDEX('Rate &amp; Vol Update'!$B$8:$B$127,MATCH(BL81,'Rate &amp; Vol Update'!$B$8:$B$127,1)))+INDEX('Rate &amp; Vol Update'!$E$8:$Z$127,MATCH(INDEX('Rate &amp; Vol Update'!$B$8:$B$127,MATCH(BL81,'Rate &amp; Vol Update'!$B$8:$B$127,1)+1),'Rate &amp; Vol Update'!$B$8:$B$127,0),MATCH(INDEX('Rate &amp; Vol Update'!$E$6:$Z$6,1,MATCH(BQ81,'Rate &amp; Vol Update'!$E$6:$Z$6,1)+1),'Rate &amp; Vol Update'!$E$6:$Z$6,0))*(BQ81-INDEX('Rate &amp; Vol Update'!$E$6:$Z$6,1,MATCH(BQ81,'Rate &amp; Vol Update'!$E$6:$Z$6,1)))*(BL81-INDEX('Rate &amp; Vol Update'!$B$8:$B$127,MATCH(BL81,'Rate &amp; Vol Update'!$B$8:$B$127,1)))))*0.01%))</f>
        <v/>
      </c>
      <c r="BT81" s="5" t="str">
        <f>IF(BK81="","",1/((1+BR81)^((BM81-'Rate &amp; Vol Update'!$C$2)/360)))</f>
        <v/>
      </c>
      <c r="BV81" s="15" t="str">
        <f>IF(BK81="","",IF(BL81&lt;'Rate &amp; Vol Update'!$C$2,MAX(0,BR81-BQ81)*(BN81/360)*BP81,(((IF('Adjustment Surface'!$C$2='Data Validation'!$A$2,BR81,IF('Adjustment Surface'!$C$2='Data Validation'!$A$3,BQ81,"Unknown Option Type"))-IF('Adjustment Surface'!$C$2='Data Validation'!$A$2,BQ81,IF('Adjustment Surface'!$C$2='Data Validation'!$A$3,BR81,"Unknown Option Type")))*(NORMDIST((IF('Adjustment Surface'!$C$2='Data Validation'!$A$2,BR81,IF('Adjustment Surface'!$C$2='Data Validation'!$A$3,BQ81,"Unknown Option Type"))-IF('Adjustment Surface'!$C$2='Data Validation'!$A$2,BQ81,IF('Adjustment Surface'!$C$2='Data Validation'!$A$3,BR81,"Unknown Option Type")))/(BS81*SQRT(BO81)),0,1,TRUE)))+((BS81*SQRT(BO81))*(NORMDIST((IF('Adjustment Surface'!$C$2='Data Validation'!$A$2,BR81,IF('Adjustment Surface'!$C$2='Data Validation'!$A$3,BQ81,"Unknown Option Type"))-IF('Adjustment Surface'!$C$2='Data Validation'!$A$2,BQ81,IF('Adjustment Surface'!$C$2='Data Validation'!$A$3,BR81,"Unknown Option Type")))/(BS81*SQRT(BO81)),0,1,FALSE))))*BT81*(BN81/360)*BP81))</f>
        <v/>
      </c>
      <c r="BW81" s="15" t="str">
        <f>IF(BK81="","",SUM(BV$4:BV81))</f>
        <v/>
      </c>
      <c r="BY81" s="15" t="str">
        <f>IF(BK81="","",IF(BL81&lt;'Rate &amp; Vol Update'!$C$2,0,((((((IF('Adjustment Surface'!$C$2='Data Validation'!$A$2,BR81,IF('Adjustment Surface'!$C$2='Data Validation'!$A$3,BQ81,"Unknown Option Type"))-IF('Adjustment Surface'!$C$2='Data Validation'!$A$2,BQ81,IF('Adjustment Surface'!$C$2='Data Validation'!$A$3,BR81,"Unknown Option Type")))*(NORMDIST((IF('Adjustment Surface'!$C$2='Data Validation'!$A$2,BR81,IF('Adjustment Surface'!$C$2='Data Validation'!$A$3,BQ81,"Unknown Option Type"))-IF('Adjustment Surface'!$C$2='Data Validation'!$A$2,BQ81,IF('Adjustment Surface'!$C$2='Data Validation'!$A$3,BR81,"Unknown Option Type")))/((BS81+0.01%)*SQRT(BO81)),0,1,TRUE)))+(((BS81+0.01%)*SQRT(BO81))*(NORMDIST((IF('Adjustment Surface'!$C$2='Data Validation'!$A$2,BR81,IF('Adjustment Surface'!$C$2='Data Validation'!$A$3,BQ81,"Unknown Option Type"))-IF('Adjustment Surface'!$C$2='Data Validation'!$A$2,BQ81,IF('Adjustment Surface'!$C$2='Data Validation'!$A$3,BR81,"Unknown Option Type")))/((BS81+0.01%)*SQRT(BO81)),0,1,FALSE))))*BT81*(BN81/360))-(BV81/BP81))*BP81)*BT81))</f>
        <v/>
      </c>
      <c r="BZ81" s="15" t="str">
        <f>IF(BK81="","",SUM(BY$4:BY81))</f>
        <v/>
      </c>
      <c r="CA81" s="15"/>
      <c r="CB81" s="20"/>
      <c r="CD81" s="4" t="str">
        <f>IF(CE80=MAX('Adjustment Surface'!$C$14:$F$14),"",CE80)</f>
        <v/>
      </c>
      <c r="CE81" s="4" t="str">
        <f>IF(CD81="","",IF(CD81&lt;EDATE('Adjustment Surface'!$C$6,DATEDIF('Adjustment Surface'!$C$6,MAX('Adjustment Surface'!$C$14:$F$14),"M")),EDATE(CD$5,COUNT(CD$5:CD81)),IF(CD81=EDATE('Adjustment Surface'!$C$6,DATEDIF('Adjustment Surface'!$C$6,MAX('Adjustment Surface'!$C$14:$F$14),"M")),MAX('Adjustment Surface'!$C$14:$F$14),EDATE('Adjustment Surface'!$C$6,DATEDIF('Adjustment Surface'!$C$6,MAX('Adjustment Surface'!$C$14:$F$14),"M")))))</f>
        <v/>
      </c>
      <c r="CF81" s="3" t="str">
        <f t="shared" si="10"/>
        <v/>
      </c>
      <c r="CG81" s="5" t="str">
        <f>IF(CC81="","",(CE81-'Rate &amp; Vol Update'!$C$2)/360)</f>
        <v/>
      </c>
      <c r="CH81" s="15" t="str">
        <f>IF(CC81="","",IF('Adjustment Surface'!$C$3='Data Validation'!$C$2,'Adjustment Surface'!$C$4,_xlfn.IFNA(IF(INDEX(Schedules!$E$3:$E$123,MATCH('Bachelier Model'!CD81,Schedules!$B$3:$B$123,0))="",CH80,INDEX(Schedules!$E$3:$E$123,MATCH('Bachelier Model'!CD81,Schedules!$B$3:$B$123,0))),CH80)))</f>
        <v/>
      </c>
      <c r="CI81" s="16" t="str">
        <f>IF(CC81="","",'Adjustment Surface'!B$18)</f>
        <v/>
      </c>
      <c r="CJ81" s="16" t="str" cm="1">
        <f t="array" ref="CJ81">IF(CC81="","",FORECAST(CD81,INDEX('Rate &amp; Vol Update'!$C$6:$C$127,MATCH(INDEX('Rate &amp; Vol Update'!$B$6:$B$127,MATCH(CD81,'Rate &amp; Vol Update'!$B$6:$B$127,1)),'Rate &amp; Vol Update'!$B$6:$B$127,0)+IF('Adjustment Surface'!$C$11='Data Validation'!$E$3,-1,0)):INDEX('Rate &amp; Vol Update'!$C$6:$C$127,MATCH(INDEX('Rate &amp; Vol Update'!$B$6:$B$127,MATCH(CD81,'Rate &amp; Vol Update'!$B$6:$B$127,1)+1),'Rate &amp; Vol Update'!$B$6:$B$127,0)+IF('Adjustment Surface'!$C$11='Data Validation'!$E$3,-1,0)),INDEX('Rate &amp; Vol Update'!$B$6:$B$127,MATCH(CD81,'Rate &amp; Vol Update'!$B$6:$B$127,1)):INDEX('Rate &amp; Vol Update'!$B$6:$B$127,MATCH(CD81,'Rate &amp; Vol Update'!$B$6:$B$127,1)+1))/100)</f>
        <v/>
      </c>
      <c r="CK81" s="16" t="str" cm="1">
        <f t="array" ref="CK81">IF(CC81="","",IF(CD81&lt;'Rate &amp; Vol Update'!$C$2,0.001%,(1/((INDEX('Rate &amp; Vol Update'!$E$6:$Z$6,1,MATCH(CI81,'Rate &amp; Vol Update'!$E$6:$Z$6,1)+1)-INDEX('Rate &amp; Vol Update'!$E$6:$Z$6,1,MATCH(CI81,'Rate &amp; Vol Update'!$E$6:$Z$6,1)))*(INDEX('Rate &amp; Vol Update'!$B$8:$B$127,MATCH(CD81,'Rate &amp; Vol Update'!$B$8:$B$127,1)+1)-INDEX('Rate &amp; Vol Update'!$B$8:$B$127,MATCH(CD81,'Rate &amp; Vol Update'!$B$8:$B$127,1))))*(INDEX('Rate &amp; Vol Update'!$E$8:$Z$127,MATCH(INDEX('Rate &amp; Vol Update'!$B$8:$B$127,MATCH(CD81,'Rate &amp; Vol Update'!$B$8:$B$127,1)),'Rate &amp; Vol Update'!$B$8:$B$127,0),MATCH(INDEX('Rate &amp; Vol Update'!$E$6:$Z$6,1,MATCH(CI81,'Rate &amp; Vol Update'!$E$6:$Z$6,1)),'Rate &amp; Vol Update'!$E$6:$Z$6,0))*(INDEX('Rate &amp; Vol Update'!$E$6:$Z$6,1,MATCH(CI81,'Rate &amp; Vol Update'!$E$6:$Z$6,1)+1)-CI81)*(INDEX('Rate &amp; Vol Update'!$B$8:$B$127,MATCH(CD81,'Rate &amp; Vol Update'!$B$8:$B$127,1)+1)-CD81)+INDEX('Rate &amp; Vol Update'!$E$8:$Z$127,MATCH(INDEX('Rate &amp; Vol Update'!$B$8:$B$127,MATCH(CD81,'Rate &amp; Vol Update'!$B$8:$B$127,1)),'Rate &amp; Vol Update'!$B$8:$B$127,0),MATCH(INDEX('Rate &amp; Vol Update'!$E$6:$Z$6,1,MATCH(CI81,'Rate &amp; Vol Update'!$E$6:$Z$6,1)+1),'Rate &amp; Vol Update'!$E$6:$Z$6,0))*(CI81-INDEX('Rate &amp; Vol Update'!$E$6:$Z$6,1,MATCH(CI81,'Rate &amp; Vol Update'!$E$6:$Z$6,1)))*(INDEX('Rate &amp; Vol Update'!$B$8:$B$127,MATCH(CD81,'Rate &amp; Vol Update'!$B$8:$B$127,1)+1)-CD81)+INDEX('Rate &amp; Vol Update'!$E$8:$Z$127,MATCH(INDEX('Rate &amp; Vol Update'!$B$8:$B$127,MATCH(CD81,'Rate &amp; Vol Update'!$B$8:$B$127,1)+1),'Rate &amp; Vol Update'!$B$8:$B$127,0),MATCH(INDEX('Rate &amp; Vol Update'!$E$6:$Z$6,1,MATCH(CI81,'Rate &amp; Vol Update'!$E$6:$Z$6,1)),'Rate &amp; Vol Update'!$E$6:$Z$6,0))*(INDEX('Rate &amp; Vol Update'!$E$6:$Z$6,1,MATCH(CI81,'Rate &amp; Vol Update'!$E$6:$Z$6,1)+1)-CI81)*(CD81-INDEX('Rate &amp; Vol Update'!$B$8:$B$127,MATCH(CD81,'Rate &amp; Vol Update'!$B$8:$B$127,1)))+INDEX('Rate &amp; Vol Update'!$E$8:$Z$127,MATCH(INDEX('Rate &amp; Vol Update'!$B$8:$B$127,MATCH(CD81,'Rate &amp; Vol Update'!$B$8:$B$127,1)+1),'Rate &amp; Vol Update'!$B$8:$B$127,0),MATCH(INDEX('Rate &amp; Vol Update'!$E$6:$Z$6,1,MATCH(CI81,'Rate &amp; Vol Update'!$E$6:$Z$6,1)+1),'Rate &amp; Vol Update'!$E$6:$Z$6,0))*(CI81-INDEX('Rate &amp; Vol Update'!$E$6:$Z$6,1,MATCH(CI81,'Rate &amp; Vol Update'!$E$6:$Z$6,1)))*(CD81-INDEX('Rate &amp; Vol Update'!$B$8:$B$127,MATCH(CD81,'Rate &amp; Vol Update'!$B$8:$B$127,1)))))*0.01%))</f>
        <v/>
      </c>
      <c r="CL81" s="5" t="str">
        <f>IF(CC81="","",1/((1+CJ81)^((CE81-'Rate &amp; Vol Update'!$C$2)/360)))</f>
        <v/>
      </c>
      <c r="CN81" s="15" t="str">
        <f>IF(CC81="","",IF(CD81&lt;'Rate &amp; Vol Update'!$C$2,MAX(0,CJ81-CI81)*(CF81/360)*CH81,(((IF('Adjustment Surface'!$C$2='Data Validation'!$A$2,CJ81,IF('Adjustment Surface'!$C$2='Data Validation'!$A$3,CI81,"Unknown Option Type"))-IF('Adjustment Surface'!$C$2='Data Validation'!$A$2,CI81,IF('Adjustment Surface'!$C$2='Data Validation'!$A$3,CJ81,"Unknown Option Type")))*(NORMDIST((IF('Adjustment Surface'!$C$2='Data Validation'!$A$2,CJ81,IF('Adjustment Surface'!$C$2='Data Validation'!$A$3,CI81,"Unknown Option Type"))-IF('Adjustment Surface'!$C$2='Data Validation'!$A$2,CI81,IF('Adjustment Surface'!$C$2='Data Validation'!$A$3,CJ81,"Unknown Option Type")))/(CK81*SQRT(CG81)),0,1,TRUE)))+((CK81*SQRT(CG81))*(NORMDIST((IF('Adjustment Surface'!$C$2='Data Validation'!$A$2,CJ81,IF('Adjustment Surface'!$C$2='Data Validation'!$A$3,CI81,"Unknown Option Type"))-IF('Adjustment Surface'!$C$2='Data Validation'!$A$2,CI81,IF('Adjustment Surface'!$C$2='Data Validation'!$A$3,CJ81,"Unknown Option Type")))/(CK81*SQRT(CG81)),0,1,FALSE))))*CL81*(CF81/360)*CH81))</f>
        <v/>
      </c>
      <c r="CO81" s="15" t="str">
        <f>IF(CC81="","",SUM(CN$4:CN81))</f>
        <v/>
      </c>
      <c r="CQ81" s="15" t="str">
        <f>IF(CC81="","",IF(CD81&lt;'Rate &amp; Vol Update'!$C$2,0,((((((IF('Adjustment Surface'!$C$2='Data Validation'!$A$2,CJ81,IF('Adjustment Surface'!$C$2='Data Validation'!$A$3,CI81,"Unknown Option Type"))-IF('Adjustment Surface'!$C$2='Data Validation'!$A$2,CI81,IF('Adjustment Surface'!$C$2='Data Validation'!$A$3,CJ81,"Unknown Option Type")))*(NORMDIST((IF('Adjustment Surface'!$C$2='Data Validation'!$A$2,CJ81,IF('Adjustment Surface'!$C$2='Data Validation'!$A$3,CI81,"Unknown Option Type"))-IF('Adjustment Surface'!$C$2='Data Validation'!$A$2,CI81,IF('Adjustment Surface'!$C$2='Data Validation'!$A$3,CJ81,"Unknown Option Type")))/((CK81+0.01%)*SQRT(CG81)),0,1,TRUE)))+(((CK81+0.01%)*SQRT(CG81))*(NORMDIST((IF('Adjustment Surface'!$C$2='Data Validation'!$A$2,CJ81,IF('Adjustment Surface'!$C$2='Data Validation'!$A$3,CI81,"Unknown Option Type"))-IF('Adjustment Surface'!$C$2='Data Validation'!$A$2,CI81,IF('Adjustment Surface'!$C$2='Data Validation'!$A$3,CJ81,"Unknown Option Type")))/((CK81+0.01%)*SQRT(CG81)),0,1,FALSE))))*CL81*(CF81/360))-(CN81/CH81))*CH81)*CL81))</f>
        <v/>
      </c>
      <c r="CR81" s="15" t="str">
        <f>IF(CC81="","",SUM(CQ$4:CQ81))</f>
        <v/>
      </c>
    </row>
    <row r="82" spans="7:96" x14ac:dyDescent="0.25">
      <c r="G82" s="28"/>
      <c r="J82" s="4" t="str">
        <f>IF(K81='Adjustment Surface'!C$8,"",K81)</f>
        <v/>
      </c>
      <c r="K82" s="4" t="str">
        <f>IF(J82="","",IF(J82&lt;'Adjustment Surface'!C$7,EDATE(J$5,COUNT(J$5:J82)),IF(J82='Adjustment Surface'!C$7,'Adjustment Surface'!C$8,'Adjustment Surface'!C$7)))</f>
        <v/>
      </c>
      <c r="L82" s="3" t="str">
        <f t="shared" si="6"/>
        <v/>
      </c>
      <c r="M82" s="5" t="str">
        <f>IF(I82="","",(K82-'Rate &amp; Vol Update'!$C$2)/360)</f>
        <v/>
      </c>
      <c r="N82" s="15" t="str">
        <f>IF(I82="","",IF('Adjustment Surface'!C$3='Data Validation'!$C$2,'Adjustment Surface'!C$4,IF(INDEX(Schedules!$E$3:$E$123,MATCH('Bachelier Model'!J82,Schedules!$B$3:$B$123,0))="",N81,INDEX(Schedules!$E$3:$E$123,MATCH('Bachelier Model'!J82,Schedules!$B$3:$B$123,0)))))</f>
        <v/>
      </c>
      <c r="O82" s="16" t="str">
        <f>IF(I82="","",IF('Adjustment Surface'!C$9='Data Validation'!$D$2,'Adjustment Surface'!C$10,IF(INDEX(Schedules!$H$3:$H$123,MATCH('Bachelier Model'!J82,Schedules!$B$3:$B$123,0))="",O81,INDEX(Schedules!$H$3:$H$123,MATCH('Bachelier Model'!J82,Schedules!$B$3:$B$123,0)))))</f>
        <v/>
      </c>
      <c r="P82" s="16" t="str" cm="1">
        <f t="array" ref="P82">IF(I82="","",FORECAST(J82,INDEX('Rate &amp; Vol Update'!$C$6:$C$127,MATCH(INDEX('Rate &amp; Vol Update'!$B$6:$B$127,MATCH(J82,'Rate &amp; Vol Update'!$B$6:$B$127,1)),'Rate &amp; Vol Update'!$B$6:$B$127,0)+IF('Adjustment Surface'!C$11='Data Validation'!$E$3,-1,0)):INDEX('Rate &amp; Vol Update'!$C$6:$C$127,MATCH(INDEX('Rate &amp; Vol Update'!$B$6:$B$127,MATCH(J82,'Rate &amp; Vol Update'!$B$6:$B$127,1)+1),'Rate &amp; Vol Update'!$B$6:$B$127,0)+IF('Adjustment Surface'!C$11='Data Validation'!$E$3,-1,0)),INDEX('Rate &amp; Vol Update'!$B$6:$B$127,MATCH(J82,'Rate &amp; Vol Update'!$B$6:$B$127,1)):INDEX('Rate &amp; Vol Update'!$B$6:$B$127,MATCH(J82,'Rate &amp; Vol Update'!$B$6:$B$127,1)+1))/100)</f>
        <v/>
      </c>
      <c r="Q82" s="16" t="str" cm="1">
        <f t="array" ref="Q82">IF(I82="","",IF(J82&lt;'Rate &amp; Vol Update'!$C$2,0.001%,(1/((INDEX('Rate &amp; Vol Update'!$E$6:$Z$6,1,MATCH(O82,'Rate &amp; Vol Update'!$E$6:$Z$6,1)+1)-INDEX('Rate &amp; Vol Update'!$E$6:$Z$6,1,MATCH(O82,'Rate &amp; Vol Update'!$E$6:$Z$6,1)))*(INDEX('Rate &amp; Vol Update'!$B$8:$B$127,MATCH(J82,'Rate &amp; Vol Update'!$B$8:$B$127,1)+1)-INDEX('Rate &amp; Vol Update'!$B$8:$B$127,MATCH(J82,'Rate &amp; Vol Update'!$B$8:$B$127,1))))*(INDEX('Rate &amp; Vol Update'!$E$8:$Z$127,MATCH(INDEX('Rate &amp; Vol Update'!$B$8:$B$127,MATCH(J82,'Rate &amp; Vol Update'!$B$8:$B$127,1)),'Rate &amp; Vol Update'!$B$8:$B$127,0),MATCH(INDEX('Rate &amp; Vol Update'!$E$6:$Z$6,1,MATCH(O82,'Rate &amp; Vol Update'!$E$6:$Z$6,1)),'Rate &amp; Vol Update'!$E$6:$Z$6,0))*(INDEX('Rate &amp; Vol Update'!$E$6:$Z$6,1,MATCH(O82,'Rate &amp; Vol Update'!$E$6:$Z$6,1)+1)-O82)*(INDEX('Rate &amp; Vol Update'!$B$8:$B$127,MATCH(J82,'Rate &amp; Vol Update'!$B$8:$B$127,1)+1)-J82)+INDEX('Rate &amp; Vol Update'!$E$8:$Z$127,MATCH(INDEX('Rate &amp; Vol Update'!$B$8:$B$127,MATCH(J82,'Rate &amp; Vol Update'!$B$8:$B$127,1)),'Rate &amp; Vol Update'!$B$8:$B$127,0),MATCH(INDEX('Rate &amp; Vol Update'!$E$6:$Z$6,1,MATCH(O82,'Rate &amp; Vol Update'!$E$6:$Z$6,1)+1),'Rate &amp; Vol Update'!$E$6:$Z$6,0))*(O82-INDEX('Rate &amp; Vol Update'!$E$6:$Z$6,1,MATCH(O82,'Rate &amp; Vol Update'!$E$6:$Z$6,1)))*(INDEX('Rate &amp; Vol Update'!$B$8:$B$127,MATCH(J82,'Rate &amp; Vol Update'!$B$8:$B$127,1)+1)-J82)+INDEX('Rate &amp; Vol Update'!$E$8:$Z$127,MATCH(INDEX('Rate &amp; Vol Update'!$B$8:$B$127,MATCH(J82,'Rate &amp; Vol Update'!$B$8:$B$127,1)+1),'Rate &amp; Vol Update'!$B$8:$B$127,0),MATCH(INDEX('Rate &amp; Vol Update'!$E$6:$Z$6,1,MATCH(O82,'Rate &amp; Vol Update'!$E$6:$Z$6,1)),'Rate &amp; Vol Update'!$E$6:$Z$6,0))*(INDEX('Rate &amp; Vol Update'!$E$6:$Z$6,1,MATCH(O82,'Rate &amp; Vol Update'!$E$6:$Z$6,1)+1)-O82)*(J82-INDEX('Rate &amp; Vol Update'!$B$8:$B$127,MATCH(J82,'Rate &amp; Vol Update'!$B$8:$B$127,1)))+INDEX('Rate &amp; Vol Update'!$E$8:$Z$127,MATCH(INDEX('Rate &amp; Vol Update'!$B$8:$B$127,MATCH(J82,'Rate &amp; Vol Update'!$B$8:$B$127,1)+1),'Rate &amp; Vol Update'!$B$8:$B$127,0),MATCH(INDEX('Rate &amp; Vol Update'!$E$6:$Z$6,1,MATCH(O82,'Rate &amp; Vol Update'!$E$6:$Z$6,1)+1),'Rate &amp; Vol Update'!$E$6:$Z$6,0))*(O82-INDEX('Rate &amp; Vol Update'!$E$6:$Z$6,1,MATCH(O82,'Rate &amp; Vol Update'!$E$6:$Z$6,1)))*(J82-INDEX('Rate &amp; Vol Update'!$B$8:$B$127,MATCH(J82,'Rate &amp; Vol Update'!$B$8:$B$127,1)))))*0.01%))</f>
        <v/>
      </c>
      <c r="R82" s="5" t="str">
        <f>IF(I82="","",1/((1+P82)^((K82-'Rate &amp; Vol Update'!$C$2)/360)))</f>
        <v/>
      </c>
      <c r="T82" s="15" t="str">
        <f>IF(I82="","",IF(J82&lt;'Rate &amp; Vol Update'!$C$2,MAX(0,P82-O82)*(L82/360)*N82,(((IF('Adjustment Surface'!C$2='Data Validation'!$A$2,P82,IF('Adjustment Surface'!C$2='Data Validation'!$A$3,O82,"Unknown Option Type"))-IF('Adjustment Surface'!C$2='Data Validation'!$A$2,O82,IF('Adjustment Surface'!C$2='Data Validation'!$A$3,P82,"Unknown Option Type")))*(NORMDIST((IF('Adjustment Surface'!C$2='Data Validation'!$A$2,P82,IF('Adjustment Surface'!C$2='Data Validation'!$A$3,O82,"Unknown Option Type"))-IF('Adjustment Surface'!C$2='Data Validation'!$A$2,O82,IF('Adjustment Surface'!C$2='Data Validation'!$A$3,P82,"Unknown Option Type")))/(Q82*SQRT(M82)),0,1,TRUE)))+((Q82*SQRT(M82))*(NORMDIST((IF('Adjustment Surface'!C$2='Data Validation'!$A$2,P82,IF('Adjustment Surface'!C$2='Data Validation'!$A$3,O82,"Unknown Option Type"))-IF('Adjustment Surface'!C$2='Data Validation'!$A$2,O82,IF('Adjustment Surface'!C$2='Data Validation'!$A$3,P82,"Unknown Option Type")))/(Q82*SQRT(M82)),0,1,FALSE))))*R82*(L82/360)*N82))</f>
        <v/>
      </c>
      <c r="U82" s="15" t="str">
        <f>IF(I82="","",SUM(T$4:T82))</f>
        <v/>
      </c>
      <c r="W82" s="15" t="str">
        <f>IF(I82="","",IF(J82&lt;'Rate &amp; Vol Update'!$C$2,0,((((((IF('Adjustment Surface'!C$2='Data Validation'!$A$2,P82,IF('Adjustment Surface'!C$2='Data Validation'!$A$3,O82,"Unknown Option Type"))-IF('Adjustment Surface'!C$2='Data Validation'!$A$2,O82,IF('Adjustment Surface'!C$2='Data Validation'!$A$3,P82,"Unknown Option Type")))*(NORMDIST((IF('Adjustment Surface'!C$2='Data Validation'!$A$2,P82,IF('Adjustment Surface'!C$2='Data Validation'!$A$3,O82,"Unknown Option Type"))-IF('Adjustment Surface'!C$2='Data Validation'!$A$2,O82,IF('Adjustment Surface'!C$2='Data Validation'!$A$3,P82,"Unknown Option Type")))/((Q82+0.01%)*SQRT(M82)),0,1,TRUE)))+(((Q82+0.01%)*SQRT(M82))*(NORMDIST((IF('Adjustment Surface'!C$2='Data Validation'!$A$2,P82,IF('Adjustment Surface'!C$2='Data Validation'!$A$3,O82,"Unknown Option Type"))-IF('Adjustment Surface'!C$2='Data Validation'!$A$2,O82,IF('Adjustment Surface'!C$2='Data Validation'!$A$3,P82,"Unknown Option Type")))/((Q82+0.01%)*SQRT(M82)),0,1,FALSE))))*R82*(L82/360))-(T82/N82))*N82)*R82))</f>
        <v/>
      </c>
      <c r="X82" s="15" t="str">
        <f>IF(I82="","",SUM(W$4:W82))</f>
        <v/>
      </c>
      <c r="Y82" s="15"/>
      <c r="Z82" s="20"/>
      <c r="AB82" s="4" t="str">
        <f>IF(AC81=MAX('Adjustment Surface'!$C$14:$F$14),"",AC81)</f>
        <v/>
      </c>
      <c r="AC82" s="4" t="str">
        <f>IF(AB82="","",IF(AB82&lt;EDATE('Adjustment Surface'!$C$6,DATEDIF('Adjustment Surface'!$C$6,MAX('Adjustment Surface'!$C$14:$F$14),"M")),EDATE(AB$5,COUNT(AB$5:AB82)),IF(AB82=EDATE('Adjustment Surface'!$C$6,DATEDIF('Adjustment Surface'!$C$6,MAX('Adjustment Surface'!$C$14:$F$14),"M")),MAX('Adjustment Surface'!$C$14:$F$14),EDATE('Adjustment Surface'!$C$6,DATEDIF('Adjustment Surface'!$C$6,MAX('Adjustment Surface'!$C$14:$F$14),"M")))))</f>
        <v/>
      </c>
      <c r="AD82" s="3" t="str">
        <f t="shared" si="7"/>
        <v/>
      </c>
      <c r="AE82" s="5" t="str">
        <f>IF(AA82="","",(AC82-'Rate &amp; Vol Update'!$C$2)/360)</f>
        <v/>
      </c>
      <c r="AF82" s="15" t="str">
        <f>IF(AA82="","",IF('Adjustment Surface'!$C$3='Data Validation'!$C$2,'Adjustment Surface'!$C$4,_xlfn.IFNA(IF(INDEX(Schedules!$E$3:$E$123,MATCH('Bachelier Model'!AB82,Schedules!$B$3:$B$123,0))="",AF81,INDEX(Schedules!$E$3:$E$123,MATCH('Bachelier Model'!AB82,Schedules!$B$3:$B$123,0))),AF81)))</f>
        <v/>
      </c>
      <c r="AG82" s="16" t="str">
        <f>IF(AA82="","",'Adjustment Surface'!B$15)</f>
        <v/>
      </c>
      <c r="AH82" s="16" t="str" cm="1">
        <f t="array" ref="AH82">IF(AA82="","",FORECAST(AB82,INDEX('Rate &amp; Vol Update'!$C$6:$C$127,MATCH(INDEX('Rate &amp; Vol Update'!$B$6:$B$127,MATCH(AB82,'Rate &amp; Vol Update'!$B$6:$B$127,1)),'Rate &amp; Vol Update'!$B$6:$B$127,0)+IF('Adjustment Surface'!$C$11='Data Validation'!$E$3,-1,0)):INDEX('Rate &amp; Vol Update'!$C$6:$C$127,MATCH(INDEX('Rate &amp; Vol Update'!$B$6:$B$127,MATCH(AB82,'Rate &amp; Vol Update'!$B$6:$B$127,1)+1),'Rate &amp; Vol Update'!$B$6:$B$127,0)+IF('Adjustment Surface'!$C$11='Data Validation'!$E$3,-1,0)),INDEX('Rate &amp; Vol Update'!$B$6:$B$127,MATCH(AB82,'Rate &amp; Vol Update'!$B$6:$B$127,1)):INDEX('Rate &amp; Vol Update'!$B$6:$B$127,MATCH(AB82,'Rate &amp; Vol Update'!$B$6:$B$127,1)+1))/100)</f>
        <v/>
      </c>
      <c r="AI82" s="16" t="str" cm="1">
        <f t="array" ref="AI82">IF(AA82="","",IF(AB82&lt;'Rate &amp; Vol Update'!$C$2,0.001%,(1/((INDEX('Rate &amp; Vol Update'!$E$6:$Z$6,1,MATCH(AG82,'Rate &amp; Vol Update'!$E$6:$Z$6,1)+1)-INDEX('Rate &amp; Vol Update'!$E$6:$Z$6,1,MATCH(AG82,'Rate &amp; Vol Update'!$E$6:$Z$6,1)))*(INDEX('Rate &amp; Vol Update'!$B$8:$B$127,MATCH(AB82,'Rate &amp; Vol Update'!$B$8:$B$127,1)+1)-INDEX('Rate &amp; Vol Update'!$B$8:$B$127,MATCH(AB82,'Rate &amp; Vol Update'!$B$8:$B$127,1))))*(INDEX('Rate &amp; Vol Update'!$E$8:$Z$127,MATCH(INDEX('Rate &amp; Vol Update'!$B$8:$B$127,MATCH(AB82,'Rate &amp; Vol Update'!$B$8:$B$127,1)),'Rate &amp; Vol Update'!$B$8:$B$127,0),MATCH(INDEX('Rate &amp; Vol Update'!$E$6:$Z$6,1,MATCH(AG82,'Rate &amp; Vol Update'!$E$6:$Z$6,1)),'Rate &amp; Vol Update'!$E$6:$Z$6,0))*(INDEX('Rate &amp; Vol Update'!$E$6:$Z$6,1,MATCH(AG82,'Rate &amp; Vol Update'!$E$6:$Z$6,1)+1)-AG82)*(INDEX('Rate &amp; Vol Update'!$B$8:$B$127,MATCH(AB82,'Rate &amp; Vol Update'!$B$8:$B$127,1)+1)-AB82)+INDEX('Rate &amp; Vol Update'!$E$8:$Z$127,MATCH(INDEX('Rate &amp; Vol Update'!$B$8:$B$127,MATCH(AB82,'Rate &amp; Vol Update'!$B$8:$B$127,1)),'Rate &amp; Vol Update'!$B$8:$B$127,0),MATCH(INDEX('Rate &amp; Vol Update'!$E$6:$Z$6,1,MATCH(AG82,'Rate &amp; Vol Update'!$E$6:$Z$6,1)+1),'Rate &amp; Vol Update'!$E$6:$Z$6,0))*(AG82-INDEX('Rate &amp; Vol Update'!$E$6:$Z$6,1,MATCH(AG82,'Rate &amp; Vol Update'!$E$6:$Z$6,1)))*(INDEX('Rate &amp; Vol Update'!$B$8:$B$127,MATCH(AB82,'Rate &amp; Vol Update'!$B$8:$B$127,1)+1)-AB82)+INDEX('Rate &amp; Vol Update'!$E$8:$Z$127,MATCH(INDEX('Rate &amp; Vol Update'!$B$8:$B$127,MATCH(AB82,'Rate &amp; Vol Update'!$B$8:$B$127,1)+1),'Rate &amp; Vol Update'!$B$8:$B$127,0),MATCH(INDEX('Rate &amp; Vol Update'!$E$6:$Z$6,1,MATCH(AG82,'Rate &amp; Vol Update'!$E$6:$Z$6,1)),'Rate &amp; Vol Update'!$E$6:$Z$6,0))*(INDEX('Rate &amp; Vol Update'!$E$6:$Z$6,1,MATCH(AG82,'Rate &amp; Vol Update'!$E$6:$Z$6,1)+1)-AG82)*(AB82-INDEX('Rate &amp; Vol Update'!$B$8:$B$127,MATCH(AB82,'Rate &amp; Vol Update'!$B$8:$B$127,1)))+INDEX('Rate &amp; Vol Update'!$E$8:$Z$127,MATCH(INDEX('Rate &amp; Vol Update'!$B$8:$B$127,MATCH(AB82,'Rate &amp; Vol Update'!$B$8:$B$127,1)+1),'Rate &amp; Vol Update'!$B$8:$B$127,0),MATCH(INDEX('Rate &amp; Vol Update'!$E$6:$Z$6,1,MATCH(AG82,'Rate &amp; Vol Update'!$E$6:$Z$6,1)+1),'Rate &amp; Vol Update'!$E$6:$Z$6,0))*(AG82-INDEX('Rate &amp; Vol Update'!$E$6:$Z$6,1,MATCH(AG82,'Rate &amp; Vol Update'!$E$6:$Z$6,1)))*(AB82-INDEX('Rate &amp; Vol Update'!$B$8:$B$127,MATCH(AB82,'Rate &amp; Vol Update'!$B$8:$B$127,1)))))*0.01%))</f>
        <v/>
      </c>
      <c r="AJ82" s="5" t="str">
        <f>IF(AA82="","",1/((1+AH82)^((AC82-'Rate &amp; Vol Update'!$C$2)/360)))</f>
        <v/>
      </c>
      <c r="AL82" s="15" t="str">
        <f>IF(AA82="","",IF(AB82&lt;'Rate &amp; Vol Update'!$C$2,MAX(0,AH82-AG82)*(AD82/360)*AF82,(((IF('Adjustment Surface'!$C$2='Data Validation'!$A$2,AH82,IF('Adjustment Surface'!$C$2='Data Validation'!$A$3,AG82,"Unknown Option Type"))-IF('Adjustment Surface'!$C$2='Data Validation'!$A$2,AG82,IF('Adjustment Surface'!$C$2='Data Validation'!$A$3,AH82,"Unknown Option Type")))*(NORMDIST((IF('Adjustment Surface'!$C$2='Data Validation'!$A$2,AH82,IF('Adjustment Surface'!$C$2='Data Validation'!$A$3,AG82,"Unknown Option Type"))-IF('Adjustment Surface'!$C$2='Data Validation'!$A$2,AG82,IF('Adjustment Surface'!$C$2='Data Validation'!$A$3,AH82,"Unknown Option Type")))/(AI82*SQRT(AE82)),0,1,TRUE)))+((AI82*SQRT(AE82))*(NORMDIST((IF('Adjustment Surface'!$C$2='Data Validation'!$A$2,AH82,IF('Adjustment Surface'!$C$2='Data Validation'!$A$3,AG82,"Unknown Option Type"))-IF('Adjustment Surface'!$C$2='Data Validation'!$A$2,AG82,IF('Adjustment Surface'!$C$2='Data Validation'!$A$3,AH82,"Unknown Option Type")))/(AI82*SQRT(AE82)),0,1,FALSE))))*AJ82*(AD82/360)*AF82))</f>
        <v/>
      </c>
      <c r="AM82" s="15" t="str">
        <f>IF(AA82="","",SUM(AL$4:AL82))</f>
        <v/>
      </c>
      <c r="AO82" s="15" t="str">
        <f>IF(AA82="","",IF(AB82&lt;'Rate &amp; Vol Update'!$C$2,0,((((((IF('Adjustment Surface'!$C$2='Data Validation'!$A$2,AH82,IF('Adjustment Surface'!$C$2='Data Validation'!$A$3,AG82,"Unknown Option Type"))-IF('Adjustment Surface'!$C$2='Data Validation'!$A$2,AG82,IF('Adjustment Surface'!$C$2='Data Validation'!$A$3,AH82,"Unknown Option Type")))*(NORMDIST((IF('Adjustment Surface'!$C$2='Data Validation'!$A$2,AH82,IF('Adjustment Surface'!$C$2='Data Validation'!$A$3,AG82,"Unknown Option Type"))-IF('Adjustment Surface'!$C$2='Data Validation'!$A$2,AG82,IF('Adjustment Surface'!$C$2='Data Validation'!$A$3,AH82,"Unknown Option Type")))/((AI82+0.01%)*SQRT(AE82)),0,1,TRUE)))+(((AI82+0.01%)*SQRT(AE82))*(NORMDIST((IF('Adjustment Surface'!$C$2='Data Validation'!$A$2,AH82,IF('Adjustment Surface'!$C$2='Data Validation'!$A$3,AG82,"Unknown Option Type"))-IF('Adjustment Surface'!$C$2='Data Validation'!$A$2,AG82,IF('Adjustment Surface'!$C$2='Data Validation'!$A$3,AH82,"Unknown Option Type")))/((AI82+0.01%)*SQRT(AE82)),0,1,FALSE))))*AJ82*(AD82/360))-(AL82/AF82))*AF82)*AJ82))</f>
        <v/>
      </c>
      <c r="AP82" s="15" t="str">
        <f>IF(AA82="","",SUM(AO$4:AO82))</f>
        <v/>
      </c>
      <c r="AQ82" s="15"/>
      <c r="AR82" s="20"/>
      <c r="AT82" s="4" t="str">
        <f>IF(AU81=MAX('Adjustment Surface'!$C$14:$F$14),"",AU81)</f>
        <v/>
      </c>
      <c r="AU82" s="4" t="str">
        <f>IF(AT82="","",IF(AT82&lt;EDATE('Adjustment Surface'!$C$6,DATEDIF('Adjustment Surface'!$C$6,MAX('Adjustment Surface'!$C$14:$F$14),"M")),EDATE(AT$5,COUNT(AT$5:AT82)),IF(AT82=EDATE('Adjustment Surface'!$C$6,DATEDIF('Adjustment Surface'!$C$6,MAX('Adjustment Surface'!$C$14:$F$14),"M")),MAX('Adjustment Surface'!$C$14:$F$14),EDATE('Adjustment Surface'!$C$6,DATEDIF('Adjustment Surface'!$C$6,MAX('Adjustment Surface'!$C$14:$F$14),"M")))))</f>
        <v/>
      </c>
      <c r="AV82" s="3" t="str">
        <f t="shared" si="8"/>
        <v/>
      </c>
      <c r="AW82" s="5" t="str">
        <f>IF(AS82="","",(AU82-'Rate &amp; Vol Update'!$C$2)/360)</f>
        <v/>
      </c>
      <c r="AX82" s="15" t="str">
        <f>IF(AS82="","",IF('Adjustment Surface'!$C$3='Data Validation'!$C$2,'Adjustment Surface'!$C$4,_xlfn.IFNA(IF(INDEX(Schedules!$E$3:$E$123,MATCH('Bachelier Model'!AT82,Schedules!$B$3:$B$123,0))="",AX81,INDEX(Schedules!$E$3:$E$123,MATCH('Bachelier Model'!AT82,Schedules!$B$3:$B$123,0))),AX81)))</f>
        <v/>
      </c>
      <c r="AY82" s="16" t="str">
        <f>IF(AS82="","",'Adjustment Surface'!B$16)</f>
        <v/>
      </c>
      <c r="AZ82" s="16" t="str" cm="1">
        <f t="array" ref="AZ82">IF(AS82="","",FORECAST(AT82,INDEX('Rate &amp; Vol Update'!$C$6:$C$127,MATCH(INDEX('Rate &amp; Vol Update'!$B$6:$B$127,MATCH(AT82,'Rate &amp; Vol Update'!$B$6:$B$127,1)),'Rate &amp; Vol Update'!$B$6:$B$127,0)+IF('Adjustment Surface'!$C$11='Data Validation'!$E$3,-1,0)):INDEX('Rate &amp; Vol Update'!$C$6:$C$127,MATCH(INDEX('Rate &amp; Vol Update'!$B$6:$B$127,MATCH(AT82,'Rate &amp; Vol Update'!$B$6:$B$127,1)+1),'Rate &amp; Vol Update'!$B$6:$B$127,0)+IF('Adjustment Surface'!$C$11='Data Validation'!$E$3,-1,0)),INDEX('Rate &amp; Vol Update'!$B$6:$B$127,MATCH(AT82,'Rate &amp; Vol Update'!$B$6:$B$127,1)):INDEX('Rate &amp; Vol Update'!$B$6:$B$127,MATCH(AT82,'Rate &amp; Vol Update'!$B$6:$B$127,1)+1))/100)</f>
        <v/>
      </c>
      <c r="BA82" s="16" t="str" cm="1">
        <f t="array" ref="BA82">IF(AS82="","",IF(AT82&lt;'Rate &amp; Vol Update'!$C$2,0.001%,(1/((INDEX('Rate &amp; Vol Update'!$E$6:$Z$6,1,MATCH(AY82,'Rate &amp; Vol Update'!$E$6:$Z$6,1)+1)-INDEX('Rate &amp; Vol Update'!$E$6:$Z$6,1,MATCH(AY82,'Rate &amp; Vol Update'!$E$6:$Z$6,1)))*(INDEX('Rate &amp; Vol Update'!$B$8:$B$127,MATCH(AT82,'Rate &amp; Vol Update'!$B$8:$B$127,1)+1)-INDEX('Rate &amp; Vol Update'!$B$8:$B$127,MATCH(AT82,'Rate &amp; Vol Update'!$B$8:$B$127,1))))*(INDEX('Rate &amp; Vol Update'!$E$8:$Z$127,MATCH(INDEX('Rate &amp; Vol Update'!$B$8:$B$127,MATCH(AT82,'Rate &amp; Vol Update'!$B$8:$B$127,1)),'Rate &amp; Vol Update'!$B$8:$B$127,0),MATCH(INDEX('Rate &amp; Vol Update'!$E$6:$Z$6,1,MATCH(AY82,'Rate &amp; Vol Update'!$E$6:$Z$6,1)),'Rate &amp; Vol Update'!$E$6:$Z$6,0))*(INDEX('Rate &amp; Vol Update'!$E$6:$Z$6,1,MATCH(AY82,'Rate &amp; Vol Update'!$E$6:$Z$6,1)+1)-AY82)*(INDEX('Rate &amp; Vol Update'!$B$8:$B$127,MATCH(AT82,'Rate &amp; Vol Update'!$B$8:$B$127,1)+1)-AT82)+INDEX('Rate &amp; Vol Update'!$E$8:$Z$127,MATCH(INDEX('Rate &amp; Vol Update'!$B$8:$B$127,MATCH(AT82,'Rate &amp; Vol Update'!$B$8:$B$127,1)),'Rate &amp; Vol Update'!$B$8:$B$127,0),MATCH(INDEX('Rate &amp; Vol Update'!$E$6:$Z$6,1,MATCH(AY82,'Rate &amp; Vol Update'!$E$6:$Z$6,1)+1),'Rate &amp; Vol Update'!$E$6:$Z$6,0))*(AY82-INDEX('Rate &amp; Vol Update'!$E$6:$Z$6,1,MATCH(AY82,'Rate &amp; Vol Update'!$E$6:$Z$6,1)))*(INDEX('Rate &amp; Vol Update'!$B$8:$B$127,MATCH(AT82,'Rate &amp; Vol Update'!$B$8:$B$127,1)+1)-AT82)+INDEX('Rate &amp; Vol Update'!$E$8:$Z$127,MATCH(INDEX('Rate &amp; Vol Update'!$B$8:$B$127,MATCH(AT82,'Rate &amp; Vol Update'!$B$8:$B$127,1)+1),'Rate &amp; Vol Update'!$B$8:$B$127,0),MATCH(INDEX('Rate &amp; Vol Update'!$E$6:$Z$6,1,MATCH(AY82,'Rate &amp; Vol Update'!$E$6:$Z$6,1)),'Rate &amp; Vol Update'!$E$6:$Z$6,0))*(INDEX('Rate &amp; Vol Update'!$E$6:$Z$6,1,MATCH(AY82,'Rate &amp; Vol Update'!$E$6:$Z$6,1)+1)-AY82)*(AT82-INDEX('Rate &amp; Vol Update'!$B$8:$B$127,MATCH(AT82,'Rate &amp; Vol Update'!$B$8:$B$127,1)))+INDEX('Rate &amp; Vol Update'!$E$8:$Z$127,MATCH(INDEX('Rate &amp; Vol Update'!$B$8:$B$127,MATCH(AT82,'Rate &amp; Vol Update'!$B$8:$B$127,1)+1),'Rate &amp; Vol Update'!$B$8:$B$127,0),MATCH(INDEX('Rate &amp; Vol Update'!$E$6:$Z$6,1,MATCH(AY82,'Rate &amp; Vol Update'!$E$6:$Z$6,1)+1),'Rate &amp; Vol Update'!$E$6:$Z$6,0))*(AY82-INDEX('Rate &amp; Vol Update'!$E$6:$Z$6,1,MATCH(AY82,'Rate &amp; Vol Update'!$E$6:$Z$6,1)))*(AT82-INDEX('Rate &amp; Vol Update'!$B$8:$B$127,MATCH(AT82,'Rate &amp; Vol Update'!$B$8:$B$127,1)))))*0.01%))</f>
        <v/>
      </c>
      <c r="BB82" s="5" t="str">
        <f>IF(AS82="","",1/((1+AZ82)^((AU82-'Rate &amp; Vol Update'!$C$2)/360)))</f>
        <v/>
      </c>
      <c r="BD82" s="15" t="str">
        <f>IF(AS82="","",IF(AT82&lt;'Rate &amp; Vol Update'!$C$2,MAX(0,AZ82-AY82)*(AV82/360)*AX82,(((IF('Adjustment Surface'!$C$2='Data Validation'!$A$2,AZ82,IF('Adjustment Surface'!$C$2='Data Validation'!$A$3,AY82,"Unknown Option Type"))-IF('Adjustment Surface'!$C$2='Data Validation'!$A$2,AY82,IF('Adjustment Surface'!$C$2='Data Validation'!$A$3,AZ82,"Unknown Option Type")))*(NORMDIST((IF('Adjustment Surface'!$C$2='Data Validation'!$A$2,AZ82,IF('Adjustment Surface'!$C$2='Data Validation'!$A$3,AY82,"Unknown Option Type"))-IF('Adjustment Surface'!$C$2='Data Validation'!$A$2,AY82,IF('Adjustment Surface'!$C$2='Data Validation'!$A$3,AZ82,"Unknown Option Type")))/(BA82*SQRT(AW82)),0,1,TRUE)))+((BA82*SQRT(AW82))*(NORMDIST((IF('Adjustment Surface'!$C$2='Data Validation'!$A$2,AZ82,IF('Adjustment Surface'!$C$2='Data Validation'!$A$3,AY82,"Unknown Option Type"))-IF('Adjustment Surface'!$C$2='Data Validation'!$A$2,AY82,IF('Adjustment Surface'!$C$2='Data Validation'!$A$3,AZ82,"Unknown Option Type")))/(BA82*SQRT(AW82)),0,1,FALSE))))*BB82*(AV82/360)*AX82))</f>
        <v/>
      </c>
      <c r="BE82" s="15" t="str">
        <f>IF(AS82="","",SUM(BD$4:BD82))</f>
        <v/>
      </c>
      <c r="BG82" s="15" t="str">
        <f>IF(AS82="","",IF(AT82&lt;'Rate &amp; Vol Update'!$C$2,0,((((((IF('Adjustment Surface'!$C$2='Data Validation'!$A$2,AZ82,IF('Adjustment Surface'!$C$2='Data Validation'!$A$3,AY82,"Unknown Option Type"))-IF('Adjustment Surface'!$C$2='Data Validation'!$A$2,AY82,IF('Adjustment Surface'!$C$2='Data Validation'!$A$3,AZ82,"Unknown Option Type")))*(NORMDIST((IF('Adjustment Surface'!$C$2='Data Validation'!$A$2,AZ82,IF('Adjustment Surface'!$C$2='Data Validation'!$A$3,AY82,"Unknown Option Type"))-IF('Adjustment Surface'!$C$2='Data Validation'!$A$2,AY82,IF('Adjustment Surface'!$C$2='Data Validation'!$A$3,AZ82,"Unknown Option Type")))/((BA82+0.01%)*SQRT(AW82)),0,1,TRUE)))+(((BA82+0.01%)*SQRT(AW82))*(NORMDIST((IF('Adjustment Surface'!$C$2='Data Validation'!$A$2,AZ82,IF('Adjustment Surface'!$C$2='Data Validation'!$A$3,AY82,"Unknown Option Type"))-IF('Adjustment Surface'!$C$2='Data Validation'!$A$2,AY82,IF('Adjustment Surface'!$C$2='Data Validation'!$A$3,AZ82,"Unknown Option Type")))/((BA82+0.01%)*SQRT(AW82)),0,1,FALSE))))*BB82*(AV82/360))-(BD82/AX82))*AX82)*BB82))</f>
        <v/>
      </c>
      <c r="BH82" s="15" t="str">
        <f>IF(AS82="","",SUM(BG$4:BG82))</f>
        <v/>
      </c>
      <c r="BI82" s="15"/>
      <c r="BJ82" s="20"/>
      <c r="BL82" s="4" t="str">
        <f>IF(BM81=MAX('Adjustment Surface'!$C$14:$F$14),"",BM81)</f>
        <v/>
      </c>
      <c r="BM82" s="4" t="str">
        <f>IF(BL82="","",IF(BL82&lt;EDATE('Adjustment Surface'!$C$6,DATEDIF('Adjustment Surface'!$C$6,MAX('Adjustment Surface'!$C$14:$F$14),"M")),EDATE(BL$5,COUNT(BL$5:BL82)),IF(BL82=EDATE('Adjustment Surface'!$C$6,DATEDIF('Adjustment Surface'!$C$6,MAX('Adjustment Surface'!$C$14:$F$14),"M")),MAX('Adjustment Surface'!$C$14:$F$14),EDATE('Adjustment Surface'!$C$6,DATEDIF('Adjustment Surface'!$C$6,MAX('Adjustment Surface'!$C$14:$F$14),"M")))))</f>
        <v/>
      </c>
      <c r="BN82" s="3" t="str">
        <f t="shared" si="9"/>
        <v/>
      </c>
      <c r="BO82" s="5" t="str">
        <f>IF(BK82="","",(BM82-'Rate &amp; Vol Update'!$C$2)/360)</f>
        <v/>
      </c>
      <c r="BP82" s="15" t="str">
        <f>IF(BK82="","",IF('Adjustment Surface'!$C$3='Data Validation'!$C$2,'Adjustment Surface'!$C$4,_xlfn.IFNA(IF(INDEX(Schedules!$E$3:$E$123,MATCH('Bachelier Model'!BL82,Schedules!$B$3:$B$123,0))="",BP81,INDEX(Schedules!$E$3:$E$123,MATCH('Bachelier Model'!BL82,Schedules!$B$3:$B$123,0))),BP81)))</f>
        <v/>
      </c>
      <c r="BQ82" s="16" t="str">
        <f>IF(BK82="","",'Adjustment Surface'!B$17)</f>
        <v/>
      </c>
      <c r="BR82" s="16" t="str" cm="1">
        <f t="array" ref="BR82">IF(BK82="","",FORECAST(BL82,INDEX('Rate &amp; Vol Update'!$C$6:$C$127,MATCH(INDEX('Rate &amp; Vol Update'!$B$6:$B$127,MATCH(BL82,'Rate &amp; Vol Update'!$B$6:$B$127,1)),'Rate &amp; Vol Update'!$B$6:$B$127,0)+IF('Adjustment Surface'!$C$11='Data Validation'!$E$3,-1,0)):INDEX('Rate &amp; Vol Update'!$C$6:$C$127,MATCH(INDEX('Rate &amp; Vol Update'!$B$6:$B$127,MATCH(BL82,'Rate &amp; Vol Update'!$B$6:$B$127,1)+1),'Rate &amp; Vol Update'!$B$6:$B$127,0)+IF('Adjustment Surface'!$C$11='Data Validation'!$E$3,-1,0)),INDEX('Rate &amp; Vol Update'!$B$6:$B$127,MATCH(BL82,'Rate &amp; Vol Update'!$B$6:$B$127,1)):INDEX('Rate &amp; Vol Update'!$B$6:$B$127,MATCH(BL82,'Rate &amp; Vol Update'!$B$6:$B$127,1)+1))/100)</f>
        <v/>
      </c>
      <c r="BS82" s="16" t="str" cm="1">
        <f t="array" ref="BS82">IF(BK82="","",IF(BL82&lt;'Rate &amp; Vol Update'!$C$2,0.001%,(1/((INDEX('Rate &amp; Vol Update'!$E$6:$Z$6,1,MATCH(BQ82,'Rate &amp; Vol Update'!$E$6:$Z$6,1)+1)-INDEX('Rate &amp; Vol Update'!$E$6:$Z$6,1,MATCH(BQ82,'Rate &amp; Vol Update'!$E$6:$Z$6,1)))*(INDEX('Rate &amp; Vol Update'!$B$8:$B$127,MATCH(BL82,'Rate &amp; Vol Update'!$B$8:$B$127,1)+1)-INDEX('Rate &amp; Vol Update'!$B$8:$B$127,MATCH(BL82,'Rate &amp; Vol Update'!$B$8:$B$127,1))))*(INDEX('Rate &amp; Vol Update'!$E$8:$Z$127,MATCH(INDEX('Rate &amp; Vol Update'!$B$8:$B$127,MATCH(BL82,'Rate &amp; Vol Update'!$B$8:$B$127,1)),'Rate &amp; Vol Update'!$B$8:$B$127,0),MATCH(INDEX('Rate &amp; Vol Update'!$E$6:$Z$6,1,MATCH(BQ82,'Rate &amp; Vol Update'!$E$6:$Z$6,1)),'Rate &amp; Vol Update'!$E$6:$Z$6,0))*(INDEX('Rate &amp; Vol Update'!$E$6:$Z$6,1,MATCH(BQ82,'Rate &amp; Vol Update'!$E$6:$Z$6,1)+1)-BQ82)*(INDEX('Rate &amp; Vol Update'!$B$8:$B$127,MATCH(BL82,'Rate &amp; Vol Update'!$B$8:$B$127,1)+1)-BL82)+INDEX('Rate &amp; Vol Update'!$E$8:$Z$127,MATCH(INDEX('Rate &amp; Vol Update'!$B$8:$B$127,MATCH(BL82,'Rate &amp; Vol Update'!$B$8:$B$127,1)),'Rate &amp; Vol Update'!$B$8:$B$127,0),MATCH(INDEX('Rate &amp; Vol Update'!$E$6:$Z$6,1,MATCH(BQ82,'Rate &amp; Vol Update'!$E$6:$Z$6,1)+1),'Rate &amp; Vol Update'!$E$6:$Z$6,0))*(BQ82-INDEX('Rate &amp; Vol Update'!$E$6:$Z$6,1,MATCH(BQ82,'Rate &amp; Vol Update'!$E$6:$Z$6,1)))*(INDEX('Rate &amp; Vol Update'!$B$8:$B$127,MATCH(BL82,'Rate &amp; Vol Update'!$B$8:$B$127,1)+1)-BL82)+INDEX('Rate &amp; Vol Update'!$E$8:$Z$127,MATCH(INDEX('Rate &amp; Vol Update'!$B$8:$B$127,MATCH(BL82,'Rate &amp; Vol Update'!$B$8:$B$127,1)+1),'Rate &amp; Vol Update'!$B$8:$B$127,0),MATCH(INDEX('Rate &amp; Vol Update'!$E$6:$Z$6,1,MATCH(BQ82,'Rate &amp; Vol Update'!$E$6:$Z$6,1)),'Rate &amp; Vol Update'!$E$6:$Z$6,0))*(INDEX('Rate &amp; Vol Update'!$E$6:$Z$6,1,MATCH(BQ82,'Rate &amp; Vol Update'!$E$6:$Z$6,1)+1)-BQ82)*(BL82-INDEX('Rate &amp; Vol Update'!$B$8:$B$127,MATCH(BL82,'Rate &amp; Vol Update'!$B$8:$B$127,1)))+INDEX('Rate &amp; Vol Update'!$E$8:$Z$127,MATCH(INDEX('Rate &amp; Vol Update'!$B$8:$B$127,MATCH(BL82,'Rate &amp; Vol Update'!$B$8:$B$127,1)+1),'Rate &amp; Vol Update'!$B$8:$B$127,0),MATCH(INDEX('Rate &amp; Vol Update'!$E$6:$Z$6,1,MATCH(BQ82,'Rate &amp; Vol Update'!$E$6:$Z$6,1)+1),'Rate &amp; Vol Update'!$E$6:$Z$6,0))*(BQ82-INDEX('Rate &amp; Vol Update'!$E$6:$Z$6,1,MATCH(BQ82,'Rate &amp; Vol Update'!$E$6:$Z$6,1)))*(BL82-INDEX('Rate &amp; Vol Update'!$B$8:$B$127,MATCH(BL82,'Rate &amp; Vol Update'!$B$8:$B$127,1)))))*0.01%))</f>
        <v/>
      </c>
      <c r="BT82" s="5" t="str">
        <f>IF(BK82="","",1/((1+BR82)^((BM82-'Rate &amp; Vol Update'!$C$2)/360)))</f>
        <v/>
      </c>
      <c r="BV82" s="15" t="str">
        <f>IF(BK82="","",IF(BL82&lt;'Rate &amp; Vol Update'!$C$2,MAX(0,BR82-BQ82)*(BN82/360)*BP82,(((IF('Adjustment Surface'!$C$2='Data Validation'!$A$2,BR82,IF('Adjustment Surface'!$C$2='Data Validation'!$A$3,BQ82,"Unknown Option Type"))-IF('Adjustment Surface'!$C$2='Data Validation'!$A$2,BQ82,IF('Adjustment Surface'!$C$2='Data Validation'!$A$3,BR82,"Unknown Option Type")))*(NORMDIST((IF('Adjustment Surface'!$C$2='Data Validation'!$A$2,BR82,IF('Adjustment Surface'!$C$2='Data Validation'!$A$3,BQ82,"Unknown Option Type"))-IF('Adjustment Surface'!$C$2='Data Validation'!$A$2,BQ82,IF('Adjustment Surface'!$C$2='Data Validation'!$A$3,BR82,"Unknown Option Type")))/(BS82*SQRT(BO82)),0,1,TRUE)))+((BS82*SQRT(BO82))*(NORMDIST((IF('Adjustment Surface'!$C$2='Data Validation'!$A$2,BR82,IF('Adjustment Surface'!$C$2='Data Validation'!$A$3,BQ82,"Unknown Option Type"))-IF('Adjustment Surface'!$C$2='Data Validation'!$A$2,BQ82,IF('Adjustment Surface'!$C$2='Data Validation'!$A$3,BR82,"Unknown Option Type")))/(BS82*SQRT(BO82)),0,1,FALSE))))*BT82*(BN82/360)*BP82))</f>
        <v/>
      </c>
      <c r="BW82" s="15" t="str">
        <f>IF(BK82="","",SUM(BV$4:BV82))</f>
        <v/>
      </c>
      <c r="BY82" s="15" t="str">
        <f>IF(BK82="","",IF(BL82&lt;'Rate &amp; Vol Update'!$C$2,0,((((((IF('Adjustment Surface'!$C$2='Data Validation'!$A$2,BR82,IF('Adjustment Surface'!$C$2='Data Validation'!$A$3,BQ82,"Unknown Option Type"))-IF('Adjustment Surface'!$C$2='Data Validation'!$A$2,BQ82,IF('Adjustment Surface'!$C$2='Data Validation'!$A$3,BR82,"Unknown Option Type")))*(NORMDIST((IF('Adjustment Surface'!$C$2='Data Validation'!$A$2,BR82,IF('Adjustment Surface'!$C$2='Data Validation'!$A$3,BQ82,"Unknown Option Type"))-IF('Adjustment Surface'!$C$2='Data Validation'!$A$2,BQ82,IF('Adjustment Surface'!$C$2='Data Validation'!$A$3,BR82,"Unknown Option Type")))/((BS82+0.01%)*SQRT(BO82)),0,1,TRUE)))+(((BS82+0.01%)*SQRT(BO82))*(NORMDIST((IF('Adjustment Surface'!$C$2='Data Validation'!$A$2,BR82,IF('Adjustment Surface'!$C$2='Data Validation'!$A$3,BQ82,"Unknown Option Type"))-IF('Adjustment Surface'!$C$2='Data Validation'!$A$2,BQ82,IF('Adjustment Surface'!$C$2='Data Validation'!$A$3,BR82,"Unknown Option Type")))/((BS82+0.01%)*SQRT(BO82)),0,1,FALSE))))*BT82*(BN82/360))-(BV82/BP82))*BP82)*BT82))</f>
        <v/>
      </c>
      <c r="BZ82" s="15" t="str">
        <f>IF(BK82="","",SUM(BY$4:BY82))</f>
        <v/>
      </c>
      <c r="CA82" s="15"/>
      <c r="CB82" s="20"/>
      <c r="CD82" s="4" t="str">
        <f>IF(CE81=MAX('Adjustment Surface'!$C$14:$F$14),"",CE81)</f>
        <v/>
      </c>
      <c r="CE82" s="4" t="str">
        <f>IF(CD82="","",IF(CD82&lt;EDATE('Adjustment Surface'!$C$6,DATEDIF('Adjustment Surface'!$C$6,MAX('Adjustment Surface'!$C$14:$F$14),"M")),EDATE(CD$5,COUNT(CD$5:CD82)),IF(CD82=EDATE('Adjustment Surface'!$C$6,DATEDIF('Adjustment Surface'!$C$6,MAX('Adjustment Surface'!$C$14:$F$14),"M")),MAX('Adjustment Surface'!$C$14:$F$14),EDATE('Adjustment Surface'!$C$6,DATEDIF('Adjustment Surface'!$C$6,MAX('Adjustment Surface'!$C$14:$F$14),"M")))))</f>
        <v/>
      </c>
      <c r="CF82" s="3" t="str">
        <f t="shared" si="10"/>
        <v/>
      </c>
      <c r="CG82" s="5" t="str">
        <f>IF(CC82="","",(CE82-'Rate &amp; Vol Update'!$C$2)/360)</f>
        <v/>
      </c>
      <c r="CH82" s="15" t="str">
        <f>IF(CC82="","",IF('Adjustment Surface'!$C$3='Data Validation'!$C$2,'Adjustment Surface'!$C$4,_xlfn.IFNA(IF(INDEX(Schedules!$E$3:$E$123,MATCH('Bachelier Model'!CD82,Schedules!$B$3:$B$123,0))="",CH81,INDEX(Schedules!$E$3:$E$123,MATCH('Bachelier Model'!CD82,Schedules!$B$3:$B$123,0))),CH81)))</f>
        <v/>
      </c>
      <c r="CI82" s="16" t="str">
        <f>IF(CC82="","",'Adjustment Surface'!B$18)</f>
        <v/>
      </c>
      <c r="CJ82" s="16" t="str" cm="1">
        <f t="array" ref="CJ82">IF(CC82="","",FORECAST(CD82,INDEX('Rate &amp; Vol Update'!$C$6:$C$127,MATCH(INDEX('Rate &amp; Vol Update'!$B$6:$B$127,MATCH(CD82,'Rate &amp; Vol Update'!$B$6:$B$127,1)),'Rate &amp; Vol Update'!$B$6:$B$127,0)+IF('Adjustment Surface'!$C$11='Data Validation'!$E$3,-1,0)):INDEX('Rate &amp; Vol Update'!$C$6:$C$127,MATCH(INDEX('Rate &amp; Vol Update'!$B$6:$B$127,MATCH(CD82,'Rate &amp; Vol Update'!$B$6:$B$127,1)+1),'Rate &amp; Vol Update'!$B$6:$B$127,0)+IF('Adjustment Surface'!$C$11='Data Validation'!$E$3,-1,0)),INDEX('Rate &amp; Vol Update'!$B$6:$B$127,MATCH(CD82,'Rate &amp; Vol Update'!$B$6:$B$127,1)):INDEX('Rate &amp; Vol Update'!$B$6:$B$127,MATCH(CD82,'Rate &amp; Vol Update'!$B$6:$B$127,1)+1))/100)</f>
        <v/>
      </c>
      <c r="CK82" s="16" t="str" cm="1">
        <f t="array" ref="CK82">IF(CC82="","",IF(CD82&lt;'Rate &amp; Vol Update'!$C$2,0.001%,(1/((INDEX('Rate &amp; Vol Update'!$E$6:$Z$6,1,MATCH(CI82,'Rate &amp; Vol Update'!$E$6:$Z$6,1)+1)-INDEX('Rate &amp; Vol Update'!$E$6:$Z$6,1,MATCH(CI82,'Rate &amp; Vol Update'!$E$6:$Z$6,1)))*(INDEX('Rate &amp; Vol Update'!$B$8:$B$127,MATCH(CD82,'Rate &amp; Vol Update'!$B$8:$B$127,1)+1)-INDEX('Rate &amp; Vol Update'!$B$8:$B$127,MATCH(CD82,'Rate &amp; Vol Update'!$B$8:$B$127,1))))*(INDEX('Rate &amp; Vol Update'!$E$8:$Z$127,MATCH(INDEX('Rate &amp; Vol Update'!$B$8:$B$127,MATCH(CD82,'Rate &amp; Vol Update'!$B$8:$B$127,1)),'Rate &amp; Vol Update'!$B$8:$B$127,0),MATCH(INDEX('Rate &amp; Vol Update'!$E$6:$Z$6,1,MATCH(CI82,'Rate &amp; Vol Update'!$E$6:$Z$6,1)),'Rate &amp; Vol Update'!$E$6:$Z$6,0))*(INDEX('Rate &amp; Vol Update'!$E$6:$Z$6,1,MATCH(CI82,'Rate &amp; Vol Update'!$E$6:$Z$6,1)+1)-CI82)*(INDEX('Rate &amp; Vol Update'!$B$8:$B$127,MATCH(CD82,'Rate &amp; Vol Update'!$B$8:$B$127,1)+1)-CD82)+INDEX('Rate &amp; Vol Update'!$E$8:$Z$127,MATCH(INDEX('Rate &amp; Vol Update'!$B$8:$B$127,MATCH(CD82,'Rate &amp; Vol Update'!$B$8:$B$127,1)),'Rate &amp; Vol Update'!$B$8:$B$127,0),MATCH(INDEX('Rate &amp; Vol Update'!$E$6:$Z$6,1,MATCH(CI82,'Rate &amp; Vol Update'!$E$6:$Z$6,1)+1),'Rate &amp; Vol Update'!$E$6:$Z$6,0))*(CI82-INDEX('Rate &amp; Vol Update'!$E$6:$Z$6,1,MATCH(CI82,'Rate &amp; Vol Update'!$E$6:$Z$6,1)))*(INDEX('Rate &amp; Vol Update'!$B$8:$B$127,MATCH(CD82,'Rate &amp; Vol Update'!$B$8:$B$127,1)+1)-CD82)+INDEX('Rate &amp; Vol Update'!$E$8:$Z$127,MATCH(INDEX('Rate &amp; Vol Update'!$B$8:$B$127,MATCH(CD82,'Rate &amp; Vol Update'!$B$8:$B$127,1)+1),'Rate &amp; Vol Update'!$B$8:$B$127,0),MATCH(INDEX('Rate &amp; Vol Update'!$E$6:$Z$6,1,MATCH(CI82,'Rate &amp; Vol Update'!$E$6:$Z$6,1)),'Rate &amp; Vol Update'!$E$6:$Z$6,0))*(INDEX('Rate &amp; Vol Update'!$E$6:$Z$6,1,MATCH(CI82,'Rate &amp; Vol Update'!$E$6:$Z$6,1)+1)-CI82)*(CD82-INDEX('Rate &amp; Vol Update'!$B$8:$B$127,MATCH(CD82,'Rate &amp; Vol Update'!$B$8:$B$127,1)))+INDEX('Rate &amp; Vol Update'!$E$8:$Z$127,MATCH(INDEX('Rate &amp; Vol Update'!$B$8:$B$127,MATCH(CD82,'Rate &amp; Vol Update'!$B$8:$B$127,1)+1),'Rate &amp; Vol Update'!$B$8:$B$127,0),MATCH(INDEX('Rate &amp; Vol Update'!$E$6:$Z$6,1,MATCH(CI82,'Rate &amp; Vol Update'!$E$6:$Z$6,1)+1),'Rate &amp; Vol Update'!$E$6:$Z$6,0))*(CI82-INDEX('Rate &amp; Vol Update'!$E$6:$Z$6,1,MATCH(CI82,'Rate &amp; Vol Update'!$E$6:$Z$6,1)))*(CD82-INDEX('Rate &amp; Vol Update'!$B$8:$B$127,MATCH(CD82,'Rate &amp; Vol Update'!$B$8:$B$127,1)))))*0.01%))</f>
        <v/>
      </c>
      <c r="CL82" s="5" t="str">
        <f>IF(CC82="","",1/((1+CJ82)^((CE82-'Rate &amp; Vol Update'!$C$2)/360)))</f>
        <v/>
      </c>
      <c r="CN82" s="15" t="str">
        <f>IF(CC82="","",IF(CD82&lt;'Rate &amp; Vol Update'!$C$2,MAX(0,CJ82-CI82)*(CF82/360)*CH82,(((IF('Adjustment Surface'!$C$2='Data Validation'!$A$2,CJ82,IF('Adjustment Surface'!$C$2='Data Validation'!$A$3,CI82,"Unknown Option Type"))-IF('Adjustment Surface'!$C$2='Data Validation'!$A$2,CI82,IF('Adjustment Surface'!$C$2='Data Validation'!$A$3,CJ82,"Unknown Option Type")))*(NORMDIST((IF('Adjustment Surface'!$C$2='Data Validation'!$A$2,CJ82,IF('Adjustment Surface'!$C$2='Data Validation'!$A$3,CI82,"Unknown Option Type"))-IF('Adjustment Surface'!$C$2='Data Validation'!$A$2,CI82,IF('Adjustment Surface'!$C$2='Data Validation'!$A$3,CJ82,"Unknown Option Type")))/(CK82*SQRT(CG82)),0,1,TRUE)))+((CK82*SQRT(CG82))*(NORMDIST((IF('Adjustment Surface'!$C$2='Data Validation'!$A$2,CJ82,IF('Adjustment Surface'!$C$2='Data Validation'!$A$3,CI82,"Unknown Option Type"))-IF('Adjustment Surface'!$C$2='Data Validation'!$A$2,CI82,IF('Adjustment Surface'!$C$2='Data Validation'!$A$3,CJ82,"Unknown Option Type")))/(CK82*SQRT(CG82)),0,1,FALSE))))*CL82*(CF82/360)*CH82))</f>
        <v/>
      </c>
      <c r="CO82" s="15" t="str">
        <f>IF(CC82="","",SUM(CN$4:CN82))</f>
        <v/>
      </c>
      <c r="CQ82" s="15" t="str">
        <f>IF(CC82="","",IF(CD82&lt;'Rate &amp; Vol Update'!$C$2,0,((((((IF('Adjustment Surface'!$C$2='Data Validation'!$A$2,CJ82,IF('Adjustment Surface'!$C$2='Data Validation'!$A$3,CI82,"Unknown Option Type"))-IF('Adjustment Surface'!$C$2='Data Validation'!$A$2,CI82,IF('Adjustment Surface'!$C$2='Data Validation'!$A$3,CJ82,"Unknown Option Type")))*(NORMDIST((IF('Adjustment Surface'!$C$2='Data Validation'!$A$2,CJ82,IF('Adjustment Surface'!$C$2='Data Validation'!$A$3,CI82,"Unknown Option Type"))-IF('Adjustment Surface'!$C$2='Data Validation'!$A$2,CI82,IF('Adjustment Surface'!$C$2='Data Validation'!$A$3,CJ82,"Unknown Option Type")))/((CK82+0.01%)*SQRT(CG82)),0,1,TRUE)))+(((CK82+0.01%)*SQRT(CG82))*(NORMDIST((IF('Adjustment Surface'!$C$2='Data Validation'!$A$2,CJ82,IF('Adjustment Surface'!$C$2='Data Validation'!$A$3,CI82,"Unknown Option Type"))-IF('Adjustment Surface'!$C$2='Data Validation'!$A$2,CI82,IF('Adjustment Surface'!$C$2='Data Validation'!$A$3,CJ82,"Unknown Option Type")))/((CK82+0.01%)*SQRT(CG82)),0,1,FALSE))))*CL82*(CF82/360))-(CN82/CH82))*CH82)*CL82))</f>
        <v/>
      </c>
      <c r="CR82" s="15" t="str">
        <f>IF(CC82="","",SUM(CQ$4:CQ82))</f>
        <v/>
      </c>
    </row>
    <row r="83" spans="7:96" x14ac:dyDescent="0.25">
      <c r="G83" s="28"/>
      <c r="J83" s="4" t="str">
        <f>IF(K82='Adjustment Surface'!C$8,"",K82)</f>
        <v/>
      </c>
      <c r="K83" s="4" t="str">
        <f>IF(J83="","",IF(J83&lt;'Adjustment Surface'!C$7,EDATE(J$5,COUNT(J$5:J83)),IF(J83='Adjustment Surface'!C$7,'Adjustment Surface'!C$8,'Adjustment Surface'!C$7)))</f>
        <v/>
      </c>
      <c r="L83" s="3" t="str">
        <f t="shared" si="6"/>
        <v/>
      </c>
      <c r="M83" s="5" t="str">
        <f>IF(I83="","",(K83-'Rate &amp; Vol Update'!$C$2)/360)</f>
        <v/>
      </c>
      <c r="N83" s="15" t="str">
        <f>IF(I83="","",IF('Adjustment Surface'!C$3='Data Validation'!$C$2,'Adjustment Surface'!C$4,IF(INDEX(Schedules!$E$3:$E$123,MATCH('Bachelier Model'!J83,Schedules!$B$3:$B$123,0))="",N82,INDEX(Schedules!$E$3:$E$123,MATCH('Bachelier Model'!J83,Schedules!$B$3:$B$123,0)))))</f>
        <v/>
      </c>
      <c r="O83" s="16" t="str">
        <f>IF(I83="","",IF('Adjustment Surface'!C$9='Data Validation'!$D$2,'Adjustment Surface'!C$10,IF(INDEX(Schedules!$H$3:$H$123,MATCH('Bachelier Model'!J83,Schedules!$B$3:$B$123,0))="",O82,INDEX(Schedules!$H$3:$H$123,MATCH('Bachelier Model'!J83,Schedules!$B$3:$B$123,0)))))</f>
        <v/>
      </c>
      <c r="P83" s="16" t="str" cm="1">
        <f t="array" ref="P83">IF(I83="","",FORECAST(J83,INDEX('Rate &amp; Vol Update'!$C$6:$C$127,MATCH(INDEX('Rate &amp; Vol Update'!$B$6:$B$127,MATCH(J83,'Rate &amp; Vol Update'!$B$6:$B$127,1)),'Rate &amp; Vol Update'!$B$6:$B$127,0)+IF('Adjustment Surface'!C$11='Data Validation'!$E$3,-1,0)):INDEX('Rate &amp; Vol Update'!$C$6:$C$127,MATCH(INDEX('Rate &amp; Vol Update'!$B$6:$B$127,MATCH(J83,'Rate &amp; Vol Update'!$B$6:$B$127,1)+1),'Rate &amp; Vol Update'!$B$6:$B$127,0)+IF('Adjustment Surface'!C$11='Data Validation'!$E$3,-1,0)),INDEX('Rate &amp; Vol Update'!$B$6:$B$127,MATCH(J83,'Rate &amp; Vol Update'!$B$6:$B$127,1)):INDEX('Rate &amp; Vol Update'!$B$6:$B$127,MATCH(J83,'Rate &amp; Vol Update'!$B$6:$B$127,1)+1))/100)</f>
        <v/>
      </c>
      <c r="Q83" s="16" t="str" cm="1">
        <f t="array" ref="Q83">IF(I83="","",IF(J83&lt;'Rate &amp; Vol Update'!$C$2,0.001%,(1/((INDEX('Rate &amp; Vol Update'!$E$6:$Z$6,1,MATCH(O83,'Rate &amp; Vol Update'!$E$6:$Z$6,1)+1)-INDEX('Rate &amp; Vol Update'!$E$6:$Z$6,1,MATCH(O83,'Rate &amp; Vol Update'!$E$6:$Z$6,1)))*(INDEX('Rate &amp; Vol Update'!$B$8:$B$127,MATCH(J83,'Rate &amp; Vol Update'!$B$8:$B$127,1)+1)-INDEX('Rate &amp; Vol Update'!$B$8:$B$127,MATCH(J83,'Rate &amp; Vol Update'!$B$8:$B$127,1))))*(INDEX('Rate &amp; Vol Update'!$E$8:$Z$127,MATCH(INDEX('Rate &amp; Vol Update'!$B$8:$B$127,MATCH(J83,'Rate &amp; Vol Update'!$B$8:$B$127,1)),'Rate &amp; Vol Update'!$B$8:$B$127,0),MATCH(INDEX('Rate &amp; Vol Update'!$E$6:$Z$6,1,MATCH(O83,'Rate &amp; Vol Update'!$E$6:$Z$6,1)),'Rate &amp; Vol Update'!$E$6:$Z$6,0))*(INDEX('Rate &amp; Vol Update'!$E$6:$Z$6,1,MATCH(O83,'Rate &amp; Vol Update'!$E$6:$Z$6,1)+1)-O83)*(INDEX('Rate &amp; Vol Update'!$B$8:$B$127,MATCH(J83,'Rate &amp; Vol Update'!$B$8:$B$127,1)+1)-J83)+INDEX('Rate &amp; Vol Update'!$E$8:$Z$127,MATCH(INDEX('Rate &amp; Vol Update'!$B$8:$B$127,MATCH(J83,'Rate &amp; Vol Update'!$B$8:$B$127,1)),'Rate &amp; Vol Update'!$B$8:$B$127,0),MATCH(INDEX('Rate &amp; Vol Update'!$E$6:$Z$6,1,MATCH(O83,'Rate &amp; Vol Update'!$E$6:$Z$6,1)+1),'Rate &amp; Vol Update'!$E$6:$Z$6,0))*(O83-INDEX('Rate &amp; Vol Update'!$E$6:$Z$6,1,MATCH(O83,'Rate &amp; Vol Update'!$E$6:$Z$6,1)))*(INDEX('Rate &amp; Vol Update'!$B$8:$B$127,MATCH(J83,'Rate &amp; Vol Update'!$B$8:$B$127,1)+1)-J83)+INDEX('Rate &amp; Vol Update'!$E$8:$Z$127,MATCH(INDEX('Rate &amp; Vol Update'!$B$8:$B$127,MATCH(J83,'Rate &amp; Vol Update'!$B$8:$B$127,1)+1),'Rate &amp; Vol Update'!$B$8:$B$127,0),MATCH(INDEX('Rate &amp; Vol Update'!$E$6:$Z$6,1,MATCH(O83,'Rate &amp; Vol Update'!$E$6:$Z$6,1)),'Rate &amp; Vol Update'!$E$6:$Z$6,0))*(INDEX('Rate &amp; Vol Update'!$E$6:$Z$6,1,MATCH(O83,'Rate &amp; Vol Update'!$E$6:$Z$6,1)+1)-O83)*(J83-INDEX('Rate &amp; Vol Update'!$B$8:$B$127,MATCH(J83,'Rate &amp; Vol Update'!$B$8:$B$127,1)))+INDEX('Rate &amp; Vol Update'!$E$8:$Z$127,MATCH(INDEX('Rate &amp; Vol Update'!$B$8:$B$127,MATCH(J83,'Rate &amp; Vol Update'!$B$8:$B$127,1)+1),'Rate &amp; Vol Update'!$B$8:$B$127,0),MATCH(INDEX('Rate &amp; Vol Update'!$E$6:$Z$6,1,MATCH(O83,'Rate &amp; Vol Update'!$E$6:$Z$6,1)+1),'Rate &amp; Vol Update'!$E$6:$Z$6,0))*(O83-INDEX('Rate &amp; Vol Update'!$E$6:$Z$6,1,MATCH(O83,'Rate &amp; Vol Update'!$E$6:$Z$6,1)))*(J83-INDEX('Rate &amp; Vol Update'!$B$8:$B$127,MATCH(J83,'Rate &amp; Vol Update'!$B$8:$B$127,1)))))*0.01%))</f>
        <v/>
      </c>
      <c r="R83" s="5" t="str">
        <f>IF(I83="","",1/((1+P83)^((K83-'Rate &amp; Vol Update'!$C$2)/360)))</f>
        <v/>
      </c>
      <c r="T83" s="15" t="str">
        <f>IF(I83="","",IF(J83&lt;'Rate &amp; Vol Update'!$C$2,MAX(0,P83-O83)*(L83/360)*N83,(((IF('Adjustment Surface'!C$2='Data Validation'!$A$2,P83,IF('Adjustment Surface'!C$2='Data Validation'!$A$3,O83,"Unknown Option Type"))-IF('Adjustment Surface'!C$2='Data Validation'!$A$2,O83,IF('Adjustment Surface'!C$2='Data Validation'!$A$3,P83,"Unknown Option Type")))*(NORMDIST((IF('Adjustment Surface'!C$2='Data Validation'!$A$2,P83,IF('Adjustment Surface'!C$2='Data Validation'!$A$3,O83,"Unknown Option Type"))-IF('Adjustment Surface'!C$2='Data Validation'!$A$2,O83,IF('Adjustment Surface'!C$2='Data Validation'!$A$3,P83,"Unknown Option Type")))/(Q83*SQRT(M83)),0,1,TRUE)))+((Q83*SQRT(M83))*(NORMDIST((IF('Adjustment Surface'!C$2='Data Validation'!$A$2,P83,IF('Adjustment Surface'!C$2='Data Validation'!$A$3,O83,"Unknown Option Type"))-IF('Adjustment Surface'!C$2='Data Validation'!$A$2,O83,IF('Adjustment Surface'!C$2='Data Validation'!$A$3,P83,"Unknown Option Type")))/(Q83*SQRT(M83)),0,1,FALSE))))*R83*(L83/360)*N83))</f>
        <v/>
      </c>
      <c r="U83" s="15" t="str">
        <f>IF(I83="","",SUM(T$4:T83))</f>
        <v/>
      </c>
      <c r="W83" s="15" t="str">
        <f>IF(I83="","",IF(J83&lt;'Rate &amp; Vol Update'!$C$2,0,((((((IF('Adjustment Surface'!C$2='Data Validation'!$A$2,P83,IF('Adjustment Surface'!C$2='Data Validation'!$A$3,O83,"Unknown Option Type"))-IF('Adjustment Surface'!C$2='Data Validation'!$A$2,O83,IF('Adjustment Surface'!C$2='Data Validation'!$A$3,P83,"Unknown Option Type")))*(NORMDIST((IF('Adjustment Surface'!C$2='Data Validation'!$A$2,P83,IF('Adjustment Surface'!C$2='Data Validation'!$A$3,O83,"Unknown Option Type"))-IF('Adjustment Surface'!C$2='Data Validation'!$A$2,O83,IF('Adjustment Surface'!C$2='Data Validation'!$A$3,P83,"Unknown Option Type")))/((Q83+0.01%)*SQRT(M83)),0,1,TRUE)))+(((Q83+0.01%)*SQRT(M83))*(NORMDIST((IF('Adjustment Surface'!C$2='Data Validation'!$A$2,P83,IF('Adjustment Surface'!C$2='Data Validation'!$A$3,O83,"Unknown Option Type"))-IF('Adjustment Surface'!C$2='Data Validation'!$A$2,O83,IF('Adjustment Surface'!C$2='Data Validation'!$A$3,P83,"Unknown Option Type")))/((Q83+0.01%)*SQRT(M83)),0,1,FALSE))))*R83*(L83/360))-(T83/N83))*N83)*R83))</f>
        <v/>
      </c>
      <c r="X83" s="15" t="str">
        <f>IF(I83="","",SUM(W$4:W83))</f>
        <v/>
      </c>
      <c r="Y83" s="15"/>
      <c r="Z83" s="20"/>
      <c r="AB83" s="4" t="str">
        <f>IF(AC82=MAX('Adjustment Surface'!$C$14:$F$14),"",AC82)</f>
        <v/>
      </c>
      <c r="AC83" s="4" t="str">
        <f>IF(AB83="","",IF(AB83&lt;EDATE('Adjustment Surface'!$C$6,DATEDIF('Adjustment Surface'!$C$6,MAX('Adjustment Surface'!$C$14:$F$14),"M")),EDATE(AB$5,COUNT(AB$5:AB83)),IF(AB83=EDATE('Adjustment Surface'!$C$6,DATEDIF('Adjustment Surface'!$C$6,MAX('Adjustment Surface'!$C$14:$F$14),"M")),MAX('Adjustment Surface'!$C$14:$F$14),EDATE('Adjustment Surface'!$C$6,DATEDIF('Adjustment Surface'!$C$6,MAX('Adjustment Surface'!$C$14:$F$14),"M")))))</f>
        <v/>
      </c>
      <c r="AD83" s="3" t="str">
        <f t="shared" si="7"/>
        <v/>
      </c>
      <c r="AE83" s="5" t="str">
        <f>IF(AA83="","",(AC83-'Rate &amp; Vol Update'!$C$2)/360)</f>
        <v/>
      </c>
      <c r="AF83" s="15" t="str">
        <f>IF(AA83="","",IF('Adjustment Surface'!$C$3='Data Validation'!$C$2,'Adjustment Surface'!$C$4,_xlfn.IFNA(IF(INDEX(Schedules!$E$3:$E$123,MATCH('Bachelier Model'!AB83,Schedules!$B$3:$B$123,0))="",AF82,INDEX(Schedules!$E$3:$E$123,MATCH('Bachelier Model'!AB83,Schedules!$B$3:$B$123,0))),AF82)))</f>
        <v/>
      </c>
      <c r="AG83" s="16" t="str">
        <f>IF(AA83="","",'Adjustment Surface'!B$15)</f>
        <v/>
      </c>
      <c r="AH83" s="16" t="str" cm="1">
        <f t="array" ref="AH83">IF(AA83="","",FORECAST(AB83,INDEX('Rate &amp; Vol Update'!$C$6:$C$127,MATCH(INDEX('Rate &amp; Vol Update'!$B$6:$B$127,MATCH(AB83,'Rate &amp; Vol Update'!$B$6:$B$127,1)),'Rate &amp; Vol Update'!$B$6:$B$127,0)+IF('Adjustment Surface'!$C$11='Data Validation'!$E$3,-1,0)):INDEX('Rate &amp; Vol Update'!$C$6:$C$127,MATCH(INDEX('Rate &amp; Vol Update'!$B$6:$B$127,MATCH(AB83,'Rate &amp; Vol Update'!$B$6:$B$127,1)+1),'Rate &amp; Vol Update'!$B$6:$B$127,0)+IF('Adjustment Surface'!$C$11='Data Validation'!$E$3,-1,0)),INDEX('Rate &amp; Vol Update'!$B$6:$B$127,MATCH(AB83,'Rate &amp; Vol Update'!$B$6:$B$127,1)):INDEX('Rate &amp; Vol Update'!$B$6:$B$127,MATCH(AB83,'Rate &amp; Vol Update'!$B$6:$B$127,1)+1))/100)</f>
        <v/>
      </c>
      <c r="AI83" s="16" t="str" cm="1">
        <f t="array" ref="AI83">IF(AA83="","",IF(AB83&lt;'Rate &amp; Vol Update'!$C$2,0.001%,(1/((INDEX('Rate &amp; Vol Update'!$E$6:$Z$6,1,MATCH(AG83,'Rate &amp; Vol Update'!$E$6:$Z$6,1)+1)-INDEX('Rate &amp; Vol Update'!$E$6:$Z$6,1,MATCH(AG83,'Rate &amp; Vol Update'!$E$6:$Z$6,1)))*(INDEX('Rate &amp; Vol Update'!$B$8:$B$127,MATCH(AB83,'Rate &amp; Vol Update'!$B$8:$B$127,1)+1)-INDEX('Rate &amp; Vol Update'!$B$8:$B$127,MATCH(AB83,'Rate &amp; Vol Update'!$B$8:$B$127,1))))*(INDEX('Rate &amp; Vol Update'!$E$8:$Z$127,MATCH(INDEX('Rate &amp; Vol Update'!$B$8:$B$127,MATCH(AB83,'Rate &amp; Vol Update'!$B$8:$B$127,1)),'Rate &amp; Vol Update'!$B$8:$B$127,0),MATCH(INDEX('Rate &amp; Vol Update'!$E$6:$Z$6,1,MATCH(AG83,'Rate &amp; Vol Update'!$E$6:$Z$6,1)),'Rate &amp; Vol Update'!$E$6:$Z$6,0))*(INDEX('Rate &amp; Vol Update'!$E$6:$Z$6,1,MATCH(AG83,'Rate &amp; Vol Update'!$E$6:$Z$6,1)+1)-AG83)*(INDEX('Rate &amp; Vol Update'!$B$8:$B$127,MATCH(AB83,'Rate &amp; Vol Update'!$B$8:$B$127,1)+1)-AB83)+INDEX('Rate &amp; Vol Update'!$E$8:$Z$127,MATCH(INDEX('Rate &amp; Vol Update'!$B$8:$B$127,MATCH(AB83,'Rate &amp; Vol Update'!$B$8:$B$127,1)),'Rate &amp; Vol Update'!$B$8:$B$127,0),MATCH(INDEX('Rate &amp; Vol Update'!$E$6:$Z$6,1,MATCH(AG83,'Rate &amp; Vol Update'!$E$6:$Z$6,1)+1),'Rate &amp; Vol Update'!$E$6:$Z$6,0))*(AG83-INDEX('Rate &amp; Vol Update'!$E$6:$Z$6,1,MATCH(AG83,'Rate &amp; Vol Update'!$E$6:$Z$6,1)))*(INDEX('Rate &amp; Vol Update'!$B$8:$B$127,MATCH(AB83,'Rate &amp; Vol Update'!$B$8:$B$127,1)+1)-AB83)+INDEX('Rate &amp; Vol Update'!$E$8:$Z$127,MATCH(INDEX('Rate &amp; Vol Update'!$B$8:$B$127,MATCH(AB83,'Rate &amp; Vol Update'!$B$8:$B$127,1)+1),'Rate &amp; Vol Update'!$B$8:$B$127,0),MATCH(INDEX('Rate &amp; Vol Update'!$E$6:$Z$6,1,MATCH(AG83,'Rate &amp; Vol Update'!$E$6:$Z$6,1)),'Rate &amp; Vol Update'!$E$6:$Z$6,0))*(INDEX('Rate &amp; Vol Update'!$E$6:$Z$6,1,MATCH(AG83,'Rate &amp; Vol Update'!$E$6:$Z$6,1)+1)-AG83)*(AB83-INDEX('Rate &amp; Vol Update'!$B$8:$B$127,MATCH(AB83,'Rate &amp; Vol Update'!$B$8:$B$127,1)))+INDEX('Rate &amp; Vol Update'!$E$8:$Z$127,MATCH(INDEX('Rate &amp; Vol Update'!$B$8:$B$127,MATCH(AB83,'Rate &amp; Vol Update'!$B$8:$B$127,1)+1),'Rate &amp; Vol Update'!$B$8:$B$127,0),MATCH(INDEX('Rate &amp; Vol Update'!$E$6:$Z$6,1,MATCH(AG83,'Rate &amp; Vol Update'!$E$6:$Z$6,1)+1),'Rate &amp; Vol Update'!$E$6:$Z$6,0))*(AG83-INDEX('Rate &amp; Vol Update'!$E$6:$Z$6,1,MATCH(AG83,'Rate &amp; Vol Update'!$E$6:$Z$6,1)))*(AB83-INDEX('Rate &amp; Vol Update'!$B$8:$B$127,MATCH(AB83,'Rate &amp; Vol Update'!$B$8:$B$127,1)))))*0.01%))</f>
        <v/>
      </c>
      <c r="AJ83" s="5" t="str">
        <f>IF(AA83="","",1/((1+AH83)^((AC83-'Rate &amp; Vol Update'!$C$2)/360)))</f>
        <v/>
      </c>
      <c r="AL83" s="15" t="str">
        <f>IF(AA83="","",IF(AB83&lt;'Rate &amp; Vol Update'!$C$2,MAX(0,AH83-AG83)*(AD83/360)*AF83,(((IF('Adjustment Surface'!$C$2='Data Validation'!$A$2,AH83,IF('Adjustment Surface'!$C$2='Data Validation'!$A$3,AG83,"Unknown Option Type"))-IF('Adjustment Surface'!$C$2='Data Validation'!$A$2,AG83,IF('Adjustment Surface'!$C$2='Data Validation'!$A$3,AH83,"Unknown Option Type")))*(NORMDIST((IF('Adjustment Surface'!$C$2='Data Validation'!$A$2,AH83,IF('Adjustment Surface'!$C$2='Data Validation'!$A$3,AG83,"Unknown Option Type"))-IF('Adjustment Surface'!$C$2='Data Validation'!$A$2,AG83,IF('Adjustment Surface'!$C$2='Data Validation'!$A$3,AH83,"Unknown Option Type")))/(AI83*SQRT(AE83)),0,1,TRUE)))+((AI83*SQRT(AE83))*(NORMDIST((IF('Adjustment Surface'!$C$2='Data Validation'!$A$2,AH83,IF('Adjustment Surface'!$C$2='Data Validation'!$A$3,AG83,"Unknown Option Type"))-IF('Adjustment Surface'!$C$2='Data Validation'!$A$2,AG83,IF('Adjustment Surface'!$C$2='Data Validation'!$A$3,AH83,"Unknown Option Type")))/(AI83*SQRT(AE83)),0,1,FALSE))))*AJ83*(AD83/360)*AF83))</f>
        <v/>
      </c>
      <c r="AM83" s="15" t="str">
        <f>IF(AA83="","",SUM(AL$4:AL83))</f>
        <v/>
      </c>
      <c r="AO83" s="15" t="str">
        <f>IF(AA83="","",IF(AB83&lt;'Rate &amp; Vol Update'!$C$2,0,((((((IF('Adjustment Surface'!$C$2='Data Validation'!$A$2,AH83,IF('Adjustment Surface'!$C$2='Data Validation'!$A$3,AG83,"Unknown Option Type"))-IF('Adjustment Surface'!$C$2='Data Validation'!$A$2,AG83,IF('Adjustment Surface'!$C$2='Data Validation'!$A$3,AH83,"Unknown Option Type")))*(NORMDIST((IF('Adjustment Surface'!$C$2='Data Validation'!$A$2,AH83,IF('Adjustment Surface'!$C$2='Data Validation'!$A$3,AG83,"Unknown Option Type"))-IF('Adjustment Surface'!$C$2='Data Validation'!$A$2,AG83,IF('Adjustment Surface'!$C$2='Data Validation'!$A$3,AH83,"Unknown Option Type")))/((AI83+0.01%)*SQRT(AE83)),0,1,TRUE)))+(((AI83+0.01%)*SQRT(AE83))*(NORMDIST((IF('Adjustment Surface'!$C$2='Data Validation'!$A$2,AH83,IF('Adjustment Surface'!$C$2='Data Validation'!$A$3,AG83,"Unknown Option Type"))-IF('Adjustment Surface'!$C$2='Data Validation'!$A$2,AG83,IF('Adjustment Surface'!$C$2='Data Validation'!$A$3,AH83,"Unknown Option Type")))/((AI83+0.01%)*SQRT(AE83)),0,1,FALSE))))*AJ83*(AD83/360))-(AL83/AF83))*AF83)*AJ83))</f>
        <v/>
      </c>
      <c r="AP83" s="15" t="str">
        <f>IF(AA83="","",SUM(AO$4:AO83))</f>
        <v/>
      </c>
      <c r="AQ83" s="15"/>
      <c r="AR83" s="20"/>
      <c r="AT83" s="4" t="str">
        <f>IF(AU82=MAX('Adjustment Surface'!$C$14:$F$14),"",AU82)</f>
        <v/>
      </c>
      <c r="AU83" s="4" t="str">
        <f>IF(AT83="","",IF(AT83&lt;EDATE('Adjustment Surface'!$C$6,DATEDIF('Adjustment Surface'!$C$6,MAX('Adjustment Surface'!$C$14:$F$14),"M")),EDATE(AT$5,COUNT(AT$5:AT83)),IF(AT83=EDATE('Adjustment Surface'!$C$6,DATEDIF('Adjustment Surface'!$C$6,MAX('Adjustment Surface'!$C$14:$F$14),"M")),MAX('Adjustment Surface'!$C$14:$F$14),EDATE('Adjustment Surface'!$C$6,DATEDIF('Adjustment Surface'!$C$6,MAX('Adjustment Surface'!$C$14:$F$14),"M")))))</f>
        <v/>
      </c>
      <c r="AV83" s="3" t="str">
        <f t="shared" si="8"/>
        <v/>
      </c>
      <c r="AW83" s="5" t="str">
        <f>IF(AS83="","",(AU83-'Rate &amp; Vol Update'!$C$2)/360)</f>
        <v/>
      </c>
      <c r="AX83" s="15" t="str">
        <f>IF(AS83="","",IF('Adjustment Surface'!$C$3='Data Validation'!$C$2,'Adjustment Surface'!$C$4,_xlfn.IFNA(IF(INDEX(Schedules!$E$3:$E$123,MATCH('Bachelier Model'!AT83,Schedules!$B$3:$B$123,0))="",AX82,INDEX(Schedules!$E$3:$E$123,MATCH('Bachelier Model'!AT83,Schedules!$B$3:$B$123,0))),AX82)))</f>
        <v/>
      </c>
      <c r="AY83" s="16" t="str">
        <f>IF(AS83="","",'Adjustment Surface'!B$16)</f>
        <v/>
      </c>
      <c r="AZ83" s="16" t="str" cm="1">
        <f t="array" ref="AZ83">IF(AS83="","",FORECAST(AT83,INDEX('Rate &amp; Vol Update'!$C$6:$C$127,MATCH(INDEX('Rate &amp; Vol Update'!$B$6:$B$127,MATCH(AT83,'Rate &amp; Vol Update'!$B$6:$B$127,1)),'Rate &amp; Vol Update'!$B$6:$B$127,0)+IF('Adjustment Surface'!$C$11='Data Validation'!$E$3,-1,0)):INDEX('Rate &amp; Vol Update'!$C$6:$C$127,MATCH(INDEX('Rate &amp; Vol Update'!$B$6:$B$127,MATCH(AT83,'Rate &amp; Vol Update'!$B$6:$B$127,1)+1),'Rate &amp; Vol Update'!$B$6:$B$127,0)+IF('Adjustment Surface'!$C$11='Data Validation'!$E$3,-1,0)),INDEX('Rate &amp; Vol Update'!$B$6:$B$127,MATCH(AT83,'Rate &amp; Vol Update'!$B$6:$B$127,1)):INDEX('Rate &amp; Vol Update'!$B$6:$B$127,MATCH(AT83,'Rate &amp; Vol Update'!$B$6:$B$127,1)+1))/100)</f>
        <v/>
      </c>
      <c r="BA83" s="16" t="str" cm="1">
        <f t="array" ref="BA83">IF(AS83="","",IF(AT83&lt;'Rate &amp; Vol Update'!$C$2,0.001%,(1/((INDEX('Rate &amp; Vol Update'!$E$6:$Z$6,1,MATCH(AY83,'Rate &amp; Vol Update'!$E$6:$Z$6,1)+1)-INDEX('Rate &amp; Vol Update'!$E$6:$Z$6,1,MATCH(AY83,'Rate &amp; Vol Update'!$E$6:$Z$6,1)))*(INDEX('Rate &amp; Vol Update'!$B$8:$B$127,MATCH(AT83,'Rate &amp; Vol Update'!$B$8:$B$127,1)+1)-INDEX('Rate &amp; Vol Update'!$B$8:$B$127,MATCH(AT83,'Rate &amp; Vol Update'!$B$8:$B$127,1))))*(INDEX('Rate &amp; Vol Update'!$E$8:$Z$127,MATCH(INDEX('Rate &amp; Vol Update'!$B$8:$B$127,MATCH(AT83,'Rate &amp; Vol Update'!$B$8:$B$127,1)),'Rate &amp; Vol Update'!$B$8:$B$127,0),MATCH(INDEX('Rate &amp; Vol Update'!$E$6:$Z$6,1,MATCH(AY83,'Rate &amp; Vol Update'!$E$6:$Z$6,1)),'Rate &amp; Vol Update'!$E$6:$Z$6,0))*(INDEX('Rate &amp; Vol Update'!$E$6:$Z$6,1,MATCH(AY83,'Rate &amp; Vol Update'!$E$6:$Z$6,1)+1)-AY83)*(INDEX('Rate &amp; Vol Update'!$B$8:$B$127,MATCH(AT83,'Rate &amp; Vol Update'!$B$8:$B$127,1)+1)-AT83)+INDEX('Rate &amp; Vol Update'!$E$8:$Z$127,MATCH(INDEX('Rate &amp; Vol Update'!$B$8:$B$127,MATCH(AT83,'Rate &amp; Vol Update'!$B$8:$B$127,1)),'Rate &amp; Vol Update'!$B$8:$B$127,0),MATCH(INDEX('Rate &amp; Vol Update'!$E$6:$Z$6,1,MATCH(AY83,'Rate &amp; Vol Update'!$E$6:$Z$6,1)+1),'Rate &amp; Vol Update'!$E$6:$Z$6,0))*(AY83-INDEX('Rate &amp; Vol Update'!$E$6:$Z$6,1,MATCH(AY83,'Rate &amp; Vol Update'!$E$6:$Z$6,1)))*(INDEX('Rate &amp; Vol Update'!$B$8:$B$127,MATCH(AT83,'Rate &amp; Vol Update'!$B$8:$B$127,1)+1)-AT83)+INDEX('Rate &amp; Vol Update'!$E$8:$Z$127,MATCH(INDEX('Rate &amp; Vol Update'!$B$8:$B$127,MATCH(AT83,'Rate &amp; Vol Update'!$B$8:$B$127,1)+1),'Rate &amp; Vol Update'!$B$8:$B$127,0),MATCH(INDEX('Rate &amp; Vol Update'!$E$6:$Z$6,1,MATCH(AY83,'Rate &amp; Vol Update'!$E$6:$Z$6,1)),'Rate &amp; Vol Update'!$E$6:$Z$6,0))*(INDEX('Rate &amp; Vol Update'!$E$6:$Z$6,1,MATCH(AY83,'Rate &amp; Vol Update'!$E$6:$Z$6,1)+1)-AY83)*(AT83-INDEX('Rate &amp; Vol Update'!$B$8:$B$127,MATCH(AT83,'Rate &amp; Vol Update'!$B$8:$B$127,1)))+INDEX('Rate &amp; Vol Update'!$E$8:$Z$127,MATCH(INDEX('Rate &amp; Vol Update'!$B$8:$B$127,MATCH(AT83,'Rate &amp; Vol Update'!$B$8:$B$127,1)+1),'Rate &amp; Vol Update'!$B$8:$B$127,0),MATCH(INDEX('Rate &amp; Vol Update'!$E$6:$Z$6,1,MATCH(AY83,'Rate &amp; Vol Update'!$E$6:$Z$6,1)+1),'Rate &amp; Vol Update'!$E$6:$Z$6,0))*(AY83-INDEX('Rate &amp; Vol Update'!$E$6:$Z$6,1,MATCH(AY83,'Rate &amp; Vol Update'!$E$6:$Z$6,1)))*(AT83-INDEX('Rate &amp; Vol Update'!$B$8:$B$127,MATCH(AT83,'Rate &amp; Vol Update'!$B$8:$B$127,1)))))*0.01%))</f>
        <v/>
      </c>
      <c r="BB83" s="5" t="str">
        <f>IF(AS83="","",1/((1+AZ83)^((AU83-'Rate &amp; Vol Update'!$C$2)/360)))</f>
        <v/>
      </c>
      <c r="BD83" s="15" t="str">
        <f>IF(AS83="","",IF(AT83&lt;'Rate &amp; Vol Update'!$C$2,MAX(0,AZ83-AY83)*(AV83/360)*AX83,(((IF('Adjustment Surface'!$C$2='Data Validation'!$A$2,AZ83,IF('Adjustment Surface'!$C$2='Data Validation'!$A$3,AY83,"Unknown Option Type"))-IF('Adjustment Surface'!$C$2='Data Validation'!$A$2,AY83,IF('Adjustment Surface'!$C$2='Data Validation'!$A$3,AZ83,"Unknown Option Type")))*(NORMDIST((IF('Adjustment Surface'!$C$2='Data Validation'!$A$2,AZ83,IF('Adjustment Surface'!$C$2='Data Validation'!$A$3,AY83,"Unknown Option Type"))-IF('Adjustment Surface'!$C$2='Data Validation'!$A$2,AY83,IF('Adjustment Surface'!$C$2='Data Validation'!$A$3,AZ83,"Unknown Option Type")))/(BA83*SQRT(AW83)),0,1,TRUE)))+((BA83*SQRT(AW83))*(NORMDIST((IF('Adjustment Surface'!$C$2='Data Validation'!$A$2,AZ83,IF('Adjustment Surface'!$C$2='Data Validation'!$A$3,AY83,"Unknown Option Type"))-IF('Adjustment Surface'!$C$2='Data Validation'!$A$2,AY83,IF('Adjustment Surface'!$C$2='Data Validation'!$A$3,AZ83,"Unknown Option Type")))/(BA83*SQRT(AW83)),0,1,FALSE))))*BB83*(AV83/360)*AX83))</f>
        <v/>
      </c>
      <c r="BE83" s="15" t="str">
        <f>IF(AS83="","",SUM(BD$4:BD83))</f>
        <v/>
      </c>
      <c r="BG83" s="15" t="str">
        <f>IF(AS83="","",IF(AT83&lt;'Rate &amp; Vol Update'!$C$2,0,((((((IF('Adjustment Surface'!$C$2='Data Validation'!$A$2,AZ83,IF('Adjustment Surface'!$C$2='Data Validation'!$A$3,AY83,"Unknown Option Type"))-IF('Adjustment Surface'!$C$2='Data Validation'!$A$2,AY83,IF('Adjustment Surface'!$C$2='Data Validation'!$A$3,AZ83,"Unknown Option Type")))*(NORMDIST((IF('Adjustment Surface'!$C$2='Data Validation'!$A$2,AZ83,IF('Adjustment Surface'!$C$2='Data Validation'!$A$3,AY83,"Unknown Option Type"))-IF('Adjustment Surface'!$C$2='Data Validation'!$A$2,AY83,IF('Adjustment Surface'!$C$2='Data Validation'!$A$3,AZ83,"Unknown Option Type")))/((BA83+0.01%)*SQRT(AW83)),0,1,TRUE)))+(((BA83+0.01%)*SQRT(AW83))*(NORMDIST((IF('Adjustment Surface'!$C$2='Data Validation'!$A$2,AZ83,IF('Adjustment Surface'!$C$2='Data Validation'!$A$3,AY83,"Unknown Option Type"))-IF('Adjustment Surface'!$C$2='Data Validation'!$A$2,AY83,IF('Adjustment Surface'!$C$2='Data Validation'!$A$3,AZ83,"Unknown Option Type")))/((BA83+0.01%)*SQRT(AW83)),0,1,FALSE))))*BB83*(AV83/360))-(BD83/AX83))*AX83)*BB83))</f>
        <v/>
      </c>
      <c r="BH83" s="15" t="str">
        <f>IF(AS83="","",SUM(BG$4:BG83))</f>
        <v/>
      </c>
      <c r="BI83" s="15"/>
      <c r="BJ83" s="20"/>
      <c r="BL83" s="4" t="str">
        <f>IF(BM82=MAX('Adjustment Surface'!$C$14:$F$14),"",BM82)</f>
        <v/>
      </c>
      <c r="BM83" s="4" t="str">
        <f>IF(BL83="","",IF(BL83&lt;EDATE('Adjustment Surface'!$C$6,DATEDIF('Adjustment Surface'!$C$6,MAX('Adjustment Surface'!$C$14:$F$14),"M")),EDATE(BL$5,COUNT(BL$5:BL83)),IF(BL83=EDATE('Adjustment Surface'!$C$6,DATEDIF('Adjustment Surface'!$C$6,MAX('Adjustment Surface'!$C$14:$F$14),"M")),MAX('Adjustment Surface'!$C$14:$F$14),EDATE('Adjustment Surface'!$C$6,DATEDIF('Adjustment Surface'!$C$6,MAX('Adjustment Surface'!$C$14:$F$14),"M")))))</f>
        <v/>
      </c>
      <c r="BN83" s="3" t="str">
        <f t="shared" si="9"/>
        <v/>
      </c>
      <c r="BO83" s="5" t="str">
        <f>IF(BK83="","",(BM83-'Rate &amp; Vol Update'!$C$2)/360)</f>
        <v/>
      </c>
      <c r="BP83" s="15" t="str">
        <f>IF(BK83="","",IF('Adjustment Surface'!$C$3='Data Validation'!$C$2,'Adjustment Surface'!$C$4,_xlfn.IFNA(IF(INDEX(Schedules!$E$3:$E$123,MATCH('Bachelier Model'!BL83,Schedules!$B$3:$B$123,0))="",BP82,INDEX(Schedules!$E$3:$E$123,MATCH('Bachelier Model'!BL83,Schedules!$B$3:$B$123,0))),BP82)))</f>
        <v/>
      </c>
      <c r="BQ83" s="16" t="str">
        <f>IF(BK83="","",'Adjustment Surface'!B$17)</f>
        <v/>
      </c>
      <c r="BR83" s="16" t="str" cm="1">
        <f t="array" ref="BR83">IF(BK83="","",FORECAST(BL83,INDEX('Rate &amp; Vol Update'!$C$6:$C$127,MATCH(INDEX('Rate &amp; Vol Update'!$B$6:$B$127,MATCH(BL83,'Rate &amp; Vol Update'!$B$6:$B$127,1)),'Rate &amp; Vol Update'!$B$6:$B$127,0)+IF('Adjustment Surface'!$C$11='Data Validation'!$E$3,-1,0)):INDEX('Rate &amp; Vol Update'!$C$6:$C$127,MATCH(INDEX('Rate &amp; Vol Update'!$B$6:$B$127,MATCH(BL83,'Rate &amp; Vol Update'!$B$6:$B$127,1)+1),'Rate &amp; Vol Update'!$B$6:$B$127,0)+IF('Adjustment Surface'!$C$11='Data Validation'!$E$3,-1,0)),INDEX('Rate &amp; Vol Update'!$B$6:$B$127,MATCH(BL83,'Rate &amp; Vol Update'!$B$6:$B$127,1)):INDEX('Rate &amp; Vol Update'!$B$6:$B$127,MATCH(BL83,'Rate &amp; Vol Update'!$B$6:$B$127,1)+1))/100)</f>
        <v/>
      </c>
      <c r="BS83" s="16" t="str" cm="1">
        <f t="array" ref="BS83">IF(BK83="","",IF(BL83&lt;'Rate &amp; Vol Update'!$C$2,0.001%,(1/((INDEX('Rate &amp; Vol Update'!$E$6:$Z$6,1,MATCH(BQ83,'Rate &amp; Vol Update'!$E$6:$Z$6,1)+1)-INDEX('Rate &amp; Vol Update'!$E$6:$Z$6,1,MATCH(BQ83,'Rate &amp; Vol Update'!$E$6:$Z$6,1)))*(INDEX('Rate &amp; Vol Update'!$B$8:$B$127,MATCH(BL83,'Rate &amp; Vol Update'!$B$8:$B$127,1)+1)-INDEX('Rate &amp; Vol Update'!$B$8:$B$127,MATCH(BL83,'Rate &amp; Vol Update'!$B$8:$B$127,1))))*(INDEX('Rate &amp; Vol Update'!$E$8:$Z$127,MATCH(INDEX('Rate &amp; Vol Update'!$B$8:$B$127,MATCH(BL83,'Rate &amp; Vol Update'!$B$8:$B$127,1)),'Rate &amp; Vol Update'!$B$8:$B$127,0),MATCH(INDEX('Rate &amp; Vol Update'!$E$6:$Z$6,1,MATCH(BQ83,'Rate &amp; Vol Update'!$E$6:$Z$6,1)),'Rate &amp; Vol Update'!$E$6:$Z$6,0))*(INDEX('Rate &amp; Vol Update'!$E$6:$Z$6,1,MATCH(BQ83,'Rate &amp; Vol Update'!$E$6:$Z$6,1)+1)-BQ83)*(INDEX('Rate &amp; Vol Update'!$B$8:$B$127,MATCH(BL83,'Rate &amp; Vol Update'!$B$8:$B$127,1)+1)-BL83)+INDEX('Rate &amp; Vol Update'!$E$8:$Z$127,MATCH(INDEX('Rate &amp; Vol Update'!$B$8:$B$127,MATCH(BL83,'Rate &amp; Vol Update'!$B$8:$B$127,1)),'Rate &amp; Vol Update'!$B$8:$B$127,0),MATCH(INDEX('Rate &amp; Vol Update'!$E$6:$Z$6,1,MATCH(BQ83,'Rate &amp; Vol Update'!$E$6:$Z$6,1)+1),'Rate &amp; Vol Update'!$E$6:$Z$6,0))*(BQ83-INDEX('Rate &amp; Vol Update'!$E$6:$Z$6,1,MATCH(BQ83,'Rate &amp; Vol Update'!$E$6:$Z$6,1)))*(INDEX('Rate &amp; Vol Update'!$B$8:$B$127,MATCH(BL83,'Rate &amp; Vol Update'!$B$8:$B$127,1)+1)-BL83)+INDEX('Rate &amp; Vol Update'!$E$8:$Z$127,MATCH(INDEX('Rate &amp; Vol Update'!$B$8:$B$127,MATCH(BL83,'Rate &amp; Vol Update'!$B$8:$B$127,1)+1),'Rate &amp; Vol Update'!$B$8:$B$127,0),MATCH(INDEX('Rate &amp; Vol Update'!$E$6:$Z$6,1,MATCH(BQ83,'Rate &amp; Vol Update'!$E$6:$Z$6,1)),'Rate &amp; Vol Update'!$E$6:$Z$6,0))*(INDEX('Rate &amp; Vol Update'!$E$6:$Z$6,1,MATCH(BQ83,'Rate &amp; Vol Update'!$E$6:$Z$6,1)+1)-BQ83)*(BL83-INDEX('Rate &amp; Vol Update'!$B$8:$B$127,MATCH(BL83,'Rate &amp; Vol Update'!$B$8:$B$127,1)))+INDEX('Rate &amp; Vol Update'!$E$8:$Z$127,MATCH(INDEX('Rate &amp; Vol Update'!$B$8:$B$127,MATCH(BL83,'Rate &amp; Vol Update'!$B$8:$B$127,1)+1),'Rate &amp; Vol Update'!$B$8:$B$127,0),MATCH(INDEX('Rate &amp; Vol Update'!$E$6:$Z$6,1,MATCH(BQ83,'Rate &amp; Vol Update'!$E$6:$Z$6,1)+1),'Rate &amp; Vol Update'!$E$6:$Z$6,0))*(BQ83-INDEX('Rate &amp; Vol Update'!$E$6:$Z$6,1,MATCH(BQ83,'Rate &amp; Vol Update'!$E$6:$Z$6,1)))*(BL83-INDEX('Rate &amp; Vol Update'!$B$8:$B$127,MATCH(BL83,'Rate &amp; Vol Update'!$B$8:$B$127,1)))))*0.01%))</f>
        <v/>
      </c>
      <c r="BT83" s="5" t="str">
        <f>IF(BK83="","",1/((1+BR83)^((BM83-'Rate &amp; Vol Update'!$C$2)/360)))</f>
        <v/>
      </c>
      <c r="BV83" s="15" t="str">
        <f>IF(BK83="","",IF(BL83&lt;'Rate &amp; Vol Update'!$C$2,MAX(0,BR83-BQ83)*(BN83/360)*BP83,(((IF('Adjustment Surface'!$C$2='Data Validation'!$A$2,BR83,IF('Adjustment Surface'!$C$2='Data Validation'!$A$3,BQ83,"Unknown Option Type"))-IF('Adjustment Surface'!$C$2='Data Validation'!$A$2,BQ83,IF('Adjustment Surface'!$C$2='Data Validation'!$A$3,BR83,"Unknown Option Type")))*(NORMDIST((IF('Adjustment Surface'!$C$2='Data Validation'!$A$2,BR83,IF('Adjustment Surface'!$C$2='Data Validation'!$A$3,BQ83,"Unknown Option Type"))-IF('Adjustment Surface'!$C$2='Data Validation'!$A$2,BQ83,IF('Adjustment Surface'!$C$2='Data Validation'!$A$3,BR83,"Unknown Option Type")))/(BS83*SQRT(BO83)),0,1,TRUE)))+((BS83*SQRT(BO83))*(NORMDIST((IF('Adjustment Surface'!$C$2='Data Validation'!$A$2,BR83,IF('Adjustment Surface'!$C$2='Data Validation'!$A$3,BQ83,"Unknown Option Type"))-IF('Adjustment Surface'!$C$2='Data Validation'!$A$2,BQ83,IF('Adjustment Surface'!$C$2='Data Validation'!$A$3,BR83,"Unknown Option Type")))/(BS83*SQRT(BO83)),0,1,FALSE))))*BT83*(BN83/360)*BP83))</f>
        <v/>
      </c>
      <c r="BW83" s="15" t="str">
        <f>IF(BK83="","",SUM(BV$4:BV83))</f>
        <v/>
      </c>
      <c r="BY83" s="15" t="str">
        <f>IF(BK83="","",IF(BL83&lt;'Rate &amp; Vol Update'!$C$2,0,((((((IF('Adjustment Surface'!$C$2='Data Validation'!$A$2,BR83,IF('Adjustment Surface'!$C$2='Data Validation'!$A$3,BQ83,"Unknown Option Type"))-IF('Adjustment Surface'!$C$2='Data Validation'!$A$2,BQ83,IF('Adjustment Surface'!$C$2='Data Validation'!$A$3,BR83,"Unknown Option Type")))*(NORMDIST((IF('Adjustment Surface'!$C$2='Data Validation'!$A$2,BR83,IF('Adjustment Surface'!$C$2='Data Validation'!$A$3,BQ83,"Unknown Option Type"))-IF('Adjustment Surface'!$C$2='Data Validation'!$A$2,BQ83,IF('Adjustment Surface'!$C$2='Data Validation'!$A$3,BR83,"Unknown Option Type")))/((BS83+0.01%)*SQRT(BO83)),0,1,TRUE)))+(((BS83+0.01%)*SQRT(BO83))*(NORMDIST((IF('Adjustment Surface'!$C$2='Data Validation'!$A$2,BR83,IF('Adjustment Surface'!$C$2='Data Validation'!$A$3,BQ83,"Unknown Option Type"))-IF('Adjustment Surface'!$C$2='Data Validation'!$A$2,BQ83,IF('Adjustment Surface'!$C$2='Data Validation'!$A$3,BR83,"Unknown Option Type")))/((BS83+0.01%)*SQRT(BO83)),0,1,FALSE))))*BT83*(BN83/360))-(BV83/BP83))*BP83)*BT83))</f>
        <v/>
      </c>
      <c r="BZ83" s="15" t="str">
        <f>IF(BK83="","",SUM(BY$4:BY83))</f>
        <v/>
      </c>
      <c r="CA83" s="15"/>
      <c r="CB83" s="20"/>
      <c r="CD83" s="4" t="str">
        <f>IF(CE82=MAX('Adjustment Surface'!$C$14:$F$14),"",CE82)</f>
        <v/>
      </c>
      <c r="CE83" s="4" t="str">
        <f>IF(CD83="","",IF(CD83&lt;EDATE('Adjustment Surface'!$C$6,DATEDIF('Adjustment Surface'!$C$6,MAX('Adjustment Surface'!$C$14:$F$14),"M")),EDATE(CD$5,COUNT(CD$5:CD83)),IF(CD83=EDATE('Adjustment Surface'!$C$6,DATEDIF('Adjustment Surface'!$C$6,MAX('Adjustment Surface'!$C$14:$F$14),"M")),MAX('Adjustment Surface'!$C$14:$F$14),EDATE('Adjustment Surface'!$C$6,DATEDIF('Adjustment Surface'!$C$6,MAX('Adjustment Surface'!$C$14:$F$14),"M")))))</f>
        <v/>
      </c>
      <c r="CF83" s="3" t="str">
        <f t="shared" si="10"/>
        <v/>
      </c>
      <c r="CG83" s="5" t="str">
        <f>IF(CC83="","",(CE83-'Rate &amp; Vol Update'!$C$2)/360)</f>
        <v/>
      </c>
      <c r="CH83" s="15" t="str">
        <f>IF(CC83="","",IF('Adjustment Surface'!$C$3='Data Validation'!$C$2,'Adjustment Surface'!$C$4,_xlfn.IFNA(IF(INDEX(Schedules!$E$3:$E$123,MATCH('Bachelier Model'!CD83,Schedules!$B$3:$B$123,0))="",CH82,INDEX(Schedules!$E$3:$E$123,MATCH('Bachelier Model'!CD83,Schedules!$B$3:$B$123,0))),CH82)))</f>
        <v/>
      </c>
      <c r="CI83" s="16" t="str">
        <f>IF(CC83="","",'Adjustment Surface'!B$18)</f>
        <v/>
      </c>
      <c r="CJ83" s="16" t="str" cm="1">
        <f t="array" ref="CJ83">IF(CC83="","",FORECAST(CD83,INDEX('Rate &amp; Vol Update'!$C$6:$C$127,MATCH(INDEX('Rate &amp; Vol Update'!$B$6:$B$127,MATCH(CD83,'Rate &amp; Vol Update'!$B$6:$B$127,1)),'Rate &amp; Vol Update'!$B$6:$B$127,0)+IF('Adjustment Surface'!$C$11='Data Validation'!$E$3,-1,0)):INDEX('Rate &amp; Vol Update'!$C$6:$C$127,MATCH(INDEX('Rate &amp; Vol Update'!$B$6:$B$127,MATCH(CD83,'Rate &amp; Vol Update'!$B$6:$B$127,1)+1),'Rate &amp; Vol Update'!$B$6:$B$127,0)+IF('Adjustment Surface'!$C$11='Data Validation'!$E$3,-1,0)),INDEX('Rate &amp; Vol Update'!$B$6:$B$127,MATCH(CD83,'Rate &amp; Vol Update'!$B$6:$B$127,1)):INDEX('Rate &amp; Vol Update'!$B$6:$B$127,MATCH(CD83,'Rate &amp; Vol Update'!$B$6:$B$127,1)+1))/100)</f>
        <v/>
      </c>
      <c r="CK83" s="16" t="str" cm="1">
        <f t="array" ref="CK83">IF(CC83="","",IF(CD83&lt;'Rate &amp; Vol Update'!$C$2,0.001%,(1/((INDEX('Rate &amp; Vol Update'!$E$6:$Z$6,1,MATCH(CI83,'Rate &amp; Vol Update'!$E$6:$Z$6,1)+1)-INDEX('Rate &amp; Vol Update'!$E$6:$Z$6,1,MATCH(CI83,'Rate &amp; Vol Update'!$E$6:$Z$6,1)))*(INDEX('Rate &amp; Vol Update'!$B$8:$B$127,MATCH(CD83,'Rate &amp; Vol Update'!$B$8:$B$127,1)+1)-INDEX('Rate &amp; Vol Update'!$B$8:$B$127,MATCH(CD83,'Rate &amp; Vol Update'!$B$8:$B$127,1))))*(INDEX('Rate &amp; Vol Update'!$E$8:$Z$127,MATCH(INDEX('Rate &amp; Vol Update'!$B$8:$B$127,MATCH(CD83,'Rate &amp; Vol Update'!$B$8:$B$127,1)),'Rate &amp; Vol Update'!$B$8:$B$127,0),MATCH(INDEX('Rate &amp; Vol Update'!$E$6:$Z$6,1,MATCH(CI83,'Rate &amp; Vol Update'!$E$6:$Z$6,1)),'Rate &amp; Vol Update'!$E$6:$Z$6,0))*(INDEX('Rate &amp; Vol Update'!$E$6:$Z$6,1,MATCH(CI83,'Rate &amp; Vol Update'!$E$6:$Z$6,1)+1)-CI83)*(INDEX('Rate &amp; Vol Update'!$B$8:$B$127,MATCH(CD83,'Rate &amp; Vol Update'!$B$8:$B$127,1)+1)-CD83)+INDEX('Rate &amp; Vol Update'!$E$8:$Z$127,MATCH(INDEX('Rate &amp; Vol Update'!$B$8:$B$127,MATCH(CD83,'Rate &amp; Vol Update'!$B$8:$B$127,1)),'Rate &amp; Vol Update'!$B$8:$B$127,0),MATCH(INDEX('Rate &amp; Vol Update'!$E$6:$Z$6,1,MATCH(CI83,'Rate &amp; Vol Update'!$E$6:$Z$6,1)+1),'Rate &amp; Vol Update'!$E$6:$Z$6,0))*(CI83-INDEX('Rate &amp; Vol Update'!$E$6:$Z$6,1,MATCH(CI83,'Rate &amp; Vol Update'!$E$6:$Z$6,1)))*(INDEX('Rate &amp; Vol Update'!$B$8:$B$127,MATCH(CD83,'Rate &amp; Vol Update'!$B$8:$B$127,1)+1)-CD83)+INDEX('Rate &amp; Vol Update'!$E$8:$Z$127,MATCH(INDEX('Rate &amp; Vol Update'!$B$8:$B$127,MATCH(CD83,'Rate &amp; Vol Update'!$B$8:$B$127,1)+1),'Rate &amp; Vol Update'!$B$8:$B$127,0),MATCH(INDEX('Rate &amp; Vol Update'!$E$6:$Z$6,1,MATCH(CI83,'Rate &amp; Vol Update'!$E$6:$Z$6,1)),'Rate &amp; Vol Update'!$E$6:$Z$6,0))*(INDEX('Rate &amp; Vol Update'!$E$6:$Z$6,1,MATCH(CI83,'Rate &amp; Vol Update'!$E$6:$Z$6,1)+1)-CI83)*(CD83-INDEX('Rate &amp; Vol Update'!$B$8:$B$127,MATCH(CD83,'Rate &amp; Vol Update'!$B$8:$B$127,1)))+INDEX('Rate &amp; Vol Update'!$E$8:$Z$127,MATCH(INDEX('Rate &amp; Vol Update'!$B$8:$B$127,MATCH(CD83,'Rate &amp; Vol Update'!$B$8:$B$127,1)+1),'Rate &amp; Vol Update'!$B$8:$B$127,0),MATCH(INDEX('Rate &amp; Vol Update'!$E$6:$Z$6,1,MATCH(CI83,'Rate &amp; Vol Update'!$E$6:$Z$6,1)+1),'Rate &amp; Vol Update'!$E$6:$Z$6,0))*(CI83-INDEX('Rate &amp; Vol Update'!$E$6:$Z$6,1,MATCH(CI83,'Rate &amp; Vol Update'!$E$6:$Z$6,1)))*(CD83-INDEX('Rate &amp; Vol Update'!$B$8:$B$127,MATCH(CD83,'Rate &amp; Vol Update'!$B$8:$B$127,1)))))*0.01%))</f>
        <v/>
      </c>
      <c r="CL83" s="5" t="str">
        <f>IF(CC83="","",1/((1+CJ83)^((CE83-'Rate &amp; Vol Update'!$C$2)/360)))</f>
        <v/>
      </c>
      <c r="CN83" s="15" t="str">
        <f>IF(CC83="","",IF(CD83&lt;'Rate &amp; Vol Update'!$C$2,MAX(0,CJ83-CI83)*(CF83/360)*CH83,(((IF('Adjustment Surface'!$C$2='Data Validation'!$A$2,CJ83,IF('Adjustment Surface'!$C$2='Data Validation'!$A$3,CI83,"Unknown Option Type"))-IF('Adjustment Surface'!$C$2='Data Validation'!$A$2,CI83,IF('Adjustment Surface'!$C$2='Data Validation'!$A$3,CJ83,"Unknown Option Type")))*(NORMDIST((IF('Adjustment Surface'!$C$2='Data Validation'!$A$2,CJ83,IF('Adjustment Surface'!$C$2='Data Validation'!$A$3,CI83,"Unknown Option Type"))-IF('Adjustment Surface'!$C$2='Data Validation'!$A$2,CI83,IF('Adjustment Surface'!$C$2='Data Validation'!$A$3,CJ83,"Unknown Option Type")))/(CK83*SQRT(CG83)),0,1,TRUE)))+((CK83*SQRT(CG83))*(NORMDIST((IF('Adjustment Surface'!$C$2='Data Validation'!$A$2,CJ83,IF('Adjustment Surface'!$C$2='Data Validation'!$A$3,CI83,"Unknown Option Type"))-IF('Adjustment Surface'!$C$2='Data Validation'!$A$2,CI83,IF('Adjustment Surface'!$C$2='Data Validation'!$A$3,CJ83,"Unknown Option Type")))/(CK83*SQRT(CG83)),0,1,FALSE))))*CL83*(CF83/360)*CH83))</f>
        <v/>
      </c>
      <c r="CO83" s="15" t="str">
        <f>IF(CC83="","",SUM(CN$4:CN83))</f>
        <v/>
      </c>
      <c r="CQ83" s="15" t="str">
        <f>IF(CC83="","",IF(CD83&lt;'Rate &amp; Vol Update'!$C$2,0,((((((IF('Adjustment Surface'!$C$2='Data Validation'!$A$2,CJ83,IF('Adjustment Surface'!$C$2='Data Validation'!$A$3,CI83,"Unknown Option Type"))-IF('Adjustment Surface'!$C$2='Data Validation'!$A$2,CI83,IF('Adjustment Surface'!$C$2='Data Validation'!$A$3,CJ83,"Unknown Option Type")))*(NORMDIST((IF('Adjustment Surface'!$C$2='Data Validation'!$A$2,CJ83,IF('Adjustment Surface'!$C$2='Data Validation'!$A$3,CI83,"Unknown Option Type"))-IF('Adjustment Surface'!$C$2='Data Validation'!$A$2,CI83,IF('Adjustment Surface'!$C$2='Data Validation'!$A$3,CJ83,"Unknown Option Type")))/((CK83+0.01%)*SQRT(CG83)),0,1,TRUE)))+(((CK83+0.01%)*SQRT(CG83))*(NORMDIST((IF('Adjustment Surface'!$C$2='Data Validation'!$A$2,CJ83,IF('Adjustment Surface'!$C$2='Data Validation'!$A$3,CI83,"Unknown Option Type"))-IF('Adjustment Surface'!$C$2='Data Validation'!$A$2,CI83,IF('Adjustment Surface'!$C$2='Data Validation'!$A$3,CJ83,"Unknown Option Type")))/((CK83+0.01%)*SQRT(CG83)),0,1,FALSE))))*CL83*(CF83/360))-(CN83/CH83))*CH83)*CL83))</f>
        <v/>
      </c>
      <c r="CR83" s="15" t="str">
        <f>IF(CC83="","",SUM(CQ$4:CQ83))</f>
        <v/>
      </c>
    </row>
    <row r="84" spans="7:96" x14ac:dyDescent="0.25">
      <c r="G84" s="28"/>
      <c r="J84" s="4" t="str">
        <f>IF(K83='Adjustment Surface'!C$8,"",K83)</f>
        <v/>
      </c>
      <c r="K84" s="4" t="str">
        <f>IF(J84="","",IF(J84&lt;'Adjustment Surface'!C$7,EDATE(J$5,COUNT(J$5:J84)),IF(J84='Adjustment Surface'!C$7,'Adjustment Surface'!C$8,'Adjustment Surface'!C$7)))</f>
        <v/>
      </c>
      <c r="L84" s="3" t="str">
        <f t="shared" si="6"/>
        <v/>
      </c>
      <c r="M84" s="5" t="str">
        <f>IF(I84="","",(K84-'Rate &amp; Vol Update'!$C$2)/360)</f>
        <v/>
      </c>
      <c r="N84" s="15" t="str">
        <f>IF(I84="","",IF('Adjustment Surface'!C$3='Data Validation'!$C$2,'Adjustment Surface'!C$4,IF(INDEX(Schedules!$E$3:$E$123,MATCH('Bachelier Model'!J84,Schedules!$B$3:$B$123,0))="",N83,INDEX(Schedules!$E$3:$E$123,MATCH('Bachelier Model'!J84,Schedules!$B$3:$B$123,0)))))</f>
        <v/>
      </c>
      <c r="O84" s="16" t="str">
        <f>IF(I84="","",IF('Adjustment Surface'!C$9='Data Validation'!$D$2,'Adjustment Surface'!C$10,IF(INDEX(Schedules!$H$3:$H$123,MATCH('Bachelier Model'!J84,Schedules!$B$3:$B$123,0))="",O83,INDEX(Schedules!$H$3:$H$123,MATCH('Bachelier Model'!J84,Schedules!$B$3:$B$123,0)))))</f>
        <v/>
      </c>
      <c r="P84" s="16" t="str" cm="1">
        <f t="array" ref="P84">IF(I84="","",FORECAST(J84,INDEX('Rate &amp; Vol Update'!$C$6:$C$127,MATCH(INDEX('Rate &amp; Vol Update'!$B$6:$B$127,MATCH(J84,'Rate &amp; Vol Update'!$B$6:$B$127,1)),'Rate &amp; Vol Update'!$B$6:$B$127,0)+IF('Adjustment Surface'!C$11='Data Validation'!$E$3,-1,0)):INDEX('Rate &amp; Vol Update'!$C$6:$C$127,MATCH(INDEX('Rate &amp; Vol Update'!$B$6:$B$127,MATCH(J84,'Rate &amp; Vol Update'!$B$6:$B$127,1)+1),'Rate &amp; Vol Update'!$B$6:$B$127,0)+IF('Adjustment Surface'!C$11='Data Validation'!$E$3,-1,0)),INDEX('Rate &amp; Vol Update'!$B$6:$B$127,MATCH(J84,'Rate &amp; Vol Update'!$B$6:$B$127,1)):INDEX('Rate &amp; Vol Update'!$B$6:$B$127,MATCH(J84,'Rate &amp; Vol Update'!$B$6:$B$127,1)+1))/100)</f>
        <v/>
      </c>
      <c r="Q84" s="16" t="str" cm="1">
        <f t="array" ref="Q84">IF(I84="","",IF(J84&lt;'Rate &amp; Vol Update'!$C$2,0.001%,(1/((INDEX('Rate &amp; Vol Update'!$E$6:$Z$6,1,MATCH(O84,'Rate &amp; Vol Update'!$E$6:$Z$6,1)+1)-INDEX('Rate &amp; Vol Update'!$E$6:$Z$6,1,MATCH(O84,'Rate &amp; Vol Update'!$E$6:$Z$6,1)))*(INDEX('Rate &amp; Vol Update'!$B$8:$B$127,MATCH(J84,'Rate &amp; Vol Update'!$B$8:$B$127,1)+1)-INDEX('Rate &amp; Vol Update'!$B$8:$B$127,MATCH(J84,'Rate &amp; Vol Update'!$B$8:$B$127,1))))*(INDEX('Rate &amp; Vol Update'!$E$8:$Z$127,MATCH(INDEX('Rate &amp; Vol Update'!$B$8:$B$127,MATCH(J84,'Rate &amp; Vol Update'!$B$8:$B$127,1)),'Rate &amp; Vol Update'!$B$8:$B$127,0),MATCH(INDEX('Rate &amp; Vol Update'!$E$6:$Z$6,1,MATCH(O84,'Rate &amp; Vol Update'!$E$6:$Z$6,1)),'Rate &amp; Vol Update'!$E$6:$Z$6,0))*(INDEX('Rate &amp; Vol Update'!$E$6:$Z$6,1,MATCH(O84,'Rate &amp; Vol Update'!$E$6:$Z$6,1)+1)-O84)*(INDEX('Rate &amp; Vol Update'!$B$8:$B$127,MATCH(J84,'Rate &amp; Vol Update'!$B$8:$B$127,1)+1)-J84)+INDEX('Rate &amp; Vol Update'!$E$8:$Z$127,MATCH(INDEX('Rate &amp; Vol Update'!$B$8:$B$127,MATCH(J84,'Rate &amp; Vol Update'!$B$8:$B$127,1)),'Rate &amp; Vol Update'!$B$8:$B$127,0),MATCH(INDEX('Rate &amp; Vol Update'!$E$6:$Z$6,1,MATCH(O84,'Rate &amp; Vol Update'!$E$6:$Z$6,1)+1),'Rate &amp; Vol Update'!$E$6:$Z$6,0))*(O84-INDEX('Rate &amp; Vol Update'!$E$6:$Z$6,1,MATCH(O84,'Rate &amp; Vol Update'!$E$6:$Z$6,1)))*(INDEX('Rate &amp; Vol Update'!$B$8:$B$127,MATCH(J84,'Rate &amp; Vol Update'!$B$8:$B$127,1)+1)-J84)+INDEX('Rate &amp; Vol Update'!$E$8:$Z$127,MATCH(INDEX('Rate &amp; Vol Update'!$B$8:$B$127,MATCH(J84,'Rate &amp; Vol Update'!$B$8:$B$127,1)+1),'Rate &amp; Vol Update'!$B$8:$B$127,0),MATCH(INDEX('Rate &amp; Vol Update'!$E$6:$Z$6,1,MATCH(O84,'Rate &amp; Vol Update'!$E$6:$Z$6,1)),'Rate &amp; Vol Update'!$E$6:$Z$6,0))*(INDEX('Rate &amp; Vol Update'!$E$6:$Z$6,1,MATCH(O84,'Rate &amp; Vol Update'!$E$6:$Z$6,1)+1)-O84)*(J84-INDEX('Rate &amp; Vol Update'!$B$8:$B$127,MATCH(J84,'Rate &amp; Vol Update'!$B$8:$B$127,1)))+INDEX('Rate &amp; Vol Update'!$E$8:$Z$127,MATCH(INDEX('Rate &amp; Vol Update'!$B$8:$B$127,MATCH(J84,'Rate &amp; Vol Update'!$B$8:$B$127,1)+1),'Rate &amp; Vol Update'!$B$8:$B$127,0),MATCH(INDEX('Rate &amp; Vol Update'!$E$6:$Z$6,1,MATCH(O84,'Rate &amp; Vol Update'!$E$6:$Z$6,1)+1),'Rate &amp; Vol Update'!$E$6:$Z$6,0))*(O84-INDEX('Rate &amp; Vol Update'!$E$6:$Z$6,1,MATCH(O84,'Rate &amp; Vol Update'!$E$6:$Z$6,1)))*(J84-INDEX('Rate &amp; Vol Update'!$B$8:$B$127,MATCH(J84,'Rate &amp; Vol Update'!$B$8:$B$127,1)))))*0.01%))</f>
        <v/>
      </c>
      <c r="R84" s="5" t="str">
        <f>IF(I84="","",1/((1+P84)^((K84-'Rate &amp; Vol Update'!$C$2)/360)))</f>
        <v/>
      </c>
      <c r="T84" s="15" t="str">
        <f>IF(I84="","",IF(J84&lt;'Rate &amp; Vol Update'!$C$2,MAX(0,P84-O84)*(L84/360)*N84,(((IF('Adjustment Surface'!C$2='Data Validation'!$A$2,P84,IF('Adjustment Surface'!C$2='Data Validation'!$A$3,O84,"Unknown Option Type"))-IF('Adjustment Surface'!C$2='Data Validation'!$A$2,O84,IF('Adjustment Surface'!C$2='Data Validation'!$A$3,P84,"Unknown Option Type")))*(NORMDIST((IF('Adjustment Surface'!C$2='Data Validation'!$A$2,P84,IF('Adjustment Surface'!C$2='Data Validation'!$A$3,O84,"Unknown Option Type"))-IF('Adjustment Surface'!C$2='Data Validation'!$A$2,O84,IF('Adjustment Surface'!C$2='Data Validation'!$A$3,P84,"Unknown Option Type")))/(Q84*SQRT(M84)),0,1,TRUE)))+((Q84*SQRT(M84))*(NORMDIST((IF('Adjustment Surface'!C$2='Data Validation'!$A$2,P84,IF('Adjustment Surface'!C$2='Data Validation'!$A$3,O84,"Unknown Option Type"))-IF('Adjustment Surface'!C$2='Data Validation'!$A$2,O84,IF('Adjustment Surface'!C$2='Data Validation'!$A$3,P84,"Unknown Option Type")))/(Q84*SQRT(M84)),0,1,FALSE))))*R84*(L84/360)*N84))</f>
        <v/>
      </c>
      <c r="U84" s="15" t="str">
        <f>IF(I84="","",SUM(T$4:T84))</f>
        <v/>
      </c>
      <c r="W84" s="15" t="str">
        <f>IF(I84="","",IF(J84&lt;'Rate &amp; Vol Update'!$C$2,0,((((((IF('Adjustment Surface'!C$2='Data Validation'!$A$2,P84,IF('Adjustment Surface'!C$2='Data Validation'!$A$3,O84,"Unknown Option Type"))-IF('Adjustment Surface'!C$2='Data Validation'!$A$2,O84,IF('Adjustment Surface'!C$2='Data Validation'!$A$3,P84,"Unknown Option Type")))*(NORMDIST((IF('Adjustment Surface'!C$2='Data Validation'!$A$2,P84,IF('Adjustment Surface'!C$2='Data Validation'!$A$3,O84,"Unknown Option Type"))-IF('Adjustment Surface'!C$2='Data Validation'!$A$2,O84,IF('Adjustment Surface'!C$2='Data Validation'!$A$3,P84,"Unknown Option Type")))/((Q84+0.01%)*SQRT(M84)),0,1,TRUE)))+(((Q84+0.01%)*SQRT(M84))*(NORMDIST((IF('Adjustment Surface'!C$2='Data Validation'!$A$2,P84,IF('Adjustment Surface'!C$2='Data Validation'!$A$3,O84,"Unknown Option Type"))-IF('Adjustment Surface'!C$2='Data Validation'!$A$2,O84,IF('Adjustment Surface'!C$2='Data Validation'!$A$3,P84,"Unknown Option Type")))/((Q84+0.01%)*SQRT(M84)),0,1,FALSE))))*R84*(L84/360))-(T84/N84))*N84)*R84))</f>
        <v/>
      </c>
      <c r="X84" s="15" t="str">
        <f>IF(I84="","",SUM(W$4:W84))</f>
        <v/>
      </c>
      <c r="Y84" s="15"/>
      <c r="Z84" s="20"/>
      <c r="AB84" s="4" t="str">
        <f>IF(AC83=MAX('Adjustment Surface'!$C$14:$F$14),"",AC83)</f>
        <v/>
      </c>
      <c r="AC84" s="4" t="str">
        <f>IF(AB84="","",IF(AB84&lt;EDATE('Adjustment Surface'!$C$6,DATEDIF('Adjustment Surface'!$C$6,MAX('Adjustment Surface'!$C$14:$F$14),"M")),EDATE(AB$5,COUNT(AB$5:AB84)),IF(AB84=EDATE('Adjustment Surface'!$C$6,DATEDIF('Adjustment Surface'!$C$6,MAX('Adjustment Surface'!$C$14:$F$14),"M")),MAX('Adjustment Surface'!$C$14:$F$14),EDATE('Adjustment Surface'!$C$6,DATEDIF('Adjustment Surface'!$C$6,MAX('Adjustment Surface'!$C$14:$F$14),"M")))))</f>
        <v/>
      </c>
      <c r="AD84" s="3" t="str">
        <f t="shared" si="7"/>
        <v/>
      </c>
      <c r="AE84" s="5" t="str">
        <f>IF(AA84="","",(AC84-'Rate &amp; Vol Update'!$C$2)/360)</f>
        <v/>
      </c>
      <c r="AF84" s="15" t="str">
        <f>IF(AA84="","",IF('Adjustment Surface'!$C$3='Data Validation'!$C$2,'Adjustment Surface'!$C$4,_xlfn.IFNA(IF(INDEX(Schedules!$E$3:$E$123,MATCH('Bachelier Model'!AB84,Schedules!$B$3:$B$123,0))="",AF83,INDEX(Schedules!$E$3:$E$123,MATCH('Bachelier Model'!AB84,Schedules!$B$3:$B$123,0))),AF83)))</f>
        <v/>
      </c>
      <c r="AG84" s="16" t="str">
        <f>IF(AA84="","",'Adjustment Surface'!B$15)</f>
        <v/>
      </c>
      <c r="AH84" s="16" t="str" cm="1">
        <f t="array" ref="AH84">IF(AA84="","",FORECAST(AB84,INDEX('Rate &amp; Vol Update'!$C$6:$C$127,MATCH(INDEX('Rate &amp; Vol Update'!$B$6:$B$127,MATCH(AB84,'Rate &amp; Vol Update'!$B$6:$B$127,1)),'Rate &amp; Vol Update'!$B$6:$B$127,0)+IF('Adjustment Surface'!$C$11='Data Validation'!$E$3,-1,0)):INDEX('Rate &amp; Vol Update'!$C$6:$C$127,MATCH(INDEX('Rate &amp; Vol Update'!$B$6:$B$127,MATCH(AB84,'Rate &amp; Vol Update'!$B$6:$B$127,1)+1),'Rate &amp; Vol Update'!$B$6:$B$127,0)+IF('Adjustment Surface'!$C$11='Data Validation'!$E$3,-1,0)),INDEX('Rate &amp; Vol Update'!$B$6:$B$127,MATCH(AB84,'Rate &amp; Vol Update'!$B$6:$B$127,1)):INDEX('Rate &amp; Vol Update'!$B$6:$B$127,MATCH(AB84,'Rate &amp; Vol Update'!$B$6:$B$127,1)+1))/100)</f>
        <v/>
      </c>
      <c r="AI84" s="16" t="str" cm="1">
        <f t="array" ref="AI84">IF(AA84="","",IF(AB84&lt;'Rate &amp; Vol Update'!$C$2,0.001%,(1/((INDEX('Rate &amp; Vol Update'!$E$6:$Z$6,1,MATCH(AG84,'Rate &amp; Vol Update'!$E$6:$Z$6,1)+1)-INDEX('Rate &amp; Vol Update'!$E$6:$Z$6,1,MATCH(AG84,'Rate &amp; Vol Update'!$E$6:$Z$6,1)))*(INDEX('Rate &amp; Vol Update'!$B$8:$B$127,MATCH(AB84,'Rate &amp; Vol Update'!$B$8:$B$127,1)+1)-INDEX('Rate &amp; Vol Update'!$B$8:$B$127,MATCH(AB84,'Rate &amp; Vol Update'!$B$8:$B$127,1))))*(INDEX('Rate &amp; Vol Update'!$E$8:$Z$127,MATCH(INDEX('Rate &amp; Vol Update'!$B$8:$B$127,MATCH(AB84,'Rate &amp; Vol Update'!$B$8:$B$127,1)),'Rate &amp; Vol Update'!$B$8:$B$127,0),MATCH(INDEX('Rate &amp; Vol Update'!$E$6:$Z$6,1,MATCH(AG84,'Rate &amp; Vol Update'!$E$6:$Z$6,1)),'Rate &amp; Vol Update'!$E$6:$Z$6,0))*(INDEX('Rate &amp; Vol Update'!$E$6:$Z$6,1,MATCH(AG84,'Rate &amp; Vol Update'!$E$6:$Z$6,1)+1)-AG84)*(INDEX('Rate &amp; Vol Update'!$B$8:$B$127,MATCH(AB84,'Rate &amp; Vol Update'!$B$8:$B$127,1)+1)-AB84)+INDEX('Rate &amp; Vol Update'!$E$8:$Z$127,MATCH(INDEX('Rate &amp; Vol Update'!$B$8:$B$127,MATCH(AB84,'Rate &amp; Vol Update'!$B$8:$B$127,1)),'Rate &amp; Vol Update'!$B$8:$B$127,0),MATCH(INDEX('Rate &amp; Vol Update'!$E$6:$Z$6,1,MATCH(AG84,'Rate &amp; Vol Update'!$E$6:$Z$6,1)+1),'Rate &amp; Vol Update'!$E$6:$Z$6,0))*(AG84-INDEX('Rate &amp; Vol Update'!$E$6:$Z$6,1,MATCH(AG84,'Rate &amp; Vol Update'!$E$6:$Z$6,1)))*(INDEX('Rate &amp; Vol Update'!$B$8:$B$127,MATCH(AB84,'Rate &amp; Vol Update'!$B$8:$B$127,1)+1)-AB84)+INDEX('Rate &amp; Vol Update'!$E$8:$Z$127,MATCH(INDEX('Rate &amp; Vol Update'!$B$8:$B$127,MATCH(AB84,'Rate &amp; Vol Update'!$B$8:$B$127,1)+1),'Rate &amp; Vol Update'!$B$8:$B$127,0),MATCH(INDEX('Rate &amp; Vol Update'!$E$6:$Z$6,1,MATCH(AG84,'Rate &amp; Vol Update'!$E$6:$Z$6,1)),'Rate &amp; Vol Update'!$E$6:$Z$6,0))*(INDEX('Rate &amp; Vol Update'!$E$6:$Z$6,1,MATCH(AG84,'Rate &amp; Vol Update'!$E$6:$Z$6,1)+1)-AG84)*(AB84-INDEX('Rate &amp; Vol Update'!$B$8:$B$127,MATCH(AB84,'Rate &amp; Vol Update'!$B$8:$B$127,1)))+INDEX('Rate &amp; Vol Update'!$E$8:$Z$127,MATCH(INDEX('Rate &amp; Vol Update'!$B$8:$B$127,MATCH(AB84,'Rate &amp; Vol Update'!$B$8:$B$127,1)+1),'Rate &amp; Vol Update'!$B$8:$B$127,0),MATCH(INDEX('Rate &amp; Vol Update'!$E$6:$Z$6,1,MATCH(AG84,'Rate &amp; Vol Update'!$E$6:$Z$6,1)+1),'Rate &amp; Vol Update'!$E$6:$Z$6,0))*(AG84-INDEX('Rate &amp; Vol Update'!$E$6:$Z$6,1,MATCH(AG84,'Rate &amp; Vol Update'!$E$6:$Z$6,1)))*(AB84-INDEX('Rate &amp; Vol Update'!$B$8:$B$127,MATCH(AB84,'Rate &amp; Vol Update'!$B$8:$B$127,1)))))*0.01%))</f>
        <v/>
      </c>
      <c r="AJ84" s="5" t="str">
        <f>IF(AA84="","",1/((1+AH84)^((AC84-'Rate &amp; Vol Update'!$C$2)/360)))</f>
        <v/>
      </c>
      <c r="AL84" s="15" t="str">
        <f>IF(AA84="","",IF(AB84&lt;'Rate &amp; Vol Update'!$C$2,MAX(0,AH84-AG84)*(AD84/360)*AF84,(((IF('Adjustment Surface'!$C$2='Data Validation'!$A$2,AH84,IF('Adjustment Surface'!$C$2='Data Validation'!$A$3,AG84,"Unknown Option Type"))-IF('Adjustment Surface'!$C$2='Data Validation'!$A$2,AG84,IF('Adjustment Surface'!$C$2='Data Validation'!$A$3,AH84,"Unknown Option Type")))*(NORMDIST((IF('Adjustment Surface'!$C$2='Data Validation'!$A$2,AH84,IF('Adjustment Surface'!$C$2='Data Validation'!$A$3,AG84,"Unknown Option Type"))-IF('Adjustment Surface'!$C$2='Data Validation'!$A$2,AG84,IF('Adjustment Surface'!$C$2='Data Validation'!$A$3,AH84,"Unknown Option Type")))/(AI84*SQRT(AE84)),0,1,TRUE)))+((AI84*SQRT(AE84))*(NORMDIST((IF('Adjustment Surface'!$C$2='Data Validation'!$A$2,AH84,IF('Adjustment Surface'!$C$2='Data Validation'!$A$3,AG84,"Unknown Option Type"))-IF('Adjustment Surface'!$C$2='Data Validation'!$A$2,AG84,IF('Adjustment Surface'!$C$2='Data Validation'!$A$3,AH84,"Unknown Option Type")))/(AI84*SQRT(AE84)),0,1,FALSE))))*AJ84*(AD84/360)*AF84))</f>
        <v/>
      </c>
      <c r="AM84" s="15" t="str">
        <f>IF(AA84="","",SUM(AL$4:AL84))</f>
        <v/>
      </c>
      <c r="AO84" s="15" t="str">
        <f>IF(AA84="","",IF(AB84&lt;'Rate &amp; Vol Update'!$C$2,0,((((((IF('Adjustment Surface'!$C$2='Data Validation'!$A$2,AH84,IF('Adjustment Surface'!$C$2='Data Validation'!$A$3,AG84,"Unknown Option Type"))-IF('Adjustment Surface'!$C$2='Data Validation'!$A$2,AG84,IF('Adjustment Surface'!$C$2='Data Validation'!$A$3,AH84,"Unknown Option Type")))*(NORMDIST((IF('Adjustment Surface'!$C$2='Data Validation'!$A$2,AH84,IF('Adjustment Surface'!$C$2='Data Validation'!$A$3,AG84,"Unknown Option Type"))-IF('Adjustment Surface'!$C$2='Data Validation'!$A$2,AG84,IF('Adjustment Surface'!$C$2='Data Validation'!$A$3,AH84,"Unknown Option Type")))/((AI84+0.01%)*SQRT(AE84)),0,1,TRUE)))+(((AI84+0.01%)*SQRT(AE84))*(NORMDIST((IF('Adjustment Surface'!$C$2='Data Validation'!$A$2,AH84,IF('Adjustment Surface'!$C$2='Data Validation'!$A$3,AG84,"Unknown Option Type"))-IF('Adjustment Surface'!$C$2='Data Validation'!$A$2,AG84,IF('Adjustment Surface'!$C$2='Data Validation'!$A$3,AH84,"Unknown Option Type")))/((AI84+0.01%)*SQRT(AE84)),0,1,FALSE))))*AJ84*(AD84/360))-(AL84/AF84))*AF84)*AJ84))</f>
        <v/>
      </c>
      <c r="AP84" s="15" t="str">
        <f>IF(AA84="","",SUM(AO$4:AO84))</f>
        <v/>
      </c>
      <c r="AQ84" s="15"/>
      <c r="AR84" s="20"/>
      <c r="AT84" s="4" t="str">
        <f>IF(AU83=MAX('Adjustment Surface'!$C$14:$F$14),"",AU83)</f>
        <v/>
      </c>
      <c r="AU84" s="4" t="str">
        <f>IF(AT84="","",IF(AT84&lt;EDATE('Adjustment Surface'!$C$6,DATEDIF('Adjustment Surface'!$C$6,MAX('Adjustment Surface'!$C$14:$F$14),"M")),EDATE(AT$5,COUNT(AT$5:AT84)),IF(AT84=EDATE('Adjustment Surface'!$C$6,DATEDIF('Adjustment Surface'!$C$6,MAX('Adjustment Surface'!$C$14:$F$14),"M")),MAX('Adjustment Surface'!$C$14:$F$14),EDATE('Adjustment Surface'!$C$6,DATEDIF('Adjustment Surface'!$C$6,MAX('Adjustment Surface'!$C$14:$F$14),"M")))))</f>
        <v/>
      </c>
      <c r="AV84" s="3" t="str">
        <f t="shared" si="8"/>
        <v/>
      </c>
      <c r="AW84" s="5" t="str">
        <f>IF(AS84="","",(AU84-'Rate &amp; Vol Update'!$C$2)/360)</f>
        <v/>
      </c>
      <c r="AX84" s="15" t="str">
        <f>IF(AS84="","",IF('Adjustment Surface'!$C$3='Data Validation'!$C$2,'Adjustment Surface'!$C$4,_xlfn.IFNA(IF(INDEX(Schedules!$E$3:$E$123,MATCH('Bachelier Model'!AT84,Schedules!$B$3:$B$123,0))="",AX83,INDEX(Schedules!$E$3:$E$123,MATCH('Bachelier Model'!AT84,Schedules!$B$3:$B$123,0))),AX83)))</f>
        <v/>
      </c>
      <c r="AY84" s="16" t="str">
        <f>IF(AS84="","",'Adjustment Surface'!B$16)</f>
        <v/>
      </c>
      <c r="AZ84" s="16" t="str" cm="1">
        <f t="array" ref="AZ84">IF(AS84="","",FORECAST(AT84,INDEX('Rate &amp; Vol Update'!$C$6:$C$127,MATCH(INDEX('Rate &amp; Vol Update'!$B$6:$B$127,MATCH(AT84,'Rate &amp; Vol Update'!$B$6:$B$127,1)),'Rate &amp; Vol Update'!$B$6:$B$127,0)+IF('Adjustment Surface'!$C$11='Data Validation'!$E$3,-1,0)):INDEX('Rate &amp; Vol Update'!$C$6:$C$127,MATCH(INDEX('Rate &amp; Vol Update'!$B$6:$B$127,MATCH(AT84,'Rate &amp; Vol Update'!$B$6:$B$127,1)+1),'Rate &amp; Vol Update'!$B$6:$B$127,0)+IF('Adjustment Surface'!$C$11='Data Validation'!$E$3,-1,0)),INDEX('Rate &amp; Vol Update'!$B$6:$B$127,MATCH(AT84,'Rate &amp; Vol Update'!$B$6:$B$127,1)):INDEX('Rate &amp; Vol Update'!$B$6:$B$127,MATCH(AT84,'Rate &amp; Vol Update'!$B$6:$B$127,1)+1))/100)</f>
        <v/>
      </c>
      <c r="BA84" s="16" t="str" cm="1">
        <f t="array" ref="BA84">IF(AS84="","",IF(AT84&lt;'Rate &amp; Vol Update'!$C$2,0.001%,(1/((INDEX('Rate &amp; Vol Update'!$E$6:$Z$6,1,MATCH(AY84,'Rate &amp; Vol Update'!$E$6:$Z$6,1)+1)-INDEX('Rate &amp; Vol Update'!$E$6:$Z$6,1,MATCH(AY84,'Rate &amp; Vol Update'!$E$6:$Z$6,1)))*(INDEX('Rate &amp; Vol Update'!$B$8:$B$127,MATCH(AT84,'Rate &amp; Vol Update'!$B$8:$B$127,1)+1)-INDEX('Rate &amp; Vol Update'!$B$8:$B$127,MATCH(AT84,'Rate &amp; Vol Update'!$B$8:$B$127,1))))*(INDEX('Rate &amp; Vol Update'!$E$8:$Z$127,MATCH(INDEX('Rate &amp; Vol Update'!$B$8:$B$127,MATCH(AT84,'Rate &amp; Vol Update'!$B$8:$B$127,1)),'Rate &amp; Vol Update'!$B$8:$B$127,0),MATCH(INDEX('Rate &amp; Vol Update'!$E$6:$Z$6,1,MATCH(AY84,'Rate &amp; Vol Update'!$E$6:$Z$6,1)),'Rate &amp; Vol Update'!$E$6:$Z$6,0))*(INDEX('Rate &amp; Vol Update'!$E$6:$Z$6,1,MATCH(AY84,'Rate &amp; Vol Update'!$E$6:$Z$6,1)+1)-AY84)*(INDEX('Rate &amp; Vol Update'!$B$8:$B$127,MATCH(AT84,'Rate &amp; Vol Update'!$B$8:$B$127,1)+1)-AT84)+INDEX('Rate &amp; Vol Update'!$E$8:$Z$127,MATCH(INDEX('Rate &amp; Vol Update'!$B$8:$B$127,MATCH(AT84,'Rate &amp; Vol Update'!$B$8:$B$127,1)),'Rate &amp; Vol Update'!$B$8:$B$127,0),MATCH(INDEX('Rate &amp; Vol Update'!$E$6:$Z$6,1,MATCH(AY84,'Rate &amp; Vol Update'!$E$6:$Z$6,1)+1),'Rate &amp; Vol Update'!$E$6:$Z$6,0))*(AY84-INDEX('Rate &amp; Vol Update'!$E$6:$Z$6,1,MATCH(AY84,'Rate &amp; Vol Update'!$E$6:$Z$6,1)))*(INDEX('Rate &amp; Vol Update'!$B$8:$B$127,MATCH(AT84,'Rate &amp; Vol Update'!$B$8:$B$127,1)+1)-AT84)+INDEX('Rate &amp; Vol Update'!$E$8:$Z$127,MATCH(INDEX('Rate &amp; Vol Update'!$B$8:$B$127,MATCH(AT84,'Rate &amp; Vol Update'!$B$8:$B$127,1)+1),'Rate &amp; Vol Update'!$B$8:$B$127,0),MATCH(INDEX('Rate &amp; Vol Update'!$E$6:$Z$6,1,MATCH(AY84,'Rate &amp; Vol Update'!$E$6:$Z$6,1)),'Rate &amp; Vol Update'!$E$6:$Z$6,0))*(INDEX('Rate &amp; Vol Update'!$E$6:$Z$6,1,MATCH(AY84,'Rate &amp; Vol Update'!$E$6:$Z$6,1)+1)-AY84)*(AT84-INDEX('Rate &amp; Vol Update'!$B$8:$B$127,MATCH(AT84,'Rate &amp; Vol Update'!$B$8:$B$127,1)))+INDEX('Rate &amp; Vol Update'!$E$8:$Z$127,MATCH(INDEX('Rate &amp; Vol Update'!$B$8:$B$127,MATCH(AT84,'Rate &amp; Vol Update'!$B$8:$B$127,1)+1),'Rate &amp; Vol Update'!$B$8:$B$127,0),MATCH(INDEX('Rate &amp; Vol Update'!$E$6:$Z$6,1,MATCH(AY84,'Rate &amp; Vol Update'!$E$6:$Z$6,1)+1),'Rate &amp; Vol Update'!$E$6:$Z$6,0))*(AY84-INDEX('Rate &amp; Vol Update'!$E$6:$Z$6,1,MATCH(AY84,'Rate &amp; Vol Update'!$E$6:$Z$6,1)))*(AT84-INDEX('Rate &amp; Vol Update'!$B$8:$B$127,MATCH(AT84,'Rate &amp; Vol Update'!$B$8:$B$127,1)))))*0.01%))</f>
        <v/>
      </c>
      <c r="BB84" s="5" t="str">
        <f>IF(AS84="","",1/((1+AZ84)^((AU84-'Rate &amp; Vol Update'!$C$2)/360)))</f>
        <v/>
      </c>
      <c r="BD84" s="15" t="str">
        <f>IF(AS84="","",IF(AT84&lt;'Rate &amp; Vol Update'!$C$2,MAX(0,AZ84-AY84)*(AV84/360)*AX84,(((IF('Adjustment Surface'!$C$2='Data Validation'!$A$2,AZ84,IF('Adjustment Surface'!$C$2='Data Validation'!$A$3,AY84,"Unknown Option Type"))-IF('Adjustment Surface'!$C$2='Data Validation'!$A$2,AY84,IF('Adjustment Surface'!$C$2='Data Validation'!$A$3,AZ84,"Unknown Option Type")))*(NORMDIST((IF('Adjustment Surface'!$C$2='Data Validation'!$A$2,AZ84,IF('Adjustment Surface'!$C$2='Data Validation'!$A$3,AY84,"Unknown Option Type"))-IF('Adjustment Surface'!$C$2='Data Validation'!$A$2,AY84,IF('Adjustment Surface'!$C$2='Data Validation'!$A$3,AZ84,"Unknown Option Type")))/(BA84*SQRT(AW84)),0,1,TRUE)))+((BA84*SQRT(AW84))*(NORMDIST((IF('Adjustment Surface'!$C$2='Data Validation'!$A$2,AZ84,IF('Adjustment Surface'!$C$2='Data Validation'!$A$3,AY84,"Unknown Option Type"))-IF('Adjustment Surface'!$C$2='Data Validation'!$A$2,AY84,IF('Adjustment Surface'!$C$2='Data Validation'!$A$3,AZ84,"Unknown Option Type")))/(BA84*SQRT(AW84)),0,1,FALSE))))*BB84*(AV84/360)*AX84))</f>
        <v/>
      </c>
      <c r="BE84" s="15" t="str">
        <f>IF(AS84="","",SUM(BD$4:BD84))</f>
        <v/>
      </c>
      <c r="BG84" s="15" t="str">
        <f>IF(AS84="","",IF(AT84&lt;'Rate &amp; Vol Update'!$C$2,0,((((((IF('Adjustment Surface'!$C$2='Data Validation'!$A$2,AZ84,IF('Adjustment Surface'!$C$2='Data Validation'!$A$3,AY84,"Unknown Option Type"))-IF('Adjustment Surface'!$C$2='Data Validation'!$A$2,AY84,IF('Adjustment Surface'!$C$2='Data Validation'!$A$3,AZ84,"Unknown Option Type")))*(NORMDIST((IF('Adjustment Surface'!$C$2='Data Validation'!$A$2,AZ84,IF('Adjustment Surface'!$C$2='Data Validation'!$A$3,AY84,"Unknown Option Type"))-IF('Adjustment Surface'!$C$2='Data Validation'!$A$2,AY84,IF('Adjustment Surface'!$C$2='Data Validation'!$A$3,AZ84,"Unknown Option Type")))/((BA84+0.01%)*SQRT(AW84)),0,1,TRUE)))+(((BA84+0.01%)*SQRT(AW84))*(NORMDIST((IF('Adjustment Surface'!$C$2='Data Validation'!$A$2,AZ84,IF('Adjustment Surface'!$C$2='Data Validation'!$A$3,AY84,"Unknown Option Type"))-IF('Adjustment Surface'!$C$2='Data Validation'!$A$2,AY84,IF('Adjustment Surface'!$C$2='Data Validation'!$A$3,AZ84,"Unknown Option Type")))/((BA84+0.01%)*SQRT(AW84)),0,1,FALSE))))*BB84*(AV84/360))-(BD84/AX84))*AX84)*BB84))</f>
        <v/>
      </c>
      <c r="BH84" s="15" t="str">
        <f>IF(AS84="","",SUM(BG$4:BG84))</f>
        <v/>
      </c>
      <c r="BI84" s="15"/>
      <c r="BJ84" s="20"/>
      <c r="BL84" s="4" t="str">
        <f>IF(BM83=MAX('Adjustment Surface'!$C$14:$F$14),"",BM83)</f>
        <v/>
      </c>
      <c r="BM84" s="4" t="str">
        <f>IF(BL84="","",IF(BL84&lt;EDATE('Adjustment Surface'!$C$6,DATEDIF('Adjustment Surface'!$C$6,MAX('Adjustment Surface'!$C$14:$F$14),"M")),EDATE(BL$5,COUNT(BL$5:BL84)),IF(BL84=EDATE('Adjustment Surface'!$C$6,DATEDIF('Adjustment Surface'!$C$6,MAX('Adjustment Surface'!$C$14:$F$14),"M")),MAX('Adjustment Surface'!$C$14:$F$14),EDATE('Adjustment Surface'!$C$6,DATEDIF('Adjustment Surface'!$C$6,MAX('Adjustment Surface'!$C$14:$F$14),"M")))))</f>
        <v/>
      </c>
      <c r="BN84" s="3" t="str">
        <f t="shared" si="9"/>
        <v/>
      </c>
      <c r="BO84" s="5" t="str">
        <f>IF(BK84="","",(BM84-'Rate &amp; Vol Update'!$C$2)/360)</f>
        <v/>
      </c>
      <c r="BP84" s="15" t="str">
        <f>IF(BK84="","",IF('Adjustment Surface'!$C$3='Data Validation'!$C$2,'Adjustment Surface'!$C$4,_xlfn.IFNA(IF(INDEX(Schedules!$E$3:$E$123,MATCH('Bachelier Model'!BL84,Schedules!$B$3:$B$123,0))="",BP83,INDEX(Schedules!$E$3:$E$123,MATCH('Bachelier Model'!BL84,Schedules!$B$3:$B$123,0))),BP83)))</f>
        <v/>
      </c>
      <c r="BQ84" s="16" t="str">
        <f>IF(BK84="","",'Adjustment Surface'!B$17)</f>
        <v/>
      </c>
      <c r="BR84" s="16" t="str" cm="1">
        <f t="array" ref="BR84">IF(BK84="","",FORECAST(BL84,INDEX('Rate &amp; Vol Update'!$C$6:$C$127,MATCH(INDEX('Rate &amp; Vol Update'!$B$6:$B$127,MATCH(BL84,'Rate &amp; Vol Update'!$B$6:$B$127,1)),'Rate &amp; Vol Update'!$B$6:$B$127,0)+IF('Adjustment Surface'!$C$11='Data Validation'!$E$3,-1,0)):INDEX('Rate &amp; Vol Update'!$C$6:$C$127,MATCH(INDEX('Rate &amp; Vol Update'!$B$6:$B$127,MATCH(BL84,'Rate &amp; Vol Update'!$B$6:$B$127,1)+1),'Rate &amp; Vol Update'!$B$6:$B$127,0)+IF('Adjustment Surface'!$C$11='Data Validation'!$E$3,-1,0)),INDEX('Rate &amp; Vol Update'!$B$6:$B$127,MATCH(BL84,'Rate &amp; Vol Update'!$B$6:$B$127,1)):INDEX('Rate &amp; Vol Update'!$B$6:$B$127,MATCH(BL84,'Rate &amp; Vol Update'!$B$6:$B$127,1)+1))/100)</f>
        <v/>
      </c>
      <c r="BS84" s="16" t="str" cm="1">
        <f t="array" ref="BS84">IF(BK84="","",IF(BL84&lt;'Rate &amp; Vol Update'!$C$2,0.001%,(1/((INDEX('Rate &amp; Vol Update'!$E$6:$Z$6,1,MATCH(BQ84,'Rate &amp; Vol Update'!$E$6:$Z$6,1)+1)-INDEX('Rate &amp; Vol Update'!$E$6:$Z$6,1,MATCH(BQ84,'Rate &amp; Vol Update'!$E$6:$Z$6,1)))*(INDEX('Rate &amp; Vol Update'!$B$8:$B$127,MATCH(BL84,'Rate &amp; Vol Update'!$B$8:$B$127,1)+1)-INDEX('Rate &amp; Vol Update'!$B$8:$B$127,MATCH(BL84,'Rate &amp; Vol Update'!$B$8:$B$127,1))))*(INDEX('Rate &amp; Vol Update'!$E$8:$Z$127,MATCH(INDEX('Rate &amp; Vol Update'!$B$8:$B$127,MATCH(BL84,'Rate &amp; Vol Update'!$B$8:$B$127,1)),'Rate &amp; Vol Update'!$B$8:$B$127,0),MATCH(INDEX('Rate &amp; Vol Update'!$E$6:$Z$6,1,MATCH(BQ84,'Rate &amp; Vol Update'!$E$6:$Z$6,1)),'Rate &amp; Vol Update'!$E$6:$Z$6,0))*(INDEX('Rate &amp; Vol Update'!$E$6:$Z$6,1,MATCH(BQ84,'Rate &amp; Vol Update'!$E$6:$Z$6,1)+1)-BQ84)*(INDEX('Rate &amp; Vol Update'!$B$8:$B$127,MATCH(BL84,'Rate &amp; Vol Update'!$B$8:$B$127,1)+1)-BL84)+INDEX('Rate &amp; Vol Update'!$E$8:$Z$127,MATCH(INDEX('Rate &amp; Vol Update'!$B$8:$B$127,MATCH(BL84,'Rate &amp; Vol Update'!$B$8:$B$127,1)),'Rate &amp; Vol Update'!$B$8:$B$127,0),MATCH(INDEX('Rate &amp; Vol Update'!$E$6:$Z$6,1,MATCH(BQ84,'Rate &amp; Vol Update'!$E$6:$Z$6,1)+1),'Rate &amp; Vol Update'!$E$6:$Z$6,0))*(BQ84-INDEX('Rate &amp; Vol Update'!$E$6:$Z$6,1,MATCH(BQ84,'Rate &amp; Vol Update'!$E$6:$Z$6,1)))*(INDEX('Rate &amp; Vol Update'!$B$8:$B$127,MATCH(BL84,'Rate &amp; Vol Update'!$B$8:$B$127,1)+1)-BL84)+INDEX('Rate &amp; Vol Update'!$E$8:$Z$127,MATCH(INDEX('Rate &amp; Vol Update'!$B$8:$B$127,MATCH(BL84,'Rate &amp; Vol Update'!$B$8:$B$127,1)+1),'Rate &amp; Vol Update'!$B$8:$B$127,0),MATCH(INDEX('Rate &amp; Vol Update'!$E$6:$Z$6,1,MATCH(BQ84,'Rate &amp; Vol Update'!$E$6:$Z$6,1)),'Rate &amp; Vol Update'!$E$6:$Z$6,0))*(INDEX('Rate &amp; Vol Update'!$E$6:$Z$6,1,MATCH(BQ84,'Rate &amp; Vol Update'!$E$6:$Z$6,1)+1)-BQ84)*(BL84-INDEX('Rate &amp; Vol Update'!$B$8:$B$127,MATCH(BL84,'Rate &amp; Vol Update'!$B$8:$B$127,1)))+INDEX('Rate &amp; Vol Update'!$E$8:$Z$127,MATCH(INDEX('Rate &amp; Vol Update'!$B$8:$B$127,MATCH(BL84,'Rate &amp; Vol Update'!$B$8:$B$127,1)+1),'Rate &amp; Vol Update'!$B$8:$B$127,0),MATCH(INDEX('Rate &amp; Vol Update'!$E$6:$Z$6,1,MATCH(BQ84,'Rate &amp; Vol Update'!$E$6:$Z$6,1)+1),'Rate &amp; Vol Update'!$E$6:$Z$6,0))*(BQ84-INDEX('Rate &amp; Vol Update'!$E$6:$Z$6,1,MATCH(BQ84,'Rate &amp; Vol Update'!$E$6:$Z$6,1)))*(BL84-INDEX('Rate &amp; Vol Update'!$B$8:$B$127,MATCH(BL84,'Rate &amp; Vol Update'!$B$8:$B$127,1)))))*0.01%))</f>
        <v/>
      </c>
      <c r="BT84" s="5" t="str">
        <f>IF(BK84="","",1/((1+BR84)^((BM84-'Rate &amp; Vol Update'!$C$2)/360)))</f>
        <v/>
      </c>
      <c r="BV84" s="15" t="str">
        <f>IF(BK84="","",IF(BL84&lt;'Rate &amp; Vol Update'!$C$2,MAX(0,BR84-BQ84)*(BN84/360)*BP84,(((IF('Adjustment Surface'!$C$2='Data Validation'!$A$2,BR84,IF('Adjustment Surface'!$C$2='Data Validation'!$A$3,BQ84,"Unknown Option Type"))-IF('Adjustment Surface'!$C$2='Data Validation'!$A$2,BQ84,IF('Adjustment Surface'!$C$2='Data Validation'!$A$3,BR84,"Unknown Option Type")))*(NORMDIST((IF('Adjustment Surface'!$C$2='Data Validation'!$A$2,BR84,IF('Adjustment Surface'!$C$2='Data Validation'!$A$3,BQ84,"Unknown Option Type"))-IF('Adjustment Surface'!$C$2='Data Validation'!$A$2,BQ84,IF('Adjustment Surface'!$C$2='Data Validation'!$A$3,BR84,"Unknown Option Type")))/(BS84*SQRT(BO84)),0,1,TRUE)))+((BS84*SQRT(BO84))*(NORMDIST((IF('Adjustment Surface'!$C$2='Data Validation'!$A$2,BR84,IF('Adjustment Surface'!$C$2='Data Validation'!$A$3,BQ84,"Unknown Option Type"))-IF('Adjustment Surface'!$C$2='Data Validation'!$A$2,BQ84,IF('Adjustment Surface'!$C$2='Data Validation'!$A$3,BR84,"Unknown Option Type")))/(BS84*SQRT(BO84)),0,1,FALSE))))*BT84*(BN84/360)*BP84))</f>
        <v/>
      </c>
      <c r="BW84" s="15" t="str">
        <f>IF(BK84="","",SUM(BV$4:BV84))</f>
        <v/>
      </c>
      <c r="BY84" s="15" t="str">
        <f>IF(BK84="","",IF(BL84&lt;'Rate &amp; Vol Update'!$C$2,0,((((((IF('Adjustment Surface'!$C$2='Data Validation'!$A$2,BR84,IF('Adjustment Surface'!$C$2='Data Validation'!$A$3,BQ84,"Unknown Option Type"))-IF('Adjustment Surface'!$C$2='Data Validation'!$A$2,BQ84,IF('Adjustment Surface'!$C$2='Data Validation'!$A$3,BR84,"Unknown Option Type")))*(NORMDIST((IF('Adjustment Surface'!$C$2='Data Validation'!$A$2,BR84,IF('Adjustment Surface'!$C$2='Data Validation'!$A$3,BQ84,"Unknown Option Type"))-IF('Adjustment Surface'!$C$2='Data Validation'!$A$2,BQ84,IF('Adjustment Surface'!$C$2='Data Validation'!$A$3,BR84,"Unknown Option Type")))/((BS84+0.01%)*SQRT(BO84)),0,1,TRUE)))+(((BS84+0.01%)*SQRT(BO84))*(NORMDIST((IF('Adjustment Surface'!$C$2='Data Validation'!$A$2,BR84,IF('Adjustment Surface'!$C$2='Data Validation'!$A$3,BQ84,"Unknown Option Type"))-IF('Adjustment Surface'!$C$2='Data Validation'!$A$2,BQ84,IF('Adjustment Surface'!$C$2='Data Validation'!$A$3,BR84,"Unknown Option Type")))/((BS84+0.01%)*SQRT(BO84)),0,1,FALSE))))*BT84*(BN84/360))-(BV84/BP84))*BP84)*BT84))</f>
        <v/>
      </c>
      <c r="BZ84" s="15" t="str">
        <f>IF(BK84="","",SUM(BY$4:BY84))</f>
        <v/>
      </c>
      <c r="CA84" s="15"/>
      <c r="CB84" s="20"/>
      <c r="CD84" s="4" t="str">
        <f>IF(CE83=MAX('Adjustment Surface'!$C$14:$F$14),"",CE83)</f>
        <v/>
      </c>
      <c r="CE84" s="4" t="str">
        <f>IF(CD84="","",IF(CD84&lt;EDATE('Adjustment Surface'!$C$6,DATEDIF('Adjustment Surface'!$C$6,MAX('Adjustment Surface'!$C$14:$F$14),"M")),EDATE(CD$5,COUNT(CD$5:CD84)),IF(CD84=EDATE('Adjustment Surface'!$C$6,DATEDIF('Adjustment Surface'!$C$6,MAX('Adjustment Surface'!$C$14:$F$14),"M")),MAX('Adjustment Surface'!$C$14:$F$14),EDATE('Adjustment Surface'!$C$6,DATEDIF('Adjustment Surface'!$C$6,MAX('Adjustment Surface'!$C$14:$F$14),"M")))))</f>
        <v/>
      </c>
      <c r="CF84" s="3" t="str">
        <f t="shared" si="10"/>
        <v/>
      </c>
      <c r="CG84" s="5" t="str">
        <f>IF(CC84="","",(CE84-'Rate &amp; Vol Update'!$C$2)/360)</f>
        <v/>
      </c>
      <c r="CH84" s="15" t="str">
        <f>IF(CC84="","",IF('Adjustment Surface'!$C$3='Data Validation'!$C$2,'Adjustment Surface'!$C$4,_xlfn.IFNA(IF(INDEX(Schedules!$E$3:$E$123,MATCH('Bachelier Model'!CD84,Schedules!$B$3:$B$123,0))="",CH83,INDEX(Schedules!$E$3:$E$123,MATCH('Bachelier Model'!CD84,Schedules!$B$3:$B$123,0))),CH83)))</f>
        <v/>
      </c>
      <c r="CI84" s="16" t="str">
        <f>IF(CC84="","",'Adjustment Surface'!B$18)</f>
        <v/>
      </c>
      <c r="CJ84" s="16" t="str" cm="1">
        <f t="array" ref="CJ84">IF(CC84="","",FORECAST(CD84,INDEX('Rate &amp; Vol Update'!$C$6:$C$127,MATCH(INDEX('Rate &amp; Vol Update'!$B$6:$B$127,MATCH(CD84,'Rate &amp; Vol Update'!$B$6:$B$127,1)),'Rate &amp; Vol Update'!$B$6:$B$127,0)+IF('Adjustment Surface'!$C$11='Data Validation'!$E$3,-1,0)):INDEX('Rate &amp; Vol Update'!$C$6:$C$127,MATCH(INDEX('Rate &amp; Vol Update'!$B$6:$B$127,MATCH(CD84,'Rate &amp; Vol Update'!$B$6:$B$127,1)+1),'Rate &amp; Vol Update'!$B$6:$B$127,0)+IF('Adjustment Surface'!$C$11='Data Validation'!$E$3,-1,0)),INDEX('Rate &amp; Vol Update'!$B$6:$B$127,MATCH(CD84,'Rate &amp; Vol Update'!$B$6:$B$127,1)):INDEX('Rate &amp; Vol Update'!$B$6:$B$127,MATCH(CD84,'Rate &amp; Vol Update'!$B$6:$B$127,1)+1))/100)</f>
        <v/>
      </c>
      <c r="CK84" s="16" t="str" cm="1">
        <f t="array" ref="CK84">IF(CC84="","",IF(CD84&lt;'Rate &amp; Vol Update'!$C$2,0.001%,(1/((INDEX('Rate &amp; Vol Update'!$E$6:$Z$6,1,MATCH(CI84,'Rate &amp; Vol Update'!$E$6:$Z$6,1)+1)-INDEX('Rate &amp; Vol Update'!$E$6:$Z$6,1,MATCH(CI84,'Rate &amp; Vol Update'!$E$6:$Z$6,1)))*(INDEX('Rate &amp; Vol Update'!$B$8:$B$127,MATCH(CD84,'Rate &amp; Vol Update'!$B$8:$B$127,1)+1)-INDEX('Rate &amp; Vol Update'!$B$8:$B$127,MATCH(CD84,'Rate &amp; Vol Update'!$B$8:$B$127,1))))*(INDEX('Rate &amp; Vol Update'!$E$8:$Z$127,MATCH(INDEX('Rate &amp; Vol Update'!$B$8:$B$127,MATCH(CD84,'Rate &amp; Vol Update'!$B$8:$B$127,1)),'Rate &amp; Vol Update'!$B$8:$B$127,0),MATCH(INDEX('Rate &amp; Vol Update'!$E$6:$Z$6,1,MATCH(CI84,'Rate &amp; Vol Update'!$E$6:$Z$6,1)),'Rate &amp; Vol Update'!$E$6:$Z$6,0))*(INDEX('Rate &amp; Vol Update'!$E$6:$Z$6,1,MATCH(CI84,'Rate &amp; Vol Update'!$E$6:$Z$6,1)+1)-CI84)*(INDEX('Rate &amp; Vol Update'!$B$8:$B$127,MATCH(CD84,'Rate &amp; Vol Update'!$B$8:$B$127,1)+1)-CD84)+INDEX('Rate &amp; Vol Update'!$E$8:$Z$127,MATCH(INDEX('Rate &amp; Vol Update'!$B$8:$B$127,MATCH(CD84,'Rate &amp; Vol Update'!$B$8:$B$127,1)),'Rate &amp; Vol Update'!$B$8:$B$127,0),MATCH(INDEX('Rate &amp; Vol Update'!$E$6:$Z$6,1,MATCH(CI84,'Rate &amp; Vol Update'!$E$6:$Z$6,1)+1),'Rate &amp; Vol Update'!$E$6:$Z$6,0))*(CI84-INDEX('Rate &amp; Vol Update'!$E$6:$Z$6,1,MATCH(CI84,'Rate &amp; Vol Update'!$E$6:$Z$6,1)))*(INDEX('Rate &amp; Vol Update'!$B$8:$B$127,MATCH(CD84,'Rate &amp; Vol Update'!$B$8:$B$127,1)+1)-CD84)+INDEX('Rate &amp; Vol Update'!$E$8:$Z$127,MATCH(INDEX('Rate &amp; Vol Update'!$B$8:$B$127,MATCH(CD84,'Rate &amp; Vol Update'!$B$8:$B$127,1)+1),'Rate &amp; Vol Update'!$B$8:$B$127,0),MATCH(INDEX('Rate &amp; Vol Update'!$E$6:$Z$6,1,MATCH(CI84,'Rate &amp; Vol Update'!$E$6:$Z$6,1)),'Rate &amp; Vol Update'!$E$6:$Z$6,0))*(INDEX('Rate &amp; Vol Update'!$E$6:$Z$6,1,MATCH(CI84,'Rate &amp; Vol Update'!$E$6:$Z$6,1)+1)-CI84)*(CD84-INDEX('Rate &amp; Vol Update'!$B$8:$B$127,MATCH(CD84,'Rate &amp; Vol Update'!$B$8:$B$127,1)))+INDEX('Rate &amp; Vol Update'!$E$8:$Z$127,MATCH(INDEX('Rate &amp; Vol Update'!$B$8:$B$127,MATCH(CD84,'Rate &amp; Vol Update'!$B$8:$B$127,1)+1),'Rate &amp; Vol Update'!$B$8:$B$127,0),MATCH(INDEX('Rate &amp; Vol Update'!$E$6:$Z$6,1,MATCH(CI84,'Rate &amp; Vol Update'!$E$6:$Z$6,1)+1),'Rate &amp; Vol Update'!$E$6:$Z$6,0))*(CI84-INDEX('Rate &amp; Vol Update'!$E$6:$Z$6,1,MATCH(CI84,'Rate &amp; Vol Update'!$E$6:$Z$6,1)))*(CD84-INDEX('Rate &amp; Vol Update'!$B$8:$B$127,MATCH(CD84,'Rate &amp; Vol Update'!$B$8:$B$127,1)))))*0.01%))</f>
        <v/>
      </c>
      <c r="CL84" s="5" t="str">
        <f>IF(CC84="","",1/((1+CJ84)^((CE84-'Rate &amp; Vol Update'!$C$2)/360)))</f>
        <v/>
      </c>
      <c r="CN84" s="15" t="str">
        <f>IF(CC84="","",IF(CD84&lt;'Rate &amp; Vol Update'!$C$2,MAX(0,CJ84-CI84)*(CF84/360)*CH84,(((IF('Adjustment Surface'!$C$2='Data Validation'!$A$2,CJ84,IF('Adjustment Surface'!$C$2='Data Validation'!$A$3,CI84,"Unknown Option Type"))-IF('Adjustment Surface'!$C$2='Data Validation'!$A$2,CI84,IF('Adjustment Surface'!$C$2='Data Validation'!$A$3,CJ84,"Unknown Option Type")))*(NORMDIST((IF('Adjustment Surface'!$C$2='Data Validation'!$A$2,CJ84,IF('Adjustment Surface'!$C$2='Data Validation'!$A$3,CI84,"Unknown Option Type"))-IF('Adjustment Surface'!$C$2='Data Validation'!$A$2,CI84,IF('Adjustment Surface'!$C$2='Data Validation'!$A$3,CJ84,"Unknown Option Type")))/(CK84*SQRT(CG84)),0,1,TRUE)))+((CK84*SQRT(CG84))*(NORMDIST((IF('Adjustment Surface'!$C$2='Data Validation'!$A$2,CJ84,IF('Adjustment Surface'!$C$2='Data Validation'!$A$3,CI84,"Unknown Option Type"))-IF('Adjustment Surface'!$C$2='Data Validation'!$A$2,CI84,IF('Adjustment Surface'!$C$2='Data Validation'!$A$3,CJ84,"Unknown Option Type")))/(CK84*SQRT(CG84)),0,1,FALSE))))*CL84*(CF84/360)*CH84))</f>
        <v/>
      </c>
      <c r="CO84" s="15" t="str">
        <f>IF(CC84="","",SUM(CN$4:CN84))</f>
        <v/>
      </c>
      <c r="CQ84" s="15" t="str">
        <f>IF(CC84="","",IF(CD84&lt;'Rate &amp; Vol Update'!$C$2,0,((((((IF('Adjustment Surface'!$C$2='Data Validation'!$A$2,CJ84,IF('Adjustment Surface'!$C$2='Data Validation'!$A$3,CI84,"Unknown Option Type"))-IF('Adjustment Surface'!$C$2='Data Validation'!$A$2,CI84,IF('Adjustment Surface'!$C$2='Data Validation'!$A$3,CJ84,"Unknown Option Type")))*(NORMDIST((IF('Adjustment Surface'!$C$2='Data Validation'!$A$2,CJ84,IF('Adjustment Surface'!$C$2='Data Validation'!$A$3,CI84,"Unknown Option Type"))-IF('Adjustment Surface'!$C$2='Data Validation'!$A$2,CI84,IF('Adjustment Surface'!$C$2='Data Validation'!$A$3,CJ84,"Unknown Option Type")))/((CK84+0.01%)*SQRT(CG84)),0,1,TRUE)))+(((CK84+0.01%)*SQRT(CG84))*(NORMDIST((IF('Adjustment Surface'!$C$2='Data Validation'!$A$2,CJ84,IF('Adjustment Surface'!$C$2='Data Validation'!$A$3,CI84,"Unknown Option Type"))-IF('Adjustment Surface'!$C$2='Data Validation'!$A$2,CI84,IF('Adjustment Surface'!$C$2='Data Validation'!$A$3,CJ84,"Unknown Option Type")))/((CK84+0.01%)*SQRT(CG84)),0,1,FALSE))))*CL84*(CF84/360))-(CN84/CH84))*CH84)*CL84))</f>
        <v/>
      </c>
      <c r="CR84" s="15" t="str">
        <f>IF(CC84="","",SUM(CQ$4:CQ84))</f>
        <v/>
      </c>
    </row>
    <row r="85" spans="7:96" x14ac:dyDescent="0.25">
      <c r="G85" s="28"/>
      <c r="J85" s="4" t="str">
        <f>IF(K84='Adjustment Surface'!C$8,"",K84)</f>
        <v/>
      </c>
      <c r="K85" s="4" t="str">
        <f>IF(J85="","",IF(J85&lt;'Adjustment Surface'!C$7,EDATE(J$5,COUNT(J$5:J85)),IF(J85='Adjustment Surface'!C$7,'Adjustment Surface'!C$8,'Adjustment Surface'!C$7)))</f>
        <v/>
      </c>
      <c r="L85" s="3" t="str">
        <f t="shared" si="6"/>
        <v/>
      </c>
      <c r="M85" s="5" t="str">
        <f>IF(I85="","",(K85-'Rate &amp; Vol Update'!$C$2)/360)</f>
        <v/>
      </c>
      <c r="N85" s="15" t="str">
        <f>IF(I85="","",IF('Adjustment Surface'!C$3='Data Validation'!$C$2,'Adjustment Surface'!C$4,IF(INDEX(Schedules!$E$3:$E$123,MATCH('Bachelier Model'!J85,Schedules!$B$3:$B$123,0))="",N84,INDEX(Schedules!$E$3:$E$123,MATCH('Bachelier Model'!J85,Schedules!$B$3:$B$123,0)))))</f>
        <v/>
      </c>
      <c r="O85" s="16" t="str">
        <f>IF(I85="","",IF('Adjustment Surface'!C$9='Data Validation'!$D$2,'Adjustment Surface'!C$10,IF(INDEX(Schedules!$H$3:$H$123,MATCH('Bachelier Model'!J85,Schedules!$B$3:$B$123,0))="",O84,INDEX(Schedules!$H$3:$H$123,MATCH('Bachelier Model'!J85,Schedules!$B$3:$B$123,0)))))</f>
        <v/>
      </c>
      <c r="P85" s="16" t="str" cm="1">
        <f t="array" ref="P85">IF(I85="","",FORECAST(J85,INDEX('Rate &amp; Vol Update'!$C$6:$C$127,MATCH(INDEX('Rate &amp; Vol Update'!$B$6:$B$127,MATCH(J85,'Rate &amp; Vol Update'!$B$6:$B$127,1)),'Rate &amp; Vol Update'!$B$6:$B$127,0)+IF('Adjustment Surface'!C$11='Data Validation'!$E$3,-1,0)):INDEX('Rate &amp; Vol Update'!$C$6:$C$127,MATCH(INDEX('Rate &amp; Vol Update'!$B$6:$B$127,MATCH(J85,'Rate &amp; Vol Update'!$B$6:$B$127,1)+1),'Rate &amp; Vol Update'!$B$6:$B$127,0)+IF('Adjustment Surface'!C$11='Data Validation'!$E$3,-1,0)),INDEX('Rate &amp; Vol Update'!$B$6:$B$127,MATCH(J85,'Rate &amp; Vol Update'!$B$6:$B$127,1)):INDEX('Rate &amp; Vol Update'!$B$6:$B$127,MATCH(J85,'Rate &amp; Vol Update'!$B$6:$B$127,1)+1))/100)</f>
        <v/>
      </c>
      <c r="Q85" s="16" t="str" cm="1">
        <f t="array" ref="Q85">IF(I85="","",IF(J85&lt;'Rate &amp; Vol Update'!$C$2,0.001%,(1/((INDEX('Rate &amp; Vol Update'!$E$6:$Z$6,1,MATCH(O85,'Rate &amp; Vol Update'!$E$6:$Z$6,1)+1)-INDEX('Rate &amp; Vol Update'!$E$6:$Z$6,1,MATCH(O85,'Rate &amp; Vol Update'!$E$6:$Z$6,1)))*(INDEX('Rate &amp; Vol Update'!$B$8:$B$127,MATCH(J85,'Rate &amp; Vol Update'!$B$8:$B$127,1)+1)-INDEX('Rate &amp; Vol Update'!$B$8:$B$127,MATCH(J85,'Rate &amp; Vol Update'!$B$8:$B$127,1))))*(INDEX('Rate &amp; Vol Update'!$E$8:$Z$127,MATCH(INDEX('Rate &amp; Vol Update'!$B$8:$B$127,MATCH(J85,'Rate &amp; Vol Update'!$B$8:$B$127,1)),'Rate &amp; Vol Update'!$B$8:$B$127,0),MATCH(INDEX('Rate &amp; Vol Update'!$E$6:$Z$6,1,MATCH(O85,'Rate &amp; Vol Update'!$E$6:$Z$6,1)),'Rate &amp; Vol Update'!$E$6:$Z$6,0))*(INDEX('Rate &amp; Vol Update'!$E$6:$Z$6,1,MATCH(O85,'Rate &amp; Vol Update'!$E$6:$Z$6,1)+1)-O85)*(INDEX('Rate &amp; Vol Update'!$B$8:$B$127,MATCH(J85,'Rate &amp; Vol Update'!$B$8:$B$127,1)+1)-J85)+INDEX('Rate &amp; Vol Update'!$E$8:$Z$127,MATCH(INDEX('Rate &amp; Vol Update'!$B$8:$B$127,MATCH(J85,'Rate &amp; Vol Update'!$B$8:$B$127,1)),'Rate &amp; Vol Update'!$B$8:$B$127,0),MATCH(INDEX('Rate &amp; Vol Update'!$E$6:$Z$6,1,MATCH(O85,'Rate &amp; Vol Update'!$E$6:$Z$6,1)+1),'Rate &amp; Vol Update'!$E$6:$Z$6,0))*(O85-INDEX('Rate &amp; Vol Update'!$E$6:$Z$6,1,MATCH(O85,'Rate &amp; Vol Update'!$E$6:$Z$6,1)))*(INDEX('Rate &amp; Vol Update'!$B$8:$B$127,MATCH(J85,'Rate &amp; Vol Update'!$B$8:$B$127,1)+1)-J85)+INDEX('Rate &amp; Vol Update'!$E$8:$Z$127,MATCH(INDEX('Rate &amp; Vol Update'!$B$8:$B$127,MATCH(J85,'Rate &amp; Vol Update'!$B$8:$B$127,1)+1),'Rate &amp; Vol Update'!$B$8:$B$127,0),MATCH(INDEX('Rate &amp; Vol Update'!$E$6:$Z$6,1,MATCH(O85,'Rate &amp; Vol Update'!$E$6:$Z$6,1)),'Rate &amp; Vol Update'!$E$6:$Z$6,0))*(INDEX('Rate &amp; Vol Update'!$E$6:$Z$6,1,MATCH(O85,'Rate &amp; Vol Update'!$E$6:$Z$6,1)+1)-O85)*(J85-INDEX('Rate &amp; Vol Update'!$B$8:$B$127,MATCH(J85,'Rate &amp; Vol Update'!$B$8:$B$127,1)))+INDEX('Rate &amp; Vol Update'!$E$8:$Z$127,MATCH(INDEX('Rate &amp; Vol Update'!$B$8:$B$127,MATCH(J85,'Rate &amp; Vol Update'!$B$8:$B$127,1)+1),'Rate &amp; Vol Update'!$B$8:$B$127,0),MATCH(INDEX('Rate &amp; Vol Update'!$E$6:$Z$6,1,MATCH(O85,'Rate &amp; Vol Update'!$E$6:$Z$6,1)+1),'Rate &amp; Vol Update'!$E$6:$Z$6,0))*(O85-INDEX('Rate &amp; Vol Update'!$E$6:$Z$6,1,MATCH(O85,'Rate &amp; Vol Update'!$E$6:$Z$6,1)))*(J85-INDEX('Rate &amp; Vol Update'!$B$8:$B$127,MATCH(J85,'Rate &amp; Vol Update'!$B$8:$B$127,1)))))*0.01%))</f>
        <v/>
      </c>
      <c r="R85" s="5" t="str">
        <f>IF(I85="","",1/((1+P85)^((K85-'Rate &amp; Vol Update'!$C$2)/360)))</f>
        <v/>
      </c>
      <c r="T85" s="15" t="str">
        <f>IF(I85="","",IF(J85&lt;'Rate &amp; Vol Update'!$C$2,MAX(0,P85-O85)*(L85/360)*N85,(((IF('Adjustment Surface'!C$2='Data Validation'!$A$2,P85,IF('Adjustment Surface'!C$2='Data Validation'!$A$3,O85,"Unknown Option Type"))-IF('Adjustment Surface'!C$2='Data Validation'!$A$2,O85,IF('Adjustment Surface'!C$2='Data Validation'!$A$3,P85,"Unknown Option Type")))*(NORMDIST((IF('Adjustment Surface'!C$2='Data Validation'!$A$2,P85,IF('Adjustment Surface'!C$2='Data Validation'!$A$3,O85,"Unknown Option Type"))-IF('Adjustment Surface'!C$2='Data Validation'!$A$2,O85,IF('Adjustment Surface'!C$2='Data Validation'!$A$3,P85,"Unknown Option Type")))/(Q85*SQRT(M85)),0,1,TRUE)))+((Q85*SQRT(M85))*(NORMDIST((IF('Adjustment Surface'!C$2='Data Validation'!$A$2,P85,IF('Adjustment Surface'!C$2='Data Validation'!$A$3,O85,"Unknown Option Type"))-IF('Adjustment Surface'!C$2='Data Validation'!$A$2,O85,IF('Adjustment Surface'!C$2='Data Validation'!$A$3,P85,"Unknown Option Type")))/(Q85*SQRT(M85)),0,1,FALSE))))*R85*(L85/360)*N85))</f>
        <v/>
      </c>
      <c r="U85" s="15" t="str">
        <f>IF(I85="","",SUM(T$4:T85))</f>
        <v/>
      </c>
      <c r="W85" s="15" t="str">
        <f>IF(I85="","",IF(J85&lt;'Rate &amp; Vol Update'!$C$2,0,((((((IF('Adjustment Surface'!C$2='Data Validation'!$A$2,P85,IF('Adjustment Surface'!C$2='Data Validation'!$A$3,O85,"Unknown Option Type"))-IF('Adjustment Surface'!C$2='Data Validation'!$A$2,O85,IF('Adjustment Surface'!C$2='Data Validation'!$A$3,P85,"Unknown Option Type")))*(NORMDIST((IF('Adjustment Surface'!C$2='Data Validation'!$A$2,P85,IF('Adjustment Surface'!C$2='Data Validation'!$A$3,O85,"Unknown Option Type"))-IF('Adjustment Surface'!C$2='Data Validation'!$A$2,O85,IF('Adjustment Surface'!C$2='Data Validation'!$A$3,P85,"Unknown Option Type")))/((Q85+0.01%)*SQRT(M85)),0,1,TRUE)))+(((Q85+0.01%)*SQRT(M85))*(NORMDIST((IF('Adjustment Surface'!C$2='Data Validation'!$A$2,P85,IF('Adjustment Surface'!C$2='Data Validation'!$A$3,O85,"Unknown Option Type"))-IF('Adjustment Surface'!C$2='Data Validation'!$A$2,O85,IF('Adjustment Surface'!C$2='Data Validation'!$A$3,P85,"Unknown Option Type")))/((Q85+0.01%)*SQRT(M85)),0,1,FALSE))))*R85*(L85/360))-(T85/N85))*N85)*R85))</f>
        <v/>
      </c>
      <c r="X85" s="15" t="str">
        <f>IF(I85="","",SUM(W$4:W85))</f>
        <v/>
      </c>
      <c r="Y85" s="15"/>
      <c r="Z85" s="20"/>
      <c r="AB85" s="4" t="str">
        <f>IF(AC84=MAX('Adjustment Surface'!$C$14:$F$14),"",AC84)</f>
        <v/>
      </c>
      <c r="AC85" s="4" t="str">
        <f>IF(AB85="","",IF(AB85&lt;EDATE('Adjustment Surface'!$C$6,DATEDIF('Adjustment Surface'!$C$6,MAX('Adjustment Surface'!$C$14:$F$14),"M")),EDATE(AB$5,COUNT(AB$5:AB85)),IF(AB85=EDATE('Adjustment Surface'!$C$6,DATEDIF('Adjustment Surface'!$C$6,MAX('Adjustment Surface'!$C$14:$F$14),"M")),MAX('Adjustment Surface'!$C$14:$F$14),EDATE('Adjustment Surface'!$C$6,DATEDIF('Adjustment Surface'!$C$6,MAX('Adjustment Surface'!$C$14:$F$14),"M")))))</f>
        <v/>
      </c>
      <c r="AD85" s="3" t="str">
        <f t="shared" si="7"/>
        <v/>
      </c>
      <c r="AE85" s="5" t="str">
        <f>IF(AA85="","",(AC85-'Rate &amp; Vol Update'!$C$2)/360)</f>
        <v/>
      </c>
      <c r="AF85" s="15" t="str">
        <f>IF(AA85="","",IF('Adjustment Surface'!$C$3='Data Validation'!$C$2,'Adjustment Surface'!$C$4,_xlfn.IFNA(IF(INDEX(Schedules!$E$3:$E$123,MATCH('Bachelier Model'!AB85,Schedules!$B$3:$B$123,0))="",AF84,INDEX(Schedules!$E$3:$E$123,MATCH('Bachelier Model'!AB85,Schedules!$B$3:$B$123,0))),AF84)))</f>
        <v/>
      </c>
      <c r="AG85" s="16" t="str">
        <f>IF(AA85="","",'Adjustment Surface'!B$15)</f>
        <v/>
      </c>
      <c r="AH85" s="16" t="str" cm="1">
        <f t="array" ref="AH85">IF(AA85="","",FORECAST(AB85,INDEX('Rate &amp; Vol Update'!$C$6:$C$127,MATCH(INDEX('Rate &amp; Vol Update'!$B$6:$B$127,MATCH(AB85,'Rate &amp; Vol Update'!$B$6:$B$127,1)),'Rate &amp; Vol Update'!$B$6:$B$127,0)+IF('Adjustment Surface'!$C$11='Data Validation'!$E$3,-1,0)):INDEX('Rate &amp; Vol Update'!$C$6:$C$127,MATCH(INDEX('Rate &amp; Vol Update'!$B$6:$B$127,MATCH(AB85,'Rate &amp; Vol Update'!$B$6:$B$127,1)+1),'Rate &amp; Vol Update'!$B$6:$B$127,0)+IF('Adjustment Surface'!$C$11='Data Validation'!$E$3,-1,0)),INDEX('Rate &amp; Vol Update'!$B$6:$B$127,MATCH(AB85,'Rate &amp; Vol Update'!$B$6:$B$127,1)):INDEX('Rate &amp; Vol Update'!$B$6:$B$127,MATCH(AB85,'Rate &amp; Vol Update'!$B$6:$B$127,1)+1))/100)</f>
        <v/>
      </c>
      <c r="AI85" s="16" t="str" cm="1">
        <f t="array" ref="AI85">IF(AA85="","",IF(AB85&lt;'Rate &amp; Vol Update'!$C$2,0.001%,(1/((INDEX('Rate &amp; Vol Update'!$E$6:$Z$6,1,MATCH(AG85,'Rate &amp; Vol Update'!$E$6:$Z$6,1)+1)-INDEX('Rate &amp; Vol Update'!$E$6:$Z$6,1,MATCH(AG85,'Rate &amp; Vol Update'!$E$6:$Z$6,1)))*(INDEX('Rate &amp; Vol Update'!$B$8:$B$127,MATCH(AB85,'Rate &amp; Vol Update'!$B$8:$B$127,1)+1)-INDEX('Rate &amp; Vol Update'!$B$8:$B$127,MATCH(AB85,'Rate &amp; Vol Update'!$B$8:$B$127,1))))*(INDEX('Rate &amp; Vol Update'!$E$8:$Z$127,MATCH(INDEX('Rate &amp; Vol Update'!$B$8:$B$127,MATCH(AB85,'Rate &amp; Vol Update'!$B$8:$B$127,1)),'Rate &amp; Vol Update'!$B$8:$B$127,0),MATCH(INDEX('Rate &amp; Vol Update'!$E$6:$Z$6,1,MATCH(AG85,'Rate &amp; Vol Update'!$E$6:$Z$6,1)),'Rate &amp; Vol Update'!$E$6:$Z$6,0))*(INDEX('Rate &amp; Vol Update'!$E$6:$Z$6,1,MATCH(AG85,'Rate &amp; Vol Update'!$E$6:$Z$6,1)+1)-AG85)*(INDEX('Rate &amp; Vol Update'!$B$8:$B$127,MATCH(AB85,'Rate &amp; Vol Update'!$B$8:$B$127,1)+1)-AB85)+INDEX('Rate &amp; Vol Update'!$E$8:$Z$127,MATCH(INDEX('Rate &amp; Vol Update'!$B$8:$B$127,MATCH(AB85,'Rate &amp; Vol Update'!$B$8:$B$127,1)),'Rate &amp; Vol Update'!$B$8:$B$127,0),MATCH(INDEX('Rate &amp; Vol Update'!$E$6:$Z$6,1,MATCH(AG85,'Rate &amp; Vol Update'!$E$6:$Z$6,1)+1),'Rate &amp; Vol Update'!$E$6:$Z$6,0))*(AG85-INDEX('Rate &amp; Vol Update'!$E$6:$Z$6,1,MATCH(AG85,'Rate &amp; Vol Update'!$E$6:$Z$6,1)))*(INDEX('Rate &amp; Vol Update'!$B$8:$B$127,MATCH(AB85,'Rate &amp; Vol Update'!$B$8:$B$127,1)+1)-AB85)+INDEX('Rate &amp; Vol Update'!$E$8:$Z$127,MATCH(INDEX('Rate &amp; Vol Update'!$B$8:$B$127,MATCH(AB85,'Rate &amp; Vol Update'!$B$8:$B$127,1)+1),'Rate &amp; Vol Update'!$B$8:$B$127,0),MATCH(INDEX('Rate &amp; Vol Update'!$E$6:$Z$6,1,MATCH(AG85,'Rate &amp; Vol Update'!$E$6:$Z$6,1)),'Rate &amp; Vol Update'!$E$6:$Z$6,0))*(INDEX('Rate &amp; Vol Update'!$E$6:$Z$6,1,MATCH(AG85,'Rate &amp; Vol Update'!$E$6:$Z$6,1)+1)-AG85)*(AB85-INDEX('Rate &amp; Vol Update'!$B$8:$B$127,MATCH(AB85,'Rate &amp; Vol Update'!$B$8:$B$127,1)))+INDEX('Rate &amp; Vol Update'!$E$8:$Z$127,MATCH(INDEX('Rate &amp; Vol Update'!$B$8:$B$127,MATCH(AB85,'Rate &amp; Vol Update'!$B$8:$B$127,1)+1),'Rate &amp; Vol Update'!$B$8:$B$127,0),MATCH(INDEX('Rate &amp; Vol Update'!$E$6:$Z$6,1,MATCH(AG85,'Rate &amp; Vol Update'!$E$6:$Z$6,1)+1),'Rate &amp; Vol Update'!$E$6:$Z$6,0))*(AG85-INDEX('Rate &amp; Vol Update'!$E$6:$Z$6,1,MATCH(AG85,'Rate &amp; Vol Update'!$E$6:$Z$6,1)))*(AB85-INDEX('Rate &amp; Vol Update'!$B$8:$B$127,MATCH(AB85,'Rate &amp; Vol Update'!$B$8:$B$127,1)))))*0.01%))</f>
        <v/>
      </c>
      <c r="AJ85" s="5" t="str">
        <f>IF(AA85="","",1/((1+AH85)^((AC85-'Rate &amp; Vol Update'!$C$2)/360)))</f>
        <v/>
      </c>
      <c r="AL85" s="15" t="str">
        <f>IF(AA85="","",IF(AB85&lt;'Rate &amp; Vol Update'!$C$2,MAX(0,AH85-AG85)*(AD85/360)*AF85,(((IF('Adjustment Surface'!$C$2='Data Validation'!$A$2,AH85,IF('Adjustment Surface'!$C$2='Data Validation'!$A$3,AG85,"Unknown Option Type"))-IF('Adjustment Surface'!$C$2='Data Validation'!$A$2,AG85,IF('Adjustment Surface'!$C$2='Data Validation'!$A$3,AH85,"Unknown Option Type")))*(NORMDIST((IF('Adjustment Surface'!$C$2='Data Validation'!$A$2,AH85,IF('Adjustment Surface'!$C$2='Data Validation'!$A$3,AG85,"Unknown Option Type"))-IF('Adjustment Surface'!$C$2='Data Validation'!$A$2,AG85,IF('Adjustment Surface'!$C$2='Data Validation'!$A$3,AH85,"Unknown Option Type")))/(AI85*SQRT(AE85)),0,1,TRUE)))+((AI85*SQRT(AE85))*(NORMDIST((IF('Adjustment Surface'!$C$2='Data Validation'!$A$2,AH85,IF('Adjustment Surface'!$C$2='Data Validation'!$A$3,AG85,"Unknown Option Type"))-IF('Adjustment Surface'!$C$2='Data Validation'!$A$2,AG85,IF('Adjustment Surface'!$C$2='Data Validation'!$A$3,AH85,"Unknown Option Type")))/(AI85*SQRT(AE85)),0,1,FALSE))))*AJ85*(AD85/360)*AF85))</f>
        <v/>
      </c>
      <c r="AM85" s="15" t="str">
        <f>IF(AA85="","",SUM(AL$4:AL85))</f>
        <v/>
      </c>
      <c r="AO85" s="15" t="str">
        <f>IF(AA85="","",IF(AB85&lt;'Rate &amp; Vol Update'!$C$2,0,((((((IF('Adjustment Surface'!$C$2='Data Validation'!$A$2,AH85,IF('Adjustment Surface'!$C$2='Data Validation'!$A$3,AG85,"Unknown Option Type"))-IF('Adjustment Surface'!$C$2='Data Validation'!$A$2,AG85,IF('Adjustment Surface'!$C$2='Data Validation'!$A$3,AH85,"Unknown Option Type")))*(NORMDIST((IF('Adjustment Surface'!$C$2='Data Validation'!$A$2,AH85,IF('Adjustment Surface'!$C$2='Data Validation'!$A$3,AG85,"Unknown Option Type"))-IF('Adjustment Surface'!$C$2='Data Validation'!$A$2,AG85,IF('Adjustment Surface'!$C$2='Data Validation'!$A$3,AH85,"Unknown Option Type")))/((AI85+0.01%)*SQRT(AE85)),0,1,TRUE)))+(((AI85+0.01%)*SQRT(AE85))*(NORMDIST((IF('Adjustment Surface'!$C$2='Data Validation'!$A$2,AH85,IF('Adjustment Surface'!$C$2='Data Validation'!$A$3,AG85,"Unknown Option Type"))-IF('Adjustment Surface'!$C$2='Data Validation'!$A$2,AG85,IF('Adjustment Surface'!$C$2='Data Validation'!$A$3,AH85,"Unknown Option Type")))/((AI85+0.01%)*SQRT(AE85)),0,1,FALSE))))*AJ85*(AD85/360))-(AL85/AF85))*AF85)*AJ85))</f>
        <v/>
      </c>
      <c r="AP85" s="15" t="str">
        <f>IF(AA85="","",SUM(AO$4:AO85))</f>
        <v/>
      </c>
      <c r="AQ85" s="15"/>
      <c r="AR85" s="20"/>
      <c r="AT85" s="4" t="str">
        <f>IF(AU84=MAX('Adjustment Surface'!$C$14:$F$14),"",AU84)</f>
        <v/>
      </c>
      <c r="AU85" s="4" t="str">
        <f>IF(AT85="","",IF(AT85&lt;EDATE('Adjustment Surface'!$C$6,DATEDIF('Adjustment Surface'!$C$6,MAX('Adjustment Surface'!$C$14:$F$14),"M")),EDATE(AT$5,COUNT(AT$5:AT85)),IF(AT85=EDATE('Adjustment Surface'!$C$6,DATEDIF('Adjustment Surface'!$C$6,MAX('Adjustment Surface'!$C$14:$F$14),"M")),MAX('Adjustment Surface'!$C$14:$F$14),EDATE('Adjustment Surface'!$C$6,DATEDIF('Adjustment Surface'!$C$6,MAX('Adjustment Surface'!$C$14:$F$14),"M")))))</f>
        <v/>
      </c>
      <c r="AV85" s="3" t="str">
        <f t="shared" si="8"/>
        <v/>
      </c>
      <c r="AW85" s="5" t="str">
        <f>IF(AS85="","",(AU85-'Rate &amp; Vol Update'!$C$2)/360)</f>
        <v/>
      </c>
      <c r="AX85" s="15" t="str">
        <f>IF(AS85="","",IF('Adjustment Surface'!$C$3='Data Validation'!$C$2,'Adjustment Surface'!$C$4,_xlfn.IFNA(IF(INDEX(Schedules!$E$3:$E$123,MATCH('Bachelier Model'!AT85,Schedules!$B$3:$B$123,0))="",AX84,INDEX(Schedules!$E$3:$E$123,MATCH('Bachelier Model'!AT85,Schedules!$B$3:$B$123,0))),AX84)))</f>
        <v/>
      </c>
      <c r="AY85" s="16" t="str">
        <f>IF(AS85="","",'Adjustment Surface'!B$16)</f>
        <v/>
      </c>
      <c r="AZ85" s="16" t="str" cm="1">
        <f t="array" ref="AZ85">IF(AS85="","",FORECAST(AT85,INDEX('Rate &amp; Vol Update'!$C$6:$C$127,MATCH(INDEX('Rate &amp; Vol Update'!$B$6:$B$127,MATCH(AT85,'Rate &amp; Vol Update'!$B$6:$B$127,1)),'Rate &amp; Vol Update'!$B$6:$B$127,0)+IF('Adjustment Surface'!$C$11='Data Validation'!$E$3,-1,0)):INDEX('Rate &amp; Vol Update'!$C$6:$C$127,MATCH(INDEX('Rate &amp; Vol Update'!$B$6:$B$127,MATCH(AT85,'Rate &amp; Vol Update'!$B$6:$B$127,1)+1),'Rate &amp; Vol Update'!$B$6:$B$127,0)+IF('Adjustment Surface'!$C$11='Data Validation'!$E$3,-1,0)),INDEX('Rate &amp; Vol Update'!$B$6:$B$127,MATCH(AT85,'Rate &amp; Vol Update'!$B$6:$B$127,1)):INDEX('Rate &amp; Vol Update'!$B$6:$B$127,MATCH(AT85,'Rate &amp; Vol Update'!$B$6:$B$127,1)+1))/100)</f>
        <v/>
      </c>
      <c r="BA85" s="16" t="str" cm="1">
        <f t="array" ref="BA85">IF(AS85="","",IF(AT85&lt;'Rate &amp; Vol Update'!$C$2,0.001%,(1/((INDEX('Rate &amp; Vol Update'!$E$6:$Z$6,1,MATCH(AY85,'Rate &amp; Vol Update'!$E$6:$Z$6,1)+1)-INDEX('Rate &amp; Vol Update'!$E$6:$Z$6,1,MATCH(AY85,'Rate &amp; Vol Update'!$E$6:$Z$6,1)))*(INDEX('Rate &amp; Vol Update'!$B$8:$B$127,MATCH(AT85,'Rate &amp; Vol Update'!$B$8:$B$127,1)+1)-INDEX('Rate &amp; Vol Update'!$B$8:$B$127,MATCH(AT85,'Rate &amp; Vol Update'!$B$8:$B$127,1))))*(INDEX('Rate &amp; Vol Update'!$E$8:$Z$127,MATCH(INDEX('Rate &amp; Vol Update'!$B$8:$B$127,MATCH(AT85,'Rate &amp; Vol Update'!$B$8:$B$127,1)),'Rate &amp; Vol Update'!$B$8:$B$127,0),MATCH(INDEX('Rate &amp; Vol Update'!$E$6:$Z$6,1,MATCH(AY85,'Rate &amp; Vol Update'!$E$6:$Z$6,1)),'Rate &amp; Vol Update'!$E$6:$Z$6,0))*(INDEX('Rate &amp; Vol Update'!$E$6:$Z$6,1,MATCH(AY85,'Rate &amp; Vol Update'!$E$6:$Z$6,1)+1)-AY85)*(INDEX('Rate &amp; Vol Update'!$B$8:$B$127,MATCH(AT85,'Rate &amp; Vol Update'!$B$8:$B$127,1)+1)-AT85)+INDEX('Rate &amp; Vol Update'!$E$8:$Z$127,MATCH(INDEX('Rate &amp; Vol Update'!$B$8:$B$127,MATCH(AT85,'Rate &amp; Vol Update'!$B$8:$B$127,1)),'Rate &amp; Vol Update'!$B$8:$B$127,0),MATCH(INDEX('Rate &amp; Vol Update'!$E$6:$Z$6,1,MATCH(AY85,'Rate &amp; Vol Update'!$E$6:$Z$6,1)+1),'Rate &amp; Vol Update'!$E$6:$Z$6,0))*(AY85-INDEX('Rate &amp; Vol Update'!$E$6:$Z$6,1,MATCH(AY85,'Rate &amp; Vol Update'!$E$6:$Z$6,1)))*(INDEX('Rate &amp; Vol Update'!$B$8:$B$127,MATCH(AT85,'Rate &amp; Vol Update'!$B$8:$B$127,1)+1)-AT85)+INDEX('Rate &amp; Vol Update'!$E$8:$Z$127,MATCH(INDEX('Rate &amp; Vol Update'!$B$8:$B$127,MATCH(AT85,'Rate &amp; Vol Update'!$B$8:$B$127,1)+1),'Rate &amp; Vol Update'!$B$8:$B$127,0),MATCH(INDEX('Rate &amp; Vol Update'!$E$6:$Z$6,1,MATCH(AY85,'Rate &amp; Vol Update'!$E$6:$Z$6,1)),'Rate &amp; Vol Update'!$E$6:$Z$6,0))*(INDEX('Rate &amp; Vol Update'!$E$6:$Z$6,1,MATCH(AY85,'Rate &amp; Vol Update'!$E$6:$Z$6,1)+1)-AY85)*(AT85-INDEX('Rate &amp; Vol Update'!$B$8:$B$127,MATCH(AT85,'Rate &amp; Vol Update'!$B$8:$B$127,1)))+INDEX('Rate &amp; Vol Update'!$E$8:$Z$127,MATCH(INDEX('Rate &amp; Vol Update'!$B$8:$B$127,MATCH(AT85,'Rate &amp; Vol Update'!$B$8:$B$127,1)+1),'Rate &amp; Vol Update'!$B$8:$B$127,0),MATCH(INDEX('Rate &amp; Vol Update'!$E$6:$Z$6,1,MATCH(AY85,'Rate &amp; Vol Update'!$E$6:$Z$6,1)+1),'Rate &amp; Vol Update'!$E$6:$Z$6,0))*(AY85-INDEX('Rate &amp; Vol Update'!$E$6:$Z$6,1,MATCH(AY85,'Rate &amp; Vol Update'!$E$6:$Z$6,1)))*(AT85-INDEX('Rate &amp; Vol Update'!$B$8:$B$127,MATCH(AT85,'Rate &amp; Vol Update'!$B$8:$B$127,1)))))*0.01%))</f>
        <v/>
      </c>
      <c r="BB85" s="5" t="str">
        <f>IF(AS85="","",1/((1+AZ85)^((AU85-'Rate &amp; Vol Update'!$C$2)/360)))</f>
        <v/>
      </c>
      <c r="BD85" s="15" t="str">
        <f>IF(AS85="","",IF(AT85&lt;'Rate &amp; Vol Update'!$C$2,MAX(0,AZ85-AY85)*(AV85/360)*AX85,(((IF('Adjustment Surface'!$C$2='Data Validation'!$A$2,AZ85,IF('Adjustment Surface'!$C$2='Data Validation'!$A$3,AY85,"Unknown Option Type"))-IF('Adjustment Surface'!$C$2='Data Validation'!$A$2,AY85,IF('Adjustment Surface'!$C$2='Data Validation'!$A$3,AZ85,"Unknown Option Type")))*(NORMDIST((IF('Adjustment Surface'!$C$2='Data Validation'!$A$2,AZ85,IF('Adjustment Surface'!$C$2='Data Validation'!$A$3,AY85,"Unknown Option Type"))-IF('Adjustment Surface'!$C$2='Data Validation'!$A$2,AY85,IF('Adjustment Surface'!$C$2='Data Validation'!$A$3,AZ85,"Unknown Option Type")))/(BA85*SQRT(AW85)),0,1,TRUE)))+((BA85*SQRT(AW85))*(NORMDIST((IF('Adjustment Surface'!$C$2='Data Validation'!$A$2,AZ85,IF('Adjustment Surface'!$C$2='Data Validation'!$A$3,AY85,"Unknown Option Type"))-IF('Adjustment Surface'!$C$2='Data Validation'!$A$2,AY85,IF('Adjustment Surface'!$C$2='Data Validation'!$A$3,AZ85,"Unknown Option Type")))/(BA85*SQRT(AW85)),0,1,FALSE))))*BB85*(AV85/360)*AX85))</f>
        <v/>
      </c>
      <c r="BE85" s="15" t="str">
        <f>IF(AS85="","",SUM(BD$4:BD85))</f>
        <v/>
      </c>
      <c r="BG85" s="15" t="str">
        <f>IF(AS85="","",IF(AT85&lt;'Rate &amp; Vol Update'!$C$2,0,((((((IF('Adjustment Surface'!$C$2='Data Validation'!$A$2,AZ85,IF('Adjustment Surface'!$C$2='Data Validation'!$A$3,AY85,"Unknown Option Type"))-IF('Adjustment Surface'!$C$2='Data Validation'!$A$2,AY85,IF('Adjustment Surface'!$C$2='Data Validation'!$A$3,AZ85,"Unknown Option Type")))*(NORMDIST((IF('Adjustment Surface'!$C$2='Data Validation'!$A$2,AZ85,IF('Adjustment Surface'!$C$2='Data Validation'!$A$3,AY85,"Unknown Option Type"))-IF('Adjustment Surface'!$C$2='Data Validation'!$A$2,AY85,IF('Adjustment Surface'!$C$2='Data Validation'!$A$3,AZ85,"Unknown Option Type")))/((BA85+0.01%)*SQRT(AW85)),0,1,TRUE)))+(((BA85+0.01%)*SQRT(AW85))*(NORMDIST((IF('Adjustment Surface'!$C$2='Data Validation'!$A$2,AZ85,IF('Adjustment Surface'!$C$2='Data Validation'!$A$3,AY85,"Unknown Option Type"))-IF('Adjustment Surface'!$C$2='Data Validation'!$A$2,AY85,IF('Adjustment Surface'!$C$2='Data Validation'!$A$3,AZ85,"Unknown Option Type")))/((BA85+0.01%)*SQRT(AW85)),0,1,FALSE))))*BB85*(AV85/360))-(BD85/AX85))*AX85)*BB85))</f>
        <v/>
      </c>
      <c r="BH85" s="15" t="str">
        <f>IF(AS85="","",SUM(BG$4:BG85))</f>
        <v/>
      </c>
      <c r="BI85" s="15"/>
      <c r="BJ85" s="20"/>
      <c r="BL85" s="4" t="str">
        <f>IF(BM84=MAX('Adjustment Surface'!$C$14:$F$14),"",BM84)</f>
        <v/>
      </c>
      <c r="BM85" s="4" t="str">
        <f>IF(BL85="","",IF(BL85&lt;EDATE('Adjustment Surface'!$C$6,DATEDIF('Adjustment Surface'!$C$6,MAX('Adjustment Surface'!$C$14:$F$14),"M")),EDATE(BL$5,COUNT(BL$5:BL85)),IF(BL85=EDATE('Adjustment Surface'!$C$6,DATEDIF('Adjustment Surface'!$C$6,MAX('Adjustment Surface'!$C$14:$F$14),"M")),MAX('Adjustment Surface'!$C$14:$F$14),EDATE('Adjustment Surface'!$C$6,DATEDIF('Adjustment Surface'!$C$6,MAX('Adjustment Surface'!$C$14:$F$14),"M")))))</f>
        <v/>
      </c>
      <c r="BN85" s="3" t="str">
        <f t="shared" si="9"/>
        <v/>
      </c>
      <c r="BO85" s="5" t="str">
        <f>IF(BK85="","",(BM85-'Rate &amp; Vol Update'!$C$2)/360)</f>
        <v/>
      </c>
      <c r="BP85" s="15" t="str">
        <f>IF(BK85="","",IF('Adjustment Surface'!$C$3='Data Validation'!$C$2,'Adjustment Surface'!$C$4,_xlfn.IFNA(IF(INDEX(Schedules!$E$3:$E$123,MATCH('Bachelier Model'!BL85,Schedules!$B$3:$B$123,0))="",BP84,INDEX(Schedules!$E$3:$E$123,MATCH('Bachelier Model'!BL85,Schedules!$B$3:$B$123,0))),BP84)))</f>
        <v/>
      </c>
      <c r="BQ85" s="16" t="str">
        <f>IF(BK85="","",'Adjustment Surface'!B$17)</f>
        <v/>
      </c>
      <c r="BR85" s="16" t="str" cm="1">
        <f t="array" ref="BR85">IF(BK85="","",FORECAST(BL85,INDEX('Rate &amp; Vol Update'!$C$6:$C$127,MATCH(INDEX('Rate &amp; Vol Update'!$B$6:$B$127,MATCH(BL85,'Rate &amp; Vol Update'!$B$6:$B$127,1)),'Rate &amp; Vol Update'!$B$6:$B$127,0)+IF('Adjustment Surface'!$C$11='Data Validation'!$E$3,-1,0)):INDEX('Rate &amp; Vol Update'!$C$6:$C$127,MATCH(INDEX('Rate &amp; Vol Update'!$B$6:$B$127,MATCH(BL85,'Rate &amp; Vol Update'!$B$6:$B$127,1)+1),'Rate &amp; Vol Update'!$B$6:$B$127,0)+IF('Adjustment Surface'!$C$11='Data Validation'!$E$3,-1,0)),INDEX('Rate &amp; Vol Update'!$B$6:$B$127,MATCH(BL85,'Rate &amp; Vol Update'!$B$6:$B$127,1)):INDEX('Rate &amp; Vol Update'!$B$6:$B$127,MATCH(BL85,'Rate &amp; Vol Update'!$B$6:$B$127,1)+1))/100)</f>
        <v/>
      </c>
      <c r="BS85" s="16" t="str" cm="1">
        <f t="array" ref="BS85">IF(BK85="","",IF(BL85&lt;'Rate &amp; Vol Update'!$C$2,0.001%,(1/((INDEX('Rate &amp; Vol Update'!$E$6:$Z$6,1,MATCH(BQ85,'Rate &amp; Vol Update'!$E$6:$Z$6,1)+1)-INDEX('Rate &amp; Vol Update'!$E$6:$Z$6,1,MATCH(BQ85,'Rate &amp; Vol Update'!$E$6:$Z$6,1)))*(INDEX('Rate &amp; Vol Update'!$B$8:$B$127,MATCH(BL85,'Rate &amp; Vol Update'!$B$8:$B$127,1)+1)-INDEX('Rate &amp; Vol Update'!$B$8:$B$127,MATCH(BL85,'Rate &amp; Vol Update'!$B$8:$B$127,1))))*(INDEX('Rate &amp; Vol Update'!$E$8:$Z$127,MATCH(INDEX('Rate &amp; Vol Update'!$B$8:$B$127,MATCH(BL85,'Rate &amp; Vol Update'!$B$8:$B$127,1)),'Rate &amp; Vol Update'!$B$8:$B$127,0),MATCH(INDEX('Rate &amp; Vol Update'!$E$6:$Z$6,1,MATCH(BQ85,'Rate &amp; Vol Update'!$E$6:$Z$6,1)),'Rate &amp; Vol Update'!$E$6:$Z$6,0))*(INDEX('Rate &amp; Vol Update'!$E$6:$Z$6,1,MATCH(BQ85,'Rate &amp; Vol Update'!$E$6:$Z$6,1)+1)-BQ85)*(INDEX('Rate &amp; Vol Update'!$B$8:$B$127,MATCH(BL85,'Rate &amp; Vol Update'!$B$8:$B$127,1)+1)-BL85)+INDEX('Rate &amp; Vol Update'!$E$8:$Z$127,MATCH(INDEX('Rate &amp; Vol Update'!$B$8:$B$127,MATCH(BL85,'Rate &amp; Vol Update'!$B$8:$B$127,1)),'Rate &amp; Vol Update'!$B$8:$B$127,0),MATCH(INDEX('Rate &amp; Vol Update'!$E$6:$Z$6,1,MATCH(BQ85,'Rate &amp; Vol Update'!$E$6:$Z$6,1)+1),'Rate &amp; Vol Update'!$E$6:$Z$6,0))*(BQ85-INDEX('Rate &amp; Vol Update'!$E$6:$Z$6,1,MATCH(BQ85,'Rate &amp; Vol Update'!$E$6:$Z$6,1)))*(INDEX('Rate &amp; Vol Update'!$B$8:$B$127,MATCH(BL85,'Rate &amp; Vol Update'!$B$8:$B$127,1)+1)-BL85)+INDEX('Rate &amp; Vol Update'!$E$8:$Z$127,MATCH(INDEX('Rate &amp; Vol Update'!$B$8:$B$127,MATCH(BL85,'Rate &amp; Vol Update'!$B$8:$B$127,1)+1),'Rate &amp; Vol Update'!$B$8:$B$127,0),MATCH(INDEX('Rate &amp; Vol Update'!$E$6:$Z$6,1,MATCH(BQ85,'Rate &amp; Vol Update'!$E$6:$Z$6,1)),'Rate &amp; Vol Update'!$E$6:$Z$6,0))*(INDEX('Rate &amp; Vol Update'!$E$6:$Z$6,1,MATCH(BQ85,'Rate &amp; Vol Update'!$E$6:$Z$6,1)+1)-BQ85)*(BL85-INDEX('Rate &amp; Vol Update'!$B$8:$B$127,MATCH(BL85,'Rate &amp; Vol Update'!$B$8:$B$127,1)))+INDEX('Rate &amp; Vol Update'!$E$8:$Z$127,MATCH(INDEX('Rate &amp; Vol Update'!$B$8:$B$127,MATCH(BL85,'Rate &amp; Vol Update'!$B$8:$B$127,1)+1),'Rate &amp; Vol Update'!$B$8:$B$127,0),MATCH(INDEX('Rate &amp; Vol Update'!$E$6:$Z$6,1,MATCH(BQ85,'Rate &amp; Vol Update'!$E$6:$Z$6,1)+1),'Rate &amp; Vol Update'!$E$6:$Z$6,0))*(BQ85-INDEX('Rate &amp; Vol Update'!$E$6:$Z$6,1,MATCH(BQ85,'Rate &amp; Vol Update'!$E$6:$Z$6,1)))*(BL85-INDEX('Rate &amp; Vol Update'!$B$8:$B$127,MATCH(BL85,'Rate &amp; Vol Update'!$B$8:$B$127,1)))))*0.01%))</f>
        <v/>
      </c>
      <c r="BT85" s="5" t="str">
        <f>IF(BK85="","",1/((1+BR85)^((BM85-'Rate &amp; Vol Update'!$C$2)/360)))</f>
        <v/>
      </c>
      <c r="BV85" s="15" t="str">
        <f>IF(BK85="","",IF(BL85&lt;'Rate &amp; Vol Update'!$C$2,MAX(0,BR85-BQ85)*(BN85/360)*BP85,(((IF('Adjustment Surface'!$C$2='Data Validation'!$A$2,BR85,IF('Adjustment Surface'!$C$2='Data Validation'!$A$3,BQ85,"Unknown Option Type"))-IF('Adjustment Surface'!$C$2='Data Validation'!$A$2,BQ85,IF('Adjustment Surface'!$C$2='Data Validation'!$A$3,BR85,"Unknown Option Type")))*(NORMDIST((IF('Adjustment Surface'!$C$2='Data Validation'!$A$2,BR85,IF('Adjustment Surface'!$C$2='Data Validation'!$A$3,BQ85,"Unknown Option Type"))-IF('Adjustment Surface'!$C$2='Data Validation'!$A$2,BQ85,IF('Adjustment Surface'!$C$2='Data Validation'!$A$3,BR85,"Unknown Option Type")))/(BS85*SQRT(BO85)),0,1,TRUE)))+((BS85*SQRT(BO85))*(NORMDIST((IF('Adjustment Surface'!$C$2='Data Validation'!$A$2,BR85,IF('Adjustment Surface'!$C$2='Data Validation'!$A$3,BQ85,"Unknown Option Type"))-IF('Adjustment Surface'!$C$2='Data Validation'!$A$2,BQ85,IF('Adjustment Surface'!$C$2='Data Validation'!$A$3,BR85,"Unknown Option Type")))/(BS85*SQRT(BO85)),0,1,FALSE))))*BT85*(BN85/360)*BP85))</f>
        <v/>
      </c>
      <c r="BW85" s="15" t="str">
        <f>IF(BK85="","",SUM(BV$4:BV85))</f>
        <v/>
      </c>
      <c r="BY85" s="15" t="str">
        <f>IF(BK85="","",IF(BL85&lt;'Rate &amp; Vol Update'!$C$2,0,((((((IF('Adjustment Surface'!$C$2='Data Validation'!$A$2,BR85,IF('Adjustment Surface'!$C$2='Data Validation'!$A$3,BQ85,"Unknown Option Type"))-IF('Adjustment Surface'!$C$2='Data Validation'!$A$2,BQ85,IF('Adjustment Surface'!$C$2='Data Validation'!$A$3,BR85,"Unknown Option Type")))*(NORMDIST((IF('Adjustment Surface'!$C$2='Data Validation'!$A$2,BR85,IF('Adjustment Surface'!$C$2='Data Validation'!$A$3,BQ85,"Unknown Option Type"))-IF('Adjustment Surface'!$C$2='Data Validation'!$A$2,BQ85,IF('Adjustment Surface'!$C$2='Data Validation'!$A$3,BR85,"Unknown Option Type")))/((BS85+0.01%)*SQRT(BO85)),0,1,TRUE)))+(((BS85+0.01%)*SQRT(BO85))*(NORMDIST((IF('Adjustment Surface'!$C$2='Data Validation'!$A$2,BR85,IF('Adjustment Surface'!$C$2='Data Validation'!$A$3,BQ85,"Unknown Option Type"))-IF('Adjustment Surface'!$C$2='Data Validation'!$A$2,BQ85,IF('Adjustment Surface'!$C$2='Data Validation'!$A$3,BR85,"Unknown Option Type")))/((BS85+0.01%)*SQRT(BO85)),0,1,FALSE))))*BT85*(BN85/360))-(BV85/BP85))*BP85)*BT85))</f>
        <v/>
      </c>
      <c r="BZ85" s="15" t="str">
        <f>IF(BK85="","",SUM(BY$4:BY85))</f>
        <v/>
      </c>
      <c r="CA85" s="15"/>
      <c r="CB85" s="20"/>
      <c r="CD85" s="4" t="str">
        <f>IF(CE84=MAX('Adjustment Surface'!$C$14:$F$14),"",CE84)</f>
        <v/>
      </c>
      <c r="CE85" s="4" t="str">
        <f>IF(CD85="","",IF(CD85&lt;EDATE('Adjustment Surface'!$C$6,DATEDIF('Adjustment Surface'!$C$6,MAX('Adjustment Surface'!$C$14:$F$14),"M")),EDATE(CD$5,COUNT(CD$5:CD85)),IF(CD85=EDATE('Adjustment Surface'!$C$6,DATEDIF('Adjustment Surface'!$C$6,MAX('Adjustment Surface'!$C$14:$F$14),"M")),MAX('Adjustment Surface'!$C$14:$F$14),EDATE('Adjustment Surface'!$C$6,DATEDIF('Adjustment Surface'!$C$6,MAX('Adjustment Surface'!$C$14:$F$14),"M")))))</f>
        <v/>
      </c>
      <c r="CF85" s="3" t="str">
        <f t="shared" si="10"/>
        <v/>
      </c>
      <c r="CG85" s="5" t="str">
        <f>IF(CC85="","",(CE85-'Rate &amp; Vol Update'!$C$2)/360)</f>
        <v/>
      </c>
      <c r="CH85" s="15" t="str">
        <f>IF(CC85="","",IF('Adjustment Surface'!$C$3='Data Validation'!$C$2,'Adjustment Surface'!$C$4,_xlfn.IFNA(IF(INDEX(Schedules!$E$3:$E$123,MATCH('Bachelier Model'!CD85,Schedules!$B$3:$B$123,0))="",CH84,INDEX(Schedules!$E$3:$E$123,MATCH('Bachelier Model'!CD85,Schedules!$B$3:$B$123,0))),CH84)))</f>
        <v/>
      </c>
      <c r="CI85" s="16" t="str">
        <f>IF(CC85="","",'Adjustment Surface'!B$18)</f>
        <v/>
      </c>
      <c r="CJ85" s="16" t="str" cm="1">
        <f t="array" ref="CJ85">IF(CC85="","",FORECAST(CD85,INDEX('Rate &amp; Vol Update'!$C$6:$C$127,MATCH(INDEX('Rate &amp; Vol Update'!$B$6:$B$127,MATCH(CD85,'Rate &amp; Vol Update'!$B$6:$B$127,1)),'Rate &amp; Vol Update'!$B$6:$B$127,0)+IF('Adjustment Surface'!$C$11='Data Validation'!$E$3,-1,0)):INDEX('Rate &amp; Vol Update'!$C$6:$C$127,MATCH(INDEX('Rate &amp; Vol Update'!$B$6:$B$127,MATCH(CD85,'Rate &amp; Vol Update'!$B$6:$B$127,1)+1),'Rate &amp; Vol Update'!$B$6:$B$127,0)+IF('Adjustment Surface'!$C$11='Data Validation'!$E$3,-1,0)),INDEX('Rate &amp; Vol Update'!$B$6:$B$127,MATCH(CD85,'Rate &amp; Vol Update'!$B$6:$B$127,1)):INDEX('Rate &amp; Vol Update'!$B$6:$B$127,MATCH(CD85,'Rate &amp; Vol Update'!$B$6:$B$127,1)+1))/100)</f>
        <v/>
      </c>
      <c r="CK85" s="16" t="str" cm="1">
        <f t="array" ref="CK85">IF(CC85="","",IF(CD85&lt;'Rate &amp; Vol Update'!$C$2,0.001%,(1/((INDEX('Rate &amp; Vol Update'!$E$6:$Z$6,1,MATCH(CI85,'Rate &amp; Vol Update'!$E$6:$Z$6,1)+1)-INDEX('Rate &amp; Vol Update'!$E$6:$Z$6,1,MATCH(CI85,'Rate &amp; Vol Update'!$E$6:$Z$6,1)))*(INDEX('Rate &amp; Vol Update'!$B$8:$B$127,MATCH(CD85,'Rate &amp; Vol Update'!$B$8:$B$127,1)+1)-INDEX('Rate &amp; Vol Update'!$B$8:$B$127,MATCH(CD85,'Rate &amp; Vol Update'!$B$8:$B$127,1))))*(INDEX('Rate &amp; Vol Update'!$E$8:$Z$127,MATCH(INDEX('Rate &amp; Vol Update'!$B$8:$B$127,MATCH(CD85,'Rate &amp; Vol Update'!$B$8:$B$127,1)),'Rate &amp; Vol Update'!$B$8:$B$127,0),MATCH(INDEX('Rate &amp; Vol Update'!$E$6:$Z$6,1,MATCH(CI85,'Rate &amp; Vol Update'!$E$6:$Z$6,1)),'Rate &amp; Vol Update'!$E$6:$Z$6,0))*(INDEX('Rate &amp; Vol Update'!$E$6:$Z$6,1,MATCH(CI85,'Rate &amp; Vol Update'!$E$6:$Z$6,1)+1)-CI85)*(INDEX('Rate &amp; Vol Update'!$B$8:$B$127,MATCH(CD85,'Rate &amp; Vol Update'!$B$8:$B$127,1)+1)-CD85)+INDEX('Rate &amp; Vol Update'!$E$8:$Z$127,MATCH(INDEX('Rate &amp; Vol Update'!$B$8:$B$127,MATCH(CD85,'Rate &amp; Vol Update'!$B$8:$B$127,1)),'Rate &amp; Vol Update'!$B$8:$B$127,0),MATCH(INDEX('Rate &amp; Vol Update'!$E$6:$Z$6,1,MATCH(CI85,'Rate &amp; Vol Update'!$E$6:$Z$6,1)+1),'Rate &amp; Vol Update'!$E$6:$Z$6,0))*(CI85-INDEX('Rate &amp; Vol Update'!$E$6:$Z$6,1,MATCH(CI85,'Rate &amp; Vol Update'!$E$6:$Z$6,1)))*(INDEX('Rate &amp; Vol Update'!$B$8:$B$127,MATCH(CD85,'Rate &amp; Vol Update'!$B$8:$B$127,1)+1)-CD85)+INDEX('Rate &amp; Vol Update'!$E$8:$Z$127,MATCH(INDEX('Rate &amp; Vol Update'!$B$8:$B$127,MATCH(CD85,'Rate &amp; Vol Update'!$B$8:$B$127,1)+1),'Rate &amp; Vol Update'!$B$8:$B$127,0),MATCH(INDEX('Rate &amp; Vol Update'!$E$6:$Z$6,1,MATCH(CI85,'Rate &amp; Vol Update'!$E$6:$Z$6,1)),'Rate &amp; Vol Update'!$E$6:$Z$6,0))*(INDEX('Rate &amp; Vol Update'!$E$6:$Z$6,1,MATCH(CI85,'Rate &amp; Vol Update'!$E$6:$Z$6,1)+1)-CI85)*(CD85-INDEX('Rate &amp; Vol Update'!$B$8:$B$127,MATCH(CD85,'Rate &amp; Vol Update'!$B$8:$B$127,1)))+INDEX('Rate &amp; Vol Update'!$E$8:$Z$127,MATCH(INDEX('Rate &amp; Vol Update'!$B$8:$B$127,MATCH(CD85,'Rate &amp; Vol Update'!$B$8:$B$127,1)+1),'Rate &amp; Vol Update'!$B$8:$B$127,0),MATCH(INDEX('Rate &amp; Vol Update'!$E$6:$Z$6,1,MATCH(CI85,'Rate &amp; Vol Update'!$E$6:$Z$6,1)+1),'Rate &amp; Vol Update'!$E$6:$Z$6,0))*(CI85-INDEX('Rate &amp; Vol Update'!$E$6:$Z$6,1,MATCH(CI85,'Rate &amp; Vol Update'!$E$6:$Z$6,1)))*(CD85-INDEX('Rate &amp; Vol Update'!$B$8:$B$127,MATCH(CD85,'Rate &amp; Vol Update'!$B$8:$B$127,1)))))*0.01%))</f>
        <v/>
      </c>
      <c r="CL85" s="5" t="str">
        <f>IF(CC85="","",1/((1+CJ85)^((CE85-'Rate &amp; Vol Update'!$C$2)/360)))</f>
        <v/>
      </c>
      <c r="CN85" s="15" t="str">
        <f>IF(CC85="","",IF(CD85&lt;'Rate &amp; Vol Update'!$C$2,MAX(0,CJ85-CI85)*(CF85/360)*CH85,(((IF('Adjustment Surface'!$C$2='Data Validation'!$A$2,CJ85,IF('Adjustment Surface'!$C$2='Data Validation'!$A$3,CI85,"Unknown Option Type"))-IF('Adjustment Surface'!$C$2='Data Validation'!$A$2,CI85,IF('Adjustment Surface'!$C$2='Data Validation'!$A$3,CJ85,"Unknown Option Type")))*(NORMDIST((IF('Adjustment Surface'!$C$2='Data Validation'!$A$2,CJ85,IF('Adjustment Surface'!$C$2='Data Validation'!$A$3,CI85,"Unknown Option Type"))-IF('Adjustment Surface'!$C$2='Data Validation'!$A$2,CI85,IF('Adjustment Surface'!$C$2='Data Validation'!$A$3,CJ85,"Unknown Option Type")))/(CK85*SQRT(CG85)),0,1,TRUE)))+((CK85*SQRT(CG85))*(NORMDIST((IF('Adjustment Surface'!$C$2='Data Validation'!$A$2,CJ85,IF('Adjustment Surface'!$C$2='Data Validation'!$A$3,CI85,"Unknown Option Type"))-IF('Adjustment Surface'!$C$2='Data Validation'!$A$2,CI85,IF('Adjustment Surface'!$C$2='Data Validation'!$A$3,CJ85,"Unknown Option Type")))/(CK85*SQRT(CG85)),0,1,FALSE))))*CL85*(CF85/360)*CH85))</f>
        <v/>
      </c>
      <c r="CO85" s="15" t="str">
        <f>IF(CC85="","",SUM(CN$4:CN85))</f>
        <v/>
      </c>
      <c r="CQ85" s="15" t="str">
        <f>IF(CC85="","",IF(CD85&lt;'Rate &amp; Vol Update'!$C$2,0,((((((IF('Adjustment Surface'!$C$2='Data Validation'!$A$2,CJ85,IF('Adjustment Surface'!$C$2='Data Validation'!$A$3,CI85,"Unknown Option Type"))-IF('Adjustment Surface'!$C$2='Data Validation'!$A$2,CI85,IF('Adjustment Surface'!$C$2='Data Validation'!$A$3,CJ85,"Unknown Option Type")))*(NORMDIST((IF('Adjustment Surface'!$C$2='Data Validation'!$A$2,CJ85,IF('Adjustment Surface'!$C$2='Data Validation'!$A$3,CI85,"Unknown Option Type"))-IF('Adjustment Surface'!$C$2='Data Validation'!$A$2,CI85,IF('Adjustment Surface'!$C$2='Data Validation'!$A$3,CJ85,"Unknown Option Type")))/((CK85+0.01%)*SQRT(CG85)),0,1,TRUE)))+(((CK85+0.01%)*SQRT(CG85))*(NORMDIST((IF('Adjustment Surface'!$C$2='Data Validation'!$A$2,CJ85,IF('Adjustment Surface'!$C$2='Data Validation'!$A$3,CI85,"Unknown Option Type"))-IF('Adjustment Surface'!$C$2='Data Validation'!$A$2,CI85,IF('Adjustment Surface'!$C$2='Data Validation'!$A$3,CJ85,"Unknown Option Type")))/((CK85+0.01%)*SQRT(CG85)),0,1,FALSE))))*CL85*(CF85/360))-(CN85/CH85))*CH85)*CL85))</f>
        <v/>
      </c>
      <c r="CR85" s="15" t="str">
        <f>IF(CC85="","",SUM(CQ$4:CQ85))</f>
        <v/>
      </c>
    </row>
    <row r="86" spans="7:96" x14ac:dyDescent="0.25">
      <c r="G86" s="28"/>
      <c r="J86" s="4" t="str">
        <f>IF(K85='Adjustment Surface'!C$8,"",K85)</f>
        <v/>
      </c>
      <c r="K86" s="4" t="str">
        <f>IF(J86="","",IF(J86&lt;'Adjustment Surface'!C$7,EDATE(J$5,COUNT(J$5:J86)),IF(J86='Adjustment Surface'!C$7,'Adjustment Surface'!C$8,'Adjustment Surface'!C$7)))</f>
        <v/>
      </c>
      <c r="L86" s="3" t="str">
        <f t="shared" si="6"/>
        <v/>
      </c>
      <c r="M86" s="5" t="str">
        <f>IF(I86="","",(K86-'Rate &amp; Vol Update'!$C$2)/360)</f>
        <v/>
      </c>
      <c r="N86" s="15" t="str">
        <f>IF(I86="","",IF('Adjustment Surface'!C$3='Data Validation'!$C$2,'Adjustment Surface'!C$4,IF(INDEX(Schedules!$E$3:$E$123,MATCH('Bachelier Model'!J86,Schedules!$B$3:$B$123,0))="",N85,INDEX(Schedules!$E$3:$E$123,MATCH('Bachelier Model'!J86,Schedules!$B$3:$B$123,0)))))</f>
        <v/>
      </c>
      <c r="O86" s="16" t="str">
        <f>IF(I86="","",IF('Adjustment Surface'!C$9='Data Validation'!$D$2,'Adjustment Surface'!C$10,IF(INDEX(Schedules!$H$3:$H$123,MATCH('Bachelier Model'!J86,Schedules!$B$3:$B$123,0))="",O85,INDEX(Schedules!$H$3:$H$123,MATCH('Bachelier Model'!J86,Schedules!$B$3:$B$123,0)))))</f>
        <v/>
      </c>
      <c r="P86" s="16" t="str" cm="1">
        <f t="array" ref="P86">IF(I86="","",FORECAST(J86,INDEX('Rate &amp; Vol Update'!$C$6:$C$127,MATCH(INDEX('Rate &amp; Vol Update'!$B$6:$B$127,MATCH(J86,'Rate &amp; Vol Update'!$B$6:$B$127,1)),'Rate &amp; Vol Update'!$B$6:$B$127,0)+IF('Adjustment Surface'!C$11='Data Validation'!$E$3,-1,0)):INDEX('Rate &amp; Vol Update'!$C$6:$C$127,MATCH(INDEX('Rate &amp; Vol Update'!$B$6:$B$127,MATCH(J86,'Rate &amp; Vol Update'!$B$6:$B$127,1)+1),'Rate &amp; Vol Update'!$B$6:$B$127,0)+IF('Adjustment Surface'!C$11='Data Validation'!$E$3,-1,0)),INDEX('Rate &amp; Vol Update'!$B$6:$B$127,MATCH(J86,'Rate &amp; Vol Update'!$B$6:$B$127,1)):INDEX('Rate &amp; Vol Update'!$B$6:$B$127,MATCH(J86,'Rate &amp; Vol Update'!$B$6:$B$127,1)+1))/100)</f>
        <v/>
      </c>
      <c r="Q86" s="16" t="str" cm="1">
        <f t="array" ref="Q86">IF(I86="","",IF(J86&lt;'Rate &amp; Vol Update'!$C$2,0.001%,(1/((INDEX('Rate &amp; Vol Update'!$E$6:$Z$6,1,MATCH(O86,'Rate &amp; Vol Update'!$E$6:$Z$6,1)+1)-INDEX('Rate &amp; Vol Update'!$E$6:$Z$6,1,MATCH(O86,'Rate &amp; Vol Update'!$E$6:$Z$6,1)))*(INDEX('Rate &amp; Vol Update'!$B$8:$B$127,MATCH(J86,'Rate &amp; Vol Update'!$B$8:$B$127,1)+1)-INDEX('Rate &amp; Vol Update'!$B$8:$B$127,MATCH(J86,'Rate &amp; Vol Update'!$B$8:$B$127,1))))*(INDEX('Rate &amp; Vol Update'!$E$8:$Z$127,MATCH(INDEX('Rate &amp; Vol Update'!$B$8:$B$127,MATCH(J86,'Rate &amp; Vol Update'!$B$8:$B$127,1)),'Rate &amp; Vol Update'!$B$8:$B$127,0),MATCH(INDEX('Rate &amp; Vol Update'!$E$6:$Z$6,1,MATCH(O86,'Rate &amp; Vol Update'!$E$6:$Z$6,1)),'Rate &amp; Vol Update'!$E$6:$Z$6,0))*(INDEX('Rate &amp; Vol Update'!$E$6:$Z$6,1,MATCH(O86,'Rate &amp; Vol Update'!$E$6:$Z$6,1)+1)-O86)*(INDEX('Rate &amp; Vol Update'!$B$8:$B$127,MATCH(J86,'Rate &amp; Vol Update'!$B$8:$B$127,1)+1)-J86)+INDEX('Rate &amp; Vol Update'!$E$8:$Z$127,MATCH(INDEX('Rate &amp; Vol Update'!$B$8:$B$127,MATCH(J86,'Rate &amp; Vol Update'!$B$8:$B$127,1)),'Rate &amp; Vol Update'!$B$8:$B$127,0),MATCH(INDEX('Rate &amp; Vol Update'!$E$6:$Z$6,1,MATCH(O86,'Rate &amp; Vol Update'!$E$6:$Z$6,1)+1),'Rate &amp; Vol Update'!$E$6:$Z$6,0))*(O86-INDEX('Rate &amp; Vol Update'!$E$6:$Z$6,1,MATCH(O86,'Rate &amp; Vol Update'!$E$6:$Z$6,1)))*(INDEX('Rate &amp; Vol Update'!$B$8:$B$127,MATCH(J86,'Rate &amp; Vol Update'!$B$8:$B$127,1)+1)-J86)+INDEX('Rate &amp; Vol Update'!$E$8:$Z$127,MATCH(INDEX('Rate &amp; Vol Update'!$B$8:$B$127,MATCH(J86,'Rate &amp; Vol Update'!$B$8:$B$127,1)+1),'Rate &amp; Vol Update'!$B$8:$B$127,0),MATCH(INDEX('Rate &amp; Vol Update'!$E$6:$Z$6,1,MATCH(O86,'Rate &amp; Vol Update'!$E$6:$Z$6,1)),'Rate &amp; Vol Update'!$E$6:$Z$6,0))*(INDEX('Rate &amp; Vol Update'!$E$6:$Z$6,1,MATCH(O86,'Rate &amp; Vol Update'!$E$6:$Z$6,1)+1)-O86)*(J86-INDEX('Rate &amp; Vol Update'!$B$8:$B$127,MATCH(J86,'Rate &amp; Vol Update'!$B$8:$B$127,1)))+INDEX('Rate &amp; Vol Update'!$E$8:$Z$127,MATCH(INDEX('Rate &amp; Vol Update'!$B$8:$B$127,MATCH(J86,'Rate &amp; Vol Update'!$B$8:$B$127,1)+1),'Rate &amp; Vol Update'!$B$8:$B$127,0),MATCH(INDEX('Rate &amp; Vol Update'!$E$6:$Z$6,1,MATCH(O86,'Rate &amp; Vol Update'!$E$6:$Z$6,1)+1),'Rate &amp; Vol Update'!$E$6:$Z$6,0))*(O86-INDEX('Rate &amp; Vol Update'!$E$6:$Z$6,1,MATCH(O86,'Rate &amp; Vol Update'!$E$6:$Z$6,1)))*(J86-INDEX('Rate &amp; Vol Update'!$B$8:$B$127,MATCH(J86,'Rate &amp; Vol Update'!$B$8:$B$127,1)))))*0.01%))</f>
        <v/>
      </c>
      <c r="R86" s="5" t="str">
        <f>IF(I86="","",1/((1+P86)^((K86-'Rate &amp; Vol Update'!$C$2)/360)))</f>
        <v/>
      </c>
      <c r="T86" s="15" t="str">
        <f>IF(I86="","",IF(J86&lt;'Rate &amp; Vol Update'!$C$2,MAX(0,P86-O86)*(L86/360)*N86,(((IF('Adjustment Surface'!C$2='Data Validation'!$A$2,P86,IF('Adjustment Surface'!C$2='Data Validation'!$A$3,O86,"Unknown Option Type"))-IF('Adjustment Surface'!C$2='Data Validation'!$A$2,O86,IF('Adjustment Surface'!C$2='Data Validation'!$A$3,P86,"Unknown Option Type")))*(NORMDIST((IF('Adjustment Surface'!C$2='Data Validation'!$A$2,P86,IF('Adjustment Surface'!C$2='Data Validation'!$A$3,O86,"Unknown Option Type"))-IF('Adjustment Surface'!C$2='Data Validation'!$A$2,O86,IF('Adjustment Surface'!C$2='Data Validation'!$A$3,P86,"Unknown Option Type")))/(Q86*SQRT(M86)),0,1,TRUE)))+((Q86*SQRT(M86))*(NORMDIST((IF('Adjustment Surface'!C$2='Data Validation'!$A$2,P86,IF('Adjustment Surface'!C$2='Data Validation'!$A$3,O86,"Unknown Option Type"))-IF('Adjustment Surface'!C$2='Data Validation'!$A$2,O86,IF('Adjustment Surface'!C$2='Data Validation'!$A$3,P86,"Unknown Option Type")))/(Q86*SQRT(M86)),0,1,FALSE))))*R86*(L86/360)*N86))</f>
        <v/>
      </c>
      <c r="U86" s="15" t="str">
        <f>IF(I86="","",SUM(T$4:T86))</f>
        <v/>
      </c>
      <c r="W86" s="15" t="str">
        <f>IF(I86="","",IF(J86&lt;'Rate &amp; Vol Update'!$C$2,0,((((((IF('Adjustment Surface'!C$2='Data Validation'!$A$2,P86,IF('Adjustment Surface'!C$2='Data Validation'!$A$3,O86,"Unknown Option Type"))-IF('Adjustment Surface'!C$2='Data Validation'!$A$2,O86,IF('Adjustment Surface'!C$2='Data Validation'!$A$3,P86,"Unknown Option Type")))*(NORMDIST((IF('Adjustment Surface'!C$2='Data Validation'!$A$2,P86,IF('Adjustment Surface'!C$2='Data Validation'!$A$3,O86,"Unknown Option Type"))-IF('Adjustment Surface'!C$2='Data Validation'!$A$2,O86,IF('Adjustment Surface'!C$2='Data Validation'!$A$3,P86,"Unknown Option Type")))/((Q86+0.01%)*SQRT(M86)),0,1,TRUE)))+(((Q86+0.01%)*SQRT(M86))*(NORMDIST((IF('Adjustment Surface'!C$2='Data Validation'!$A$2,P86,IF('Adjustment Surface'!C$2='Data Validation'!$A$3,O86,"Unknown Option Type"))-IF('Adjustment Surface'!C$2='Data Validation'!$A$2,O86,IF('Adjustment Surface'!C$2='Data Validation'!$A$3,P86,"Unknown Option Type")))/((Q86+0.01%)*SQRT(M86)),0,1,FALSE))))*R86*(L86/360))-(T86/N86))*N86)*R86))</f>
        <v/>
      </c>
      <c r="X86" s="15" t="str">
        <f>IF(I86="","",SUM(W$4:W86))</f>
        <v/>
      </c>
      <c r="Y86" s="15"/>
      <c r="Z86" s="20"/>
      <c r="AB86" s="4" t="str">
        <f>IF(AC85=MAX('Adjustment Surface'!$C$14:$F$14),"",AC85)</f>
        <v/>
      </c>
      <c r="AC86" s="4" t="str">
        <f>IF(AB86="","",IF(AB86&lt;EDATE('Adjustment Surface'!$C$6,DATEDIF('Adjustment Surface'!$C$6,MAX('Adjustment Surface'!$C$14:$F$14),"M")),EDATE(AB$5,COUNT(AB$5:AB86)),IF(AB86=EDATE('Adjustment Surface'!$C$6,DATEDIF('Adjustment Surface'!$C$6,MAX('Adjustment Surface'!$C$14:$F$14),"M")),MAX('Adjustment Surface'!$C$14:$F$14),EDATE('Adjustment Surface'!$C$6,DATEDIF('Adjustment Surface'!$C$6,MAX('Adjustment Surface'!$C$14:$F$14),"M")))))</f>
        <v/>
      </c>
      <c r="AD86" s="3" t="str">
        <f t="shared" si="7"/>
        <v/>
      </c>
      <c r="AE86" s="5" t="str">
        <f>IF(AA86="","",(AC86-'Rate &amp; Vol Update'!$C$2)/360)</f>
        <v/>
      </c>
      <c r="AF86" s="15" t="str">
        <f>IF(AA86="","",IF('Adjustment Surface'!$C$3='Data Validation'!$C$2,'Adjustment Surface'!$C$4,_xlfn.IFNA(IF(INDEX(Schedules!$E$3:$E$123,MATCH('Bachelier Model'!AB86,Schedules!$B$3:$B$123,0))="",AF85,INDEX(Schedules!$E$3:$E$123,MATCH('Bachelier Model'!AB86,Schedules!$B$3:$B$123,0))),AF85)))</f>
        <v/>
      </c>
      <c r="AG86" s="16" t="str">
        <f>IF(AA86="","",'Adjustment Surface'!B$15)</f>
        <v/>
      </c>
      <c r="AH86" s="16" t="str" cm="1">
        <f t="array" ref="AH86">IF(AA86="","",FORECAST(AB86,INDEX('Rate &amp; Vol Update'!$C$6:$C$127,MATCH(INDEX('Rate &amp; Vol Update'!$B$6:$B$127,MATCH(AB86,'Rate &amp; Vol Update'!$B$6:$B$127,1)),'Rate &amp; Vol Update'!$B$6:$B$127,0)+IF('Adjustment Surface'!$C$11='Data Validation'!$E$3,-1,0)):INDEX('Rate &amp; Vol Update'!$C$6:$C$127,MATCH(INDEX('Rate &amp; Vol Update'!$B$6:$B$127,MATCH(AB86,'Rate &amp; Vol Update'!$B$6:$B$127,1)+1),'Rate &amp; Vol Update'!$B$6:$B$127,0)+IF('Adjustment Surface'!$C$11='Data Validation'!$E$3,-1,0)),INDEX('Rate &amp; Vol Update'!$B$6:$B$127,MATCH(AB86,'Rate &amp; Vol Update'!$B$6:$B$127,1)):INDEX('Rate &amp; Vol Update'!$B$6:$B$127,MATCH(AB86,'Rate &amp; Vol Update'!$B$6:$B$127,1)+1))/100)</f>
        <v/>
      </c>
      <c r="AI86" s="16" t="str" cm="1">
        <f t="array" ref="AI86">IF(AA86="","",IF(AB86&lt;'Rate &amp; Vol Update'!$C$2,0.001%,(1/((INDEX('Rate &amp; Vol Update'!$E$6:$Z$6,1,MATCH(AG86,'Rate &amp; Vol Update'!$E$6:$Z$6,1)+1)-INDEX('Rate &amp; Vol Update'!$E$6:$Z$6,1,MATCH(AG86,'Rate &amp; Vol Update'!$E$6:$Z$6,1)))*(INDEX('Rate &amp; Vol Update'!$B$8:$B$127,MATCH(AB86,'Rate &amp; Vol Update'!$B$8:$B$127,1)+1)-INDEX('Rate &amp; Vol Update'!$B$8:$B$127,MATCH(AB86,'Rate &amp; Vol Update'!$B$8:$B$127,1))))*(INDEX('Rate &amp; Vol Update'!$E$8:$Z$127,MATCH(INDEX('Rate &amp; Vol Update'!$B$8:$B$127,MATCH(AB86,'Rate &amp; Vol Update'!$B$8:$B$127,1)),'Rate &amp; Vol Update'!$B$8:$B$127,0),MATCH(INDEX('Rate &amp; Vol Update'!$E$6:$Z$6,1,MATCH(AG86,'Rate &amp; Vol Update'!$E$6:$Z$6,1)),'Rate &amp; Vol Update'!$E$6:$Z$6,0))*(INDEX('Rate &amp; Vol Update'!$E$6:$Z$6,1,MATCH(AG86,'Rate &amp; Vol Update'!$E$6:$Z$6,1)+1)-AG86)*(INDEX('Rate &amp; Vol Update'!$B$8:$B$127,MATCH(AB86,'Rate &amp; Vol Update'!$B$8:$B$127,1)+1)-AB86)+INDEX('Rate &amp; Vol Update'!$E$8:$Z$127,MATCH(INDEX('Rate &amp; Vol Update'!$B$8:$B$127,MATCH(AB86,'Rate &amp; Vol Update'!$B$8:$B$127,1)),'Rate &amp; Vol Update'!$B$8:$B$127,0),MATCH(INDEX('Rate &amp; Vol Update'!$E$6:$Z$6,1,MATCH(AG86,'Rate &amp; Vol Update'!$E$6:$Z$6,1)+1),'Rate &amp; Vol Update'!$E$6:$Z$6,0))*(AG86-INDEX('Rate &amp; Vol Update'!$E$6:$Z$6,1,MATCH(AG86,'Rate &amp; Vol Update'!$E$6:$Z$6,1)))*(INDEX('Rate &amp; Vol Update'!$B$8:$B$127,MATCH(AB86,'Rate &amp; Vol Update'!$B$8:$B$127,1)+1)-AB86)+INDEX('Rate &amp; Vol Update'!$E$8:$Z$127,MATCH(INDEX('Rate &amp; Vol Update'!$B$8:$B$127,MATCH(AB86,'Rate &amp; Vol Update'!$B$8:$B$127,1)+1),'Rate &amp; Vol Update'!$B$8:$B$127,0),MATCH(INDEX('Rate &amp; Vol Update'!$E$6:$Z$6,1,MATCH(AG86,'Rate &amp; Vol Update'!$E$6:$Z$6,1)),'Rate &amp; Vol Update'!$E$6:$Z$6,0))*(INDEX('Rate &amp; Vol Update'!$E$6:$Z$6,1,MATCH(AG86,'Rate &amp; Vol Update'!$E$6:$Z$6,1)+1)-AG86)*(AB86-INDEX('Rate &amp; Vol Update'!$B$8:$B$127,MATCH(AB86,'Rate &amp; Vol Update'!$B$8:$B$127,1)))+INDEX('Rate &amp; Vol Update'!$E$8:$Z$127,MATCH(INDEX('Rate &amp; Vol Update'!$B$8:$B$127,MATCH(AB86,'Rate &amp; Vol Update'!$B$8:$B$127,1)+1),'Rate &amp; Vol Update'!$B$8:$B$127,0),MATCH(INDEX('Rate &amp; Vol Update'!$E$6:$Z$6,1,MATCH(AG86,'Rate &amp; Vol Update'!$E$6:$Z$6,1)+1),'Rate &amp; Vol Update'!$E$6:$Z$6,0))*(AG86-INDEX('Rate &amp; Vol Update'!$E$6:$Z$6,1,MATCH(AG86,'Rate &amp; Vol Update'!$E$6:$Z$6,1)))*(AB86-INDEX('Rate &amp; Vol Update'!$B$8:$B$127,MATCH(AB86,'Rate &amp; Vol Update'!$B$8:$B$127,1)))))*0.01%))</f>
        <v/>
      </c>
      <c r="AJ86" s="5" t="str">
        <f>IF(AA86="","",1/((1+AH86)^((AC86-'Rate &amp; Vol Update'!$C$2)/360)))</f>
        <v/>
      </c>
      <c r="AL86" s="15" t="str">
        <f>IF(AA86="","",IF(AB86&lt;'Rate &amp; Vol Update'!$C$2,MAX(0,AH86-AG86)*(AD86/360)*AF86,(((IF('Adjustment Surface'!$C$2='Data Validation'!$A$2,AH86,IF('Adjustment Surface'!$C$2='Data Validation'!$A$3,AG86,"Unknown Option Type"))-IF('Adjustment Surface'!$C$2='Data Validation'!$A$2,AG86,IF('Adjustment Surface'!$C$2='Data Validation'!$A$3,AH86,"Unknown Option Type")))*(NORMDIST((IF('Adjustment Surface'!$C$2='Data Validation'!$A$2,AH86,IF('Adjustment Surface'!$C$2='Data Validation'!$A$3,AG86,"Unknown Option Type"))-IF('Adjustment Surface'!$C$2='Data Validation'!$A$2,AG86,IF('Adjustment Surface'!$C$2='Data Validation'!$A$3,AH86,"Unknown Option Type")))/(AI86*SQRT(AE86)),0,1,TRUE)))+((AI86*SQRT(AE86))*(NORMDIST((IF('Adjustment Surface'!$C$2='Data Validation'!$A$2,AH86,IF('Adjustment Surface'!$C$2='Data Validation'!$A$3,AG86,"Unknown Option Type"))-IF('Adjustment Surface'!$C$2='Data Validation'!$A$2,AG86,IF('Adjustment Surface'!$C$2='Data Validation'!$A$3,AH86,"Unknown Option Type")))/(AI86*SQRT(AE86)),0,1,FALSE))))*AJ86*(AD86/360)*AF86))</f>
        <v/>
      </c>
      <c r="AM86" s="15" t="str">
        <f>IF(AA86="","",SUM(AL$4:AL86))</f>
        <v/>
      </c>
      <c r="AO86" s="15" t="str">
        <f>IF(AA86="","",IF(AB86&lt;'Rate &amp; Vol Update'!$C$2,0,((((((IF('Adjustment Surface'!$C$2='Data Validation'!$A$2,AH86,IF('Adjustment Surface'!$C$2='Data Validation'!$A$3,AG86,"Unknown Option Type"))-IF('Adjustment Surface'!$C$2='Data Validation'!$A$2,AG86,IF('Adjustment Surface'!$C$2='Data Validation'!$A$3,AH86,"Unknown Option Type")))*(NORMDIST((IF('Adjustment Surface'!$C$2='Data Validation'!$A$2,AH86,IF('Adjustment Surface'!$C$2='Data Validation'!$A$3,AG86,"Unknown Option Type"))-IF('Adjustment Surface'!$C$2='Data Validation'!$A$2,AG86,IF('Adjustment Surface'!$C$2='Data Validation'!$A$3,AH86,"Unknown Option Type")))/((AI86+0.01%)*SQRT(AE86)),0,1,TRUE)))+(((AI86+0.01%)*SQRT(AE86))*(NORMDIST((IF('Adjustment Surface'!$C$2='Data Validation'!$A$2,AH86,IF('Adjustment Surface'!$C$2='Data Validation'!$A$3,AG86,"Unknown Option Type"))-IF('Adjustment Surface'!$C$2='Data Validation'!$A$2,AG86,IF('Adjustment Surface'!$C$2='Data Validation'!$A$3,AH86,"Unknown Option Type")))/((AI86+0.01%)*SQRT(AE86)),0,1,FALSE))))*AJ86*(AD86/360))-(AL86/AF86))*AF86)*AJ86))</f>
        <v/>
      </c>
      <c r="AP86" s="15" t="str">
        <f>IF(AA86="","",SUM(AO$4:AO86))</f>
        <v/>
      </c>
      <c r="AQ86" s="15"/>
      <c r="AR86" s="20"/>
      <c r="AT86" s="4" t="str">
        <f>IF(AU85=MAX('Adjustment Surface'!$C$14:$F$14),"",AU85)</f>
        <v/>
      </c>
      <c r="AU86" s="4" t="str">
        <f>IF(AT86="","",IF(AT86&lt;EDATE('Adjustment Surface'!$C$6,DATEDIF('Adjustment Surface'!$C$6,MAX('Adjustment Surface'!$C$14:$F$14),"M")),EDATE(AT$5,COUNT(AT$5:AT86)),IF(AT86=EDATE('Adjustment Surface'!$C$6,DATEDIF('Adjustment Surface'!$C$6,MAX('Adjustment Surface'!$C$14:$F$14),"M")),MAX('Adjustment Surface'!$C$14:$F$14),EDATE('Adjustment Surface'!$C$6,DATEDIF('Adjustment Surface'!$C$6,MAX('Adjustment Surface'!$C$14:$F$14),"M")))))</f>
        <v/>
      </c>
      <c r="AV86" s="3" t="str">
        <f t="shared" si="8"/>
        <v/>
      </c>
      <c r="AW86" s="5" t="str">
        <f>IF(AS86="","",(AU86-'Rate &amp; Vol Update'!$C$2)/360)</f>
        <v/>
      </c>
      <c r="AX86" s="15" t="str">
        <f>IF(AS86="","",IF('Adjustment Surface'!$C$3='Data Validation'!$C$2,'Adjustment Surface'!$C$4,_xlfn.IFNA(IF(INDEX(Schedules!$E$3:$E$123,MATCH('Bachelier Model'!AT86,Schedules!$B$3:$B$123,0))="",AX85,INDEX(Schedules!$E$3:$E$123,MATCH('Bachelier Model'!AT86,Schedules!$B$3:$B$123,0))),AX85)))</f>
        <v/>
      </c>
      <c r="AY86" s="16" t="str">
        <f>IF(AS86="","",'Adjustment Surface'!B$16)</f>
        <v/>
      </c>
      <c r="AZ86" s="16" t="str" cm="1">
        <f t="array" ref="AZ86">IF(AS86="","",FORECAST(AT86,INDEX('Rate &amp; Vol Update'!$C$6:$C$127,MATCH(INDEX('Rate &amp; Vol Update'!$B$6:$B$127,MATCH(AT86,'Rate &amp; Vol Update'!$B$6:$B$127,1)),'Rate &amp; Vol Update'!$B$6:$B$127,0)+IF('Adjustment Surface'!$C$11='Data Validation'!$E$3,-1,0)):INDEX('Rate &amp; Vol Update'!$C$6:$C$127,MATCH(INDEX('Rate &amp; Vol Update'!$B$6:$B$127,MATCH(AT86,'Rate &amp; Vol Update'!$B$6:$B$127,1)+1),'Rate &amp; Vol Update'!$B$6:$B$127,0)+IF('Adjustment Surface'!$C$11='Data Validation'!$E$3,-1,0)),INDEX('Rate &amp; Vol Update'!$B$6:$B$127,MATCH(AT86,'Rate &amp; Vol Update'!$B$6:$B$127,1)):INDEX('Rate &amp; Vol Update'!$B$6:$B$127,MATCH(AT86,'Rate &amp; Vol Update'!$B$6:$B$127,1)+1))/100)</f>
        <v/>
      </c>
      <c r="BA86" s="16" t="str" cm="1">
        <f t="array" ref="BA86">IF(AS86="","",IF(AT86&lt;'Rate &amp; Vol Update'!$C$2,0.001%,(1/((INDEX('Rate &amp; Vol Update'!$E$6:$Z$6,1,MATCH(AY86,'Rate &amp; Vol Update'!$E$6:$Z$6,1)+1)-INDEX('Rate &amp; Vol Update'!$E$6:$Z$6,1,MATCH(AY86,'Rate &amp; Vol Update'!$E$6:$Z$6,1)))*(INDEX('Rate &amp; Vol Update'!$B$8:$B$127,MATCH(AT86,'Rate &amp; Vol Update'!$B$8:$B$127,1)+1)-INDEX('Rate &amp; Vol Update'!$B$8:$B$127,MATCH(AT86,'Rate &amp; Vol Update'!$B$8:$B$127,1))))*(INDEX('Rate &amp; Vol Update'!$E$8:$Z$127,MATCH(INDEX('Rate &amp; Vol Update'!$B$8:$B$127,MATCH(AT86,'Rate &amp; Vol Update'!$B$8:$B$127,1)),'Rate &amp; Vol Update'!$B$8:$B$127,0),MATCH(INDEX('Rate &amp; Vol Update'!$E$6:$Z$6,1,MATCH(AY86,'Rate &amp; Vol Update'!$E$6:$Z$6,1)),'Rate &amp; Vol Update'!$E$6:$Z$6,0))*(INDEX('Rate &amp; Vol Update'!$E$6:$Z$6,1,MATCH(AY86,'Rate &amp; Vol Update'!$E$6:$Z$6,1)+1)-AY86)*(INDEX('Rate &amp; Vol Update'!$B$8:$B$127,MATCH(AT86,'Rate &amp; Vol Update'!$B$8:$B$127,1)+1)-AT86)+INDEX('Rate &amp; Vol Update'!$E$8:$Z$127,MATCH(INDEX('Rate &amp; Vol Update'!$B$8:$B$127,MATCH(AT86,'Rate &amp; Vol Update'!$B$8:$B$127,1)),'Rate &amp; Vol Update'!$B$8:$B$127,0),MATCH(INDEX('Rate &amp; Vol Update'!$E$6:$Z$6,1,MATCH(AY86,'Rate &amp; Vol Update'!$E$6:$Z$6,1)+1),'Rate &amp; Vol Update'!$E$6:$Z$6,0))*(AY86-INDEX('Rate &amp; Vol Update'!$E$6:$Z$6,1,MATCH(AY86,'Rate &amp; Vol Update'!$E$6:$Z$6,1)))*(INDEX('Rate &amp; Vol Update'!$B$8:$B$127,MATCH(AT86,'Rate &amp; Vol Update'!$B$8:$B$127,1)+1)-AT86)+INDEX('Rate &amp; Vol Update'!$E$8:$Z$127,MATCH(INDEX('Rate &amp; Vol Update'!$B$8:$B$127,MATCH(AT86,'Rate &amp; Vol Update'!$B$8:$B$127,1)+1),'Rate &amp; Vol Update'!$B$8:$B$127,0),MATCH(INDEX('Rate &amp; Vol Update'!$E$6:$Z$6,1,MATCH(AY86,'Rate &amp; Vol Update'!$E$6:$Z$6,1)),'Rate &amp; Vol Update'!$E$6:$Z$6,0))*(INDEX('Rate &amp; Vol Update'!$E$6:$Z$6,1,MATCH(AY86,'Rate &amp; Vol Update'!$E$6:$Z$6,1)+1)-AY86)*(AT86-INDEX('Rate &amp; Vol Update'!$B$8:$B$127,MATCH(AT86,'Rate &amp; Vol Update'!$B$8:$B$127,1)))+INDEX('Rate &amp; Vol Update'!$E$8:$Z$127,MATCH(INDEX('Rate &amp; Vol Update'!$B$8:$B$127,MATCH(AT86,'Rate &amp; Vol Update'!$B$8:$B$127,1)+1),'Rate &amp; Vol Update'!$B$8:$B$127,0),MATCH(INDEX('Rate &amp; Vol Update'!$E$6:$Z$6,1,MATCH(AY86,'Rate &amp; Vol Update'!$E$6:$Z$6,1)+1),'Rate &amp; Vol Update'!$E$6:$Z$6,0))*(AY86-INDEX('Rate &amp; Vol Update'!$E$6:$Z$6,1,MATCH(AY86,'Rate &amp; Vol Update'!$E$6:$Z$6,1)))*(AT86-INDEX('Rate &amp; Vol Update'!$B$8:$B$127,MATCH(AT86,'Rate &amp; Vol Update'!$B$8:$B$127,1)))))*0.01%))</f>
        <v/>
      </c>
      <c r="BB86" s="5" t="str">
        <f>IF(AS86="","",1/((1+AZ86)^((AU86-'Rate &amp; Vol Update'!$C$2)/360)))</f>
        <v/>
      </c>
      <c r="BD86" s="15" t="str">
        <f>IF(AS86="","",IF(AT86&lt;'Rate &amp; Vol Update'!$C$2,MAX(0,AZ86-AY86)*(AV86/360)*AX86,(((IF('Adjustment Surface'!$C$2='Data Validation'!$A$2,AZ86,IF('Adjustment Surface'!$C$2='Data Validation'!$A$3,AY86,"Unknown Option Type"))-IF('Adjustment Surface'!$C$2='Data Validation'!$A$2,AY86,IF('Adjustment Surface'!$C$2='Data Validation'!$A$3,AZ86,"Unknown Option Type")))*(NORMDIST((IF('Adjustment Surface'!$C$2='Data Validation'!$A$2,AZ86,IF('Adjustment Surface'!$C$2='Data Validation'!$A$3,AY86,"Unknown Option Type"))-IF('Adjustment Surface'!$C$2='Data Validation'!$A$2,AY86,IF('Adjustment Surface'!$C$2='Data Validation'!$A$3,AZ86,"Unknown Option Type")))/(BA86*SQRT(AW86)),0,1,TRUE)))+((BA86*SQRT(AW86))*(NORMDIST((IF('Adjustment Surface'!$C$2='Data Validation'!$A$2,AZ86,IF('Adjustment Surface'!$C$2='Data Validation'!$A$3,AY86,"Unknown Option Type"))-IF('Adjustment Surface'!$C$2='Data Validation'!$A$2,AY86,IF('Adjustment Surface'!$C$2='Data Validation'!$A$3,AZ86,"Unknown Option Type")))/(BA86*SQRT(AW86)),0,1,FALSE))))*BB86*(AV86/360)*AX86))</f>
        <v/>
      </c>
      <c r="BE86" s="15" t="str">
        <f>IF(AS86="","",SUM(BD$4:BD86))</f>
        <v/>
      </c>
      <c r="BG86" s="15" t="str">
        <f>IF(AS86="","",IF(AT86&lt;'Rate &amp; Vol Update'!$C$2,0,((((((IF('Adjustment Surface'!$C$2='Data Validation'!$A$2,AZ86,IF('Adjustment Surface'!$C$2='Data Validation'!$A$3,AY86,"Unknown Option Type"))-IF('Adjustment Surface'!$C$2='Data Validation'!$A$2,AY86,IF('Adjustment Surface'!$C$2='Data Validation'!$A$3,AZ86,"Unknown Option Type")))*(NORMDIST((IF('Adjustment Surface'!$C$2='Data Validation'!$A$2,AZ86,IF('Adjustment Surface'!$C$2='Data Validation'!$A$3,AY86,"Unknown Option Type"))-IF('Adjustment Surface'!$C$2='Data Validation'!$A$2,AY86,IF('Adjustment Surface'!$C$2='Data Validation'!$A$3,AZ86,"Unknown Option Type")))/((BA86+0.01%)*SQRT(AW86)),0,1,TRUE)))+(((BA86+0.01%)*SQRT(AW86))*(NORMDIST((IF('Adjustment Surface'!$C$2='Data Validation'!$A$2,AZ86,IF('Adjustment Surface'!$C$2='Data Validation'!$A$3,AY86,"Unknown Option Type"))-IF('Adjustment Surface'!$C$2='Data Validation'!$A$2,AY86,IF('Adjustment Surface'!$C$2='Data Validation'!$A$3,AZ86,"Unknown Option Type")))/((BA86+0.01%)*SQRT(AW86)),0,1,FALSE))))*BB86*(AV86/360))-(BD86/AX86))*AX86)*BB86))</f>
        <v/>
      </c>
      <c r="BH86" s="15" t="str">
        <f>IF(AS86="","",SUM(BG$4:BG86))</f>
        <v/>
      </c>
      <c r="BI86" s="15"/>
      <c r="BJ86" s="20"/>
      <c r="BL86" s="4" t="str">
        <f>IF(BM85=MAX('Adjustment Surface'!$C$14:$F$14),"",BM85)</f>
        <v/>
      </c>
      <c r="BM86" s="4" t="str">
        <f>IF(BL86="","",IF(BL86&lt;EDATE('Adjustment Surface'!$C$6,DATEDIF('Adjustment Surface'!$C$6,MAX('Adjustment Surface'!$C$14:$F$14),"M")),EDATE(BL$5,COUNT(BL$5:BL86)),IF(BL86=EDATE('Adjustment Surface'!$C$6,DATEDIF('Adjustment Surface'!$C$6,MAX('Adjustment Surface'!$C$14:$F$14),"M")),MAX('Adjustment Surface'!$C$14:$F$14),EDATE('Adjustment Surface'!$C$6,DATEDIF('Adjustment Surface'!$C$6,MAX('Adjustment Surface'!$C$14:$F$14),"M")))))</f>
        <v/>
      </c>
      <c r="BN86" s="3" t="str">
        <f t="shared" si="9"/>
        <v/>
      </c>
      <c r="BO86" s="5" t="str">
        <f>IF(BK86="","",(BM86-'Rate &amp; Vol Update'!$C$2)/360)</f>
        <v/>
      </c>
      <c r="BP86" s="15" t="str">
        <f>IF(BK86="","",IF('Adjustment Surface'!$C$3='Data Validation'!$C$2,'Adjustment Surface'!$C$4,_xlfn.IFNA(IF(INDEX(Schedules!$E$3:$E$123,MATCH('Bachelier Model'!BL86,Schedules!$B$3:$B$123,0))="",BP85,INDEX(Schedules!$E$3:$E$123,MATCH('Bachelier Model'!BL86,Schedules!$B$3:$B$123,0))),BP85)))</f>
        <v/>
      </c>
      <c r="BQ86" s="16" t="str">
        <f>IF(BK86="","",'Adjustment Surface'!B$17)</f>
        <v/>
      </c>
      <c r="BR86" s="16" t="str" cm="1">
        <f t="array" ref="BR86">IF(BK86="","",FORECAST(BL86,INDEX('Rate &amp; Vol Update'!$C$6:$C$127,MATCH(INDEX('Rate &amp; Vol Update'!$B$6:$B$127,MATCH(BL86,'Rate &amp; Vol Update'!$B$6:$B$127,1)),'Rate &amp; Vol Update'!$B$6:$B$127,0)+IF('Adjustment Surface'!$C$11='Data Validation'!$E$3,-1,0)):INDEX('Rate &amp; Vol Update'!$C$6:$C$127,MATCH(INDEX('Rate &amp; Vol Update'!$B$6:$B$127,MATCH(BL86,'Rate &amp; Vol Update'!$B$6:$B$127,1)+1),'Rate &amp; Vol Update'!$B$6:$B$127,0)+IF('Adjustment Surface'!$C$11='Data Validation'!$E$3,-1,0)),INDEX('Rate &amp; Vol Update'!$B$6:$B$127,MATCH(BL86,'Rate &amp; Vol Update'!$B$6:$B$127,1)):INDEX('Rate &amp; Vol Update'!$B$6:$B$127,MATCH(BL86,'Rate &amp; Vol Update'!$B$6:$B$127,1)+1))/100)</f>
        <v/>
      </c>
      <c r="BS86" s="16" t="str" cm="1">
        <f t="array" ref="BS86">IF(BK86="","",IF(BL86&lt;'Rate &amp; Vol Update'!$C$2,0.001%,(1/((INDEX('Rate &amp; Vol Update'!$E$6:$Z$6,1,MATCH(BQ86,'Rate &amp; Vol Update'!$E$6:$Z$6,1)+1)-INDEX('Rate &amp; Vol Update'!$E$6:$Z$6,1,MATCH(BQ86,'Rate &amp; Vol Update'!$E$6:$Z$6,1)))*(INDEX('Rate &amp; Vol Update'!$B$8:$B$127,MATCH(BL86,'Rate &amp; Vol Update'!$B$8:$B$127,1)+1)-INDEX('Rate &amp; Vol Update'!$B$8:$B$127,MATCH(BL86,'Rate &amp; Vol Update'!$B$8:$B$127,1))))*(INDEX('Rate &amp; Vol Update'!$E$8:$Z$127,MATCH(INDEX('Rate &amp; Vol Update'!$B$8:$B$127,MATCH(BL86,'Rate &amp; Vol Update'!$B$8:$B$127,1)),'Rate &amp; Vol Update'!$B$8:$B$127,0),MATCH(INDEX('Rate &amp; Vol Update'!$E$6:$Z$6,1,MATCH(BQ86,'Rate &amp; Vol Update'!$E$6:$Z$6,1)),'Rate &amp; Vol Update'!$E$6:$Z$6,0))*(INDEX('Rate &amp; Vol Update'!$E$6:$Z$6,1,MATCH(BQ86,'Rate &amp; Vol Update'!$E$6:$Z$6,1)+1)-BQ86)*(INDEX('Rate &amp; Vol Update'!$B$8:$B$127,MATCH(BL86,'Rate &amp; Vol Update'!$B$8:$B$127,1)+1)-BL86)+INDEX('Rate &amp; Vol Update'!$E$8:$Z$127,MATCH(INDEX('Rate &amp; Vol Update'!$B$8:$B$127,MATCH(BL86,'Rate &amp; Vol Update'!$B$8:$B$127,1)),'Rate &amp; Vol Update'!$B$8:$B$127,0),MATCH(INDEX('Rate &amp; Vol Update'!$E$6:$Z$6,1,MATCH(BQ86,'Rate &amp; Vol Update'!$E$6:$Z$6,1)+1),'Rate &amp; Vol Update'!$E$6:$Z$6,0))*(BQ86-INDEX('Rate &amp; Vol Update'!$E$6:$Z$6,1,MATCH(BQ86,'Rate &amp; Vol Update'!$E$6:$Z$6,1)))*(INDEX('Rate &amp; Vol Update'!$B$8:$B$127,MATCH(BL86,'Rate &amp; Vol Update'!$B$8:$B$127,1)+1)-BL86)+INDEX('Rate &amp; Vol Update'!$E$8:$Z$127,MATCH(INDEX('Rate &amp; Vol Update'!$B$8:$B$127,MATCH(BL86,'Rate &amp; Vol Update'!$B$8:$B$127,1)+1),'Rate &amp; Vol Update'!$B$8:$B$127,0),MATCH(INDEX('Rate &amp; Vol Update'!$E$6:$Z$6,1,MATCH(BQ86,'Rate &amp; Vol Update'!$E$6:$Z$6,1)),'Rate &amp; Vol Update'!$E$6:$Z$6,0))*(INDEX('Rate &amp; Vol Update'!$E$6:$Z$6,1,MATCH(BQ86,'Rate &amp; Vol Update'!$E$6:$Z$6,1)+1)-BQ86)*(BL86-INDEX('Rate &amp; Vol Update'!$B$8:$B$127,MATCH(BL86,'Rate &amp; Vol Update'!$B$8:$B$127,1)))+INDEX('Rate &amp; Vol Update'!$E$8:$Z$127,MATCH(INDEX('Rate &amp; Vol Update'!$B$8:$B$127,MATCH(BL86,'Rate &amp; Vol Update'!$B$8:$B$127,1)+1),'Rate &amp; Vol Update'!$B$8:$B$127,0),MATCH(INDEX('Rate &amp; Vol Update'!$E$6:$Z$6,1,MATCH(BQ86,'Rate &amp; Vol Update'!$E$6:$Z$6,1)+1),'Rate &amp; Vol Update'!$E$6:$Z$6,0))*(BQ86-INDEX('Rate &amp; Vol Update'!$E$6:$Z$6,1,MATCH(BQ86,'Rate &amp; Vol Update'!$E$6:$Z$6,1)))*(BL86-INDEX('Rate &amp; Vol Update'!$B$8:$B$127,MATCH(BL86,'Rate &amp; Vol Update'!$B$8:$B$127,1)))))*0.01%))</f>
        <v/>
      </c>
      <c r="BT86" s="5" t="str">
        <f>IF(BK86="","",1/((1+BR86)^((BM86-'Rate &amp; Vol Update'!$C$2)/360)))</f>
        <v/>
      </c>
      <c r="BV86" s="15" t="str">
        <f>IF(BK86="","",IF(BL86&lt;'Rate &amp; Vol Update'!$C$2,MAX(0,BR86-BQ86)*(BN86/360)*BP86,(((IF('Adjustment Surface'!$C$2='Data Validation'!$A$2,BR86,IF('Adjustment Surface'!$C$2='Data Validation'!$A$3,BQ86,"Unknown Option Type"))-IF('Adjustment Surface'!$C$2='Data Validation'!$A$2,BQ86,IF('Adjustment Surface'!$C$2='Data Validation'!$A$3,BR86,"Unknown Option Type")))*(NORMDIST((IF('Adjustment Surface'!$C$2='Data Validation'!$A$2,BR86,IF('Adjustment Surface'!$C$2='Data Validation'!$A$3,BQ86,"Unknown Option Type"))-IF('Adjustment Surface'!$C$2='Data Validation'!$A$2,BQ86,IF('Adjustment Surface'!$C$2='Data Validation'!$A$3,BR86,"Unknown Option Type")))/(BS86*SQRT(BO86)),0,1,TRUE)))+((BS86*SQRT(BO86))*(NORMDIST((IF('Adjustment Surface'!$C$2='Data Validation'!$A$2,BR86,IF('Adjustment Surface'!$C$2='Data Validation'!$A$3,BQ86,"Unknown Option Type"))-IF('Adjustment Surface'!$C$2='Data Validation'!$A$2,BQ86,IF('Adjustment Surface'!$C$2='Data Validation'!$A$3,BR86,"Unknown Option Type")))/(BS86*SQRT(BO86)),0,1,FALSE))))*BT86*(BN86/360)*BP86))</f>
        <v/>
      </c>
      <c r="BW86" s="15" t="str">
        <f>IF(BK86="","",SUM(BV$4:BV86))</f>
        <v/>
      </c>
      <c r="BY86" s="15" t="str">
        <f>IF(BK86="","",IF(BL86&lt;'Rate &amp; Vol Update'!$C$2,0,((((((IF('Adjustment Surface'!$C$2='Data Validation'!$A$2,BR86,IF('Adjustment Surface'!$C$2='Data Validation'!$A$3,BQ86,"Unknown Option Type"))-IF('Adjustment Surface'!$C$2='Data Validation'!$A$2,BQ86,IF('Adjustment Surface'!$C$2='Data Validation'!$A$3,BR86,"Unknown Option Type")))*(NORMDIST((IF('Adjustment Surface'!$C$2='Data Validation'!$A$2,BR86,IF('Adjustment Surface'!$C$2='Data Validation'!$A$3,BQ86,"Unknown Option Type"))-IF('Adjustment Surface'!$C$2='Data Validation'!$A$2,BQ86,IF('Adjustment Surface'!$C$2='Data Validation'!$A$3,BR86,"Unknown Option Type")))/((BS86+0.01%)*SQRT(BO86)),0,1,TRUE)))+(((BS86+0.01%)*SQRT(BO86))*(NORMDIST((IF('Adjustment Surface'!$C$2='Data Validation'!$A$2,BR86,IF('Adjustment Surface'!$C$2='Data Validation'!$A$3,BQ86,"Unknown Option Type"))-IF('Adjustment Surface'!$C$2='Data Validation'!$A$2,BQ86,IF('Adjustment Surface'!$C$2='Data Validation'!$A$3,BR86,"Unknown Option Type")))/((BS86+0.01%)*SQRT(BO86)),0,1,FALSE))))*BT86*(BN86/360))-(BV86/BP86))*BP86)*BT86))</f>
        <v/>
      </c>
      <c r="BZ86" s="15" t="str">
        <f>IF(BK86="","",SUM(BY$4:BY86))</f>
        <v/>
      </c>
      <c r="CA86" s="15"/>
      <c r="CB86" s="20"/>
      <c r="CD86" s="4" t="str">
        <f>IF(CE85=MAX('Adjustment Surface'!$C$14:$F$14),"",CE85)</f>
        <v/>
      </c>
      <c r="CE86" s="4" t="str">
        <f>IF(CD86="","",IF(CD86&lt;EDATE('Adjustment Surface'!$C$6,DATEDIF('Adjustment Surface'!$C$6,MAX('Adjustment Surface'!$C$14:$F$14),"M")),EDATE(CD$5,COUNT(CD$5:CD86)),IF(CD86=EDATE('Adjustment Surface'!$C$6,DATEDIF('Adjustment Surface'!$C$6,MAX('Adjustment Surface'!$C$14:$F$14),"M")),MAX('Adjustment Surface'!$C$14:$F$14),EDATE('Adjustment Surface'!$C$6,DATEDIF('Adjustment Surface'!$C$6,MAX('Adjustment Surface'!$C$14:$F$14),"M")))))</f>
        <v/>
      </c>
      <c r="CF86" s="3" t="str">
        <f t="shared" si="10"/>
        <v/>
      </c>
      <c r="CG86" s="5" t="str">
        <f>IF(CC86="","",(CE86-'Rate &amp; Vol Update'!$C$2)/360)</f>
        <v/>
      </c>
      <c r="CH86" s="15" t="str">
        <f>IF(CC86="","",IF('Adjustment Surface'!$C$3='Data Validation'!$C$2,'Adjustment Surface'!$C$4,_xlfn.IFNA(IF(INDEX(Schedules!$E$3:$E$123,MATCH('Bachelier Model'!CD86,Schedules!$B$3:$B$123,0))="",CH85,INDEX(Schedules!$E$3:$E$123,MATCH('Bachelier Model'!CD86,Schedules!$B$3:$B$123,0))),CH85)))</f>
        <v/>
      </c>
      <c r="CI86" s="16" t="str">
        <f>IF(CC86="","",'Adjustment Surface'!B$18)</f>
        <v/>
      </c>
      <c r="CJ86" s="16" t="str" cm="1">
        <f t="array" ref="CJ86">IF(CC86="","",FORECAST(CD86,INDEX('Rate &amp; Vol Update'!$C$6:$C$127,MATCH(INDEX('Rate &amp; Vol Update'!$B$6:$B$127,MATCH(CD86,'Rate &amp; Vol Update'!$B$6:$B$127,1)),'Rate &amp; Vol Update'!$B$6:$B$127,0)+IF('Adjustment Surface'!$C$11='Data Validation'!$E$3,-1,0)):INDEX('Rate &amp; Vol Update'!$C$6:$C$127,MATCH(INDEX('Rate &amp; Vol Update'!$B$6:$B$127,MATCH(CD86,'Rate &amp; Vol Update'!$B$6:$B$127,1)+1),'Rate &amp; Vol Update'!$B$6:$B$127,0)+IF('Adjustment Surface'!$C$11='Data Validation'!$E$3,-1,0)),INDEX('Rate &amp; Vol Update'!$B$6:$B$127,MATCH(CD86,'Rate &amp; Vol Update'!$B$6:$B$127,1)):INDEX('Rate &amp; Vol Update'!$B$6:$B$127,MATCH(CD86,'Rate &amp; Vol Update'!$B$6:$B$127,1)+1))/100)</f>
        <v/>
      </c>
      <c r="CK86" s="16" t="str" cm="1">
        <f t="array" ref="CK86">IF(CC86="","",IF(CD86&lt;'Rate &amp; Vol Update'!$C$2,0.001%,(1/((INDEX('Rate &amp; Vol Update'!$E$6:$Z$6,1,MATCH(CI86,'Rate &amp; Vol Update'!$E$6:$Z$6,1)+1)-INDEX('Rate &amp; Vol Update'!$E$6:$Z$6,1,MATCH(CI86,'Rate &amp; Vol Update'!$E$6:$Z$6,1)))*(INDEX('Rate &amp; Vol Update'!$B$8:$B$127,MATCH(CD86,'Rate &amp; Vol Update'!$B$8:$B$127,1)+1)-INDEX('Rate &amp; Vol Update'!$B$8:$B$127,MATCH(CD86,'Rate &amp; Vol Update'!$B$8:$B$127,1))))*(INDEX('Rate &amp; Vol Update'!$E$8:$Z$127,MATCH(INDEX('Rate &amp; Vol Update'!$B$8:$B$127,MATCH(CD86,'Rate &amp; Vol Update'!$B$8:$B$127,1)),'Rate &amp; Vol Update'!$B$8:$B$127,0),MATCH(INDEX('Rate &amp; Vol Update'!$E$6:$Z$6,1,MATCH(CI86,'Rate &amp; Vol Update'!$E$6:$Z$6,1)),'Rate &amp; Vol Update'!$E$6:$Z$6,0))*(INDEX('Rate &amp; Vol Update'!$E$6:$Z$6,1,MATCH(CI86,'Rate &amp; Vol Update'!$E$6:$Z$6,1)+1)-CI86)*(INDEX('Rate &amp; Vol Update'!$B$8:$B$127,MATCH(CD86,'Rate &amp; Vol Update'!$B$8:$B$127,1)+1)-CD86)+INDEX('Rate &amp; Vol Update'!$E$8:$Z$127,MATCH(INDEX('Rate &amp; Vol Update'!$B$8:$B$127,MATCH(CD86,'Rate &amp; Vol Update'!$B$8:$B$127,1)),'Rate &amp; Vol Update'!$B$8:$B$127,0),MATCH(INDEX('Rate &amp; Vol Update'!$E$6:$Z$6,1,MATCH(CI86,'Rate &amp; Vol Update'!$E$6:$Z$6,1)+1),'Rate &amp; Vol Update'!$E$6:$Z$6,0))*(CI86-INDEX('Rate &amp; Vol Update'!$E$6:$Z$6,1,MATCH(CI86,'Rate &amp; Vol Update'!$E$6:$Z$6,1)))*(INDEX('Rate &amp; Vol Update'!$B$8:$B$127,MATCH(CD86,'Rate &amp; Vol Update'!$B$8:$B$127,1)+1)-CD86)+INDEX('Rate &amp; Vol Update'!$E$8:$Z$127,MATCH(INDEX('Rate &amp; Vol Update'!$B$8:$B$127,MATCH(CD86,'Rate &amp; Vol Update'!$B$8:$B$127,1)+1),'Rate &amp; Vol Update'!$B$8:$B$127,0),MATCH(INDEX('Rate &amp; Vol Update'!$E$6:$Z$6,1,MATCH(CI86,'Rate &amp; Vol Update'!$E$6:$Z$6,1)),'Rate &amp; Vol Update'!$E$6:$Z$6,0))*(INDEX('Rate &amp; Vol Update'!$E$6:$Z$6,1,MATCH(CI86,'Rate &amp; Vol Update'!$E$6:$Z$6,1)+1)-CI86)*(CD86-INDEX('Rate &amp; Vol Update'!$B$8:$B$127,MATCH(CD86,'Rate &amp; Vol Update'!$B$8:$B$127,1)))+INDEX('Rate &amp; Vol Update'!$E$8:$Z$127,MATCH(INDEX('Rate &amp; Vol Update'!$B$8:$B$127,MATCH(CD86,'Rate &amp; Vol Update'!$B$8:$B$127,1)+1),'Rate &amp; Vol Update'!$B$8:$B$127,0),MATCH(INDEX('Rate &amp; Vol Update'!$E$6:$Z$6,1,MATCH(CI86,'Rate &amp; Vol Update'!$E$6:$Z$6,1)+1),'Rate &amp; Vol Update'!$E$6:$Z$6,0))*(CI86-INDEX('Rate &amp; Vol Update'!$E$6:$Z$6,1,MATCH(CI86,'Rate &amp; Vol Update'!$E$6:$Z$6,1)))*(CD86-INDEX('Rate &amp; Vol Update'!$B$8:$B$127,MATCH(CD86,'Rate &amp; Vol Update'!$B$8:$B$127,1)))))*0.01%))</f>
        <v/>
      </c>
      <c r="CL86" s="5" t="str">
        <f>IF(CC86="","",1/((1+CJ86)^((CE86-'Rate &amp; Vol Update'!$C$2)/360)))</f>
        <v/>
      </c>
      <c r="CN86" s="15" t="str">
        <f>IF(CC86="","",IF(CD86&lt;'Rate &amp; Vol Update'!$C$2,MAX(0,CJ86-CI86)*(CF86/360)*CH86,(((IF('Adjustment Surface'!$C$2='Data Validation'!$A$2,CJ86,IF('Adjustment Surface'!$C$2='Data Validation'!$A$3,CI86,"Unknown Option Type"))-IF('Adjustment Surface'!$C$2='Data Validation'!$A$2,CI86,IF('Adjustment Surface'!$C$2='Data Validation'!$A$3,CJ86,"Unknown Option Type")))*(NORMDIST((IF('Adjustment Surface'!$C$2='Data Validation'!$A$2,CJ86,IF('Adjustment Surface'!$C$2='Data Validation'!$A$3,CI86,"Unknown Option Type"))-IF('Adjustment Surface'!$C$2='Data Validation'!$A$2,CI86,IF('Adjustment Surface'!$C$2='Data Validation'!$A$3,CJ86,"Unknown Option Type")))/(CK86*SQRT(CG86)),0,1,TRUE)))+((CK86*SQRT(CG86))*(NORMDIST((IF('Adjustment Surface'!$C$2='Data Validation'!$A$2,CJ86,IF('Adjustment Surface'!$C$2='Data Validation'!$A$3,CI86,"Unknown Option Type"))-IF('Adjustment Surface'!$C$2='Data Validation'!$A$2,CI86,IF('Adjustment Surface'!$C$2='Data Validation'!$A$3,CJ86,"Unknown Option Type")))/(CK86*SQRT(CG86)),0,1,FALSE))))*CL86*(CF86/360)*CH86))</f>
        <v/>
      </c>
      <c r="CO86" s="15" t="str">
        <f>IF(CC86="","",SUM(CN$4:CN86))</f>
        <v/>
      </c>
      <c r="CQ86" s="15" t="str">
        <f>IF(CC86="","",IF(CD86&lt;'Rate &amp; Vol Update'!$C$2,0,((((((IF('Adjustment Surface'!$C$2='Data Validation'!$A$2,CJ86,IF('Adjustment Surface'!$C$2='Data Validation'!$A$3,CI86,"Unknown Option Type"))-IF('Adjustment Surface'!$C$2='Data Validation'!$A$2,CI86,IF('Adjustment Surface'!$C$2='Data Validation'!$A$3,CJ86,"Unknown Option Type")))*(NORMDIST((IF('Adjustment Surface'!$C$2='Data Validation'!$A$2,CJ86,IF('Adjustment Surface'!$C$2='Data Validation'!$A$3,CI86,"Unknown Option Type"))-IF('Adjustment Surface'!$C$2='Data Validation'!$A$2,CI86,IF('Adjustment Surface'!$C$2='Data Validation'!$A$3,CJ86,"Unknown Option Type")))/((CK86+0.01%)*SQRT(CG86)),0,1,TRUE)))+(((CK86+0.01%)*SQRT(CG86))*(NORMDIST((IF('Adjustment Surface'!$C$2='Data Validation'!$A$2,CJ86,IF('Adjustment Surface'!$C$2='Data Validation'!$A$3,CI86,"Unknown Option Type"))-IF('Adjustment Surface'!$C$2='Data Validation'!$A$2,CI86,IF('Adjustment Surface'!$C$2='Data Validation'!$A$3,CJ86,"Unknown Option Type")))/((CK86+0.01%)*SQRT(CG86)),0,1,FALSE))))*CL86*(CF86/360))-(CN86/CH86))*CH86)*CL86))</f>
        <v/>
      </c>
      <c r="CR86" s="15" t="str">
        <f>IF(CC86="","",SUM(CQ$4:CQ86))</f>
        <v/>
      </c>
    </row>
    <row r="87" spans="7:96" x14ac:dyDescent="0.25">
      <c r="G87" s="28"/>
      <c r="J87" s="4" t="str">
        <f>IF(K86='Adjustment Surface'!C$8,"",K86)</f>
        <v/>
      </c>
      <c r="K87" s="4" t="str">
        <f>IF(J87="","",IF(J87&lt;'Adjustment Surface'!C$7,EDATE(J$5,COUNT(J$5:J87)),IF(J87='Adjustment Surface'!C$7,'Adjustment Surface'!C$8,'Adjustment Surface'!C$7)))</f>
        <v/>
      </c>
      <c r="L87" s="3" t="str">
        <f t="shared" si="6"/>
        <v/>
      </c>
      <c r="M87" s="5" t="str">
        <f>IF(I87="","",(K87-'Rate &amp; Vol Update'!$C$2)/360)</f>
        <v/>
      </c>
      <c r="N87" s="15" t="str">
        <f>IF(I87="","",IF('Adjustment Surface'!C$3='Data Validation'!$C$2,'Adjustment Surface'!C$4,IF(INDEX(Schedules!$E$3:$E$123,MATCH('Bachelier Model'!J87,Schedules!$B$3:$B$123,0))="",N86,INDEX(Schedules!$E$3:$E$123,MATCH('Bachelier Model'!J87,Schedules!$B$3:$B$123,0)))))</f>
        <v/>
      </c>
      <c r="O87" s="16" t="str">
        <f>IF(I87="","",IF('Adjustment Surface'!C$9='Data Validation'!$D$2,'Adjustment Surface'!C$10,IF(INDEX(Schedules!$H$3:$H$123,MATCH('Bachelier Model'!J87,Schedules!$B$3:$B$123,0))="",O86,INDEX(Schedules!$H$3:$H$123,MATCH('Bachelier Model'!J87,Schedules!$B$3:$B$123,0)))))</f>
        <v/>
      </c>
      <c r="P87" s="16" t="str" cm="1">
        <f t="array" ref="P87">IF(I87="","",FORECAST(J87,INDEX('Rate &amp; Vol Update'!$C$6:$C$127,MATCH(INDEX('Rate &amp; Vol Update'!$B$6:$B$127,MATCH(J87,'Rate &amp; Vol Update'!$B$6:$B$127,1)),'Rate &amp; Vol Update'!$B$6:$B$127,0)+IF('Adjustment Surface'!C$11='Data Validation'!$E$3,-1,0)):INDEX('Rate &amp; Vol Update'!$C$6:$C$127,MATCH(INDEX('Rate &amp; Vol Update'!$B$6:$B$127,MATCH(J87,'Rate &amp; Vol Update'!$B$6:$B$127,1)+1),'Rate &amp; Vol Update'!$B$6:$B$127,0)+IF('Adjustment Surface'!C$11='Data Validation'!$E$3,-1,0)),INDEX('Rate &amp; Vol Update'!$B$6:$B$127,MATCH(J87,'Rate &amp; Vol Update'!$B$6:$B$127,1)):INDEX('Rate &amp; Vol Update'!$B$6:$B$127,MATCH(J87,'Rate &amp; Vol Update'!$B$6:$B$127,1)+1))/100)</f>
        <v/>
      </c>
      <c r="Q87" s="16" t="str" cm="1">
        <f t="array" ref="Q87">IF(I87="","",IF(J87&lt;'Rate &amp; Vol Update'!$C$2,0.001%,(1/((INDEX('Rate &amp; Vol Update'!$E$6:$Z$6,1,MATCH(O87,'Rate &amp; Vol Update'!$E$6:$Z$6,1)+1)-INDEX('Rate &amp; Vol Update'!$E$6:$Z$6,1,MATCH(O87,'Rate &amp; Vol Update'!$E$6:$Z$6,1)))*(INDEX('Rate &amp; Vol Update'!$B$8:$B$127,MATCH(J87,'Rate &amp; Vol Update'!$B$8:$B$127,1)+1)-INDEX('Rate &amp; Vol Update'!$B$8:$B$127,MATCH(J87,'Rate &amp; Vol Update'!$B$8:$B$127,1))))*(INDEX('Rate &amp; Vol Update'!$E$8:$Z$127,MATCH(INDEX('Rate &amp; Vol Update'!$B$8:$B$127,MATCH(J87,'Rate &amp; Vol Update'!$B$8:$B$127,1)),'Rate &amp; Vol Update'!$B$8:$B$127,0),MATCH(INDEX('Rate &amp; Vol Update'!$E$6:$Z$6,1,MATCH(O87,'Rate &amp; Vol Update'!$E$6:$Z$6,1)),'Rate &amp; Vol Update'!$E$6:$Z$6,0))*(INDEX('Rate &amp; Vol Update'!$E$6:$Z$6,1,MATCH(O87,'Rate &amp; Vol Update'!$E$6:$Z$6,1)+1)-O87)*(INDEX('Rate &amp; Vol Update'!$B$8:$B$127,MATCH(J87,'Rate &amp; Vol Update'!$B$8:$B$127,1)+1)-J87)+INDEX('Rate &amp; Vol Update'!$E$8:$Z$127,MATCH(INDEX('Rate &amp; Vol Update'!$B$8:$B$127,MATCH(J87,'Rate &amp; Vol Update'!$B$8:$B$127,1)),'Rate &amp; Vol Update'!$B$8:$B$127,0),MATCH(INDEX('Rate &amp; Vol Update'!$E$6:$Z$6,1,MATCH(O87,'Rate &amp; Vol Update'!$E$6:$Z$6,1)+1),'Rate &amp; Vol Update'!$E$6:$Z$6,0))*(O87-INDEX('Rate &amp; Vol Update'!$E$6:$Z$6,1,MATCH(O87,'Rate &amp; Vol Update'!$E$6:$Z$6,1)))*(INDEX('Rate &amp; Vol Update'!$B$8:$B$127,MATCH(J87,'Rate &amp; Vol Update'!$B$8:$B$127,1)+1)-J87)+INDEX('Rate &amp; Vol Update'!$E$8:$Z$127,MATCH(INDEX('Rate &amp; Vol Update'!$B$8:$B$127,MATCH(J87,'Rate &amp; Vol Update'!$B$8:$B$127,1)+1),'Rate &amp; Vol Update'!$B$8:$B$127,0),MATCH(INDEX('Rate &amp; Vol Update'!$E$6:$Z$6,1,MATCH(O87,'Rate &amp; Vol Update'!$E$6:$Z$6,1)),'Rate &amp; Vol Update'!$E$6:$Z$6,0))*(INDEX('Rate &amp; Vol Update'!$E$6:$Z$6,1,MATCH(O87,'Rate &amp; Vol Update'!$E$6:$Z$6,1)+1)-O87)*(J87-INDEX('Rate &amp; Vol Update'!$B$8:$B$127,MATCH(J87,'Rate &amp; Vol Update'!$B$8:$B$127,1)))+INDEX('Rate &amp; Vol Update'!$E$8:$Z$127,MATCH(INDEX('Rate &amp; Vol Update'!$B$8:$B$127,MATCH(J87,'Rate &amp; Vol Update'!$B$8:$B$127,1)+1),'Rate &amp; Vol Update'!$B$8:$B$127,0),MATCH(INDEX('Rate &amp; Vol Update'!$E$6:$Z$6,1,MATCH(O87,'Rate &amp; Vol Update'!$E$6:$Z$6,1)+1),'Rate &amp; Vol Update'!$E$6:$Z$6,0))*(O87-INDEX('Rate &amp; Vol Update'!$E$6:$Z$6,1,MATCH(O87,'Rate &amp; Vol Update'!$E$6:$Z$6,1)))*(J87-INDEX('Rate &amp; Vol Update'!$B$8:$B$127,MATCH(J87,'Rate &amp; Vol Update'!$B$8:$B$127,1)))))*0.01%))</f>
        <v/>
      </c>
      <c r="R87" s="5" t="str">
        <f>IF(I87="","",1/((1+P87)^((K87-'Rate &amp; Vol Update'!$C$2)/360)))</f>
        <v/>
      </c>
      <c r="T87" s="15" t="str">
        <f>IF(I87="","",IF(J87&lt;'Rate &amp; Vol Update'!$C$2,MAX(0,P87-O87)*(L87/360)*N87,(((IF('Adjustment Surface'!C$2='Data Validation'!$A$2,P87,IF('Adjustment Surface'!C$2='Data Validation'!$A$3,O87,"Unknown Option Type"))-IF('Adjustment Surface'!C$2='Data Validation'!$A$2,O87,IF('Adjustment Surface'!C$2='Data Validation'!$A$3,P87,"Unknown Option Type")))*(NORMDIST((IF('Adjustment Surface'!C$2='Data Validation'!$A$2,P87,IF('Adjustment Surface'!C$2='Data Validation'!$A$3,O87,"Unknown Option Type"))-IF('Adjustment Surface'!C$2='Data Validation'!$A$2,O87,IF('Adjustment Surface'!C$2='Data Validation'!$A$3,P87,"Unknown Option Type")))/(Q87*SQRT(M87)),0,1,TRUE)))+((Q87*SQRT(M87))*(NORMDIST((IF('Adjustment Surface'!C$2='Data Validation'!$A$2,P87,IF('Adjustment Surface'!C$2='Data Validation'!$A$3,O87,"Unknown Option Type"))-IF('Adjustment Surface'!C$2='Data Validation'!$A$2,O87,IF('Adjustment Surface'!C$2='Data Validation'!$A$3,P87,"Unknown Option Type")))/(Q87*SQRT(M87)),0,1,FALSE))))*R87*(L87/360)*N87))</f>
        <v/>
      </c>
      <c r="U87" s="15" t="str">
        <f>IF(I87="","",SUM(T$4:T87))</f>
        <v/>
      </c>
      <c r="W87" s="15" t="str">
        <f>IF(I87="","",IF(J87&lt;'Rate &amp; Vol Update'!$C$2,0,((((((IF('Adjustment Surface'!C$2='Data Validation'!$A$2,P87,IF('Adjustment Surface'!C$2='Data Validation'!$A$3,O87,"Unknown Option Type"))-IF('Adjustment Surface'!C$2='Data Validation'!$A$2,O87,IF('Adjustment Surface'!C$2='Data Validation'!$A$3,P87,"Unknown Option Type")))*(NORMDIST((IF('Adjustment Surface'!C$2='Data Validation'!$A$2,P87,IF('Adjustment Surface'!C$2='Data Validation'!$A$3,O87,"Unknown Option Type"))-IF('Adjustment Surface'!C$2='Data Validation'!$A$2,O87,IF('Adjustment Surface'!C$2='Data Validation'!$A$3,P87,"Unknown Option Type")))/((Q87+0.01%)*SQRT(M87)),0,1,TRUE)))+(((Q87+0.01%)*SQRT(M87))*(NORMDIST((IF('Adjustment Surface'!C$2='Data Validation'!$A$2,P87,IF('Adjustment Surface'!C$2='Data Validation'!$A$3,O87,"Unknown Option Type"))-IF('Adjustment Surface'!C$2='Data Validation'!$A$2,O87,IF('Adjustment Surface'!C$2='Data Validation'!$A$3,P87,"Unknown Option Type")))/((Q87+0.01%)*SQRT(M87)),0,1,FALSE))))*R87*(L87/360))-(T87/N87))*N87)*R87))</f>
        <v/>
      </c>
      <c r="X87" s="15" t="str">
        <f>IF(I87="","",SUM(W$4:W87))</f>
        <v/>
      </c>
      <c r="Y87" s="15"/>
      <c r="Z87" s="20"/>
      <c r="AB87" s="4" t="str">
        <f>IF(AC86=MAX('Adjustment Surface'!$C$14:$F$14),"",AC86)</f>
        <v/>
      </c>
      <c r="AC87" s="4" t="str">
        <f>IF(AB87="","",IF(AB87&lt;EDATE('Adjustment Surface'!$C$6,DATEDIF('Adjustment Surface'!$C$6,MAX('Adjustment Surface'!$C$14:$F$14),"M")),EDATE(AB$5,COUNT(AB$5:AB87)),IF(AB87=EDATE('Adjustment Surface'!$C$6,DATEDIF('Adjustment Surface'!$C$6,MAX('Adjustment Surface'!$C$14:$F$14),"M")),MAX('Adjustment Surface'!$C$14:$F$14),EDATE('Adjustment Surface'!$C$6,DATEDIF('Adjustment Surface'!$C$6,MAX('Adjustment Surface'!$C$14:$F$14),"M")))))</f>
        <v/>
      </c>
      <c r="AD87" s="3" t="str">
        <f t="shared" si="7"/>
        <v/>
      </c>
      <c r="AE87" s="5" t="str">
        <f>IF(AA87="","",(AC87-'Rate &amp; Vol Update'!$C$2)/360)</f>
        <v/>
      </c>
      <c r="AF87" s="15" t="str">
        <f>IF(AA87="","",IF('Adjustment Surface'!$C$3='Data Validation'!$C$2,'Adjustment Surface'!$C$4,_xlfn.IFNA(IF(INDEX(Schedules!$E$3:$E$123,MATCH('Bachelier Model'!AB87,Schedules!$B$3:$B$123,0))="",AF86,INDEX(Schedules!$E$3:$E$123,MATCH('Bachelier Model'!AB87,Schedules!$B$3:$B$123,0))),AF86)))</f>
        <v/>
      </c>
      <c r="AG87" s="16" t="str">
        <f>IF(AA87="","",'Adjustment Surface'!B$15)</f>
        <v/>
      </c>
      <c r="AH87" s="16" t="str" cm="1">
        <f t="array" ref="AH87">IF(AA87="","",FORECAST(AB87,INDEX('Rate &amp; Vol Update'!$C$6:$C$127,MATCH(INDEX('Rate &amp; Vol Update'!$B$6:$B$127,MATCH(AB87,'Rate &amp; Vol Update'!$B$6:$B$127,1)),'Rate &amp; Vol Update'!$B$6:$B$127,0)+IF('Adjustment Surface'!$C$11='Data Validation'!$E$3,-1,0)):INDEX('Rate &amp; Vol Update'!$C$6:$C$127,MATCH(INDEX('Rate &amp; Vol Update'!$B$6:$B$127,MATCH(AB87,'Rate &amp; Vol Update'!$B$6:$B$127,1)+1),'Rate &amp; Vol Update'!$B$6:$B$127,0)+IF('Adjustment Surface'!$C$11='Data Validation'!$E$3,-1,0)),INDEX('Rate &amp; Vol Update'!$B$6:$B$127,MATCH(AB87,'Rate &amp; Vol Update'!$B$6:$B$127,1)):INDEX('Rate &amp; Vol Update'!$B$6:$B$127,MATCH(AB87,'Rate &amp; Vol Update'!$B$6:$B$127,1)+1))/100)</f>
        <v/>
      </c>
      <c r="AI87" s="16" t="str" cm="1">
        <f t="array" ref="AI87">IF(AA87="","",IF(AB87&lt;'Rate &amp; Vol Update'!$C$2,0.001%,(1/((INDEX('Rate &amp; Vol Update'!$E$6:$Z$6,1,MATCH(AG87,'Rate &amp; Vol Update'!$E$6:$Z$6,1)+1)-INDEX('Rate &amp; Vol Update'!$E$6:$Z$6,1,MATCH(AG87,'Rate &amp; Vol Update'!$E$6:$Z$6,1)))*(INDEX('Rate &amp; Vol Update'!$B$8:$B$127,MATCH(AB87,'Rate &amp; Vol Update'!$B$8:$B$127,1)+1)-INDEX('Rate &amp; Vol Update'!$B$8:$B$127,MATCH(AB87,'Rate &amp; Vol Update'!$B$8:$B$127,1))))*(INDEX('Rate &amp; Vol Update'!$E$8:$Z$127,MATCH(INDEX('Rate &amp; Vol Update'!$B$8:$B$127,MATCH(AB87,'Rate &amp; Vol Update'!$B$8:$B$127,1)),'Rate &amp; Vol Update'!$B$8:$B$127,0),MATCH(INDEX('Rate &amp; Vol Update'!$E$6:$Z$6,1,MATCH(AG87,'Rate &amp; Vol Update'!$E$6:$Z$6,1)),'Rate &amp; Vol Update'!$E$6:$Z$6,0))*(INDEX('Rate &amp; Vol Update'!$E$6:$Z$6,1,MATCH(AG87,'Rate &amp; Vol Update'!$E$6:$Z$6,1)+1)-AG87)*(INDEX('Rate &amp; Vol Update'!$B$8:$B$127,MATCH(AB87,'Rate &amp; Vol Update'!$B$8:$B$127,1)+1)-AB87)+INDEX('Rate &amp; Vol Update'!$E$8:$Z$127,MATCH(INDEX('Rate &amp; Vol Update'!$B$8:$B$127,MATCH(AB87,'Rate &amp; Vol Update'!$B$8:$B$127,1)),'Rate &amp; Vol Update'!$B$8:$B$127,0),MATCH(INDEX('Rate &amp; Vol Update'!$E$6:$Z$6,1,MATCH(AG87,'Rate &amp; Vol Update'!$E$6:$Z$6,1)+1),'Rate &amp; Vol Update'!$E$6:$Z$6,0))*(AG87-INDEX('Rate &amp; Vol Update'!$E$6:$Z$6,1,MATCH(AG87,'Rate &amp; Vol Update'!$E$6:$Z$6,1)))*(INDEX('Rate &amp; Vol Update'!$B$8:$B$127,MATCH(AB87,'Rate &amp; Vol Update'!$B$8:$B$127,1)+1)-AB87)+INDEX('Rate &amp; Vol Update'!$E$8:$Z$127,MATCH(INDEX('Rate &amp; Vol Update'!$B$8:$B$127,MATCH(AB87,'Rate &amp; Vol Update'!$B$8:$B$127,1)+1),'Rate &amp; Vol Update'!$B$8:$B$127,0),MATCH(INDEX('Rate &amp; Vol Update'!$E$6:$Z$6,1,MATCH(AG87,'Rate &amp; Vol Update'!$E$6:$Z$6,1)),'Rate &amp; Vol Update'!$E$6:$Z$6,0))*(INDEX('Rate &amp; Vol Update'!$E$6:$Z$6,1,MATCH(AG87,'Rate &amp; Vol Update'!$E$6:$Z$6,1)+1)-AG87)*(AB87-INDEX('Rate &amp; Vol Update'!$B$8:$B$127,MATCH(AB87,'Rate &amp; Vol Update'!$B$8:$B$127,1)))+INDEX('Rate &amp; Vol Update'!$E$8:$Z$127,MATCH(INDEX('Rate &amp; Vol Update'!$B$8:$B$127,MATCH(AB87,'Rate &amp; Vol Update'!$B$8:$B$127,1)+1),'Rate &amp; Vol Update'!$B$8:$B$127,0),MATCH(INDEX('Rate &amp; Vol Update'!$E$6:$Z$6,1,MATCH(AG87,'Rate &amp; Vol Update'!$E$6:$Z$6,1)+1),'Rate &amp; Vol Update'!$E$6:$Z$6,0))*(AG87-INDEX('Rate &amp; Vol Update'!$E$6:$Z$6,1,MATCH(AG87,'Rate &amp; Vol Update'!$E$6:$Z$6,1)))*(AB87-INDEX('Rate &amp; Vol Update'!$B$8:$B$127,MATCH(AB87,'Rate &amp; Vol Update'!$B$8:$B$127,1)))))*0.01%))</f>
        <v/>
      </c>
      <c r="AJ87" s="5" t="str">
        <f>IF(AA87="","",1/((1+AH87)^((AC87-'Rate &amp; Vol Update'!$C$2)/360)))</f>
        <v/>
      </c>
      <c r="AL87" s="15" t="str">
        <f>IF(AA87="","",IF(AB87&lt;'Rate &amp; Vol Update'!$C$2,MAX(0,AH87-AG87)*(AD87/360)*AF87,(((IF('Adjustment Surface'!$C$2='Data Validation'!$A$2,AH87,IF('Adjustment Surface'!$C$2='Data Validation'!$A$3,AG87,"Unknown Option Type"))-IF('Adjustment Surface'!$C$2='Data Validation'!$A$2,AG87,IF('Adjustment Surface'!$C$2='Data Validation'!$A$3,AH87,"Unknown Option Type")))*(NORMDIST((IF('Adjustment Surface'!$C$2='Data Validation'!$A$2,AH87,IF('Adjustment Surface'!$C$2='Data Validation'!$A$3,AG87,"Unknown Option Type"))-IF('Adjustment Surface'!$C$2='Data Validation'!$A$2,AG87,IF('Adjustment Surface'!$C$2='Data Validation'!$A$3,AH87,"Unknown Option Type")))/(AI87*SQRT(AE87)),0,1,TRUE)))+((AI87*SQRT(AE87))*(NORMDIST((IF('Adjustment Surface'!$C$2='Data Validation'!$A$2,AH87,IF('Adjustment Surface'!$C$2='Data Validation'!$A$3,AG87,"Unknown Option Type"))-IF('Adjustment Surface'!$C$2='Data Validation'!$A$2,AG87,IF('Adjustment Surface'!$C$2='Data Validation'!$A$3,AH87,"Unknown Option Type")))/(AI87*SQRT(AE87)),0,1,FALSE))))*AJ87*(AD87/360)*AF87))</f>
        <v/>
      </c>
      <c r="AM87" s="15" t="str">
        <f>IF(AA87="","",SUM(AL$4:AL87))</f>
        <v/>
      </c>
      <c r="AO87" s="15" t="str">
        <f>IF(AA87="","",IF(AB87&lt;'Rate &amp; Vol Update'!$C$2,0,((((((IF('Adjustment Surface'!$C$2='Data Validation'!$A$2,AH87,IF('Adjustment Surface'!$C$2='Data Validation'!$A$3,AG87,"Unknown Option Type"))-IF('Adjustment Surface'!$C$2='Data Validation'!$A$2,AG87,IF('Adjustment Surface'!$C$2='Data Validation'!$A$3,AH87,"Unknown Option Type")))*(NORMDIST((IF('Adjustment Surface'!$C$2='Data Validation'!$A$2,AH87,IF('Adjustment Surface'!$C$2='Data Validation'!$A$3,AG87,"Unknown Option Type"))-IF('Adjustment Surface'!$C$2='Data Validation'!$A$2,AG87,IF('Adjustment Surface'!$C$2='Data Validation'!$A$3,AH87,"Unknown Option Type")))/((AI87+0.01%)*SQRT(AE87)),0,1,TRUE)))+(((AI87+0.01%)*SQRT(AE87))*(NORMDIST((IF('Adjustment Surface'!$C$2='Data Validation'!$A$2,AH87,IF('Adjustment Surface'!$C$2='Data Validation'!$A$3,AG87,"Unknown Option Type"))-IF('Adjustment Surface'!$C$2='Data Validation'!$A$2,AG87,IF('Adjustment Surface'!$C$2='Data Validation'!$A$3,AH87,"Unknown Option Type")))/((AI87+0.01%)*SQRT(AE87)),0,1,FALSE))))*AJ87*(AD87/360))-(AL87/AF87))*AF87)*AJ87))</f>
        <v/>
      </c>
      <c r="AP87" s="15" t="str">
        <f>IF(AA87="","",SUM(AO$4:AO87))</f>
        <v/>
      </c>
      <c r="AQ87" s="15"/>
      <c r="AR87" s="20"/>
      <c r="AT87" s="4" t="str">
        <f>IF(AU86=MAX('Adjustment Surface'!$C$14:$F$14),"",AU86)</f>
        <v/>
      </c>
      <c r="AU87" s="4" t="str">
        <f>IF(AT87="","",IF(AT87&lt;EDATE('Adjustment Surface'!$C$6,DATEDIF('Adjustment Surface'!$C$6,MAX('Adjustment Surface'!$C$14:$F$14),"M")),EDATE(AT$5,COUNT(AT$5:AT87)),IF(AT87=EDATE('Adjustment Surface'!$C$6,DATEDIF('Adjustment Surface'!$C$6,MAX('Adjustment Surface'!$C$14:$F$14),"M")),MAX('Adjustment Surface'!$C$14:$F$14),EDATE('Adjustment Surface'!$C$6,DATEDIF('Adjustment Surface'!$C$6,MAX('Adjustment Surface'!$C$14:$F$14),"M")))))</f>
        <v/>
      </c>
      <c r="AV87" s="3" t="str">
        <f t="shared" si="8"/>
        <v/>
      </c>
      <c r="AW87" s="5" t="str">
        <f>IF(AS87="","",(AU87-'Rate &amp; Vol Update'!$C$2)/360)</f>
        <v/>
      </c>
      <c r="AX87" s="15" t="str">
        <f>IF(AS87="","",IF('Adjustment Surface'!$C$3='Data Validation'!$C$2,'Adjustment Surface'!$C$4,_xlfn.IFNA(IF(INDEX(Schedules!$E$3:$E$123,MATCH('Bachelier Model'!AT87,Schedules!$B$3:$B$123,0))="",AX86,INDEX(Schedules!$E$3:$E$123,MATCH('Bachelier Model'!AT87,Schedules!$B$3:$B$123,0))),AX86)))</f>
        <v/>
      </c>
      <c r="AY87" s="16" t="str">
        <f>IF(AS87="","",'Adjustment Surface'!B$16)</f>
        <v/>
      </c>
      <c r="AZ87" s="16" t="str" cm="1">
        <f t="array" ref="AZ87">IF(AS87="","",FORECAST(AT87,INDEX('Rate &amp; Vol Update'!$C$6:$C$127,MATCH(INDEX('Rate &amp; Vol Update'!$B$6:$B$127,MATCH(AT87,'Rate &amp; Vol Update'!$B$6:$B$127,1)),'Rate &amp; Vol Update'!$B$6:$B$127,0)+IF('Adjustment Surface'!$C$11='Data Validation'!$E$3,-1,0)):INDEX('Rate &amp; Vol Update'!$C$6:$C$127,MATCH(INDEX('Rate &amp; Vol Update'!$B$6:$B$127,MATCH(AT87,'Rate &amp; Vol Update'!$B$6:$B$127,1)+1),'Rate &amp; Vol Update'!$B$6:$B$127,0)+IF('Adjustment Surface'!$C$11='Data Validation'!$E$3,-1,0)),INDEX('Rate &amp; Vol Update'!$B$6:$B$127,MATCH(AT87,'Rate &amp; Vol Update'!$B$6:$B$127,1)):INDEX('Rate &amp; Vol Update'!$B$6:$B$127,MATCH(AT87,'Rate &amp; Vol Update'!$B$6:$B$127,1)+1))/100)</f>
        <v/>
      </c>
      <c r="BA87" s="16" t="str" cm="1">
        <f t="array" ref="BA87">IF(AS87="","",IF(AT87&lt;'Rate &amp; Vol Update'!$C$2,0.001%,(1/((INDEX('Rate &amp; Vol Update'!$E$6:$Z$6,1,MATCH(AY87,'Rate &amp; Vol Update'!$E$6:$Z$6,1)+1)-INDEX('Rate &amp; Vol Update'!$E$6:$Z$6,1,MATCH(AY87,'Rate &amp; Vol Update'!$E$6:$Z$6,1)))*(INDEX('Rate &amp; Vol Update'!$B$8:$B$127,MATCH(AT87,'Rate &amp; Vol Update'!$B$8:$B$127,1)+1)-INDEX('Rate &amp; Vol Update'!$B$8:$B$127,MATCH(AT87,'Rate &amp; Vol Update'!$B$8:$B$127,1))))*(INDEX('Rate &amp; Vol Update'!$E$8:$Z$127,MATCH(INDEX('Rate &amp; Vol Update'!$B$8:$B$127,MATCH(AT87,'Rate &amp; Vol Update'!$B$8:$B$127,1)),'Rate &amp; Vol Update'!$B$8:$B$127,0),MATCH(INDEX('Rate &amp; Vol Update'!$E$6:$Z$6,1,MATCH(AY87,'Rate &amp; Vol Update'!$E$6:$Z$6,1)),'Rate &amp; Vol Update'!$E$6:$Z$6,0))*(INDEX('Rate &amp; Vol Update'!$E$6:$Z$6,1,MATCH(AY87,'Rate &amp; Vol Update'!$E$6:$Z$6,1)+1)-AY87)*(INDEX('Rate &amp; Vol Update'!$B$8:$B$127,MATCH(AT87,'Rate &amp; Vol Update'!$B$8:$B$127,1)+1)-AT87)+INDEX('Rate &amp; Vol Update'!$E$8:$Z$127,MATCH(INDEX('Rate &amp; Vol Update'!$B$8:$B$127,MATCH(AT87,'Rate &amp; Vol Update'!$B$8:$B$127,1)),'Rate &amp; Vol Update'!$B$8:$B$127,0),MATCH(INDEX('Rate &amp; Vol Update'!$E$6:$Z$6,1,MATCH(AY87,'Rate &amp; Vol Update'!$E$6:$Z$6,1)+1),'Rate &amp; Vol Update'!$E$6:$Z$6,0))*(AY87-INDEX('Rate &amp; Vol Update'!$E$6:$Z$6,1,MATCH(AY87,'Rate &amp; Vol Update'!$E$6:$Z$6,1)))*(INDEX('Rate &amp; Vol Update'!$B$8:$B$127,MATCH(AT87,'Rate &amp; Vol Update'!$B$8:$B$127,1)+1)-AT87)+INDEX('Rate &amp; Vol Update'!$E$8:$Z$127,MATCH(INDEX('Rate &amp; Vol Update'!$B$8:$B$127,MATCH(AT87,'Rate &amp; Vol Update'!$B$8:$B$127,1)+1),'Rate &amp; Vol Update'!$B$8:$B$127,0),MATCH(INDEX('Rate &amp; Vol Update'!$E$6:$Z$6,1,MATCH(AY87,'Rate &amp; Vol Update'!$E$6:$Z$6,1)),'Rate &amp; Vol Update'!$E$6:$Z$6,0))*(INDEX('Rate &amp; Vol Update'!$E$6:$Z$6,1,MATCH(AY87,'Rate &amp; Vol Update'!$E$6:$Z$6,1)+1)-AY87)*(AT87-INDEX('Rate &amp; Vol Update'!$B$8:$B$127,MATCH(AT87,'Rate &amp; Vol Update'!$B$8:$B$127,1)))+INDEX('Rate &amp; Vol Update'!$E$8:$Z$127,MATCH(INDEX('Rate &amp; Vol Update'!$B$8:$B$127,MATCH(AT87,'Rate &amp; Vol Update'!$B$8:$B$127,1)+1),'Rate &amp; Vol Update'!$B$8:$B$127,0),MATCH(INDEX('Rate &amp; Vol Update'!$E$6:$Z$6,1,MATCH(AY87,'Rate &amp; Vol Update'!$E$6:$Z$6,1)+1),'Rate &amp; Vol Update'!$E$6:$Z$6,0))*(AY87-INDEX('Rate &amp; Vol Update'!$E$6:$Z$6,1,MATCH(AY87,'Rate &amp; Vol Update'!$E$6:$Z$6,1)))*(AT87-INDEX('Rate &amp; Vol Update'!$B$8:$B$127,MATCH(AT87,'Rate &amp; Vol Update'!$B$8:$B$127,1)))))*0.01%))</f>
        <v/>
      </c>
      <c r="BB87" s="5" t="str">
        <f>IF(AS87="","",1/((1+AZ87)^((AU87-'Rate &amp; Vol Update'!$C$2)/360)))</f>
        <v/>
      </c>
      <c r="BD87" s="15" t="str">
        <f>IF(AS87="","",IF(AT87&lt;'Rate &amp; Vol Update'!$C$2,MAX(0,AZ87-AY87)*(AV87/360)*AX87,(((IF('Adjustment Surface'!$C$2='Data Validation'!$A$2,AZ87,IF('Adjustment Surface'!$C$2='Data Validation'!$A$3,AY87,"Unknown Option Type"))-IF('Adjustment Surface'!$C$2='Data Validation'!$A$2,AY87,IF('Adjustment Surface'!$C$2='Data Validation'!$A$3,AZ87,"Unknown Option Type")))*(NORMDIST((IF('Adjustment Surface'!$C$2='Data Validation'!$A$2,AZ87,IF('Adjustment Surface'!$C$2='Data Validation'!$A$3,AY87,"Unknown Option Type"))-IF('Adjustment Surface'!$C$2='Data Validation'!$A$2,AY87,IF('Adjustment Surface'!$C$2='Data Validation'!$A$3,AZ87,"Unknown Option Type")))/(BA87*SQRT(AW87)),0,1,TRUE)))+((BA87*SQRT(AW87))*(NORMDIST((IF('Adjustment Surface'!$C$2='Data Validation'!$A$2,AZ87,IF('Adjustment Surface'!$C$2='Data Validation'!$A$3,AY87,"Unknown Option Type"))-IF('Adjustment Surface'!$C$2='Data Validation'!$A$2,AY87,IF('Adjustment Surface'!$C$2='Data Validation'!$A$3,AZ87,"Unknown Option Type")))/(BA87*SQRT(AW87)),0,1,FALSE))))*BB87*(AV87/360)*AX87))</f>
        <v/>
      </c>
      <c r="BE87" s="15" t="str">
        <f>IF(AS87="","",SUM(BD$4:BD87))</f>
        <v/>
      </c>
      <c r="BG87" s="15" t="str">
        <f>IF(AS87="","",IF(AT87&lt;'Rate &amp; Vol Update'!$C$2,0,((((((IF('Adjustment Surface'!$C$2='Data Validation'!$A$2,AZ87,IF('Adjustment Surface'!$C$2='Data Validation'!$A$3,AY87,"Unknown Option Type"))-IF('Adjustment Surface'!$C$2='Data Validation'!$A$2,AY87,IF('Adjustment Surface'!$C$2='Data Validation'!$A$3,AZ87,"Unknown Option Type")))*(NORMDIST((IF('Adjustment Surface'!$C$2='Data Validation'!$A$2,AZ87,IF('Adjustment Surface'!$C$2='Data Validation'!$A$3,AY87,"Unknown Option Type"))-IF('Adjustment Surface'!$C$2='Data Validation'!$A$2,AY87,IF('Adjustment Surface'!$C$2='Data Validation'!$A$3,AZ87,"Unknown Option Type")))/((BA87+0.01%)*SQRT(AW87)),0,1,TRUE)))+(((BA87+0.01%)*SQRT(AW87))*(NORMDIST((IF('Adjustment Surface'!$C$2='Data Validation'!$A$2,AZ87,IF('Adjustment Surface'!$C$2='Data Validation'!$A$3,AY87,"Unknown Option Type"))-IF('Adjustment Surface'!$C$2='Data Validation'!$A$2,AY87,IF('Adjustment Surface'!$C$2='Data Validation'!$A$3,AZ87,"Unknown Option Type")))/((BA87+0.01%)*SQRT(AW87)),0,1,FALSE))))*BB87*(AV87/360))-(BD87/AX87))*AX87)*BB87))</f>
        <v/>
      </c>
      <c r="BH87" s="15" t="str">
        <f>IF(AS87="","",SUM(BG$4:BG87))</f>
        <v/>
      </c>
      <c r="BI87" s="15"/>
      <c r="BJ87" s="20"/>
      <c r="BL87" s="4" t="str">
        <f>IF(BM86=MAX('Adjustment Surface'!$C$14:$F$14),"",BM86)</f>
        <v/>
      </c>
      <c r="BM87" s="4" t="str">
        <f>IF(BL87="","",IF(BL87&lt;EDATE('Adjustment Surface'!$C$6,DATEDIF('Adjustment Surface'!$C$6,MAX('Adjustment Surface'!$C$14:$F$14),"M")),EDATE(BL$5,COUNT(BL$5:BL87)),IF(BL87=EDATE('Adjustment Surface'!$C$6,DATEDIF('Adjustment Surface'!$C$6,MAX('Adjustment Surface'!$C$14:$F$14),"M")),MAX('Adjustment Surface'!$C$14:$F$14),EDATE('Adjustment Surface'!$C$6,DATEDIF('Adjustment Surface'!$C$6,MAX('Adjustment Surface'!$C$14:$F$14),"M")))))</f>
        <v/>
      </c>
      <c r="BN87" s="3" t="str">
        <f t="shared" si="9"/>
        <v/>
      </c>
      <c r="BO87" s="5" t="str">
        <f>IF(BK87="","",(BM87-'Rate &amp; Vol Update'!$C$2)/360)</f>
        <v/>
      </c>
      <c r="BP87" s="15" t="str">
        <f>IF(BK87="","",IF('Adjustment Surface'!$C$3='Data Validation'!$C$2,'Adjustment Surface'!$C$4,_xlfn.IFNA(IF(INDEX(Schedules!$E$3:$E$123,MATCH('Bachelier Model'!BL87,Schedules!$B$3:$B$123,0))="",BP86,INDEX(Schedules!$E$3:$E$123,MATCH('Bachelier Model'!BL87,Schedules!$B$3:$B$123,0))),BP86)))</f>
        <v/>
      </c>
      <c r="BQ87" s="16" t="str">
        <f>IF(BK87="","",'Adjustment Surface'!B$17)</f>
        <v/>
      </c>
      <c r="BR87" s="16" t="str" cm="1">
        <f t="array" ref="BR87">IF(BK87="","",FORECAST(BL87,INDEX('Rate &amp; Vol Update'!$C$6:$C$127,MATCH(INDEX('Rate &amp; Vol Update'!$B$6:$B$127,MATCH(BL87,'Rate &amp; Vol Update'!$B$6:$B$127,1)),'Rate &amp; Vol Update'!$B$6:$B$127,0)+IF('Adjustment Surface'!$C$11='Data Validation'!$E$3,-1,0)):INDEX('Rate &amp; Vol Update'!$C$6:$C$127,MATCH(INDEX('Rate &amp; Vol Update'!$B$6:$B$127,MATCH(BL87,'Rate &amp; Vol Update'!$B$6:$B$127,1)+1),'Rate &amp; Vol Update'!$B$6:$B$127,0)+IF('Adjustment Surface'!$C$11='Data Validation'!$E$3,-1,0)),INDEX('Rate &amp; Vol Update'!$B$6:$B$127,MATCH(BL87,'Rate &amp; Vol Update'!$B$6:$B$127,1)):INDEX('Rate &amp; Vol Update'!$B$6:$B$127,MATCH(BL87,'Rate &amp; Vol Update'!$B$6:$B$127,1)+1))/100)</f>
        <v/>
      </c>
      <c r="BS87" s="16" t="str" cm="1">
        <f t="array" ref="BS87">IF(BK87="","",IF(BL87&lt;'Rate &amp; Vol Update'!$C$2,0.001%,(1/((INDEX('Rate &amp; Vol Update'!$E$6:$Z$6,1,MATCH(BQ87,'Rate &amp; Vol Update'!$E$6:$Z$6,1)+1)-INDEX('Rate &amp; Vol Update'!$E$6:$Z$6,1,MATCH(BQ87,'Rate &amp; Vol Update'!$E$6:$Z$6,1)))*(INDEX('Rate &amp; Vol Update'!$B$8:$B$127,MATCH(BL87,'Rate &amp; Vol Update'!$B$8:$B$127,1)+1)-INDEX('Rate &amp; Vol Update'!$B$8:$B$127,MATCH(BL87,'Rate &amp; Vol Update'!$B$8:$B$127,1))))*(INDEX('Rate &amp; Vol Update'!$E$8:$Z$127,MATCH(INDEX('Rate &amp; Vol Update'!$B$8:$B$127,MATCH(BL87,'Rate &amp; Vol Update'!$B$8:$B$127,1)),'Rate &amp; Vol Update'!$B$8:$B$127,0),MATCH(INDEX('Rate &amp; Vol Update'!$E$6:$Z$6,1,MATCH(BQ87,'Rate &amp; Vol Update'!$E$6:$Z$6,1)),'Rate &amp; Vol Update'!$E$6:$Z$6,0))*(INDEX('Rate &amp; Vol Update'!$E$6:$Z$6,1,MATCH(BQ87,'Rate &amp; Vol Update'!$E$6:$Z$6,1)+1)-BQ87)*(INDEX('Rate &amp; Vol Update'!$B$8:$B$127,MATCH(BL87,'Rate &amp; Vol Update'!$B$8:$B$127,1)+1)-BL87)+INDEX('Rate &amp; Vol Update'!$E$8:$Z$127,MATCH(INDEX('Rate &amp; Vol Update'!$B$8:$B$127,MATCH(BL87,'Rate &amp; Vol Update'!$B$8:$B$127,1)),'Rate &amp; Vol Update'!$B$8:$B$127,0),MATCH(INDEX('Rate &amp; Vol Update'!$E$6:$Z$6,1,MATCH(BQ87,'Rate &amp; Vol Update'!$E$6:$Z$6,1)+1),'Rate &amp; Vol Update'!$E$6:$Z$6,0))*(BQ87-INDEX('Rate &amp; Vol Update'!$E$6:$Z$6,1,MATCH(BQ87,'Rate &amp; Vol Update'!$E$6:$Z$6,1)))*(INDEX('Rate &amp; Vol Update'!$B$8:$B$127,MATCH(BL87,'Rate &amp; Vol Update'!$B$8:$B$127,1)+1)-BL87)+INDEX('Rate &amp; Vol Update'!$E$8:$Z$127,MATCH(INDEX('Rate &amp; Vol Update'!$B$8:$B$127,MATCH(BL87,'Rate &amp; Vol Update'!$B$8:$B$127,1)+1),'Rate &amp; Vol Update'!$B$8:$B$127,0),MATCH(INDEX('Rate &amp; Vol Update'!$E$6:$Z$6,1,MATCH(BQ87,'Rate &amp; Vol Update'!$E$6:$Z$6,1)),'Rate &amp; Vol Update'!$E$6:$Z$6,0))*(INDEX('Rate &amp; Vol Update'!$E$6:$Z$6,1,MATCH(BQ87,'Rate &amp; Vol Update'!$E$6:$Z$6,1)+1)-BQ87)*(BL87-INDEX('Rate &amp; Vol Update'!$B$8:$B$127,MATCH(BL87,'Rate &amp; Vol Update'!$B$8:$B$127,1)))+INDEX('Rate &amp; Vol Update'!$E$8:$Z$127,MATCH(INDEX('Rate &amp; Vol Update'!$B$8:$B$127,MATCH(BL87,'Rate &amp; Vol Update'!$B$8:$B$127,1)+1),'Rate &amp; Vol Update'!$B$8:$B$127,0),MATCH(INDEX('Rate &amp; Vol Update'!$E$6:$Z$6,1,MATCH(BQ87,'Rate &amp; Vol Update'!$E$6:$Z$6,1)+1),'Rate &amp; Vol Update'!$E$6:$Z$6,0))*(BQ87-INDEX('Rate &amp; Vol Update'!$E$6:$Z$6,1,MATCH(BQ87,'Rate &amp; Vol Update'!$E$6:$Z$6,1)))*(BL87-INDEX('Rate &amp; Vol Update'!$B$8:$B$127,MATCH(BL87,'Rate &amp; Vol Update'!$B$8:$B$127,1)))))*0.01%))</f>
        <v/>
      </c>
      <c r="BT87" s="5" t="str">
        <f>IF(BK87="","",1/((1+BR87)^((BM87-'Rate &amp; Vol Update'!$C$2)/360)))</f>
        <v/>
      </c>
      <c r="BV87" s="15" t="str">
        <f>IF(BK87="","",IF(BL87&lt;'Rate &amp; Vol Update'!$C$2,MAX(0,BR87-BQ87)*(BN87/360)*BP87,(((IF('Adjustment Surface'!$C$2='Data Validation'!$A$2,BR87,IF('Adjustment Surface'!$C$2='Data Validation'!$A$3,BQ87,"Unknown Option Type"))-IF('Adjustment Surface'!$C$2='Data Validation'!$A$2,BQ87,IF('Adjustment Surface'!$C$2='Data Validation'!$A$3,BR87,"Unknown Option Type")))*(NORMDIST((IF('Adjustment Surface'!$C$2='Data Validation'!$A$2,BR87,IF('Adjustment Surface'!$C$2='Data Validation'!$A$3,BQ87,"Unknown Option Type"))-IF('Adjustment Surface'!$C$2='Data Validation'!$A$2,BQ87,IF('Adjustment Surface'!$C$2='Data Validation'!$A$3,BR87,"Unknown Option Type")))/(BS87*SQRT(BO87)),0,1,TRUE)))+((BS87*SQRT(BO87))*(NORMDIST((IF('Adjustment Surface'!$C$2='Data Validation'!$A$2,BR87,IF('Adjustment Surface'!$C$2='Data Validation'!$A$3,BQ87,"Unknown Option Type"))-IF('Adjustment Surface'!$C$2='Data Validation'!$A$2,BQ87,IF('Adjustment Surface'!$C$2='Data Validation'!$A$3,BR87,"Unknown Option Type")))/(BS87*SQRT(BO87)),0,1,FALSE))))*BT87*(BN87/360)*BP87))</f>
        <v/>
      </c>
      <c r="BW87" s="15" t="str">
        <f>IF(BK87="","",SUM(BV$4:BV87))</f>
        <v/>
      </c>
      <c r="BY87" s="15" t="str">
        <f>IF(BK87="","",IF(BL87&lt;'Rate &amp; Vol Update'!$C$2,0,((((((IF('Adjustment Surface'!$C$2='Data Validation'!$A$2,BR87,IF('Adjustment Surface'!$C$2='Data Validation'!$A$3,BQ87,"Unknown Option Type"))-IF('Adjustment Surface'!$C$2='Data Validation'!$A$2,BQ87,IF('Adjustment Surface'!$C$2='Data Validation'!$A$3,BR87,"Unknown Option Type")))*(NORMDIST((IF('Adjustment Surface'!$C$2='Data Validation'!$A$2,BR87,IF('Adjustment Surface'!$C$2='Data Validation'!$A$3,BQ87,"Unknown Option Type"))-IF('Adjustment Surface'!$C$2='Data Validation'!$A$2,BQ87,IF('Adjustment Surface'!$C$2='Data Validation'!$A$3,BR87,"Unknown Option Type")))/((BS87+0.01%)*SQRT(BO87)),0,1,TRUE)))+(((BS87+0.01%)*SQRT(BO87))*(NORMDIST((IF('Adjustment Surface'!$C$2='Data Validation'!$A$2,BR87,IF('Adjustment Surface'!$C$2='Data Validation'!$A$3,BQ87,"Unknown Option Type"))-IF('Adjustment Surface'!$C$2='Data Validation'!$A$2,BQ87,IF('Adjustment Surface'!$C$2='Data Validation'!$A$3,BR87,"Unknown Option Type")))/((BS87+0.01%)*SQRT(BO87)),0,1,FALSE))))*BT87*(BN87/360))-(BV87/BP87))*BP87)*BT87))</f>
        <v/>
      </c>
      <c r="BZ87" s="15" t="str">
        <f>IF(BK87="","",SUM(BY$4:BY87))</f>
        <v/>
      </c>
      <c r="CA87" s="15"/>
      <c r="CB87" s="20"/>
      <c r="CD87" s="4" t="str">
        <f>IF(CE86=MAX('Adjustment Surface'!$C$14:$F$14),"",CE86)</f>
        <v/>
      </c>
      <c r="CE87" s="4" t="str">
        <f>IF(CD87="","",IF(CD87&lt;EDATE('Adjustment Surface'!$C$6,DATEDIF('Adjustment Surface'!$C$6,MAX('Adjustment Surface'!$C$14:$F$14),"M")),EDATE(CD$5,COUNT(CD$5:CD87)),IF(CD87=EDATE('Adjustment Surface'!$C$6,DATEDIF('Adjustment Surface'!$C$6,MAX('Adjustment Surface'!$C$14:$F$14),"M")),MAX('Adjustment Surface'!$C$14:$F$14),EDATE('Adjustment Surface'!$C$6,DATEDIF('Adjustment Surface'!$C$6,MAX('Adjustment Surface'!$C$14:$F$14),"M")))))</f>
        <v/>
      </c>
      <c r="CF87" s="3" t="str">
        <f t="shared" si="10"/>
        <v/>
      </c>
      <c r="CG87" s="5" t="str">
        <f>IF(CC87="","",(CE87-'Rate &amp; Vol Update'!$C$2)/360)</f>
        <v/>
      </c>
      <c r="CH87" s="15" t="str">
        <f>IF(CC87="","",IF('Adjustment Surface'!$C$3='Data Validation'!$C$2,'Adjustment Surface'!$C$4,_xlfn.IFNA(IF(INDEX(Schedules!$E$3:$E$123,MATCH('Bachelier Model'!CD87,Schedules!$B$3:$B$123,0))="",CH86,INDEX(Schedules!$E$3:$E$123,MATCH('Bachelier Model'!CD87,Schedules!$B$3:$B$123,0))),CH86)))</f>
        <v/>
      </c>
      <c r="CI87" s="16" t="str">
        <f>IF(CC87="","",'Adjustment Surface'!B$18)</f>
        <v/>
      </c>
      <c r="CJ87" s="16" t="str" cm="1">
        <f t="array" ref="CJ87">IF(CC87="","",FORECAST(CD87,INDEX('Rate &amp; Vol Update'!$C$6:$C$127,MATCH(INDEX('Rate &amp; Vol Update'!$B$6:$B$127,MATCH(CD87,'Rate &amp; Vol Update'!$B$6:$B$127,1)),'Rate &amp; Vol Update'!$B$6:$B$127,0)+IF('Adjustment Surface'!$C$11='Data Validation'!$E$3,-1,0)):INDEX('Rate &amp; Vol Update'!$C$6:$C$127,MATCH(INDEX('Rate &amp; Vol Update'!$B$6:$B$127,MATCH(CD87,'Rate &amp; Vol Update'!$B$6:$B$127,1)+1),'Rate &amp; Vol Update'!$B$6:$B$127,0)+IF('Adjustment Surface'!$C$11='Data Validation'!$E$3,-1,0)),INDEX('Rate &amp; Vol Update'!$B$6:$B$127,MATCH(CD87,'Rate &amp; Vol Update'!$B$6:$B$127,1)):INDEX('Rate &amp; Vol Update'!$B$6:$B$127,MATCH(CD87,'Rate &amp; Vol Update'!$B$6:$B$127,1)+1))/100)</f>
        <v/>
      </c>
      <c r="CK87" s="16" t="str" cm="1">
        <f t="array" ref="CK87">IF(CC87="","",IF(CD87&lt;'Rate &amp; Vol Update'!$C$2,0.001%,(1/((INDEX('Rate &amp; Vol Update'!$E$6:$Z$6,1,MATCH(CI87,'Rate &amp; Vol Update'!$E$6:$Z$6,1)+1)-INDEX('Rate &amp; Vol Update'!$E$6:$Z$6,1,MATCH(CI87,'Rate &amp; Vol Update'!$E$6:$Z$6,1)))*(INDEX('Rate &amp; Vol Update'!$B$8:$B$127,MATCH(CD87,'Rate &amp; Vol Update'!$B$8:$B$127,1)+1)-INDEX('Rate &amp; Vol Update'!$B$8:$B$127,MATCH(CD87,'Rate &amp; Vol Update'!$B$8:$B$127,1))))*(INDEX('Rate &amp; Vol Update'!$E$8:$Z$127,MATCH(INDEX('Rate &amp; Vol Update'!$B$8:$B$127,MATCH(CD87,'Rate &amp; Vol Update'!$B$8:$B$127,1)),'Rate &amp; Vol Update'!$B$8:$B$127,0),MATCH(INDEX('Rate &amp; Vol Update'!$E$6:$Z$6,1,MATCH(CI87,'Rate &amp; Vol Update'!$E$6:$Z$6,1)),'Rate &amp; Vol Update'!$E$6:$Z$6,0))*(INDEX('Rate &amp; Vol Update'!$E$6:$Z$6,1,MATCH(CI87,'Rate &amp; Vol Update'!$E$6:$Z$6,1)+1)-CI87)*(INDEX('Rate &amp; Vol Update'!$B$8:$B$127,MATCH(CD87,'Rate &amp; Vol Update'!$B$8:$B$127,1)+1)-CD87)+INDEX('Rate &amp; Vol Update'!$E$8:$Z$127,MATCH(INDEX('Rate &amp; Vol Update'!$B$8:$B$127,MATCH(CD87,'Rate &amp; Vol Update'!$B$8:$B$127,1)),'Rate &amp; Vol Update'!$B$8:$B$127,0),MATCH(INDEX('Rate &amp; Vol Update'!$E$6:$Z$6,1,MATCH(CI87,'Rate &amp; Vol Update'!$E$6:$Z$6,1)+1),'Rate &amp; Vol Update'!$E$6:$Z$6,0))*(CI87-INDEX('Rate &amp; Vol Update'!$E$6:$Z$6,1,MATCH(CI87,'Rate &amp; Vol Update'!$E$6:$Z$6,1)))*(INDEX('Rate &amp; Vol Update'!$B$8:$B$127,MATCH(CD87,'Rate &amp; Vol Update'!$B$8:$B$127,1)+1)-CD87)+INDEX('Rate &amp; Vol Update'!$E$8:$Z$127,MATCH(INDEX('Rate &amp; Vol Update'!$B$8:$B$127,MATCH(CD87,'Rate &amp; Vol Update'!$B$8:$B$127,1)+1),'Rate &amp; Vol Update'!$B$8:$B$127,0),MATCH(INDEX('Rate &amp; Vol Update'!$E$6:$Z$6,1,MATCH(CI87,'Rate &amp; Vol Update'!$E$6:$Z$6,1)),'Rate &amp; Vol Update'!$E$6:$Z$6,0))*(INDEX('Rate &amp; Vol Update'!$E$6:$Z$6,1,MATCH(CI87,'Rate &amp; Vol Update'!$E$6:$Z$6,1)+1)-CI87)*(CD87-INDEX('Rate &amp; Vol Update'!$B$8:$B$127,MATCH(CD87,'Rate &amp; Vol Update'!$B$8:$B$127,1)))+INDEX('Rate &amp; Vol Update'!$E$8:$Z$127,MATCH(INDEX('Rate &amp; Vol Update'!$B$8:$B$127,MATCH(CD87,'Rate &amp; Vol Update'!$B$8:$B$127,1)+1),'Rate &amp; Vol Update'!$B$8:$B$127,0),MATCH(INDEX('Rate &amp; Vol Update'!$E$6:$Z$6,1,MATCH(CI87,'Rate &amp; Vol Update'!$E$6:$Z$6,1)+1),'Rate &amp; Vol Update'!$E$6:$Z$6,0))*(CI87-INDEX('Rate &amp; Vol Update'!$E$6:$Z$6,1,MATCH(CI87,'Rate &amp; Vol Update'!$E$6:$Z$6,1)))*(CD87-INDEX('Rate &amp; Vol Update'!$B$8:$B$127,MATCH(CD87,'Rate &amp; Vol Update'!$B$8:$B$127,1)))))*0.01%))</f>
        <v/>
      </c>
      <c r="CL87" s="5" t="str">
        <f>IF(CC87="","",1/((1+CJ87)^((CE87-'Rate &amp; Vol Update'!$C$2)/360)))</f>
        <v/>
      </c>
      <c r="CN87" s="15" t="str">
        <f>IF(CC87="","",IF(CD87&lt;'Rate &amp; Vol Update'!$C$2,MAX(0,CJ87-CI87)*(CF87/360)*CH87,(((IF('Adjustment Surface'!$C$2='Data Validation'!$A$2,CJ87,IF('Adjustment Surface'!$C$2='Data Validation'!$A$3,CI87,"Unknown Option Type"))-IF('Adjustment Surface'!$C$2='Data Validation'!$A$2,CI87,IF('Adjustment Surface'!$C$2='Data Validation'!$A$3,CJ87,"Unknown Option Type")))*(NORMDIST((IF('Adjustment Surface'!$C$2='Data Validation'!$A$2,CJ87,IF('Adjustment Surface'!$C$2='Data Validation'!$A$3,CI87,"Unknown Option Type"))-IF('Adjustment Surface'!$C$2='Data Validation'!$A$2,CI87,IF('Adjustment Surface'!$C$2='Data Validation'!$A$3,CJ87,"Unknown Option Type")))/(CK87*SQRT(CG87)),0,1,TRUE)))+((CK87*SQRT(CG87))*(NORMDIST((IF('Adjustment Surface'!$C$2='Data Validation'!$A$2,CJ87,IF('Adjustment Surface'!$C$2='Data Validation'!$A$3,CI87,"Unknown Option Type"))-IF('Adjustment Surface'!$C$2='Data Validation'!$A$2,CI87,IF('Adjustment Surface'!$C$2='Data Validation'!$A$3,CJ87,"Unknown Option Type")))/(CK87*SQRT(CG87)),0,1,FALSE))))*CL87*(CF87/360)*CH87))</f>
        <v/>
      </c>
      <c r="CO87" s="15" t="str">
        <f>IF(CC87="","",SUM(CN$4:CN87))</f>
        <v/>
      </c>
      <c r="CQ87" s="15" t="str">
        <f>IF(CC87="","",IF(CD87&lt;'Rate &amp; Vol Update'!$C$2,0,((((((IF('Adjustment Surface'!$C$2='Data Validation'!$A$2,CJ87,IF('Adjustment Surface'!$C$2='Data Validation'!$A$3,CI87,"Unknown Option Type"))-IF('Adjustment Surface'!$C$2='Data Validation'!$A$2,CI87,IF('Adjustment Surface'!$C$2='Data Validation'!$A$3,CJ87,"Unknown Option Type")))*(NORMDIST((IF('Adjustment Surface'!$C$2='Data Validation'!$A$2,CJ87,IF('Adjustment Surface'!$C$2='Data Validation'!$A$3,CI87,"Unknown Option Type"))-IF('Adjustment Surface'!$C$2='Data Validation'!$A$2,CI87,IF('Adjustment Surface'!$C$2='Data Validation'!$A$3,CJ87,"Unknown Option Type")))/((CK87+0.01%)*SQRT(CG87)),0,1,TRUE)))+(((CK87+0.01%)*SQRT(CG87))*(NORMDIST((IF('Adjustment Surface'!$C$2='Data Validation'!$A$2,CJ87,IF('Adjustment Surface'!$C$2='Data Validation'!$A$3,CI87,"Unknown Option Type"))-IF('Adjustment Surface'!$C$2='Data Validation'!$A$2,CI87,IF('Adjustment Surface'!$C$2='Data Validation'!$A$3,CJ87,"Unknown Option Type")))/((CK87+0.01%)*SQRT(CG87)),0,1,FALSE))))*CL87*(CF87/360))-(CN87/CH87))*CH87)*CL87))</f>
        <v/>
      </c>
      <c r="CR87" s="15" t="str">
        <f>IF(CC87="","",SUM(CQ$4:CQ87))</f>
        <v/>
      </c>
    </row>
    <row r="88" spans="7:96" x14ac:dyDescent="0.25">
      <c r="G88" s="28"/>
      <c r="J88" s="4" t="str">
        <f>IF(K87='Adjustment Surface'!C$8,"",K87)</f>
        <v/>
      </c>
      <c r="K88" s="4" t="str">
        <f>IF(J88="","",IF(J88&lt;'Adjustment Surface'!C$7,EDATE(J$5,COUNT(J$5:J88)),IF(J88='Adjustment Surface'!C$7,'Adjustment Surface'!C$8,'Adjustment Surface'!C$7)))</f>
        <v/>
      </c>
      <c r="L88" s="3" t="str">
        <f t="shared" si="6"/>
        <v/>
      </c>
      <c r="M88" s="5" t="str">
        <f>IF(I88="","",(K88-'Rate &amp; Vol Update'!$C$2)/360)</f>
        <v/>
      </c>
      <c r="N88" s="15" t="str">
        <f>IF(I88="","",IF('Adjustment Surface'!C$3='Data Validation'!$C$2,'Adjustment Surface'!C$4,IF(INDEX(Schedules!$E$3:$E$123,MATCH('Bachelier Model'!J88,Schedules!$B$3:$B$123,0))="",N87,INDEX(Schedules!$E$3:$E$123,MATCH('Bachelier Model'!J88,Schedules!$B$3:$B$123,0)))))</f>
        <v/>
      </c>
      <c r="O88" s="16" t="str">
        <f>IF(I88="","",IF('Adjustment Surface'!C$9='Data Validation'!$D$2,'Adjustment Surface'!C$10,IF(INDEX(Schedules!$H$3:$H$123,MATCH('Bachelier Model'!J88,Schedules!$B$3:$B$123,0))="",O87,INDEX(Schedules!$H$3:$H$123,MATCH('Bachelier Model'!J88,Schedules!$B$3:$B$123,0)))))</f>
        <v/>
      </c>
      <c r="P88" s="16" t="str" cm="1">
        <f t="array" ref="P88">IF(I88="","",FORECAST(J88,INDEX('Rate &amp; Vol Update'!$C$6:$C$127,MATCH(INDEX('Rate &amp; Vol Update'!$B$6:$B$127,MATCH(J88,'Rate &amp; Vol Update'!$B$6:$B$127,1)),'Rate &amp; Vol Update'!$B$6:$B$127,0)+IF('Adjustment Surface'!C$11='Data Validation'!$E$3,-1,0)):INDEX('Rate &amp; Vol Update'!$C$6:$C$127,MATCH(INDEX('Rate &amp; Vol Update'!$B$6:$B$127,MATCH(J88,'Rate &amp; Vol Update'!$B$6:$B$127,1)+1),'Rate &amp; Vol Update'!$B$6:$B$127,0)+IF('Adjustment Surface'!C$11='Data Validation'!$E$3,-1,0)),INDEX('Rate &amp; Vol Update'!$B$6:$B$127,MATCH(J88,'Rate &amp; Vol Update'!$B$6:$B$127,1)):INDEX('Rate &amp; Vol Update'!$B$6:$B$127,MATCH(J88,'Rate &amp; Vol Update'!$B$6:$B$127,1)+1))/100)</f>
        <v/>
      </c>
      <c r="Q88" s="16" t="str" cm="1">
        <f t="array" ref="Q88">IF(I88="","",IF(J88&lt;'Rate &amp; Vol Update'!$C$2,0.001%,(1/((INDEX('Rate &amp; Vol Update'!$E$6:$Z$6,1,MATCH(O88,'Rate &amp; Vol Update'!$E$6:$Z$6,1)+1)-INDEX('Rate &amp; Vol Update'!$E$6:$Z$6,1,MATCH(O88,'Rate &amp; Vol Update'!$E$6:$Z$6,1)))*(INDEX('Rate &amp; Vol Update'!$B$8:$B$127,MATCH(J88,'Rate &amp; Vol Update'!$B$8:$B$127,1)+1)-INDEX('Rate &amp; Vol Update'!$B$8:$B$127,MATCH(J88,'Rate &amp; Vol Update'!$B$8:$B$127,1))))*(INDEX('Rate &amp; Vol Update'!$E$8:$Z$127,MATCH(INDEX('Rate &amp; Vol Update'!$B$8:$B$127,MATCH(J88,'Rate &amp; Vol Update'!$B$8:$B$127,1)),'Rate &amp; Vol Update'!$B$8:$B$127,0),MATCH(INDEX('Rate &amp; Vol Update'!$E$6:$Z$6,1,MATCH(O88,'Rate &amp; Vol Update'!$E$6:$Z$6,1)),'Rate &amp; Vol Update'!$E$6:$Z$6,0))*(INDEX('Rate &amp; Vol Update'!$E$6:$Z$6,1,MATCH(O88,'Rate &amp; Vol Update'!$E$6:$Z$6,1)+1)-O88)*(INDEX('Rate &amp; Vol Update'!$B$8:$B$127,MATCH(J88,'Rate &amp; Vol Update'!$B$8:$B$127,1)+1)-J88)+INDEX('Rate &amp; Vol Update'!$E$8:$Z$127,MATCH(INDEX('Rate &amp; Vol Update'!$B$8:$B$127,MATCH(J88,'Rate &amp; Vol Update'!$B$8:$B$127,1)),'Rate &amp; Vol Update'!$B$8:$B$127,0),MATCH(INDEX('Rate &amp; Vol Update'!$E$6:$Z$6,1,MATCH(O88,'Rate &amp; Vol Update'!$E$6:$Z$6,1)+1),'Rate &amp; Vol Update'!$E$6:$Z$6,0))*(O88-INDEX('Rate &amp; Vol Update'!$E$6:$Z$6,1,MATCH(O88,'Rate &amp; Vol Update'!$E$6:$Z$6,1)))*(INDEX('Rate &amp; Vol Update'!$B$8:$B$127,MATCH(J88,'Rate &amp; Vol Update'!$B$8:$B$127,1)+1)-J88)+INDEX('Rate &amp; Vol Update'!$E$8:$Z$127,MATCH(INDEX('Rate &amp; Vol Update'!$B$8:$B$127,MATCH(J88,'Rate &amp; Vol Update'!$B$8:$B$127,1)+1),'Rate &amp; Vol Update'!$B$8:$B$127,0),MATCH(INDEX('Rate &amp; Vol Update'!$E$6:$Z$6,1,MATCH(O88,'Rate &amp; Vol Update'!$E$6:$Z$6,1)),'Rate &amp; Vol Update'!$E$6:$Z$6,0))*(INDEX('Rate &amp; Vol Update'!$E$6:$Z$6,1,MATCH(O88,'Rate &amp; Vol Update'!$E$6:$Z$6,1)+1)-O88)*(J88-INDEX('Rate &amp; Vol Update'!$B$8:$B$127,MATCH(J88,'Rate &amp; Vol Update'!$B$8:$B$127,1)))+INDEX('Rate &amp; Vol Update'!$E$8:$Z$127,MATCH(INDEX('Rate &amp; Vol Update'!$B$8:$B$127,MATCH(J88,'Rate &amp; Vol Update'!$B$8:$B$127,1)+1),'Rate &amp; Vol Update'!$B$8:$B$127,0),MATCH(INDEX('Rate &amp; Vol Update'!$E$6:$Z$6,1,MATCH(O88,'Rate &amp; Vol Update'!$E$6:$Z$6,1)+1),'Rate &amp; Vol Update'!$E$6:$Z$6,0))*(O88-INDEX('Rate &amp; Vol Update'!$E$6:$Z$6,1,MATCH(O88,'Rate &amp; Vol Update'!$E$6:$Z$6,1)))*(J88-INDEX('Rate &amp; Vol Update'!$B$8:$B$127,MATCH(J88,'Rate &amp; Vol Update'!$B$8:$B$127,1)))))*0.01%))</f>
        <v/>
      </c>
      <c r="R88" s="5" t="str">
        <f>IF(I88="","",1/((1+P88)^((K88-'Rate &amp; Vol Update'!$C$2)/360)))</f>
        <v/>
      </c>
      <c r="T88" s="15" t="str">
        <f>IF(I88="","",IF(J88&lt;'Rate &amp; Vol Update'!$C$2,MAX(0,P88-O88)*(L88/360)*N88,(((IF('Adjustment Surface'!C$2='Data Validation'!$A$2,P88,IF('Adjustment Surface'!C$2='Data Validation'!$A$3,O88,"Unknown Option Type"))-IF('Adjustment Surface'!C$2='Data Validation'!$A$2,O88,IF('Adjustment Surface'!C$2='Data Validation'!$A$3,P88,"Unknown Option Type")))*(NORMDIST((IF('Adjustment Surface'!C$2='Data Validation'!$A$2,P88,IF('Adjustment Surface'!C$2='Data Validation'!$A$3,O88,"Unknown Option Type"))-IF('Adjustment Surface'!C$2='Data Validation'!$A$2,O88,IF('Adjustment Surface'!C$2='Data Validation'!$A$3,P88,"Unknown Option Type")))/(Q88*SQRT(M88)),0,1,TRUE)))+((Q88*SQRT(M88))*(NORMDIST((IF('Adjustment Surface'!C$2='Data Validation'!$A$2,P88,IF('Adjustment Surface'!C$2='Data Validation'!$A$3,O88,"Unknown Option Type"))-IF('Adjustment Surface'!C$2='Data Validation'!$A$2,O88,IF('Adjustment Surface'!C$2='Data Validation'!$A$3,P88,"Unknown Option Type")))/(Q88*SQRT(M88)),0,1,FALSE))))*R88*(L88/360)*N88))</f>
        <v/>
      </c>
      <c r="U88" s="15" t="str">
        <f>IF(I88="","",SUM(T$4:T88))</f>
        <v/>
      </c>
      <c r="W88" s="15" t="str">
        <f>IF(I88="","",IF(J88&lt;'Rate &amp; Vol Update'!$C$2,0,((((((IF('Adjustment Surface'!C$2='Data Validation'!$A$2,P88,IF('Adjustment Surface'!C$2='Data Validation'!$A$3,O88,"Unknown Option Type"))-IF('Adjustment Surface'!C$2='Data Validation'!$A$2,O88,IF('Adjustment Surface'!C$2='Data Validation'!$A$3,P88,"Unknown Option Type")))*(NORMDIST((IF('Adjustment Surface'!C$2='Data Validation'!$A$2,P88,IF('Adjustment Surface'!C$2='Data Validation'!$A$3,O88,"Unknown Option Type"))-IF('Adjustment Surface'!C$2='Data Validation'!$A$2,O88,IF('Adjustment Surface'!C$2='Data Validation'!$A$3,P88,"Unknown Option Type")))/((Q88+0.01%)*SQRT(M88)),0,1,TRUE)))+(((Q88+0.01%)*SQRT(M88))*(NORMDIST((IF('Adjustment Surface'!C$2='Data Validation'!$A$2,P88,IF('Adjustment Surface'!C$2='Data Validation'!$A$3,O88,"Unknown Option Type"))-IF('Adjustment Surface'!C$2='Data Validation'!$A$2,O88,IF('Adjustment Surface'!C$2='Data Validation'!$A$3,P88,"Unknown Option Type")))/((Q88+0.01%)*SQRT(M88)),0,1,FALSE))))*R88*(L88/360))-(T88/N88))*N88)*R88))</f>
        <v/>
      </c>
      <c r="X88" s="15" t="str">
        <f>IF(I88="","",SUM(W$4:W88))</f>
        <v/>
      </c>
      <c r="Y88" s="15"/>
      <c r="Z88" s="20"/>
      <c r="AB88" s="4" t="str">
        <f>IF(AC87=MAX('Adjustment Surface'!$C$14:$F$14),"",AC87)</f>
        <v/>
      </c>
      <c r="AC88" s="4" t="str">
        <f>IF(AB88="","",IF(AB88&lt;EDATE('Adjustment Surface'!$C$6,DATEDIF('Adjustment Surface'!$C$6,MAX('Adjustment Surface'!$C$14:$F$14),"M")),EDATE(AB$5,COUNT(AB$5:AB88)),IF(AB88=EDATE('Adjustment Surface'!$C$6,DATEDIF('Adjustment Surface'!$C$6,MAX('Adjustment Surface'!$C$14:$F$14),"M")),MAX('Adjustment Surface'!$C$14:$F$14),EDATE('Adjustment Surface'!$C$6,DATEDIF('Adjustment Surface'!$C$6,MAX('Adjustment Surface'!$C$14:$F$14),"M")))))</f>
        <v/>
      </c>
      <c r="AD88" s="3" t="str">
        <f t="shared" si="7"/>
        <v/>
      </c>
      <c r="AE88" s="5" t="str">
        <f>IF(AA88="","",(AC88-'Rate &amp; Vol Update'!$C$2)/360)</f>
        <v/>
      </c>
      <c r="AF88" s="15" t="str">
        <f>IF(AA88="","",IF('Adjustment Surface'!$C$3='Data Validation'!$C$2,'Adjustment Surface'!$C$4,_xlfn.IFNA(IF(INDEX(Schedules!$E$3:$E$123,MATCH('Bachelier Model'!AB88,Schedules!$B$3:$B$123,0))="",AF87,INDEX(Schedules!$E$3:$E$123,MATCH('Bachelier Model'!AB88,Schedules!$B$3:$B$123,0))),AF87)))</f>
        <v/>
      </c>
      <c r="AG88" s="16" t="str">
        <f>IF(AA88="","",'Adjustment Surface'!B$15)</f>
        <v/>
      </c>
      <c r="AH88" s="16" t="str" cm="1">
        <f t="array" ref="AH88">IF(AA88="","",FORECAST(AB88,INDEX('Rate &amp; Vol Update'!$C$6:$C$127,MATCH(INDEX('Rate &amp; Vol Update'!$B$6:$B$127,MATCH(AB88,'Rate &amp; Vol Update'!$B$6:$B$127,1)),'Rate &amp; Vol Update'!$B$6:$B$127,0)+IF('Adjustment Surface'!$C$11='Data Validation'!$E$3,-1,0)):INDEX('Rate &amp; Vol Update'!$C$6:$C$127,MATCH(INDEX('Rate &amp; Vol Update'!$B$6:$B$127,MATCH(AB88,'Rate &amp; Vol Update'!$B$6:$B$127,1)+1),'Rate &amp; Vol Update'!$B$6:$B$127,0)+IF('Adjustment Surface'!$C$11='Data Validation'!$E$3,-1,0)),INDEX('Rate &amp; Vol Update'!$B$6:$B$127,MATCH(AB88,'Rate &amp; Vol Update'!$B$6:$B$127,1)):INDEX('Rate &amp; Vol Update'!$B$6:$B$127,MATCH(AB88,'Rate &amp; Vol Update'!$B$6:$B$127,1)+1))/100)</f>
        <v/>
      </c>
      <c r="AI88" s="16" t="str" cm="1">
        <f t="array" ref="AI88">IF(AA88="","",IF(AB88&lt;'Rate &amp; Vol Update'!$C$2,0.001%,(1/((INDEX('Rate &amp; Vol Update'!$E$6:$Z$6,1,MATCH(AG88,'Rate &amp; Vol Update'!$E$6:$Z$6,1)+1)-INDEX('Rate &amp; Vol Update'!$E$6:$Z$6,1,MATCH(AG88,'Rate &amp; Vol Update'!$E$6:$Z$6,1)))*(INDEX('Rate &amp; Vol Update'!$B$8:$B$127,MATCH(AB88,'Rate &amp; Vol Update'!$B$8:$B$127,1)+1)-INDEX('Rate &amp; Vol Update'!$B$8:$B$127,MATCH(AB88,'Rate &amp; Vol Update'!$B$8:$B$127,1))))*(INDEX('Rate &amp; Vol Update'!$E$8:$Z$127,MATCH(INDEX('Rate &amp; Vol Update'!$B$8:$B$127,MATCH(AB88,'Rate &amp; Vol Update'!$B$8:$B$127,1)),'Rate &amp; Vol Update'!$B$8:$B$127,0),MATCH(INDEX('Rate &amp; Vol Update'!$E$6:$Z$6,1,MATCH(AG88,'Rate &amp; Vol Update'!$E$6:$Z$6,1)),'Rate &amp; Vol Update'!$E$6:$Z$6,0))*(INDEX('Rate &amp; Vol Update'!$E$6:$Z$6,1,MATCH(AG88,'Rate &amp; Vol Update'!$E$6:$Z$6,1)+1)-AG88)*(INDEX('Rate &amp; Vol Update'!$B$8:$B$127,MATCH(AB88,'Rate &amp; Vol Update'!$B$8:$B$127,1)+1)-AB88)+INDEX('Rate &amp; Vol Update'!$E$8:$Z$127,MATCH(INDEX('Rate &amp; Vol Update'!$B$8:$B$127,MATCH(AB88,'Rate &amp; Vol Update'!$B$8:$B$127,1)),'Rate &amp; Vol Update'!$B$8:$B$127,0),MATCH(INDEX('Rate &amp; Vol Update'!$E$6:$Z$6,1,MATCH(AG88,'Rate &amp; Vol Update'!$E$6:$Z$6,1)+1),'Rate &amp; Vol Update'!$E$6:$Z$6,0))*(AG88-INDEX('Rate &amp; Vol Update'!$E$6:$Z$6,1,MATCH(AG88,'Rate &amp; Vol Update'!$E$6:$Z$6,1)))*(INDEX('Rate &amp; Vol Update'!$B$8:$B$127,MATCH(AB88,'Rate &amp; Vol Update'!$B$8:$B$127,1)+1)-AB88)+INDEX('Rate &amp; Vol Update'!$E$8:$Z$127,MATCH(INDEX('Rate &amp; Vol Update'!$B$8:$B$127,MATCH(AB88,'Rate &amp; Vol Update'!$B$8:$B$127,1)+1),'Rate &amp; Vol Update'!$B$8:$B$127,0),MATCH(INDEX('Rate &amp; Vol Update'!$E$6:$Z$6,1,MATCH(AG88,'Rate &amp; Vol Update'!$E$6:$Z$6,1)),'Rate &amp; Vol Update'!$E$6:$Z$6,0))*(INDEX('Rate &amp; Vol Update'!$E$6:$Z$6,1,MATCH(AG88,'Rate &amp; Vol Update'!$E$6:$Z$6,1)+1)-AG88)*(AB88-INDEX('Rate &amp; Vol Update'!$B$8:$B$127,MATCH(AB88,'Rate &amp; Vol Update'!$B$8:$B$127,1)))+INDEX('Rate &amp; Vol Update'!$E$8:$Z$127,MATCH(INDEX('Rate &amp; Vol Update'!$B$8:$B$127,MATCH(AB88,'Rate &amp; Vol Update'!$B$8:$B$127,1)+1),'Rate &amp; Vol Update'!$B$8:$B$127,0),MATCH(INDEX('Rate &amp; Vol Update'!$E$6:$Z$6,1,MATCH(AG88,'Rate &amp; Vol Update'!$E$6:$Z$6,1)+1),'Rate &amp; Vol Update'!$E$6:$Z$6,0))*(AG88-INDEX('Rate &amp; Vol Update'!$E$6:$Z$6,1,MATCH(AG88,'Rate &amp; Vol Update'!$E$6:$Z$6,1)))*(AB88-INDEX('Rate &amp; Vol Update'!$B$8:$B$127,MATCH(AB88,'Rate &amp; Vol Update'!$B$8:$B$127,1)))))*0.01%))</f>
        <v/>
      </c>
      <c r="AJ88" s="5" t="str">
        <f>IF(AA88="","",1/((1+AH88)^((AC88-'Rate &amp; Vol Update'!$C$2)/360)))</f>
        <v/>
      </c>
      <c r="AL88" s="15" t="str">
        <f>IF(AA88="","",IF(AB88&lt;'Rate &amp; Vol Update'!$C$2,MAX(0,AH88-AG88)*(AD88/360)*AF88,(((IF('Adjustment Surface'!$C$2='Data Validation'!$A$2,AH88,IF('Adjustment Surface'!$C$2='Data Validation'!$A$3,AG88,"Unknown Option Type"))-IF('Adjustment Surface'!$C$2='Data Validation'!$A$2,AG88,IF('Adjustment Surface'!$C$2='Data Validation'!$A$3,AH88,"Unknown Option Type")))*(NORMDIST((IF('Adjustment Surface'!$C$2='Data Validation'!$A$2,AH88,IF('Adjustment Surface'!$C$2='Data Validation'!$A$3,AG88,"Unknown Option Type"))-IF('Adjustment Surface'!$C$2='Data Validation'!$A$2,AG88,IF('Adjustment Surface'!$C$2='Data Validation'!$A$3,AH88,"Unknown Option Type")))/(AI88*SQRT(AE88)),0,1,TRUE)))+((AI88*SQRT(AE88))*(NORMDIST((IF('Adjustment Surface'!$C$2='Data Validation'!$A$2,AH88,IF('Adjustment Surface'!$C$2='Data Validation'!$A$3,AG88,"Unknown Option Type"))-IF('Adjustment Surface'!$C$2='Data Validation'!$A$2,AG88,IF('Adjustment Surface'!$C$2='Data Validation'!$A$3,AH88,"Unknown Option Type")))/(AI88*SQRT(AE88)),0,1,FALSE))))*AJ88*(AD88/360)*AF88))</f>
        <v/>
      </c>
      <c r="AM88" s="15" t="str">
        <f>IF(AA88="","",SUM(AL$4:AL88))</f>
        <v/>
      </c>
      <c r="AO88" s="15" t="str">
        <f>IF(AA88="","",IF(AB88&lt;'Rate &amp; Vol Update'!$C$2,0,((((((IF('Adjustment Surface'!$C$2='Data Validation'!$A$2,AH88,IF('Adjustment Surface'!$C$2='Data Validation'!$A$3,AG88,"Unknown Option Type"))-IF('Adjustment Surface'!$C$2='Data Validation'!$A$2,AG88,IF('Adjustment Surface'!$C$2='Data Validation'!$A$3,AH88,"Unknown Option Type")))*(NORMDIST((IF('Adjustment Surface'!$C$2='Data Validation'!$A$2,AH88,IF('Adjustment Surface'!$C$2='Data Validation'!$A$3,AG88,"Unknown Option Type"))-IF('Adjustment Surface'!$C$2='Data Validation'!$A$2,AG88,IF('Adjustment Surface'!$C$2='Data Validation'!$A$3,AH88,"Unknown Option Type")))/((AI88+0.01%)*SQRT(AE88)),0,1,TRUE)))+(((AI88+0.01%)*SQRT(AE88))*(NORMDIST((IF('Adjustment Surface'!$C$2='Data Validation'!$A$2,AH88,IF('Adjustment Surface'!$C$2='Data Validation'!$A$3,AG88,"Unknown Option Type"))-IF('Adjustment Surface'!$C$2='Data Validation'!$A$2,AG88,IF('Adjustment Surface'!$C$2='Data Validation'!$A$3,AH88,"Unknown Option Type")))/((AI88+0.01%)*SQRT(AE88)),0,1,FALSE))))*AJ88*(AD88/360))-(AL88/AF88))*AF88)*AJ88))</f>
        <v/>
      </c>
      <c r="AP88" s="15" t="str">
        <f>IF(AA88="","",SUM(AO$4:AO88))</f>
        <v/>
      </c>
      <c r="AQ88" s="15"/>
      <c r="AR88" s="20"/>
      <c r="AT88" s="4" t="str">
        <f>IF(AU87=MAX('Adjustment Surface'!$C$14:$F$14),"",AU87)</f>
        <v/>
      </c>
      <c r="AU88" s="4" t="str">
        <f>IF(AT88="","",IF(AT88&lt;EDATE('Adjustment Surface'!$C$6,DATEDIF('Adjustment Surface'!$C$6,MAX('Adjustment Surface'!$C$14:$F$14),"M")),EDATE(AT$5,COUNT(AT$5:AT88)),IF(AT88=EDATE('Adjustment Surface'!$C$6,DATEDIF('Adjustment Surface'!$C$6,MAX('Adjustment Surface'!$C$14:$F$14),"M")),MAX('Adjustment Surface'!$C$14:$F$14),EDATE('Adjustment Surface'!$C$6,DATEDIF('Adjustment Surface'!$C$6,MAX('Adjustment Surface'!$C$14:$F$14),"M")))))</f>
        <v/>
      </c>
      <c r="AV88" s="3" t="str">
        <f t="shared" si="8"/>
        <v/>
      </c>
      <c r="AW88" s="5" t="str">
        <f>IF(AS88="","",(AU88-'Rate &amp; Vol Update'!$C$2)/360)</f>
        <v/>
      </c>
      <c r="AX88" s="15" t="str">
        <f>IF(AS88="","",IF('Adjustment Surface'!$C$3='Data Validation'!$C$2,'Adjustment Surface'!$C$4,_xlfn.IFNA(IF(INDEX(Schedules!$E$3:$E$123,MATCH('Bachelier Model'!AT88,Schedules!$B$3:$B$123,0))="",AX87,INDEX(Schedules!$E$3:$E$123,MATCH('Bachelier Model'!AT88,Schedules!$B$3:$B$123,0))),AX87)))</f>
        <v/>
      </c>
      <c r="AY88" s="16" t="str">
        <f>IF(AS88="","",'Adjustment Surface'!B$16)</f>
        <v/>
      </c>
      <c r="AZ88" s="16" t="str" cm="1">
        <f t="array" ref="AZ88">IF(AS88="","",FORECAST(AT88,INDEX('Rate &amp; Vol Update'!$C$6:$C$127,MATCH(INDEX('Rate &amp; Vol Update'!$B$6:$B$127,MATCH(AT88,'Rate &amp; Vol Update'!$B$6:$B$127,1)),'Rate &amp; Vol Update'!$B$6:$B$127,0)+IF('Adjustment Surface'!$C$11='Data Validation'!$E$3,-1,0)):INDEX('Rate &amp; Vol Update'!$C$6:$C$127,MATCH(INDEX('Rate &amp; Vol Update'!$B$6:$B$127,MATCH(AT88,'Rate &amp; Vol Update'!$B$6:$B$127,1)+1),'Rate &amp; Vol Update'!$B$6:$B$127,0)+IF('Adjustment Surface'!$C$11='Data Validation'!$E$3,-1,0)),INDEX('Rate &amp; Vol Update'!$B$6:$B$127,MATCH(AT88,'Rate &amp; Vol Update'!$B$6:$B$127,1)):INDEX('Rate &amp; Vol Update'!$B$6:$B$127,MATCH(AT88,'Rate &amp; Vol Update'!$B$6:$B$127,1)+1))/100)</f>
        <v/>
      </c>
      <c r="BA88" s="16" t="str" cm="1">
        <f t="array" ref="BA88">IF(AS88="","",IF(AT88&lt;'Rate &amp; Vol Update'!$C$2,0.001%,(1/((INDEX('Rate &amp; Vol Update'!$E$6:$Z$6,1,MATCH(AY88,'Rate &amp; Vol Update'!$E$6:$Z$6,1)+1)-INDEX('Rate &amp; Vol Update'!$E$6:$Z$6,1,MATCH(AY88,'Rate &amp; Vol Update'!$E$6:$Z$6,1)))*(INDEX('Rate &amp; Vol Update'!$B$8:$B$127,MATCH(AT88,'Rate &amp; Vol Update'!$B$8:$B$127,1)+1)-INDEX('Rate &amp; Vol Update'!$B$8:$B$127,MATCH(AT88,'Rate &amp; Vol Update'!$B$8:$B$127,1))))*(INDEX('Rate &amp; Vol Update'!$E$8:$Z$127,MATCH(INDEX('Rate &amp; Vol Update'!$B$8:$B$127,MATCH(AT88,'Rate &amp; Vol Update'!$B$8:$B$127,1)),'Rate &amp; Vol Update'!$B$8:$B$127,0),MATCH(INDEX('Rate &amp; Vol Update'!$E$6:$Z$6,1,MATCH(AY88,'Rate &amp; Vol Update'!$E$6:$Z$6,1)),'Rate &amp; Vol Update'!$E$6:$Z$6,0))*(INDEX('Rate &amp; Vol Update'!$E$6:$Z$6,1,MATCH(AY88,'Rate &amp; Vol Update'!$E$6:$Z$6,1)+1)-AY88)*(INDEX('Rate &amp; Vol Update'!$B$8:$B$127,MATCH(AT88,'Rate &amp; Vol Update'!$B$8:$B$127,1)+1)-AT88)+INDEX('Rate &amp; Vol Update'!$E$8:$Z$127,MATCH(INDEX('Rate &amp; Vol Update'!$B$8:$B$127,MATCH(AT88,'Rate &amp; Vol Update'!$B$8:$B$127,1)),'Rate &amp; Vol Update'!$B$8:$B$127,0),MATCH(INDEX('Rate &amp; Vol Update'!$E$6:$Z$6,1,MATCH(AY88,'Rate &amp; Vol Update'!$E$6:$Z$6,1)+1),'Rate &amp; Vol Update'!$E$6:$Z$6,0))*(AY88-INDEX('Rate &amp; Vol Update'!$E$6:$Z$6,1,MATCH(AY88,'Rate &amp; Vol Update'!$E$6:$Z$6,1)))*(INDEX('Rate &amp; Vol Update'!$B$8:$B$127,MATCH(AT88,'Rate &amp; Vol Update'!$B$8:$B$127,1)+1)-AT88)+INDEX('Rate &amp; Vol Update'!$E$8:$Z$127,MATCH(INDEX('Rate &amp; Vol Update'!$B$8:$B$127,MATCH(AT88,'Rate &amp; Vol Update'!$B$8:$B$127,1)+1),'Rate &amp; Vol Update'!$B$8:$B$127,0),MATCH(INDEX('Rate &amp; Vol Update'!$E$6:$Z$6,1,MATCH(AY88,'Rate &amp; Vol Update'!$E$6:$Z$6,1)),'Rate &amp; Vol Update'!$E$6:$Z$6,0))*(INDEX('Rate &amp; Vol Update'!$E$6:$Z$6,1,MATCH(AY88,'Rate &amp; Vol Update'!$E$6:$Z$6,1)+1)-AY88)*(AT88-INDEX('Rate &amp; Vol Update'!$B$8:$B$127,MATCH(AT88,'Rate &amp; Vol Update'!$B$8:$B$127,1)))+INDEX('Rate &amp; Vol Update'!$E$8:$Z$127,MATCH(INDEX('Rate &amp; Vol Update'!$B$8:$B$127,MATCH(AT88,'Rate &amp; Vol Update'!$B$8:$B$127,1)+1),'Rate &amp; Vol Update'!$B$8:$B$127,0),MATCH(INDEX('Rate &amp; Vol Update'!$E$6:$Z$6,1,MATCH(AY88,'Rate &amp; Vol Update'!$E$6:$Z$6,1)+1),'Rate &amp; Vol Update'!$E$6:$Z$6,0))*(AY88-INDEX('Rate &amp; Vol Update'!$E$6:$Z$6,1,MATCH(AY88,'Rate &amp; Vol Update'!$E$6:$Z$6,1)))*(AT88-INDEX('Rate &amp; Vol Update'!$B$8:$B$127,MATCH(AT88,'Rate &amp; Vol Update'!$B$8:$B$127,1)))))*0.01%))</f>
        <v/>
      </c>
      <c r="BB88" s="5" t="str">
        <f>IF(AS88="","",1/((1+AZ88)^((AU88-'Rate &amp; Vol Update'!$C$2)/360)))</f>
        <v/>
      </c>
      <c r="BD88" s="15" t="str">
        <f>IF(AS88="","",IF(AT88&lt;'Rate &amp; Vol Update'!$C$2,MAX(0,AZ88-AY88)*(AV88/360)*AX88,(((IF('Adjustment Surface'!$C$2='Data Validation'!$A$2,AZ88,IF('Adjustment Surface'!$C$2='Data Validation'!$A$3,AY88,"Unknown Option Type"))-IF('Adjustment Surface'!$C$2='Data Validation'!$A$2,AY88,IF('Adjustment Surface'!$C$2='Data Validation'!$A$3,AZ88,"Unknown Option Type")))*(NORMDIST((IF('Adjustment Surface'!$C$2='Data Validation'!$A$2,AZ88,IF('Adjustment Surface'!$C$2='Data Validation'!$A$3,AY88,"Unknown Option Type"))-IF('Adjustment Surface'!$C$2='Data Validation'!$A$2,AY88,IF('Adjustment Surface'!$C$2='Data Validation'!$A$3,AZ88,"Unknown Option Type")))/(BA88*SQRT(AW88)),0,1,TRUE)))+((BA88*SQRT(AW88))*(NORMDIST((IF('Adjustment Surface'!$C$2='Data Validation'!$A$2,AZ88,IF('Adjustment Surface'!$C$2='Data Validation'!$A$3,AY88,"Unknown Option Type"))-IF('Adjustment Surface'!$C$2='Data Validation'!$A$2,AY88,IF('Adjustment Surface'!$C$2='Data Validation'!$A$3,AZ88,"Unknown Option Type")))/(BA88*SQRT(AW88)),0,1,FALSE))))*BB88*(AV88/360)*AX88))</f>
        <v/>
      </c>
      <c r="BE88" s="15" t="str">
        <f>IF(AS88="","",SUM(BD$4:BD88))</f>
        <v/>
      </c>
      <c r="BG88" s="15" t="str">
        <f>IF(AS88="","",IF(AT88&lt;'Rate &amp; Vol Update'!$C$2,0,((((((IF('Adjustment Surface'!$C$2='Data Validation'!$A$2,AZ88,IF('Adjustment Surface'!$C$2='Data Validation'!$A$3,AY88,"Unknown Option Type"))-IF('Adjustment Surface'!$C$2='Data Validation'!$A$2,AY88,IF('Adjustment Surface'!$C$2='Data Validation'!$A$3,AZ88,"Unknown Option Type")))*(NORMDIST((IF('Adjustment Surface'!$C$2='Data Validation'!$A$2,AZ88,IF('Adjustment Surface'!$C$2='Data Validation'!$A$3,AY88,"Unknown Option Type"))-IF('Adjustment Surface'!$C$2='Data Validation'!$A$2,AY88,IF('Adjustment Surface'!$C$2='Data Validation'!$A$3,AZ88,"Unknown Option Type")))/((BA88+0.01%)*SQRT(AW88)),0,1,TRUE)))+(((BA88+0.01%)*SQRT(AW88))*(NORMDIST((IF('Adjustment Surface'!$C$2='Data Validation'!$A$2,AZ88,IF('Adjustment Surface'!$C$2='Data Validation'!$A$3,AY88,"Unknown Option Type"))-IF('Adjustment Surface'!$C$2='Data Validation'!$A$2,AY88,IF('Adjustment Surface'!$C$2='Data Validation'!$A$3,AZ88,"Unknown Option Type")))/((BA88+0.01%)*SQRT(AW88)),0,1,FALSE))))*BB88*(AV88/360))-(BD88/AX88))*AX88)*BB88))</f>
        <v/>
      </c>
      <c r="BH88" s="15" t="str">
        <f>IF(AS88="","",SUM(BG$4:BG88))</f>
        <v/>
      </c>
      <c r="BI88" s="15"/>
      <c r="BJ88" s="20"/>
      <c r="BL88" s="4" t="str">
        <f>IF(BM87=MAX('Adjustment Surface'!$C$14:$F$14),"",BM87)</f>
        <v/>
      </c>
      <c r="BM88" s="4" t="str">
        <f>IF(BL88="","",IF(BL88&lt;EDATE('Adjustment Surface'!$C$6,DATEDIF('Adjustment Surface'!$C$6,MAX('Adjustment Surface'!$C$14:$F$14),"M")),EDATE(BL$5,COUNT(BL$5:BL88)),IF(BL88=EDATE('Adjustment Surface'!$C$6,DATEDIF('Adjustment Surface'!$C$6,MAX('Adjustment Surface'!$C$14:$F$14),"M")),MAX('Adjustment Surface'!$C$14:$F$14),EDATE('Adjustment Surface'!$C$6,DATEDIF('Adjustment Surface'!$C$6,MAX('Adjustment Surface'!$C$14:$F$14),"M")))))</f>
        <v/>
      </c>
      <c r="BN88" s="3" t="str">
        <f t="shared" si="9"/>
        <v/>
      </c>
      <c r="BO88" s="5" t="str">
        <f>IF(BK88="","",(BM88-'Rate &amp; Vol Update'!$C$2)/360)</f>
        <v/>
      </c>
      <c r="BP88" s="15" t="str">
        <f>IF(BK88="","",IF('Adjustment Surface'!$C$3='Data Validation'!$C$2,'Adjustment Surface'!$C$4,_xlfn.IFNA(IF(INDEX(Schedules!$E$3:$E$123,MATCH('Bachelier Model'!BL88,Schedules!$B$3:$B$123,0))="",BP87,INDEX(Schedules!$E$3:$E$123,MATCH('Bachelier Model'!BL88,Schedules!$B$3:$B$123,0))),BP87)))</f>
        <v/>
      </c>
      <c r="BQ88" s="16" t="str">
        <f>IF(BK88="","",'Adjustment Surface'!B$17)</f>
        <v/>
      </c>
      <c r="BR88" s="16" t="str" cm="1">
        <f t="array" ref="BR88">IF(BK88="","",FORECAST(BL88,INDEX('Rate &amp; Vol Update'!$C$6:$C$127,MATCH(INDEX('Rate &amp; Vol Update'!$B$6:$B$127,MATCH(BL88,'Rate &amp; Vol Update'!$B$6:$B$127,1)),'Rate &amp; Vol Update'!$B$6:$B$127,0)+IF('Adjustment Surface'!$C$11='Data Validation'!$E$3,-1,0)):INDEX('Rate &amp; Vol Update'!$C$6:$C$127,MATCH(INDEX('Rate &amp; Vol Update'!$B$6:$B$127,MATCH(BL88,'Rate &amp; Vol Update'!$B$6:$B$127,1)+1),'Rate &amp; Vol Update'!$B$6:$B$127,0)+IF('Adjustment Surface'!$C$11='Data Validation'!$E$3,-1,0)),INDEX('Rate &amp; Vol Update'!$B$6:$B$127,MATCH(BL88,'Rate &amp; Vol Update'!$B$6:$B$127,1)):INDEX('Rate &amp; Vol Update'!$B$6:$B$127,MATCH(BL88,'Rate &amp; Vol Update'!$B$6:$B$127,1)+1))/100)</f>
        <v/>
      </c>
      <c r="BS88" s="16" t="str" cm="1">
        <f t="array" ref="BS88">IF(BK88="","",IF(BL88&lt;'Rate &amp; Vol Update'!$C$2,0.001%,(1/((INDEX('Rate &amp; Vol Update'!$E$6:$Z$6,1,MATCH(BQ88,'Rate &amp; Vol Update'!$E$6:$Z$6,1)+1)-INDEX('Rate &amp; Vol Update'!$E$6:$Z$6,1,MATCH(BQ88,'Rate &amp; Vol Update'!$E$6:$Z$6,1)))*(INDEX('Rate &amp; Vol Update'!$B$8:$B$127,MATCH(BL88,'Rate &amp; Vol Update'!$B$8:$B$127,1)+1)-INDEX('Rate &amp; Vol Update'!$B$8:$B$127,MATCH(BL88,'Rate &amp; Vol Update'!$B$8:$B$127,1))))*(INDEX('Rate &amp; Vol Update'!$E$8:$Z$127,MATCH(INDEX('Rate &amp; Vol Update'!$B$8:$B$127,MATCH(BL88,'Rate &amp; Vol Update'!$B$8:$B$127,1)),'Rate &amp; Vol Update'!$B$8:$B$127,0),MATCH(INDEX('Rate &amp; Vol Update'!$E$6:$Z$6,1,MATCH(BQ88,'Rate &amp; Vol Update'!$E$6:$Z$6,1)),'Rate &amp; Vol Update'!$E$6:$Z$6,0))*(INDEX('Rate &amp; Vol Update'!$E$6:$Z$6,1,MATCH(BQ88,'Rate &amp; Vol Update'!$E$6:$Z$6,1)+1)-BQ88)*(INDEX('Rate &amp; Vol Update'!$B$8:$B$127,MATCH(BL88,'Rate &amp; Vol Update'!$B$8:$B$127,1)+1)-BL88)+INDEX('Rate &amp; Vol Update'!$E$8:$Z$127,MATCH(INDEX('Rate &amp; Vol Update'!$B$8:$B$127,MATCH(BL88,'Rate &amp; Vol Update'!$B$8:$B$127,1)),'Rate &amp; Vol Update'!$B$8:$B$127,0),MATCH(INDEX('Rate &amp; Vol Update'!$E$6:$Z$6,1,MATCH(BQ88,'Rate &amp; Vol Update'!$E$6:$Z$6,1)+1),'Rate &amp; Vol Update'!$E$6:$Z$6,0))*(BQ88-INDEX('Rate &amp; Vol Update'!$E$6:$Z$6,1,MATCH(BQ88,'Rate &amp; Vol Update'!$E$6:$Z$6,1)))*(INDEX('Rate &amp; Vol Update'!$B$8:$B$127,MATCH(BL88,'Rate &amp; Vol Update'!$B$8:$B$127,1)+1)-BL88)+INDEX('Rate &amp; Vol Update'!$E$8:$Z$127,MATCH(INDEX('Rate &amp; Vol Update'!$B$8:$B$127,MATCH(BL88,'Rate &amp; Vol Update'!$B$8:$B$127,1)+1),'Rate &amp; Vol Update'!$B$8:$B$127,0),MATCH(INDEX('Rate &amp; Vol Update'!$E$6:$Z$6,1,MATCH(BQ88,'Rate &amp; Vol Update'!$E$6:$Z$6,1)),'Rate &amp; Vol Update'!$E$6:$Z$6,0))*(INDEX('Rate &amp; Vol Update'!$E$6:$Z$6,1,MATCH(BQ88,'Rate &amp; Vol Update'!$E$6:$Z$6,1)+1)-BQ88)*(BL88-INDEX('Rate &amp; Vol Update'!$B$8:$B$127,MATCH(BL88,'Rate &amp; Vol Update'!$B$8:$B$127,1)))+INDEX('Rate &amp; Vol Update'!$E$8:$Z$127,MATCH(INDEX('Rate &amp; Vol Update'!$B$8:$B$127,MATCH(BL88,'Rate &amp; Vol Update'!$B$8:$B$127,1)+1),'Rate &amp; Vol Update'!$B$8:$B$127,0),MATCH(INDEX('Rate &amp; Vol Update'!$E$6:$Z$6,1,MATCH(BQ88,'Rate &amp; Vol Update'!$E$6:$Z$6,1)+1),'Rate &amp; Vol Update'!$E$6:$Z$6,0))*(BQ88-INDEX('Rate &amp; Vol Update'!$E$6:$Z$6,1,MATCH(BQ88,'Rate &amp; Vol Update'!$E$6:$Z$6,1)))*(BL88-INDEX('Rate &amp; Vol Update'!$B$8:$B$127,MATCH(BL88,'Rate &amp; Vol Update'!$B$8:$B$127,1)))))*0.01%))</f>
        <v/>
      </c>
      <c r="BT88" s="5" t="str">
        <f>IF(BK88="","",1/((1+BR88)^((BM88-'Rate &amp; Vol Update'!$C$2)/360)))</f>
        <v/>
      </c>
      <c r="BV88" s="15" t="str">
        <f>IF(BK88="","",IF(BL88&lt;'Rate &amp; Vol Update'!$C$2,MAX(0,BR88-BQ88)*(BN88/360)*BP88,(((IF('Adjustment Surface'!$C$2='Data Validation'!$A$2,BR88,IF('Adjustment Surface'!$C$2='Data Validation'!$A$3,BQ88,"Unknown Option Type"))-IF('Adjustment Surface'!$C$2='Data Validation'!$A$2,BQ88,IF('Adjustment Surface'!$C$2='Data Validation'!$A$3,BR88,"Unknown Option Type")))*(NORMDIST((IF('Adjustment Surface'!$C$2='Data Validation'!$A$2,BR88,IF('Adjustment Surface'!$C$2='Data Validation'!$A$3,BQ88,"Unknown Option Type"))-IF('Adjustment Surface'!$C$2='Data Validation'!$A$2,BQ88,IF('Adjustment Surface'!$C$2='Data Validation'!$A$3,BR88,"Unknown Option Type")))/(BS88*SQRT(BO88)),0,1,TRUE)))+((BS88*SQRT(BO88))*(NORMDIST((IF('Adjustment Surface'!$C$2='Data Validation'!$A$2,BR88,IF('Adjustment Surface'!$C$2='Data Validation'!$A$3,BQ88,"Unknown Option Type"))-IF('Adjustment Surface'!$C$2='Data Validation'!$A$2,BQ88,IF('Adjustment Surface'!$C$2='Data Validation'!$A$3,BR88,"Unknown Option Type")))/(BS88*SQRT(BO88)),0,1,FALSE))))*BT88*(BN88/360)*BP88))</f>
        <v/>
      </c>
      <c r="BW88" s="15" t="str">
        <f>IF(BK88="","",SUM(BV$4:BV88))</f>
        <v/>
      </c>
      <c r="BY88" s="15" t="str">
        <f>IF(BK88="","",IF(BL88&lt;'Rate &amp; Vol Update'!$C$2,0,((((((IF('Adjustment Surface'!$C$2='Data Validation'!$A$2,BR88,IF('Adjustment Surface'!$C$2='Data Validation'!$A$3,BQ88,"Unknown Option Type"))-IF('Adjustment Surface'!$C$2='Data Validation'!$A$2,BQ88,IF('Adjustment Surface'!$C$2='Data Validation'!$A$3,BR88,"Unknown Option Type")))*(NORMDIST((IF('Adjustment Surface'!$C$2='Data Validation'!$A$2,BR88,IF('Adjustment Surface'!$C$2='Data Validation'!$A$3,BQ88,"Unknown Option Type"))-IF('Adjustment Surface'!$C$2='Data Validation'!$A$2,BQ88,IF('Adjustment Surface'!$C$2='Data Validation'!$A$3,BR88,"Unknown Option Type")))/((BS88+0.01%)*SQRT(BO88)),0,1,TRUE)))+(((BS88+0.01%)*SQRT(BO88))*(NORMDIST((IF('Adjustment Surface'!$C$2='Data Validation'!$A$2,BR88,IF('Adjustment Surface'!$C$2='Data Validation'!$A$3,BQ88,"Unknown Option Type"))-IF('Adjustment Surface'!$C$2='Data Validation'!$A$2,BQ88,IF('Adjustment Surface'!$C$2='Data Validation'!$A$3,BR88,"Unknown Option Type")))/((BS88+0.01%)*SQRT(BO88)),0,1,FALSE))))*BT88*(BN88/360))-(BV88/BP88))*BP88)*BT88))</f>
        <v/>
      </c>
      <c r="BZ88" s="15" t="str">
        <f>IF(BK88="","",SUM(BY$4:BY88))</f>
        <v/>
      </c>
      <c r="CA88" s="15"/>
      <c r="CB88" s="20"/>
      <c r="CD88" s="4" t="str">
        <f>IF(CE87=MAX('Adjustment Surface'!$C$14:$F$14),"",CE87)</f>
        <v/>
      </c>
      <c r="CE88" s="4" t="str">
        <f>IF(CD88="","",IF(CD88&lt;EDATE('Adjustment Surface'!$C$6,DATEDIF('Adjustment Surface'!$C$6,MAX('Adjustment Surface'!$C$14:$F$14),"M")),EDATE(CD$5,COUNT(CD$5:CD88)),IF(CD88=EDATE('Adjustment Surface'!$C$6,DATEDIF('Adjustment Surface'!$C$6,MAX('Adjustment Surface'!$C$14:$F$14),"M")),MAX('Adjustment Surface'!$C$14:$F$14),EDATE('Adjustment Surface'!$C$6,DATEDIF('Adjustment Surface'!$C$6,MAX('Adjustment Surface'!$C$14:$F$14),"M")))))</f>
        <v/>
      </c>
      <c r="CF88" s="3" t="str">
        <f t="shared" si="10"/>
        <v/>
      </c>
      <c r="CG88" s="5" t="str">
        <f>IF(CC88="","",(CE88-'Rate &amp; Vol Update'!$C$2)/360)</f>
        <v/>
      </c>
      <c r="CH88" s="15" t="str">
        <f>IF(CC88="","",IF('Adjustment Surface'!$C$3='Data Validation'!$C$2,'Adjustment Surface'!$C$4,_xlfn.IFNA(IF(INDEX(Schedules!$E$3:$E$123,MATCH('Bachelier Model'!CD88,Schedules!$B$3:$B$123,0))="",CH87,INDEX(Schedules!$E$3:$E$123,MATCH('Bachelier Model'!CD88,Schedules!$B$3:$B$123,0))),CH87)))</f>
        <v/>
      </c>
      <c r="CI88" s="16" t="str">
        <f>IF(CC88="","",'Adjustment Surface'!B$18)</f>
        <v/>
      </c>
      <c r="CJ88" s="16" t="str" cm="1">
        <f t="array" ref="CJ88">IF(CC88="","",FORECAST(CD88,INDEX('Rate &amp; Vol Update'!$C$6:$C$127,MATCH(INDEX('Rate &amp; Vol Update'!$B$6:$B$127,MATCH(CD88,'Rate &amp; Vol Update'!$B$6:$B$127,1)),'Rate &amp; Vol Update'!$B$6:$B$127,0)+IF('Adjustment Surface'!$C$11='Data Validation'!$E$3,-1,0)):INDEX('Rate &amp; Vol Update'!$C$6:$C$127,MATCH(INDEX('Rate &amp; Vol Update'!$B$6:$B$127,MATCH(CD88,'Rate &amp; Vol Update'!$B$6:$B$127,1)+1),'Rate &amp; Vol Update'!$B$6:$B$127,0)+IF('Adjustment Surface'!$C$11='Data Validation'!$E$3,-1,0)),INDEX('Rate &amp; Vol Update'!$B$6:$B$127,MATCH(CD88,'Rate &amp; Vol Update'!$B$6:$B$127,1)):INDEX('Rate &amp; Vol Update'!$B$6:$B$127,MATCH(CD88,'Rate &amp; Vol Update'!$B$6:$B$127,1)+1))/100)</f>
        <v/>
      </c>
      <c r="CK88" s="16" t="str" cm="1">
        <f t="array" ref="CK88">IF(CC88="","",IF(CD88&lt;'Rate &amp; Vol Update'!$C$2,0.001%,(1/((INDEX('Rate &amp; Vol Update'!$E$6:$Z$6,1,MATCH(CI88,'Rate &amp; Vol Update'!$E$6:$Z$6,1)+1)-INDEX('Rate &amp; Vol Update'!$E$6:$Z$6,1,MATCH(CI88,'Rate &amp; Vol Update'!$E$6:$Z$6,1)))*(INDEX('Rate &amp; Vol Update'!$B$8:$B$127,MATCH(CD88,'Rate &amp; Vol Update'!$B$8:$B$127,1)+1)-INDEX('Rate &amp; Vol Update'!$B$8:$B$127,MATCH(CD88,'Rate &amp; Vol Update'!$B$8:$B$127,1))))*(INDEX('Rate &amp; Vol Update'!$E$8:$Z$127,MATCH(INDEX('Rate &amp; Vol Update'!$B$8:$B$127,MATCH(CD88,'Rate &amp; Vol Update'!$B$8:$B$127,1)),'Rate &amp; Vol Update'!$B$8:$B$127,0),MATCH(INDEX('Rate &amp; Vol Update'!$E$6:$Z$6,1,MATCH(CI88,'Rate &amp; Vol Update'!$E$6:$Z$6,1)),'Rate &amp; Vol Update'!$E$6:$Z$6,0))*(INDEX('Rate &amp; Vol Update'!$E$6:$Z$6,1,MATCH(CI88,'Rate &amp; Vol Update'!$E$6:$Z$6,1)+1)-CI88)*(INDEX('Rate &amp; Vol Update'!$B$8:$B$127,MATCH(CD88,'Rate &amp; Vol Update'!$B$8:$B$127,1)+1)-CD88)+INDEX('Rate &amp; Vol Update'!$E$8:$Z$127,MATCH(INDEX('Rate &amp; Vol Update'!$B$8:$B$127,MATCH(CD88,'Rate &amp; Vol Update'!$B$8:$B$127,1)),'Rate &amp; Vol Update'!$B$8:$B$127,0),MATCH(INDEX('Rate &amp; Vol Update'!$E$6:$Z$6,1,MATCH(CI88,'Rate &amp; Vol Update'!$E$6:$Z$6,1)+1),'Rate &amp; Vol Update'!$E$6:$Z$6,0))*(CI88-INDEX('Rate &amp; Vol Update'!$E$6:$Z$6,1,MATCH(CI88,'Rate &amp; Vol Update'!$E$6:$Z$6,1)))*(INDEX('Rate &amp; Vol Update'!$B$8:$B$127,MATCH(CD88,'Rate &amp; Vol Update'!$B$8:$B$127,1)+1)-CD88)+INDEX('Rate &amp; Vol Update'!$E$8:$Z$127,MATCH(INDEX('Rate &amp; Vol Update'!$B$8:$B$127,MATCH(CD88,'Rate &amp; Vol Update'!$B$8:$B$127,1)+1),'Rate &amp; Vol Update'!$B$8:$B$127,0),MATCH(INDEX('Rate &amp; Vol Update'!$E$6:$Z$6,1,MATCH(CI88,'Rate &amp; Vol Update'!$E$6:$Z$6,1)),'Rate &amp; Vol Update'!$E$6:$Z$6,0))*(INDEX('Rate &amp; Vol Update'!$E$6:$Z$6,1,MATCH(CI88,'Rate &amp; Vol Update'!$E$6:$Z$6,1)+1)-CI88)*(CD88-INDEX('Rate &amp; Vol Update'!$B$8:$B$127,MATCH(CD88,'Rate &amp; Vol Update'!$B$8:$B$127,1)))+INDEX('Rate &amp; Vol Update'!$E$8:$Z$127,MATCH(INDEX('Rate &amp; Vol Update'!$B$8:$B$127,MATCH(CD88,'Rate &amp; Vol Update'!$B$8:$B$127,1)+1),'Rate &amp; Vol Update'!$B$8:$B$127,0),MATCH(INDEX('Rate &amp; Vol Update'!$E$6:$Z$6,1,MATCH(CI88,'Rate &amp; Vol Update'!$E$6:$Z$6,1)+1),'Rate &amp; Vol Update'!$E$6:$Z$6,0))*(CI88-INDEX('Rate &amp; Vol Update'!$E$6:$Z$6,1,MATCH(CI88,'Rate &amp; Vol Update'!$E$6:$Z$6,1)))*(CD88-INDEX('Rate &amp; Vol Update'!$B$8:$B$127,MATCH(CD88,'Rate &amp; Vol Update'!$B$8:$B$127,1)))))*0.01%))</f>
        <v/>
      </c>
      <c r="CL88" s="5" t="str">
        <f>IF(CC88="","",1/((1+CJ88)^((CE88-'Rate &amp; Vol Update'!$C$2)/360)))</f>
        <v/>
      </c>
      <c r="CN88" s="15" t="str">
        <f>IF(CC88="","",IF(CD88&lt;'Rate &amp; Vol Update'!$C$2,MAX(0,CJ88-CI88)*(CF88/360)*CH88,(((IF('Adjustment Surface'!$C$2='Data Validation'!$A$2,CJ88,IF('Adjustment Surface'!$C$2='Data Validation'!$A$3,CI88,"Unknown Option Type"))-IF('Adjustment Surface'!$C$2='Data Validation'!$A$2,CI88,IF('Adjustment Surface'!$C$2='Data Validation'!$A$3,CJ88,"Unknown Option Type")))*(NORMDIST((IF('Adjustment Surface'!$C$2='Data Validation'!$A$2,CJ88,IF('Adjustment Surface'!$C$2='Data Validation'!$A$3,CI88,"Unknown Option Type"))-IF('Adjustment Surface'!$C$2='Data Validation'!$A$2,CI88,IF('Adjustment Surface'!$C$2='Data Validation'!$A$3,CJ88,"Unknown Option Type")))/(CK88*SQRT(CG88)),0,1,TRUE)))+((CK88*SQRT(CG88))*(NORMDIST((IF('Adjustment Surface'!$C$2='Data Validation'!$A$2,CJ88,IF('Adjustment Surface'!$C$2='Data Validation'!$A$3,CI88,"Unknown Option Type"))-IF('Adjustment Surface'!$C$2='Data Validation'!$A$2,CI88,IF('Adjustment Surface'!$C$2='Data Validation'!$A$3,CJ88,"Unknown Option Type")))/(CK88*SQRT(CG88)),0,1,FALSE))))*CL88*(CF88/360)*CH88))</f>
        <v/>
      </c>
      <c r="CO88" s="15" t="str">
        <f>IF(CC88="","",SUM(CN$4:CN88))</f>
        <v/>
      </c>
      <c r="CQ88" s="15" t="str">
        <f>IF(CC88="","",IF(CD88&lt;'Rate &amp; Vol Update'!$C$2,0,((((((IF('Adjustment Surface'!$C$2='Data Validation'!$A$2,CJ88,IF('Adjustment Surface'!$C$2='Data Validation'!$A$3,CI88,"Unknown Option Type"))-IF('Adjustment Surface'!$C$2='Data Validation'!$A$2,CI88,IF('Adjustment Surface'!$C$2='Data Validation'!$A$3,CJ88,"Unknown Option Type")))*(NORMDIST((IF('Adjustment Surface'!$C$2='Data Validation'!$A$2,CJ88,IF('Adjustment Surface'!$C$2='Data Validation'!$A$3,CI88,"Unknown Option Type"))-IF('Adjustment Surface'!$C$2='Data Validation'!$A$2,CI88,IF('Adjustment Surface'!$C$2='Data Validation'!$A$3,CJ88,"Unknown Option Type")))/((CK88+0.01%)*SQRT(CG88)),0,1,TRUE)))+(((CK88+0.01%)*SQRT(CG88))*(NORMDIST((IF('Adjustment Surface'!$C$2='Data Validation'!$A$2,CJ88,IF('Adjustment Surface'!$C$2='Data Validation'!$A$3,CI88,"Unknown Option Type"))-IF('Adjustment Surface'!$C$2='Data Validation'!$A$2,CI88,IF('Adjustment Surface'!$C$2='Data Validation'!$A$3,CJ88,"Unknown Option Type")))/((CK88+0.01%)*SQRT(CG88)),0,1,FALSE))))*CL88*(CF88/360))-(CN88/CH88))*CH88)*CL88))</f>
        <v/>
      </c>
      <c r="CR88" s="15" t="str">
        <f>IF(CC88="","",SUM(CQ$4:CQ88))</f>
        <v/>
      </c>
    </row>
    <row r="89" spans="7:96" x14ac:dyDescent="0.25">
      <c r="G89" s="28"/>
      <c r="J89" s="4" t="str">
        <f>IF(K88='Adjustment Surface'!C$8,"",K88)</f>
        <v/>
      </c>
      <c r="K89" s="4" t="str">
        <f>IF(J89="","",IF(J89&lt;'Adjustment Surface'!C$7,EDATE(J$5,COUNT(J$5:J89)),IF(J89='Adjustment Surface'!C$7,'Adjustment Surface'!C$8,'Adjustment Surface'!C$7)))</f>
        <v/>
      </c>
      <c r="L89" s="3" t="str">
        <f t="shared" si="6"/>
        <v/>
      </c>
      <c r="M89" s="5" t="str">
        <f>IF(I89="","",(K89-'Rate &amp; Vol Update'!$C$2)/360)</f>
        <v/>
      </c>
      <c r="N89" s="15" t="str">
        <f>IF(I89="","",IF('Adjustment Surface'!C$3='Data Validation'!$C$2,'Adjustment Surface'!C$4,IF(INDEX(Schedules!$E$3:$E$123,MATCH('Bachelier Model'!J89,Schedules!$B$3:$B$123,0))="",N88,INDEX(Schedules!$E$3:$E$123,MATCH('Bachelier Model'!J89,Schedules!$B$3:$B$123,0)))))</f>
        <v/>
      </c>
      <c r="O89" s="16" t="str">
        <f>IF(I89="","",IF('Adjustment Surface'!C$9='Data Validation'!$D$2,'Adjustment Surface'!C$10,IF(INDEX(Schedules!$H$3:$H$123,MATCH('Bachelier Model'!J89,Schedules!$B$3:$B$123,0))="",O88,INDEX(Schedules!$H$3:$H$123,MATCH('Bachelier Model'!J89,Schedules!$B$3:$B$123,0)))))</f>
        <v/>
      </c>
      <c r="P89" s="16" t="str" cm="1">
        <f t="array" ref="P89">IF(I89="","",FORECAST(J89,INDEX('Rate &amp; Vol Update'!$C$6:$C$127,MATCH(INDEX('Rate &amp; Vol Update'!$B$6:$B$127,MATCH(J89,'Rate &amp; Vol Update'!$B$6:$B$127,1)),'Rate &amp; Vol Update'!$B$6:$B$127,0)+IF('Adjustment Surface'!C$11='Data Validation'!$E$3,-1,0)):INDEX('Rate &amp; Vol Update'!$C$6:$C$127,MATCH(INDEX('Rate &amp; Vol Update'!$B$6:$B$127,MATCH(J89,'Rate &amp; Vol Update'!$B$6:$B$127,1)+1),'Rate &amp; Vol Update'!$B$6:$B$127,0)+IF('Adjustment Surface'!C$11='Data Validation'!$E$3,-1,0)),INDEX('Rate &amp; Vol Update'!$B$6:$B$127,MATCH(J89,'Rate &amp; Vol Update'!$B$6:$B$127,1)):INDEX('Rate &amp; Vol Update'!$B$6:$B$127,MATCH(J89,'Rate &amp; Vol Update'!$B$6:$B$127,1)+1))/100)</f>
        <v/>
      </c>
      <c r="Q89" s="16" t="str" cm="1">
        <f t="array" ref="Q89">IF(I89="","",IF(J89&lt;'Rate &amp; Vol Update'!$C$2,0.001%,(1/((INDEX('Rate &amp; Vol Update'!$E$6:$Z$6,1,MATCH(O89,'Rate &amp; Vol Update'!$E$6:$Z$6,1)+1)-INDEX('Rate &amp; Vol Update'!$E$6:$Z$6,1,MATCH(O89,'Rate &amp; Vol Update'!$E$6:$Z$6,1)))*(INDEX('Rate &amp; Vol Update'!$B$8:$B$127,MATCH(J89,'Rate &amp; Vol Update'!$B$8:$B$127,1)+1)-INDEX('Rate &amp; Vol Update'!$B$8:$B$127,MATCH(J89,'Rate &amp; Vol Update'!$B$8:$B$127,1))))*(INDEX('Rate &amp; Vol Update'!$E$8:$Z$127,MATCH(INDEX('Rate &amp; Vol Update'!$B$8:$B$127,MATCH(J89,'Rate &amp; Vol Update'!$B$8:$B$127,1)),'Rate &amp; Vol Update'!$B$8:$B$127,0),MATCH(INDEX('Rate &amp; Vol Update'!$E$6:$Z$6,1,MATCH(O89,'Rate &amp; Vol Update'!$E$6:$Z$6,1)),'Rate &amp; Vol Update'!$E$6:$Z$6,0))*(INDEX('Rate &amp; Vol Update'!$E$6:$Z$6,1,MATCH(O89,'Rate &amp; Vol Update'!$E$6:$Z$6,1)+1)-O89)*(INDEX('Rate &amp; Vol Update'!$B$8:$B$127,MATCH(J89,'Rate &amp; Vol Update'!$B$8:$B$127,1)+1)-J89)+INDEX('Rate &amp; Vol Update'!$E$8:$Z$127,MATCH(INDEX('Rate &amp; Vol Update'!$B$8:$B$127,MATCH(J89,'Rate &amp; Vol Update'!$B$8:$B$127,1)),'Rate &amp; Vol Update'!$B$8:$B$127,0),MATCH(INDEX('Rate &amp; Vol Update'!$E$6:$Z$6,1,MATCH(O89,'Rate &amp; Vol Update'!$E$6:$Z$6,1)+1),'Rate &amp; Vol Update'!$E$6:$Z$6,0))*(O89-INDEX('Rate &amp; Vol Update'!$E$6:$Z$6,1,MATCH(O89,'Rate &amp; Vol Update'!$E$6:$Z$6,1)))*(INDEX('Rate &amp; Vol Update'!$B$8:$B$127,MATCH(J89,'Rate &amp; Vol Update'!$B$8:$B$127,1)+1)-J89)+INDEX('Rate &amp; Vol Update'!$E$8:$Z$127,MATCH(INDEX('Rate &amp; Vol Update'!$B$8:$B$127,MATCH(J89,'Rate &amp; Vol Update'!$B$8:$B$127,1)+1),'Rate &amp; Vol Update'!$B$8:$B$127,0),MATCH(INDEX('Rate &amp; Vol Update'!$E$6:$Z$6,1,MATCH(O89,'Rate &amp; Vol Update'!$E$6:$Z$6,1)),'Rate &amp; Vol Update'!$E$6:$Z$6,0))*(INDEX('Rate &amp; Vol Update'!$E$6:$Z$6,1,MATCH(O89,'Rate &amp; Vol Update'!$E$6:$Z$6,1)+1)-O89)*(J89-INDEX('Rate &amp; Vol Update'!$B$8:$B$127,MATCH(J89,'Rate &amp; Vol Update'!$B$8:$B$127,1)))+INDEX('Rate &amp; Vol Update'!$E$8:$Z$127,MATCH(INDEX('Rate &amp; Vol Update'!$B$8:$B$127,MATCH(J89,'Rate &amp; Vol Update'!$B$8:$B$127,1)+1),'Rate &amp; Vol Update'!$B$8:$B$127,0),MATCH(INDEX('Rate &amp; Vol Update'!$E$6:$Z$6,1,MATCH(O89,'Rate &amp; Vol Update'!$E$6:$Z$6,1)+1),'Rate &amp; Vol Update'!$E$6:$Z$6,0))*(O89-INDEX('Rate &amp; Vol Update'!$E$6:$Z$6,1,MATCH(O89,'Rate &amp; Vol Update'!$E$6:$Z$6,1)))*(J89-INDEX('Rate &amp; Vol Update'!$B$8:$B$127,MATCH(J89,'Rate &amp; Vol Update'!$B$8:$B$127,1)))))*0.01%))</f>
        <v/>
      </c>
      <c r="R89" s="5" t="str">
        <f>IF(I89="","",1/((1+P89)^((K89-'Rate &amp; Vol Update'!$C$2)/360)))</f>
        <v/>
      </c>
      <c r="T89" s="15" t="str">
        <f>IF(I89="","",IF(J89&lt;'Rate &amp; Vol Update'!$C$2,MAX(0,P89-O89)*(L89/360)*N89,(((IF('Adjustment Surface'!C$2='Data Validation'!$A$2,P89,IF('Adjustment Surface'!C$2='Data Validation'!$A$3,O89,"Unknown Option Type"))-IF('Adjustment Surface'!C$2='Data Validation'!$A$2,O89,IF('Adjustment Surface'!C$2='Data Validation'!$A$3,P89,"Unknown Option Type")))*(NORMDIST((IF('Adjustment Surface'!C$2='Data Validation'!$A$2,P89,IF('Adjustment Surface'!C$2='Data Validation'!$A$3,O89,"Unknown Option Type"))-IF('Adjustment Surface'!C$2='Data Validation'!$A$2,O89,IF('Adjustment Surface'!C$2='Data Validation'!$A$3,P89,"Unknown Option Type")))/(Q89*SQRT(M89)),0,1,TRUE)))+((Q89*SQRT(M89))*(NORMDIST((IF('Adjustment Surface'!C$2='Data Validation'!$A$2,P89,IF('Adjustment Surface'!C$2='Data Validation'!$A$3,O89,"Unknown Option Type"))-IF('Adjustment Surface'!C$2='Data Validation'!$A$2,O89,IF('Adjustment Surface'!C$2='Data Validation'!$A$3,P89,"Unknown Option Type")))/(Q89*SQRT(M89)),0,1,FALSE))))*R89*(L89/360)*N89))</f>
        <v/>
      </c>
      <c r="U89" s="15" t="str">
        <f>IF(I89="","",SUM(T$4:T89))</f>
        <v/>
      </c>
      <c r="W89" s="15" t="str">
        <f>IF(I89="","",IF(J89&lt;'Rate &amp; Vol Update'!$C$2,0,((((((IF('Adjustment Surface'!C$2='Data Validation'!$A$2,P89,IF('Adjustment Surface'!C$2='Data Validation'!$A$3,O89,"Unknown Option Type"))-IF('Adjustment Surface'!C$2='Data Validation'!$A$2,O89,IF('Adjustment Surface'!C$2='Data Validation'!$A$3,P89,"Unknown Option Type")))*(NORMDIST((IF('Adjustment Surface'!C$2='Data Validation'!$A$2,P89,IF('Adjustment Surface'!C$2='Data Validation'!$A$3,O89,"Unknown Option Type"))-IF('Adjustment Surface'!C$2='Data Validation'!$A$2,O89,IF('Adjustment Surface'!C$2='Data Validation'!$A$3,P89,"Unknown Option Type")))/((Q89+0.01%)*SQRT(M89)),0,1,TRUE)))+(((Q89+0.01%)*SQRT(M89))*(NORMDIST((IF('Adjustment Surface'!C$2='Data Validation'!$A$2,P89,IF('Adjustment Surface'!C$2='Data Validation'!$A$3,O89,"Unknown Option Type"))-IF('Adjustment Surface'!C$2='Data Validation'!$A$2,O89,IF('Adjustment Surface'!C$2='Data Validation'!$A$3,P89,"Unknown Option Type")))/((Q89+0.01%)*SQRT(M89)),0,1,FALSE))))*R89*(L89/360))-(T89/N89))*N89)*R89))</f>
        <v/>
      </c>
      <c r="X89" s="15" t="str">
        <f>IF(I89="","",SUM(W$4:W89))</f>
        <v/>
      </c>
      <c r="Y89" s="15"/>
      <c r="Z89" s="20"/>
      <c r="AB89" s="4" t="str">
        <f>IF(AC88=MAX('Adjustment Surface'!$C$14:$F$14),"",AC88)</f>
        <v/>
      </c>
      <c r="AC89" s="4" t="str">
        <f>IF(AB89="","",IF(AB89&lt;EDATE('Adjustment Surface'!$C$6,DATEDIF('Adjustment Surface'!$C$6,MAX('Adjustment Surface'!$C$14:$F$14),"M")),EDATE(AB$5,COUNT(AB$5:AB89)),IF(AB89=EDATE('Adjustment Surface'!$C$6,DATEDIF('Adjustment Surface'!$C$6,MAX('Adjustment Surface'!$C$14:$F$14),"M")),MAX('Adjustment Surface'!$C$14:$F$14),EDATE('Adjustment Surface'!$C$6,DATEDIF('Adjustment Surface'!$C$6,MAX('Adjustment Surface'!$C$14:$F$14),"M")))))</f>
        <v/>
      </c>
      <c r="AD89" s="3" t="str">
        <f t="shared" si="7"/>
        <v/>
      </c>
      <c r="AE89" s="5" t="str">
        <f>IF(AA89="","",(AC89-'Rate &amp; Vol Update'!$C$2)/360)</f>
        <v/>
      </c>
      <c r="AF89" s="15" t="str">
        <f>IF(AA89="","",IF('Adjustment Surface'!$C$3='Data Validation'!$C$2,'Adjustment Surface'!$C$4,_xlfn.IFNA(IF(INDEX(Schedules!$E$3:$E$123,MATCH('Bachelier Model'!AB89,Schedules!$B$3:$B$123,0))="",AF88,INDEX(Schedules!$E$3:$E$123,MATCH('Bachelier Model'!AB89,Schedules!$B$3:$B$123,0))),AF88)))</f>
        <v/>
      </c>
      <c r="AG89" s="16" t="str">
        <f>IF(AA89="","",'Adjustment Surface'!B$15)</f>
        <v/>
      </c>
      <c r="AH89" s="16" t="str" cm="1">
        <f t="array" ref="AH89">IF(AA89="","",FORECAST(AB89,INDEX('Rate &amp; Vol Update'!$C$6:$C$127,MATCH(INDEX('Rate &amp; Vol Update'!$B$6:$B$127,MATCH(AB89,'Rate &amp; Vol Update'!$B$6:$B$127,1)),'Rate &amp; Vol Update'!$B$6:$B$127,0)+IF('Adjustment Surface'!$C$11='Data Validation'!$E$3,-1,0)):INDEX('Rate &amp; Vol Update'!$C$6:$C$127,MATCH(INDEX('Rate &amp; Vol Update'!$B$6:$B$127,MATCH(AB89,'Rate &amp; Vol Update'!$B$6:$B$127,1)+1),'Rate &amp; Vol Update'!$B$6:$B$127,0)+IF('Adjustment Surface'!$C$11='Data Validation'!$E$3,-1,0)),INDEX('Rate &amp; Vol Update'!$B$6:$B$127,MATCH(AB89,'Rate &amp; Vol Update'!$B$6:$B$127,1)):INDEX('Rate &amp; Vol Update'!$B$6:$B$127,MATCH(AB89,'Rate &amp; Vol Update'!$B$6:$B$127,1)+1))/100)</f>
        <v/>
      </c>
      <c r="AI89" s="16" t="str" cm="1">
        <f t="array" ref="AI89">IF(AA89="","",IF(AB89&lt;'Rate &amp; Vol Update'!$C$2,0.001%,(1/((INDEX('Rate &amp; Vol Update'!$E$6:$Z$6,1,MATCH(AG89,'Rate &amp; Vol Update'!$E$6:$Z$6,1)+1)-INDEX('Rate &amp; Vol Update'!$E$6:$Z$6,1,MATCH(AG89,'Rate &amp; Vol Update'!$E$6:$Z$6,1)))*(INDEX('Rate &amp; Vol Update'!$B$8:$B$127,MATCH(AB89,'Rate &amp; Vol Update'!$B$8:$B$127,1)+1)-INDEX('Rate &amp; Vol Update'!$B$8:$B$127,MATCH(AB89,'Rate &amp; Vol Update'!$B$8:$B$127,1))))*(INDEX('Rate &amp; Vol Update'!$E$8:$Z$127,MATCH(INDEX('Rate &amp; Vol Update'!$B$8:$B$127,MATCH(AB89,'Rate &amp; Vol Update'!$B$8:$B$127,1)),'Rate &amp; Vol Update'!$B$8:$B$127,0),MATCH(INDEX('Rate &amp; Vol Update'!$E$6:$Z$6,1,MATCH(AG89,'Rate &amp; Vol Update'!$E$6:$Z$6,1)),'Rate &amp; Vol Update'!$E$6:$Z$6,0))*(INDEX('Rate &amp; Vol Update'!$E$6:$Z$6,1,MATCH(AG89,'Rate &amp; Vol Update'!$E$6:$Z$6,1)+1)-AG89)*(INDEX('Rate &amp; Vol Update'!$B$8:$B$127,MATCH(AB89,'Rate &amp; Vol Update'!$B$8:$B$127,1)+1)-AB89)+INDEX('Rate &amp; Vol Update'!$E$8:$Z$127,MATCH(INDEX('Rate &amp; Vol Update'!$B$8:$B$127,MATCH(AB89,'Rate &amp; Vol Update'!$B$8:$B$127,1)),'Rate &amp; Vol Update'!$B$8:$B$127,0),MATCH(INDEX('Rate &amp; Vol Update'!$E$6:$Z$6,1,MATCH(AG89,'Rate &amp; Vol Update'!$E$6:$Z$6,1)+1),'Rate &amp; Vol Update'!$E$6:$Z$6,0))*(AG89-INDEX('Rate &amp; Vol Update'!$E$6:$Z$6,1,MATCH(AG89,'Rate &amp; Vol Update'!$E$6:$Z$6,1)))*(INDEX('Rate &amp; Vol Update'!$B$8:$B$127,MATCH(AB89,'Rate &amp; Vol Update'!$B$8:$B$127,1)+1)-AB89)+INDEX('Rate &amp; Vol Update'!$E$8:$Z$127,MATCH(INDEX('Rate &amp; Vol Update'!$B$8:$B$127,MATCH(AB89,'Rate &amp; Vol Update'!$B$8:$B$127,1)+1),'Rate &amp; Vol Update'!$B$8:$B$127,0),MATCH(INDEX('Rate &amp; Vol Update'!$E$6:$Z$6,1,MATCH(AG89,'Rate &amp; Vol Update'!$E$6:$Z$6,1)),'Rate &amp; Vol Update'!$E$6:$Z$6,0))*(INDEX('Rate &amp; Vol Update'!$E$6:$Z$6,1,MATCH(AG89,'Rate &amp; Vol Update'!$E$6:$Z$6,1)+1)-AG89)*(AB89-INDEX('Rate &amp; Vol Update'!$B$8:$B$127,MATCH(AB89,'Rate &amp; Vol Update'!$B$8:$B$127,1)))+INDEX('Rate &amp; Vol Update'!$E$8:$Z$127,MATCH(INDEX('Rate &amp; Vol Update'!$B$8:$B$127,MATCH(AB89,'Rate &amp; Vol Update'!$B$8:$B$127,1)+1),'Rate &amp; Vol Update'!$B$8:$B$127,0),MATCH(INDEX('Rate &amp; Vol Update'!$E$6:$Z$6,1,MATCH(AG89,'Rate &amp; Vol Update'!$E$6:$Z$6,1)+1),'Rate &amp; Vol Update'!$E$6:$Z$6,0))*(AG89-INDEX('Rate &amp; Vol Update'!$E$6:$Z$6,1,MATCH(AG89,'Rate &amp; Vol Update'!$E$6:$Z$6,1)))*(AB89-INDEX('Rate &amp; Vol Update'!$B$8:$B$127,MATCH(AB89,'Rate &amp; Vol Update'!$B$8:$B$127,1)))))*0.01%))</f>
        <v/>
      </c>
      <c r="AJ89" s="5" t="str">
        <f>IF(AA89="","",1/((1+AH89)^((AC89-'Rate &amp; Vol Update'!$C$2)/360)))</f>
        <v/>
      </c>
      <c r="AL89" s="15" t="str">
        <f>IF(AA89="","",IF(AB89&lt;'Rate &amp; Vol Update'!$C$2,MAX(0,AH89-AG89)*(AD89/360)*AF89,(((IF('Adjustment Surface'!$C$2='Data Validation'!$A$2,AH89,IF('Adjustment Surface'!$C$2='Data Validation'!$A$3,AG89,"Unknown Option Type"))-IF('Adjustment Surface'!$C$2='Data Validation'!$A$2,AG89,IF('Adjustment Surface'!$C$2='Data Validation'!$A$3,AH89,"Unknown Option Type")))*(NORMDIST((IF('Adjustment Surface'!$C$2='Data Validation'!$A$2,AH89,IF('Adjustment Surface'!$C$2='Data Validation'!$A$3,AG89,"Unknown Option Type"))-IF('Adjustment Surface'!$C$2='Data Validation'!$A$2,AG89,IF('Adjustment Surface'!$C$2='Data Validation'!$A$3,AH89,"Unknown Option Type")))/(AI89*SQRT(AE89)),0,1,TRUE)))+((AI89*SQRT(AE89))*(NORMDIST((IF('Adjustment Surface'!$C$2='Data Validation'!$A$2,AH89,IF('Adjustment Surface'!$C$2='Data Validation'!$A$3,AG89,"Unknown Option Type"))-IF('Adjustment Surface'!$C$2='Data Validation'!$A$2,AG89,IF('Adjustment Surface'!$C$2='Data Validation'!$A$3,AH89,"Unknown Option Type")))/(AI89*SQRT(AE89)),0,1,FALSE))))*AJ89*(AD89/360)*AF89))</f>
        <v/>
      </c>
      <c r="AM89" s="15" t="str">
        <f>IF(AA89="","",SUM(AL$4:AL89))</f>
        <v/>
      </c>
      <c r="AO89" s="15" t="str">
        <f>IF(AA89="","",IF(AB89&lt;'Rate &amp; Vol Update'!$C$2,0,((((((IF('Adjustment Surface'!$C$2='Data Validation'!$A$2,AH89,IF('Adjustment Surface'!$C$2='Data Validation'!$A$3,AG89,"Unknown Option Type"))-IF('Adjustment Surface'!$C$2='Data Validation'!$A$2,AG89,IF('Adjustment Surface'!$C$2='Data Validation'!$A$3,AH89,"Unknown Option Type")))*(NORMDIST((IF('Adjustment Surface'!$C$2='Data Validation'!$A$2,AH89,IF('Adjustment Surface'!$C$2='Data Validation'!$A$3,AG89,"Unknown Option Type"))-IF('Adjustment Surface'!$C$2='Data Validation'!$A$2,AG89,IF('Adjustment Surface'!$C$2='Data Validation'!$A$3,AH89,"Unknown Option Type")))/((AI89+0.01%)*SQRT(AE89)),0,1,TRUE)))+(((AI89+0.01%)*SQRT(AE89))*(NORMDIST((IF('Adjustment Surface'!$C$2='Data Validation'!$A$2,AH89,IF('Adjustment Surface'!$C$2='Data Validation'!$A$3,AG89,"Unknown Option Type"))-IF('Adjustment Surface'!$C$2='Data Validation'!$A$2,AG89,IF('Adjustment Surface'!$C$2='Data Validation'!$A$3,AH89,"Unknown Option Type")))/((AI89+0.01%)*SQRT(AE89)),0,1,FALSE))))*AJ89*(AD89/360))-(AL89/AF89))*AF89)*AJ89))</f>
        <v/>
      </c>
      <c r="AP89" s="15" t="str">
        <f>IF(AA89="","",SUM(AO$4:AO89))</f>
        <v/>
      </c>
      <c r="AQ89" s="15"/>
      <c r="AR89" s="20"/>
      <c r="AT89" s="4" t="str">
        <f>IF(AU88=MAX('Adjustment Surface'!$C$14:$F$14),"",AU88)</f>
        <v/>
      </c>
      <c r="AU89" s="4" t="str">
        <f>IF(AT89="","",IF(AT89&lt;EDATE('Adjustment Surface'!$C$6,DATEDIF('Adjustment Surface'!$C$6,MAX('Adjustment Surface'!$C$14:$F$14),"M")),EDATE(AT$5,COUNT(AT$5:AT89)),IF(AT89=EDATE('Adjustment Surface'!$C$6,DATEDIF('Adjustment Surface'!$C$6,MAX('Adjustment Surface'!$C$14:$F$14),"M")),MAX('Adjustment Surface'!$C$14:$F$14),EDATE('Adjustment Surface'!$C$6,DATEDIF('Adjustment Surface'!$C$6,MAX('Adjustment Surface'!$C$14:$F$14),"M")))))</f>
        <v/>
      </c>
      <c r="AV89" s="3" t="str">
        <f t="shared" si="8"/>
        <v/>
      </c>
      <c r="AW89" s="5" t="str">
        <f>IF(AS89="","",(AU89-'Rate &amp; Vol Update'!$C$2)/360)</f>
        <v/>
      </c>
      <c r="AX89" s="15" t="str">
        <f>IF(AS89="","",IF('Adjustment Surface'!$C$3='Data Validation'!$C$2,'Adjustment Surface'!$C$4,_xlfn.IFNA(IF(INDEX(Schedules!$E$3:$E$123,MATCH('Bachelier Model'!AT89,Schedules!$B$3:$B$123,0))="",AX88,INDEX(Schedules!$E$3:$E$123,MATCH('Bachelier Model'!AT89,Schedules!$B$3:$B$123,0))),AX88)))</f>
        <v/>
      </c>
      <c r="AY89" s="16" t="str">
        <f>IF(AS89="","",'Adjustment Surface'!B$16)</f>
        <v/>
      </c>
      <c r="AZ89" s="16" t="str" cm="1">
        <f t="array" ref="AZ89">IF(AS89="","",FORECAST(AT89,INDEX('Rate &amp; Vol Update'!$C$6:$C$127,MATCH(INDEX('Rate &amp; Vol Update'!$B$6:$B$127,MATCH(AT89,'Rate &amp; Vol Update'!$B$6:$B$127,1)),'Rate &amp; Vol Update'!$B$6:$B$127,0)+IF('Adjustment Surface'!$C$11='Data Validation'!$E$3,-1,0)):INDEX('Rate &amp; Vol Update'!$C$6:$C$127,MATCH(INDEX('Rate &amp; Vol Update'!$B$6:$B$127,MATCH(AT89,'Rate &amp; Vol Update'!$B$6:$B$127,1)+1),'Rate &amp; Vol Update'!$B$6:$B$127,0)+IF('Adjustment Surface'!$C$11='Data Validation'!$E$3,-1,0)),INDEX('Rate &amp; Vol Update'!$B$6:$B$127,MATCH(AT89,'Rate &amp; Vol Update'!$B$6:$B$127,1)):INDEX('Rate &amp; Vol Update'!$B$6:$B$127,MATCH(AT89,'Rate &amp; Vol Update'!$B$6:$B$127,1)+1))/100)</f>
        <v/>
      </c>
      <c r="BA89" s="16" t="str" cm="1">
        <f t="array" ref="BA89">IF(AS89="","",IF(AT89&lt;'Rate &amp; Vol Update'!$C$2,0.001%,(1/((INDEX('Rate &amp; Vol Update'!$E$6:$Z$6,1,MATCH(AY89,'Rate &amp; Vol Update'!$E$6:$Z$6,1)+1)-INDEX('Rate &amp; Vol Update'!$E$6:$Z$6,1,MATCH(AY89,'Rate &amp; Vol Update'!$E$6:$Z$6,1)))*(INDEX('Rate &amp; Vol Update'!$B$8:$B$127,MATCH(AT89,'Rate &amp; Vol Update'!$B$8:$B$127,1)+1)-INDEX('Rate &amp; Vol Update'!$B$8:$B$127,MATCH(AT89,'Rate &amp; Vol Update'!$B$8:$B$127,1))))*(INDEX('Rate &amp; Vol Update'!$E$8:$Z$127,MATCH(INDEX('Rate &amp; Vol Update'!$B$8:$B$127,MATCH(AT89,'Rate &amp; Vol Update'!$B$8:$B$127,1)),'Rate &amp; Vol Update'!$B$8:$B$127,0),MATCH(INDEX('Rate &amp; Vol Update'!$E$6:$Z$6,1,MATCH(AY89,'Rate &amp; Vol Update'!$E$6:$Z$6,1)),'Rate &amp; Vol Update'!$E$6:$Z$6,0))*(INDEX('Rate &amp; Vol Update'!$E$6:$Z$6,1,MATCH(AY89,'Rate &amp; Vol Update'!$E$6:$Z$6,1)+1)-AY89)*(INDEX('Rate &amp; Vol Update'!$B$8:$B$127,MATCH(AT89,'Rate &amp; Vol Update'!$B$8:$B$127,1)+1)-AT89)+INDEX('Rate &amp; Vol Update'!$E$8:$Z$127,MATCH(INDEX('Rate &amp; Vol Update'!$B$8:$B$127,MATCH(AT89,'Rate &amp; Vol Update'!$B$8:$B$127,1)),'Rate &amp; Vol Update'!$B$8:$B$127,0),MATCH(INDEX('Rate &amp; Vol Update'!$E$6:$Z$6,1,MATCH(AY89,'Rate &amp; Vol Update'!$E$6:$Z$6,1)+1),'Rate &amp; Vol Update'!$E$6:$Z$6,0))*(AY89-INDEX('Rate &amp; Vol Update'!$E$6:$Z$6,1,MATCH(AY89,'Rate &amp; Vol Update'!$E$6:$Z$6,1)))*(INDEX('Rate &amp; Vol Update'!$B$8:$B$127,MATCH(AT89,'Rate &amp; Vol Update'!$B$8:$B$127,1)+1)-AT89)+INDEX('Rate &amp; Vol Update'!$E$8:$Z$127,MATCH(INDEX('Rate &amp; Vol Update'!$B$8:$B$127,MATCH(AT89,'Rate &amp; Vol Update'!$B$8:$B$127,1)+1),'Rate &amp; Vol Update'!$B$8:$B$127,0),MATCH(INDEX('Rate &amp; Vol Update'!$E$6:$Z$6,1,MATCH(AY89,'Rate &amp; Vol Update'!$E$6:$Z$6,1)),'Rate &amp; Vol Update'!$E$6:$Z$6,0))*(INDEX('Rate &amp; Vol Update'!$E$6:$Z$6,1,MATCH(AY89,'Rate &amp; Vol Update'!$E$6:$Z$6,1)+1)-AY89)*(AT89-INDEX('Rate &amp; Vol Update'!$B$8:$B$127,MATCH(AT89,'Rate &amp; Vol Update'!$B$8:$B$127,1)))+INDEX('Rate &amp; Vol Update'!$E$8:$Z$127,MATCH(INDEX('Rate &amp; Vol Update'!$B$8:$B$127,MATCH(AT89,'Rate &amp; Vol Update'!$B$8:$B$127,1)+1),'Rate &amp; Vol Update'!$B$8:$B$127,0),MATCH(INDEX('Rate &amp; Vol Update'!$E$6:$Z$6,1,MATCH(AY89,'Rate &amp; Vol Update'!$E$6:$Z$6,1)+1),'Rate &amp; Vol Update'!$E$6:$Z$6,0))*(AY89-INDEX('Rate &amp; Vol Update'!$E$6:$Z$6,1,MATCH(AY89,'Rate &amp; Vol Update'!$E$6:$Z$6,1)))*(AT89-INDEX('Rate &amp; Vol Update'!$B$8:$B$127,MATCH(AT89,'Rate &amp; Vol Update'!$B$8:$B$127,1)))))*0.01%))</f>
        <v/>
      </c>
      <c r="BB89" s="5" t="str">
        <f>IF(AS89="","",1/((1+AZ89)^((AU89-'Rate &amp; Vol Update'!$C$2)/360)))</f>
        <v/>
      </c>
      <c r="BD89" s="15" t="str">
        <f>IF(AS89="","",IF(AT89&lt;'Rate &amp; Vol Update'!$C$2,MAX(0,AZ89-AY89)*(AV89/360)*AX89,(((IF('Adjustment Surface'!$C$2='Data Validation'!$A$2,AZ89,IF('Adjustment Surface'!$C$2='Data Validation'!$A$3,AY89,"Unknown Option Type"))-IF('Adjustment Surface'!$C$2='Data Validation'!$A$2,AY89,IF('Adjustment Surface'!$C$2='Data Validation'!$A$3,AZ89,"Unknown Option Type")))*(NORMDIST((IF('Adjustment Surface'!$C$2='Data Validation'!$A$2,AZ89,IF('Adjustment Surface'!$C$2='Data Validation'!$A$3,AY89,"Unknown Option Type"))-IF('Adjustment Surface'!$C$2='Data Validation'!$A$2,AY89,IF('Adjustment Surface'!$C$2='Data Validation'!$A$3,AZ89,"Unknown Option Type")))/(BA89*SQRT(AW89)),0,1,TRUE)))+((BA89*SQRT(AW89))*(NORMDIST((IF('Adjustment Surface'!$C$2='Data Validation'!$A$2,AZ89,IF('Adjustment Surface'!$C$2='Data Validation'!$A$3,AY89,"Unknown Option Type"))-IF('Adjustment Surface'!$C$2='Data Validation'!$A$2,AY89,IF('Adjustment Surface'!$C$2='Data Validation'!$A$3,AZ89,"Unknown Option Type")))/(BA89*SQRT(AW89)),0,1,FALSE))))*BB89*(AV89/360)*AX89))</f>
        <v/>
      </c>
      <c r="BE89" s="15" t="str">
        <f>IF(AS89="","",SUM(BD$4:BD89))</f>
        <v/>
      </c>
      <c r="BG89" s="15" t="str">
        <f>IF(AS89="","",IF(AT89&lt;'Rate &amp; Vol Update'!$C$2,0,((((((IF('Adjustment Surface'!$C$2='Data Validation'!$A$2,AZ89,IF('Adjustment Surface'!$C$2='Data Validation'!$A$3,AY89,"Unknown Option Type"))-IF('Adjustment Surface'!$C$2='Data Validation'!$A$2,AY89,IF('Adjustment Surface'!$C$2='Data Validation'!$A$3,AZ89,"Unknown Option Type")))*(NORMDIST((IF('Adjustment Surface'!$C$2='Data Validation'!$A$2,AZ89,IF('Adjustment Surface'!$C$2='Data Validation'!$A$3,AY89,"Unknown Option Type"))-IF('Adjustment Surface'!$C$2='Data Validation'!$A$2,AY89,IF('Adjustment Surface'!$C$2='Data Validation'!$A$3,AZ89,"Unknown Option Type")))/((BA89+0.01%)*SQRT(AW89)),0,1,TRUE)))+(((BA89+0.01%)*SQRT(AW89))*(NORMDIST((IF('Adjustment Surface'!$C$2='Data Validation'!$A$2,AZ89,IF('Adjustment Surface'!$C$2='Data Validation'!$A$3,AY89,"Unknown Option Type"))-IF('Adjustment Surface'!$C$2='Data Validation'!$A$2,AY89,IF('Adjustment Surface'!$C$2='Data Validation'!$A$3,AZ89,"Unknown Option Type")))/((BA89+0.01%)*SQRT(AW89)),0,1,FALSE))))*BB89*(AV89/360))-(BD89/AX89))*AX89)*BB89))</f>
        <v/>
      </c>
      <c r="BH89" s="15" t="str">
        <f>IF(AS89="","",SUM(BG$4:BG89))</f>
        <v/>
      </c>
      <c r="BI89" s="15"/>
      <c r="BJ89" s="20"/>
      <c r="BL89" s="4" t="str">
        <f>IF(BM88=MAX('Adjustment Surface'!$C$14:$F$14),"",BM88)</f>
        <v/>
      </c>
      <c r="BM89" s="4" t="str">
        <f>IF(BL89="","",IF(BL89&lt;EDATE('Adjustment Surface'!$C$6,DATEDIF('Adjustment Surface'!$C$6,MAX('Adjustment Surface'!$C$14:$F$14),"M")),EDATE(BL$5,COUNT(BL$5:BL89)),IF(BL89=EDATE('Adjustment Surface'!$C$6,DATEDIF('Adjustment Surface'!$C$6,MAX('Adjustment Surface'!$C$14:$F$14),"M")),MAX('Adjustment Surface'!$C$14:$F$14),EDATE('Adjustment Surface'!$C$6,DATEDIF('Adjustment Surface'!$C$6,MAX('Adjustment Surface'!$C$14:$F$14),"M")))))</f>
        <v/>
      </c>
      <c r="BN89" s="3" t="str">
        <f t="shared" si="9"/>
        <v/>
      </c>
      <c r="BO89" s="5" t="str">
        <f>IF(BK89="","",(BM89-'Rate &amp; Vol Update'!$C$2)/360)</f>
        <v/>
      </c>
      <c r="BP89" s="15" t="str">
        <f>IF(BK89="","",IF('Adjustment Surface'!$C$3='Data Validation'!$C$2,'Adjustment Surface'!$C$4,_xlfn.IFNA(IF(INDEX(Schedules!$E$3:$E$123,MATCH('Bachelier Model'!BL89,Schedules!$B$3:$B$123,0))="",BP88,INDEX(Schedules!$E$3:$E$123,MATCH('Bachelier Model'!BL89,Schedules!$B$3:$B$123,0))),BP88)))</f>
        <v/>
      </c>
      <c r="BQ89" s="16" t="str">
        <f>IF(BK89="","",'Adjustment Surface'!B$17)</f>
        <v/>
      </c>
      <c r="BR89" s="16" t="str" cm="1">
        <f t="array" ref="BR89">IF(BK89="","",FORECAST(BL89,INDEX('Rate &amp; Vol Update'!$C$6:$C$127,MATCH(INDEX('Rate &amp; Vol Update'!$B$6:$B$127,MATCH(BL89,'Rate &amp; Vol Update'!$B$6:$B$127,1)),'Rate &amp; Vol Update'!$B$6:$B$127,0)+IF('Adjustment Surface'!$C$11='Data Validation'!$E$3,-1,0)):INDEX('Rate &amp; Vol Update'!$C$6:$C$127,MATCH(INDEX('Rate &amp; Vol Update'!$B$6:$B$127,MATCH(BL89,'Rate &amp; Vol Update'!$B$6:$B$127,1)+1),'Rate &amp; Vol Update'!$B$6:$B$127,0)+IF('Adjustment Surface'!$C$11='Data Validation'!$E$3,-1,0)),INDEX('Rate &amp; Vol Update'!$B$6:$B$127,MATCH(BL89,'Rate &amp; Vol Update'!$B$6:$B$127,1)):INDEX('Rate &amp; Vol Update'!$B$6:$B$127,MATCH(BL89,'Rate &amp; Vol Update'!$B$6:$B$127,1)+1))/100)</f>
        <v/>
      </c>
      <c r="BS89" s="16" t="str" cm="1">
        <f t="array" ref="BS89">IF(BK89="","",IF(BL89&lt;'Rate &amp; Vol Update'!$C$2,0.001%,(1/((INDEX('Rate &amp; Vol Update'!$E$6:$Z$6,1,MATCH(BQ89,'Rate &amp; Vol Update'!$E$6:$Z$6,1)+1)-INDEX('Rate &amp; Vol Update'!$E$6:$Z$6,1,MATCH(BQ89,'Rate &amp; Vol Update'!$E$6:$Z$6,1)))*(INDEX('Rate &amp; Vol Update'!$B$8:$B$127,MATCH(BL89,'Rate &amp; Vol Update'!$B$8:$B$127,1)+1)-INDEX('Rate &amp; Vol Update'!$B$8:$B$127,MATCH(BL89,'Rate &amp; Vol Update'!$B$8:$B$127,1))))*(INDEX('Rate &amp; Vol Update'!$E$8:$Z$127,MATCH(INDEX('Rate &amp; Vol Update'!$B$8:$B$127,MATCH(BL89,'Rate &amp; Vol Update'!$B$8:$B$127,1)),'Rate &amp; Vol Update'!$B$8:$B$127,0),MATCH(INDEX('Rate &amp; Vol Update'!$E$6:$Z$6,1,MATCH(BQ89,'Rate &amp; Vol Update'!$E$6:$Z$6,1)),'Rate &amp; Vol Update'!$E$6:$Z$6,0))*(INDEX('Rate &amp; Vol Update'!$E$6:$Z$6,1,MATCH(BQ89,'Rate &amp; Vol Update'!$E$6:$Z$6,1)+1)-BQ89)*(INDEX('Rate &amp; Vol Update'!$B$8:$B$127,MATCH(BL89,'Rate &amp; Vol Update'!$B$8:$B$127,1)+1)-BL89)+INDEX('Rate &amp; Vol Update'!$E$8:$Z$127,MATCH(INDEX('Rate &amp; Vol Update'!$B$8:$B$127,MATCH(BL89,'Rate &amp; Vol Update'!$B$8:$B$127,1)),'Rate &amp; Vol Update'!$B$8:$B$127,0),MATCH(INDEX('Rate &amp; Vol Update'!$E$6:$Z$6,1,MATCH(BQ89,'Rate &amp; Vol Update'!$E$6:$Z$6,1)+1),'Rate &amp; Vol Update'!$E$6:$Z$6,0))*(BQ89-INDEX('Rate &amp; Vol Update'!$E$6:$Z$6,1,MATCH(BQ89,'Rate &amp; Vol Update'!$E$6:$Z$6,1)))*(INDEX('Rate &amp; Vol Update'!$B$8:$B$127,MATCH(BL89,'Rate &amp; Vol Update'!$B$8:$B$127,1)+1)-BL89)+INDEX('Rate &amp; Vol Update'!$E$8:$Z$127,MATCH(INDEX('Rate &amp; Vol Update'!$B$8:$B$127,MATCH(BL89,'Rate &amp; Vol Update'!$B$8:$B$127,1)+1),'Rate &amp; Vol Update'!$B$8:$B$127,0),MATCH(INDEX('Rate &amp; Vol Update'!$E$6:$Z$6,1,MATCH(BQ89,'Rate &amp; Vol Update'!$E$6:$Z$6,1)),'Rate &amp; Vol Update'!$E$6:$Z$6,0))*(INDEX('Rate &amp; Vol Update'!$E$6:$Z$6,1,MATCH(BQ89,'Rate &amp; Vol Update'!$E$6:$Z$6,1)+1)-BQ89)*(BL89-INDEX('Rate &amp; Vol Update'!$B$8:$B$127,MATCH(BL89,'Rate &amp; Vol Update'!$B$8:$B$127,1)))+INDEX('Rate &amp; Vol Update'!$E$8:$Z$127,MATCH(INDEX('Rate &amp; Vol Update'!$B$8:$B$127,MATCH(BL89,'Rate &amp; Vol Update'!$B$8:$B$127,1)+1),'Rate &amp; Vol Update'!$B$8:$B$127,0),MATCH(INDEX('Rate &amp; Vol Update'!$E$6:$Z$6,1,MATCH(BQ89,'Rate &amp; Vol Update'!$E$6:$Z$6,1)+1),'Rate &amp; Vol Update'!$E$6:$Z$6,0))*(BQ89-INDEX('Rate &amp; Vol Update'!$E$6:$Z$6,1,MATCH(BQ89,'Rate &amp; Vol Update'!$E$6:$Z$6,1)))*(BL89-INDEX('Rate &amp; Vol Update'!$B$8:$B$127,MATCH(BL89,'Rate &amp; Vol Update'!$B$8:$B$127,1)))))*0.01%))</f>
        <v/>
      </c>
      <c r="BT89" s="5" t="str">
        <f>IF(BK89="","",1/((1+BR89)^((BM89-'Rate &amp; Vol Update'!$C$2)/360)))</f>
        <v/>
      </c>
      <c r="BV89" s="15" t="str">
        <f>IF(BK89="","",IF(BL89&lt;'Rate &amp; Vol Update'!$C$2,MAX(0,BR89-BQ89)*(BN89/360)*BP89,(((IF('Adjustment Surface'!$C$2='Data Validation'!$A$2,BR89,IF('Adjustment Surface'!$C$2='Data Validation'!$A$3,BQ89,"Unknown Option Type"))-IF('Adjustment Surface'!$C$2='Data Validation'!$A$2,BQ89,IF('Adjustment Surface'!$C$2='Data Validation'!$A$3,BR89,"Unknown Option Type")))*(NORMDIST((IF('Adjustment Surface'!$C$2='Data Validation'!$A$2,BR89,IF('Adjustment Surface'!$C$2='Data Validation'!$A$3,BQ89,"Unknown Option Type"))-IF('Adjustment Surface'!$C$2='Data Validation'!$A$2,BQ89,IF('Adjustment Surface'!$C$2='Data Validation'!$A$3,BR89,"Unknown Option Type")))/(BS89*SQRT(BO89)),0,1,TRUE)))+((BS89*SQRT(BO89))*(NORMDIST((IF('Adjustment Surface'!$C$2='Data Validation'!$A$2,BR89,IF('Adjustment Surface'!$C$2='Data Validation'!$A$3,BQ89,"Unknown Option Type"))-IF('Adjustment Surface'!$C$2='Data Validation'!$A$2,BQ89,IF('Adjustment Surface'!$C$2='Data Validation'!$A$3,BR89,"Unknown Option Type")))/(BS89*SQRT(BO89)),0,1,FALSE))))*BT89*(BN89/360)*BP89))</f>
        <v/>
      </c>
      <c r="BW89" s="15" t="str">
        <f>IF(BK89="","",SUM(BV$4:BV89))</f>
        <v/>
      </c>
      <c r="BY89" s="15" t="str">
        <f>IF(BK89="","",IF(BL89&lt;'Rate &amp; Vol Update'!$C$2,0,((((((IF('Adjustment Surface'!$C$2='Data Validation'!$A$2,BR89,IF('Adjustment Surface'!$C$2='Data Validation'!$A$3,BQ89,"Unknown Option Type"))-IF('Adjustment Surface'!$C$2='Data Validation'!$A$2,BQ89,IF('Adjustment Surface'!$C$2='Data Validation'!$A$3,BR89,"Unknown Option Type")))*(NORMDIST((IF('Adjustment Surface'!$C$2='Data Validation'!$A$2,BR89,IF('Adjustment Surface'!$C$2='Data Validation'!$A$3,BQ89,"Unknown Option Type"))-IF('Adjustment Surface'!$C$2='Data Validation'!$A$2,BQ89,IF('Adjustment Surface'!$C$2='Data Validation'!$A$3,BR89,"Unknown Option Type")))/((BS89+0.01%)*SQRT(BO89)),0,1,TRUE)))+(((BS89+0.01%)*SQRT(BO89))*(NORMDIST((IF('Adjustment Surface'!$C$2='Data Validation'!$A$2,BR89,IF('Adjustment Surface'!$C$2='Data Validation'!$A$3,BQ89,"Unknown Option Type"))-IF('Adjustment Surface'!$C$2='Data Validation'!$A$2,BQ89,IF('Adjustment Surface'!$C$2='Data Validation'!$A$3,BR89,"Unknown Option Type")))/((BS89+0.01%)*SQRT(BO89)),0,1,FALSE))))*BT89*(BN89/360))-(BV89/BP89))*BP89)*BT89))</f>
        <v/>
      </c>
      <c r="BZ89" s="15" t="str">
        <f>IF(BK89="","",SUM(BY$4:BY89))</f>
        <v/>
      </c>
      <c r="CA89" s="15"/>
      <c r="CB89" s="20"/>
      <c r="CD89" s="4" t="str">
        <f>IF(CE88=MAX('Adjustment Surface'!$C$14:$F$14),"",CE88)</f>
        <v/>
      </c>
      <c r="CE89" s="4" t="str">
        <f>IF(CD89="","",IF(CD89&lt;EDATE('Adjustment Surface'!$C$6,DATEDIF('Adjustment Surface'!$C$6,MAX('Adjustment Surface'!$C$14:$F$14),"M")),EDATE(CD$5,COUNT(CD$5:CD89)),IF(CD89=EDATE('Adjustment Surface'!$C$6,DATEDIF('Adjustment Surface'!$C$6,MAX('Adjustment Surface'!$C$14:$F$14),"M")),MAX('Adjustment Surface'!$C$14:$F$14),EDATE('Adjustment Surface'!$C$6,DATEDIF('Adjustment Surface'!$C$6,MAX('Adjustment Surface'!$C$14:$F$14),"M")))))</f>
        <v/>
      </c>
      <c r="CF89" s="3" t="str">
        <f t="shared" si="10"/>
        <v/>
      </c>
      <c r="CG89" s="5" t="str">
        <f>IF(CC89="","",(CE89-'Rate &amp; Vol Update'!$C$2)/360)</f>
        <v/>
      </c>
      <c r="CH89" s="15" t="str">
        <f>IF(CC89="","",IF('Adjustment Surface'!$C$3='Data Validation'!$C$2,'Adjustment Surface'!$C$4,_xlfn.IFNA(IF(INDEX(Schedules!$E$3:$E$123,MATCH('Bachelier Model'!CD89,Schedules!$B$3:$B$123,0))="",CH88,INDEX(Schedules!$E$3:$E$123,MATCH('Bachelier Model'!CD89,Schedules!$B$3:$B$123,0))),CH88)))</f>
        <v/>
      </c>
      <c r="CI89" s="16" t="str">
        <f>IF(CC89="","",'Adjustment Surface'!B$18)</f>
        <v/>
      </c>
      <c r="CJ89" s="16" t="str" cm="1">
        <f t="array" ref="CJ89">IF(CC89="","",FORECAST(CD89,INDEX('Rate &amp; Vol Update'!$C$6:$C$127,MATCH(INDEX('Rate &amp; Vol Update'!$B$6:$B$127,MATCH(CD89,'Rate &amp; Vol Update'!$B$6:$B$127,1)),'Rate &amp; Vol Update'!$B$6:$B$127,0)+IF('Adjustment Surface'!$C$11='Data Validation'!$E$3,-1,0)):INDEX('Rate &amp; Vol Update'!$C$6:$C$127,MATCH(INDEX('Rate &amp; Vol Update'!$B$6:$B$127,MATCH(CD89,'Rate &amp; Vol Update'!$B$6:$B$127,1)+1),'Rate &amp; Vol Update'!$B$6:$B$127,0)+IF('Adjustment Surface'!$C$11='Data Validation'!$E$3,-1,0)),INDEX('Rate &amp; Vol Update'!$B$6:$B$127,MATCH(CD89,'Rate &amp; Vol Update'!$B$6:$B$127,1)):INDEX('Rate &amp; Vol Update'!$B$6:$B$127,MATCH(CD89,'Rate &amp; Vol Update'!$B$6:$B$127,1)+1))/100)</f>
        <v/>
      </c>
      <c r="CK89" s="16" t="str" cm="1">
        <f t="array" ref="CK89">IF(CC89="","",IF(CD89&lt;'Rate &amp; Vol Update'!$C$2,0.001%,(1/((INDEX('Rate &amp; Vol Update'!$E$6:$Z$6,1,MATCH(CI89,'Rate &amp; Vol Update'!$E$6:$Z$6,1)+1)-INDEX('Rate &amp; Vol Update'!$E$6:$Z$6,1,MATCH(CI89,'Rate &amp; Vol Update'!$E$6:$Z$6,1)))*(INDEX('Rate &amp; Vol Update'!$B$8:$B$127,MATCH(CD89,'Rate &amp; Vol Update'!$B$8:$B$127,1)+1)-INDEX('Rate &amp; Vol Update'!$B$8:$B$127,MATCH(CD89,'Rate &amp; Vol Update'!$B$8:$B$127,1))))*(INDEX('Rate &amp; Vol Update'!$E$8:$Z$127,MATCH(INDEX('Rate &amp; Vol Update'!$B$8:$B$127,MATCH(CD89,'Rate &amp; Vol Update'!$B$8:$B$127,1)),'Rate &amp; Vol Update'!$B$8:$B$127,0),MATCH(INDEX('Rate &amp; Vol Update'!$E$6:$Z$6,1,MATCH(CI89,'Rate &amp; Vol Update'!$E$6:$Z$6,1)),'Rate &amp; Vol Update'!$E$6:$Z$6,0))*(INDEX('Rate &amp; Vol Update'!$E$6:$Z$6,1,MATCH(CI89,'Rate &amp; Vol Update'!$E$6:$Z$6,1)+1)-CI89)*(INDEX('Rate &amp; Vol Update'!$B$8:$B$127,MATCH(CD89,'Rate &amp; Vol Update'!$B$8:$B$127,1)+1)-CD89)+INDEX('Rate &amp; Vol Update'!$E$8:$Z$127,MATCH(INDEX('Rate &amp; Vol Update'!$B$8:$B$127,MATCH(CD89,'Rate &amp; Vol Update'!$B$8:$B$127,1)),'Rate &amp; Vol Update'!$B$8:$B$127,0),MATCH(INDEX('Rate &amp; Vol Update'!$E$6:$Z$6,1,MATCH(CI89,'Rate &amp; Vol Update'!$E$6:$Z$6,1)+1),'Rate &amp; Vol Update'!$E$6:$Z$6,0))*(CI89-INDEX('Rate &amp; Vol Update'!$E$6:$Z$6,1,MATCH(CI89,'Rate &amp; Vol Update'!$E$6:$Z$6,1)))*(INDEX('Rate &amp; Vol Update'!$B$8:$B$127,MATCH(CD89,'Rate &amp; Vol Update'!$B$8:$B$127,1)+1)-CD89)+INDEX('Rate &amp; Vol Update'!$E$8:$Z$127,MATCH(INDEX('Rate &amp; Vol Update'!$B$8:$B$127,MATCH(CD89,'Rate &amp; Vol Update'!$B$8:$B$127,1)+1),'Rate &amp; Vol Update'!$B$8:$B$127,0),MATCH(INDEX('Rate &amp; Vol Update'!$E$6:$Z$6,1,MATCH(CI89,'Rate &amp; Vol Update'!$E$6:$Z$6,1)),'Rate &amp; Vol Update'!$E$6:$Z$6,0))*(INDEX('Rate &amp; Vol Update'!$E$6:$Z$6,1,MATCH(CI89,'Rate &amp; Vol Update'!$E$6:$Z$6,1)+1)-CI89)*(CD89-INDEX('Rate &amp; Vol Update'!$B$8:$B$127,MATCH(CD89,'Rate &amp; Vol Update'!$B$8:$B$127,1)))+INDEX('Rate &amp; Vol Update'!$E$8:$Z$127,MATCH(INDEX('Rate &amp; Vol Update'!$B$8:$B$127,MATCH(CD89,'Rate &amp; Vol Update'!$B$8:$B$127,1)+1),'Rate &amp; Vol Update'!$B$8:$B$127,0),MATCH(INDEX('Rate &amp; Vol Update'!$E$6:$Z$6,1,MATCH(CI89,'Rate &amp; Vol Update'!$E$6:$Z$6,1)+1),'Rate &amp; Vol Update'!$E$6:$Z$6,0))*(CI89-INDEX('Rate &amp; Vol Update'!$E$6:$Z$6,1,MATCH(CI89,'Rate &amp; Vol Update'!$E$6:$Z$6,1)))*(CD89-INDEX('Rate &amp; Vol Update'!$B$8:$B$127,MATCH(CD89,'Rate &amp; Vol Update'!$B$8:$B$127,1)))))*0.01%))</f>
        <v/>
      </c>
      <c r="CL89" s="5" t="str">
        <f>IF(CC89="","",1/((1+CJ89)^((CE89-'Rate &amp; Vol Update'!$C$2)/360)))</f>
        <v/>
      </c>
      <c r="CN89" s="15" t="str">
        <f>IF(CC89="","",IF(CD89&lt;'Rate &amp; Vol Update'!$C$2,MAX(0,CJ89-CI89)*(CF89/360)*CH89,(((IF('Adjustment Surface'!$C$2='Data Validation'!$A$2,CJ89,IF('Adjustment Surface'!$C$2='Data Validation'!$A$3,CI89,"Unknown Option Type"))-IF('Adjustment Surface'!$C$2='Data Validation'!$A$2,CI89,IF('Adjustment Surface'!$C$2='Data Validation'!$A$3,CJ89,"Unknown Option Type")))*(NORMDIST((IF('Adjustment Surface'!$C$2='Data Validation'!$A$2,CJ89,IF('Adjustment Surface'!$C$2='Data Validation'!$A$3,CI89,"Unknown Option Type"))-IF('Adjustment Surface'!$C$2='Data Validation'!$A$2,CI89,IF('Adjustment Surface'!$C$2='Data Validation'!$A$3,CJ89,"Unknown Option Type")))/(CK89*SQRT(CG89)),0,1,TRUE)))+((CK89*SQRT(CG89))*(NORMDIST((IF('Adjustment Surface'!$C$2='Data Validation'!$A$2,CJ89,IF('Adjustment Surface'!$C$2='Data Validation'!$A$3,CI89,"Unknown Option Type"))-IF('Adjustment Surface'!$C$2='Data Validation'!$A$2,CI89,IF('Adjustment Surface'!$C$2='Data Validation'!$A$3,CJ89,"Unknown Option Type")))/(CK89*SQRT(CG89)),0,1,FALSE))))*CL89*(CF89/360)*CH89))</f>
        <v/>
      </c>
      <c r="CO89" s="15" t="str">
        <f>IF(CC89="","",SUM(CN$4:CN89))</f>
        <v/>
      </c>
      <c r="CQ89" s="15" t="str">
        <f>IF(CC89="","",IF(CD89&lt;'Rate &amp; Vol Update'!$C$2,0,((((((IF('Adjustment Surface'!$C$2='Data Validation'!$A$2,CJ89,IF('Adjustment Surface'!$C$2='Data Validation'!$A$3,CI89,"Unknown Option Type"))-IF('Adjustment Surface'!$C$2='Data Validation'!$A$2,CI89,IF('Adjustment Surface'!$C$2='Data Validation'!$A$3,CJ89,"Unknown Option Type")))*(NORMDIST((IF('Adjustment Surface'!$C$2='Data Validation'!$A$2,CJ89,IF('Adjustment Surface'!$C$2='Data Validation'!$A$3,CI89,"Unknown Option Type"))-IF('Adjustment Surface'!$C$2='Data Validation'!$A$2,CI89,IF('Adjustment Surface'!$C$2='Data Validation'!$A$3,CJ89,"Unknown Option Type")))/((CK89+0.01%)*SQRT(CG89)),0,1,TRUE)))+(((CK89+0.01%)*SQRT(CG89))*(NORMDIST((IF('Adjustment Surface'!$C$2='Data Validation'!$A$2,CJ89,IF('Adjustment Surface'!$C$2='Data Validation'!$A$3,CI89,"Unknown Option Type"))-IF('Adjustment Surface'!$C$2='Data Validation'!$A$2,CI89,IF('Adjustment Surface'!$C$2='Data Validation'!$A$3,CJ89,"Unknown Option Type")))/((CK89+0.01%)*SQRT(CG89)),0,1,FALSE))))*CL89*(CF89/360))-(CN89/CH89))*CH89)*CL89))</f>
        <v/>
      </c>
      <c r="CR89" s="15" t="str">
        <f>IF(CC89="","",SUM(CQ$4:CQ89))</f>
        <v/>
      </c>
    </row>
    <row r="90" spans="7:96" x14ac:dyDescent="0.25">
      <c r="G90" s="28"/>
      <c r="J90" s="4" t="str">
        <f>IF(K89='Adjustment Surface'!C$8,"",K89)</f>
        <v/>
      </c>
      <c r="K90" s="4" t="str">
        <f>IF(J90="","",IF(J90&lt;'Adjustment Surface'!C$7,EDATE(J$5,COUNT(J$5:J90)),IF(J90='Adjustment Surface'!C$7,'Adjustment Surface'!C$8,'Adjustment Surface'!C$7)))</f>
        <v/>
      </c>
      <c r="L90" s="3" t="str">
        <f t="shared" si="6"/>
        <v/>
      </c>
      <c r="M90" s="5" t="str">
        <f>IF(I90="","",(K90-'Rate &amp; Vol Update'!$C$2)/360)</f>
        <v/>
      </c>
      <c r="N90" s="15" t="str">
        <f>IF(I90="","",IF('Adjustment Surface'!C$3='Data Validation'!$C$2,'Adjustment Surface'!C$4,IF(INDEX(Schedules!$E$3:$E$123,MATCH('Bachelier Model'!J90,Schedules!$B$3:$B$123,0))="",N89,INDEX(Schedules!$E$3:$E$123,MATCH('Bachelier Model'!J90,Schedules!$B$3:$B$123,0)))))</f>
        <v/>
      </c>
      <c r="O90" s="16" t="str">
        <f>IF(I90="","",IF('Adjustment Surface'!C$9='Data Validation'!$D$2,'Adjustment Surface'!C$10,IF(INDEX(Schedules!$H$3:$H$123,MATCH('Bachelier Model'!J90,Schedules!$B$3:$B$123,0))="",O89,INDEX(Schedules!$H$3:$H$123,MATCH('Bachelier Model'!J90,Schedules!$B$3:$B$123,0)))))</f>
        <v/>
      </c>
      <c r="P90" s="16" t="str" cm="1">
        <f t="array" ref="P90">IF(I90="","",FORECAST(J90,INDEX('Rate &amp; Vol Update'!$C$6:$C$127,MATCH(INDEX('Rate &amp; Vol Update'!$B$6:$B$127,MATCH(J90,'Rate &amp; Vol Update'!$B$6:$B$127,1)),'Rate &amp; Vol Update'!$B$6:$B$127,0)+IF('Adjustment Surface'!C$11='Data Validation'!$E$3,-1,0)):INDEX('Rate &amp; Vol Update'!$C$6:$C$127,MATCH(INDEX('Rate &amp; Vol Update'!$B$6:$B$127,MATCH(J90,'Rate &amp; Vol Update'!$B$6:$B$127,1)+1),'Rate &amp; Vol Update'!$B$6:$B$127,0)+IF('Adjustment Surface'!C$11='Data Validation'!$E$3,-1,0)),INDEX('Rate &amp; Vol Update'!$B$6:$B$127,MATCH(J90,'Rate &amp; Vol Update'!$B$6:$B$127,1)):INDEX('Rate &amp; Vol Update'!$B$6:$B$127,MATCH(J90,'Rate &amp; Vol Update'!$B$6:$B$127,1)+1))/100)</f>
        <v/>
      </c>
      <c r="Q90" s="16" t="str" cm="1">
        <f t="array" ref="Q90">IF(I90="","",IF(J90&lt;'Rate &amp; Vol Update'!$C$2,0.001%,(1/((INDEX('Rate &amp; Vol Update'!$E$6:$Z$6,1,MATCH(O90,'Rate &amp; Vol Update'!$E$6:$Z$6,1)+1)-INDEX('Rate &amp; Vol Update'!$E$6:$Z$6,1,MATCH(O90,'Rate &amp; Vol Update'!$E$6:$Z$6,1)))*(INDEX('Rate &amp; Vol Update'!$B$8:$B$127,MATCH(J90,'Rate &amp; Vol Update'!$B$8:$B$127,1)+1)-INDEX('Rate &amp; Vol Update'!$B$8:$B$127,MATCH(J90,'Rate &amp; Vol Update'!$B$8:$B$127,1))))*(INDEX('Rate &amp; Vol Update'!$E$8:$Z$127,MATCH(INDEX('Rate &amp; Vol Update'!$B$8:$B$127,MATCH(J90,'Rate &amp; Vol Update'!$B$8:$B$127,1)),'Rate &amp; Vol Update'!$B$8:$B$127,0),MATCH(INDEX('Rate &amp; Vol Update'!$E$6:$Z$6,1,MATCH(O90,'Rate &amp; Vol Update'!$E$6:$Z$6,1)),'Rate &amp; Vol Update'!$E$6:$Z$6,0))*(INDEX('Rate &amp; Vol Update'!$E$6:$Z$6,1,MATCH(O90,'Rate &amp; Vol Update'!$E$6:$Z$6,1)+1)-O90)*(INDEX('Rate &amp; Vol Update'!$B$8:$B$127,MATCH(J90,'Rate &amp; Vol Update'!$B$8:$B$127,1)+1)-J90)+INDEX('Rate &amp; Vol Update'!$E$8:$Z$127,MATCH(INDEX('Rate &amp; Vol Update'!$B$8:$B$127,MATCH(J90,'Rate &amp; Vol Update'!$B$8:$B$127,1)),'Rate &amp; Vol Update'!$B$8:$B$127,0),MATCH(INDEX('Rate &amp; Vol Update'!$E$6:$Z$6,1,MATCH(O90,'Rate &amp; Vol Update'!$E$6:$Z$6,1)+1),'Rate &amp; Vol Update'!$E$6:$Z$6,0))*(O90-INDEX('Rate &amp; Vol Update'!$E$6:$Z$6,1,MATCH(O90,'Rate &amp; Vol Update'!$E$6:$Z$6,1)))*(INDEX('Rate &amp; Vol Update'!$B$8:$B$127,MATCH(J90,'Rate &amp; Vol Update'!$B$8:$B$127,1)+1)-J90)+INDEX('Rate &amp; Vol Update'!$E$8:$Z$127,MATCH(INDEX('Rate &amp; Vol Update'!$B$8:$B$127,MATCH(J90,'Rate &amp; Vol Update'!$B$8:$B$127,1)+1),'Rate &amp; Vol Update'!$B$8:$B$127,0),MATCH(INDEX('Rate &amp; Vol Update'!$E$6:$Z$6,1,MATCH(O90,'Rate &amp; Vol Update'!$E$6:$Z$6,1)),'Rate &amp; Vol Update'!$E$6:$Z$6,0))*(INDEX('Rate &amp; Vol Update'!$E$6:$Z$6,1,MATCH(O90,'Rate &amp; Vol Update'!$E$6:$Z$6,1)+1)-O90)*(J90-INDEX('Rate &amp; Vol Update'!$B$8:$B$127,MATCH(J90,'Rate &amp; Vol Update'!$B$8:$B$127,1)))+INDEX('Rate &amp; Vol Update'!$E$8:$Z$127,MATCH(INDEX('Rate &amp; Vol Update'!$B$8:$B$127,MATCH(J90,'Rate &amp; Vol Update'!$B$8:$B$127,1)+1),'Rate &amp; Vol Update'!$B$8:$B$127,0),MATCH(INDEX('Rate &amp; Vol Update'!$E$6:$Z$6,1,MATCH(O90,'Rate &amp; Vol Update'!$E$6:$Z$6,1)+1),'Rate &amp; Vol Update'!$E$6:$Z$6,0))*(O90-INDEX('Rate &amp; Vol Update'!$E$6:$Z$6,1,MATCH(O90,'Rate &amp; Vol Update'!$E$6:$Z$6,1)))*(J90-INDEX('Rate &amp; Vol Update'!$B$8:$B$127,MATCH(J90,'Rate &amp; Vol Update'!$B$8:$B$127,1)))))*0.01%))</f>
        <v/>
      </c>
      <c r="R90" s="5" t="str">
        <f>IF(I90="","",1/((1+P90)^((K90-'Rate &amp; Vol Update'!$C$2)/360)))</f>
        <v/>
      </c>
      <c r="T90" s="15" t="str">
        <f>IF(I90="","",IF(J90&lt;'Rate &amp; Vol Update'!$C$2,MAX(0,P90-O90)*(L90/360)*N90,(((IF('Adjustment Surface'!C$2='Data Validation'!$A$2,P90,IF('Adjustment Surface'!C$2='Data Validation'!$A$3,O90,"Unknown Option Type"))-IF('Adjustment Surface'!C$2='Data Validation'!$A$2,O90,IF('Adjustment Surface'!C$2='Data Validation'!$A$3,P90,"Unknown Option Type")))*(NORMDIST((IF('Adjustment Surface'!C$2='Data Validation'!$A$2,P90,IF('Adjustment Surface'!C$2='Data Validation'!$A$3,O90,"Unknown Option Type"))-IF('Adjustment Surface'!C$2='Data Validation'!$A$2,O90,IF('Adjustment Surface'!C$2='Data Validation'!$A$3,P90,"Unknown Option Type")))/(Q90*SQRT(M90)),0,1,TRUE)))+((Q90*SQRT(M90))*(NORMDIST((IF('Adjustment Surface'!C$2='Data Validation'!$A$2,P90,IF('Adjustment Surface'!C$2='Data Validation'!$A$3,O90,"Unknown Option Type"))-IF('Adjustment Surface'!C$2='Data Validation'!$A$2,O90,IF('Adjustment Surface'!C$2='Data Validation'!$A$3,P90,"Unknown Option Type")))/(Q90*SQRT(M90)),0,1,FALSE))))*R90*(L90/360)*N90))</f>
        <v/>
      </c>
      <c r="U90" s="15" t="str">
        <f>IF(I90="","",SUM(T$4:T90))</f>
        <v/>
      </c>
      <c r="W90" s="15" t="str">
        <f>IF(I90="","",IF(J90&lt;'Rate &amp; Vol Update'!$C$2,0,((((((IF('Adjustment Surface'!C$2='Data Validation'!$A$2,P90,IF('Adjustment Surface'!C$2='Data Validation'!$A$3,O90,"Unknown Option Type"))-IF('Adjustment Surface'!C$2='Data Validation'!$A$2,O90,IF('Adjustment Surface'!C$2='Data Validation'!$A$3,P90,"Unknown Option Type")))*(NORMDIST((IF('Adjustment Surface'!C$2='Data Validation'!$A$2,P90,IF('Adjustment Surface'!C$2='Data Validation'!$A$3,O90,"Unknown Option Type"))-IF('Adjustment Surface'!C$2='Data Validation'!$A$2,O90,IF('Adjustment Surface'!C$2='Data Validation'!$A$3,P90,"Unknown Option Type")))/((Q90+0.01%)*SQRT(M90)),0,1,TRUE)))+(((Q90+0.01%)*SQRT(M90))*(NORMDIST((IF('Adjustment Surface'!C$2='Data Validation'!$A$2,P90,IF('Adjustment Surface'!C$2='Data Validation'!$A$3,O90,"Unknown Option Type"))-IF('Adjustment Surface'!C$2='Data Validation'!$A$2,O90,IF('Adjustment Surface'!C$2='Data Validation'!$A$3,P90,"Unknown Option Type")))/((Q90+0.01%)*SQRT(M90)),0,1,FALSE))))*R90*(L90/360))-(T90/N90))*N90)*R90))</f>
        <v/>
      </c>
      <c r="X90" s="15" t="str">
        <f>IF(I90="","",SUM(W$4:W90))</f>
        <v/>
      </c>
      <c r="Y90" s="15"/>
      <c r="Z90" s="20"/>
      <c r="AB90" s="4" t="str">
        <f>IF(AC89=MAX('Adjustment Surface'!$C$14:$F$14),"",AC89)</f>
        <v/>
      </c>
      <c r="AC90" s="4" t="str">
        <f>IF(AB90="","",IF(AB90&lt;EDATE('Adjustment Surface'!$C$6,DATEDIF('Adjustment Surface'!$C$6,MAX('Adjustment Surface'!$C$14:$F$14),"M")),EDATE(AB$5,COUNT(AB$5:AB90)),IF(AB90=EDATE('Adjustment Surface'!$C$6,DATEDIF('Adjustment Surface'!$C$6,MAX('Adjustment Surface'!$C$14:$F$14),"M")),MAX('Adjustment Surface'!$C$14:$F$14),EDATE('Adjustment Surface'!$C$6,DATEDIF('Adjustment Surface'!$C$6,MAX('Adjustment Surface'!$C$14:$F$14),"M")))))</f>
        <v/>
      </c>
      <c r="AD90" s="3" t="str">
        <f t="shared" si="7"/>
        <v/>
      </c>
      <c r="AE90" s="5" t="str">
        <f>IF(AA90="","",(AC90-'Rate &amp; Vol Update'!$C$2)/360)</f>
        <v/>
      </c>
      <c r="AF90" s="15" t="str">
        <f>IF(AA90="","",IF('Adjustment Surface'!$C$3='Data Validation'!$C$2,'Adjustment Surface'!$C$4,_xlfn.IFNA(IF(INDEX(Schedules!$E$3:$E$123,MATCH('Bachelier Model'!AB90,Schedules!$B$3:$B$123,0))="",AF89,INDEX(Schedules!$E$3:$E$123,MATCH('Bachelier Model'!AB90,Schedules!$B$3:$B$123,0))),AF89)))</f>
        <v/>
      </c>
      <c r="AG90" s="16" t="str">
        <f>IF(AA90="","",'Adjustment Surface'!B$15)</f>
        <v/>
      </c>
      <c r="AH90" s="16" t="str" cm="1">
        <f t="array" ref="AH90">IF(AA90="","",FORECAST(AB90,INDEX('Rate &amp; Vol Update'!$C$6:$C$127,MATCH(INDEX('Rate &amp; Vol Update'!$B$6:$B$127,MATCH(AB90,'Rate &amp; Vol Update'!$B$6:$B$127,1)),'Rate &amp; Vol Update'!$B$6:$B$127,0)+IF('Adjustment Surface'!$C$11='Data Validation'!$E$3,-1,0)):INDEX('Rate &amp; Vol Update'!$C$6:$C$127,MATCH(INDEX('Rate &amp; Vol Update'!$B$6:$B$127,MATCH(AB90,'Rate &amp; Vol Update'!$B$6:$B$127,1)+1),'Rate &amp; Vol Update'!$B$6:$B$127,0)+IF('Adjustment Surface'!$C$11='Data Validation'!$E$3,-1,0)),INDEX('Rate &amp; Vol Update'!$B$6:$B$127,MATCH(AB90,'Rate &amp; Vol Update'!$B$6:$B$127,1)):INDEX('Rate &amp; Vol Update'!$B$6:$B$127,MATCH(AB90,'Rate &amp; Vol Update'!$B$6:$B$127,1)+1))/100)</f>
        <v/>
      </c>
      <c r="AI90" s="16" t="str" cm="1">
        <f t="array" ref="AI90">IF(AA90="","",IF(AB90&lt;'Rate &amp; Vol Update'!$C$2,0.001%,(1/((INDEX('Rate &amp; Vol Update'!$E$6:$Z$6,1,MATCH(AG90,'Rate &amp; Vol Update'!$E$6:$Z$6,1)+1)-INDEX('Rate &amp; Vol Update'!$E$6:$Z$6,1,MATCH(AG90,'Rate &amp; Vol Update'!$E$6:$Z$6,1)))*(INDEX('Rate &amp; Vol Update'!$B$8:$B$127,MATCH(AB90,'Rate &amp; Vol Update'!$B$8:$B$127,1)+1)-INDEX('Rate &amp; Vol Update'!$B$8:$B$127,MATCH(AB90,'Rate &amp; Vol Update'!$B$8:$B$127,1))))*(INDEX('Rate &amp; Vol Update'!$E$8:$Z$127,MATCH(INDEX('Rate &amp; Vol Update'!$B$8:$B$127,MATCH(AB90,'Rate &amp; Vol Update'!$B$8:$B$127,1)),'Rate &amp; Vol Update'!$B$8:$B$127,0),MATCH(INDEX('Rate &amp; Vol Update'!$E$6:$Z$6,1,MATCH(AG90,'Rate &amp; Vol Update'!$E$6:$Z$6,1)),'Rate &amp; Vol Update'!$E$6:$Z$6,0))*(INDEX('Rate &amp; Vol Update'!$E$6:$Z$6,1,MATCH(AG90,'Rate &amp; Vol Update'!$E$6:$Z$6,1)+1)-AG90)*(INDEX('Rate &amp; Vol Update'!$B$8:$B$127,MATCH(AB90,'Rate &amp; Vol Update'!$B$8:$B$127,1)+1)-AB90)+INDEX('Rate &amp; Vol Update'!$E$8:$Z$127,MATCH(INDEX('Rate &amp; Vol Update'!$B$8:$B$127,MATCH(AB90,'Rate &amp; Vol Update'!$B$8:$B$127,1)),'Rate &amp; Vol Update'!$B$8:$B$127,0),MATCH(INDEX('Rate &amp; Vol Update'!$E$6:$Z$6,1,MATCH(AG90,'Rate &amp; Vol Update'!$E$6:$Z$6,1)+1),'Rate &amp; Vol Update'!$E$6:$Z$6,0))*(AG90-INDEX('Rate &amp; Vol Update'!$E$6:$Z$6,1,MATCH(AG90,'Rate &amp; Vol Update'!$E$6:$Z$6,1)))*(INDEX('Rate &amp; Vol Update'!$B$8:$B$127,MATCH(AB90,'Rate &amp; Vol Update'!$B$8:$B$127,1)+1)-AB90)+INDEX('Rate &amp; Vol Update'!$E$8:$Z$127,MATCH(INDEX('Rate &amp; Vol Update'!$B$8:$B$127,MATCH(AB90,'Rate &amp; Vol Update'!$B$8:$B$127,1)+1),'Rate &amp; Vol Update'!$B$8:$B$127,0),MATCH(INDEX('Rate &amp; Vol Update'!$E$6:$Z$6,1,MATCH(AG90,'Rate &amp; Vol Update'!$E$6:$Z$6,1)),'Rate &amp; Vol Update'!$E$6:$Z$6,0))*(INDEX('Rate &amp; Vol Update'!$E$6:$Z$6,1,MATCH(AG90,'Rate &amp; Vol Update'!$E$6:$Z$6,1)+1)-AG90)*(AB90-INDEX('Rate &amp; Vol Update'!$B$8:$B$127,MATCH(AB90,'Rate &amp; Vol Update'!$B$8:$B$127,1)))+INDEX('Rate &amp; Vol Update'!$E$8:$Z$127,MATCH(INDEX('Rate &amp; Vol Update'!$B$8:$B$127,MATCH(AB90,'Rate &amp; Vol Update'!$B$8:$B$127,1)+1),'Rate &amp; Vol Update'!$B$8:$B$127,0),MATCH(INDEX('Rate &amp; Vol Update'!$E$6:$Z$6,1,MATCH(AG90,'Rate &amp; Vol Update'!$E$6:$Z$6,1)+1),'Rate &amp; Vol Update'!$E$6:$Z$6,0))*(AG90-INDEX('Rate &amp; Vol Update'!$E$6:$Z$6,1,MATCH(AG90,'Rate &amp; Vol Update'!$E$6:$Z$6,1)))*(AB90-INDEX('Rate &amp; Vol Update'!$B$8:$B$127,MATCH(AB90,'Rate &amp; Vol Update'!$B$8:$B$127,1)))))*0.01%))</f>
        <v/>
      </c>
      <c r="AJ90" s="5" t="str">
        <f>IF(AA90="","",1/((1+AH90)^((AC90-'Rate &amp; Vol Update'!$C$2)/360)))</f>
        <v/>
      </c>
      <c r="AL90" s="15" t="str">
        <f>IF(AA90="","",IF(AB90&lt;'Rate &amp; Vol Update'!$C$2,MAX(0,AH90-AG90)*(AD90/360)*AF90,(((IF('Adjustment Surface'!$C$2='Data Validation'!$A$2,AH90,IF('Adjustment Surface'!$C$2='Data Validation'!$A$3,AG90,"Unknown Option Type"))-IF('Adjustment Surface'!$C$2='Data Validation'!$A$2,AG90,IF('Adjustment Surface'!$C$2='Data Validation'!$A$3,AH90,"Unknown Option Type")))*(NORMDIST((IF('Adjustment Surface'!$C$2='Data Validation'!$A$2,AH90,IF('Adjustment Surface'!$C$2='Data Validation'!$A$3,AG90,"Unknown Option Type"))-IF('Adjustment Surface'!$C$2='Data Validation'!$A$2,AG90,IF('Adjustment Surface'!$C$2='Data Validation'!$A$3,AH90,"Unknown Option Type")))/(AI90*SQRT(AE90)),0,1,TRUE)))+((AI90*SQRT(AE90))*(NORMDIST((IF('Adjustment Surface'!$C$2='Data Validation'!$A$2,AH90,IF('Adjustment Surface'!$C$2='Data Validation'!$A$3,AG90,"Unknown Option Type"))-IF('Adjustment Surface'!$C$2='Data Validation'!$A$2,AG90,IF('Adjustment Surface'!$C$2='Data Validation'!$A$3,AH90,"Unknown Option Type")))/(AI90*SQRT(AE90)),0,1,FALSE))))*AJ90*(AD90/360)*AF90))</f>
        <v/>
      </c>
      <c r="AM90" s="15" t="str">
        <f>IF(AA90="","",SUM(AL$4:AL90))</f>
        <v/>
      </c>
      <c r="AO90" s="15" t="str">
        <f>IF(AA90="","",IF(AB90&lt;'Rate &amp; Vol Update'!$C$2,0,((((((IF('Adjustment Surface'!$C$2='Data Validation'!$A$2,AH90,IF('Adjustment Surface'!$C$2='Data Validation'!$A$3,AG90,"Unknown Option Type"))-IF('Adjustment Surface'!$C$2='Data Validation'!$A$2,AG90,IF('Adjustment Surface'!$C$2='Data Validation'!$A$3,AH90,"Unknown Option Type")))*(NORMDIST((IF('Adjustment Surface'!$C$2='Data Validation'!$A$2,AH90,IF('Adjustment Surface'!$C$2='Data Validation'!$A$3,AG90,"Unknown Option Type"))-IF('Adjustment Surface'!$C$2='Data Validation'!$A$2,AG90,IF('Adjustment Surface'!$C$2='Data Validation'!$A$3,AH90,"Unknown Option Type")))/((AI90+0.01%)*SQRT(AE90)),0,1,TRUE)))+(((AI90+0.01%)*SQRT(AE90))*(NORMDIST((IF('Adjustment Surface'!$C$2='Data Validation'!$A$2,AH90,IF('Adjustment Surface'!$C$2='Data Validation'!$A$3,AG90,"Unknown Option Type"))-IF('Adjustment Surface'!$C$2='Data Validation'!$A$2,AG90,IF('Adjustment Surface'!$C$2='Data Validation'!$A$3,AH90,"Unknown Option Type")))/((AI90+0.01%)*SQRT(AE90)),0,1,FALSE))))*AJ90*(AD90/360))-(AL90/AF90))*AF90)*AJ90))</f>
        <v/>
      </c>
      <c r="AP90" s="15" t="str">
        <f>IF(AA90="","",SUM(AO$4:AO90))</f>
        <v/>
      </c>
      <c r="AQ90" s="15"/>
      <c r="AR90" s="20"/>
      <c r="AT90" s="4" t="str">
        <f>IF(AU89=MAX('Adjustment Surface'!$C$14:$F$14),"",AU89)</f>
        <v/>
      </c>
      <c r="AU90" s="4" t="str">
        <f>IF(AT90="","",IF(AT90&lt;EDATE('Adjustment Surface'!$C$6,DATEDIF('Adjustment Surface'!$C$6,MAX('Adjustment Surface'!$C$14:$F$14),"M")),EDATE(AT$5,COUNT(AT$5:AT90)),IF(AT90=EDATE('Adjustment Surface'!$C$6,DATEDIF('Adjustment Surface'!$C$6,MAX('Adjustment Surface'!$C$14:$F$14),"M")),MAX('Adjustment Surface'!$C$14:$F$14),EDATE('Adjustment Surface'!$C$6,DATEDIF('Adjustment Surface'!$C$6,MAX('Adjustment Surface'!$C$14:$F$14),"M")))))</f>
        <v/>
      </c>
      <c r="AV90" s="3" t="str">
        <f t="shared" si="8"/>
        <v/>
      </c>
      <c r="AW90" s="5" t="str">
        <f>IF(AS90="","",(AU90-'Rate &amp; Vol Update'!$C$2)/360)</f>
        <v/>
      </c>
      <c r="AX90" s="15" t="str">
        <f>IF(AS90="","",IF('Adjustment Surface'!$C$3='Data Validation'!$C$2,'Adjustment Surface'!$C$4,_xlfn.IFNA(IF(INDEX(Schedules!$E$3:$E$123,MATCH('Bachelier Model'!AT90,Schedules!$B$3:$B$123,0))="",AX89,INDEX(Schedules!$E$3:$E$123,MATCH('Bachelier Model'!AT90,Schedules!$B$3:$B$123,0))),AX89)))</f>
        <v/>
      </c>
      <c r="AY90" s="16" t="str">
        <f>IF(AS90="","",'Adjustment Surface'!B$16)</f>
        <v/>
      </c>
      <c r="AZ90" s="16" t="str" cm="1">
        <f t="array" ref="AZ90">IF(AS90="","",FORECAST(AT90,INDEX('Rate &amp; Vol Update'!$C$6:$C$127,MATCH(INDEX('Rate &amp; Vol Update'!$B$6:$B$127,MATCH(AT90,'Rate &amp; Vol Update'!$B$6:$B$127,1)),'Rate &amp; Vol Update'!$B$6:$B$127,0)+IF('Adjustment Surface'!$C$11='Data Validation'!$E$3,-1,0)):INDEX('Rate &amp; Vol Update'!$C$6:$C$127,MATCH(INDEX('Rate &amp; Vol Update'!$B$6:$B$127,MATCH(AT90,'Rate &amp; Vol Update'!$B$6:$B$127,1)+1),'Rate &amp; Vol Update'!$B$6:$B$127,0)+IF('Adjustment Surface'!$C$11='Data Validation'!$E$3,-1,0)),INDEX('Rate &amp; Vol Update'!$B$6:$B$127,MATCH(AT90,'Rate &amp; Vol Update'!$B$6:$B$127,1)):INDEX('Rate &amp; Vol Update'!$B$6:$B$127,MATCH(AT90,'Rate &amp; Vol Update'!$B$6:$B$127,1)+1))/100)</f>
        <v/>
      </c>
      <c r="BA90" s="16" t="str" cm="1">
        <f t="array" ref="BA90">IF(AS90="","",IF(AT90&lt;'Rate &amp; Vol Update'!$C$2,0.001%,(1/((INDEX('Rate &amp; Vol Update'!$E$6:$Z$6,1,MATCH(AY90,'Rate &amp; Vol Update'!$E$6:$Z$6,1)+1)-INDEX('Rate &amp; Vol Update'!$E$6:$Z$6,1,MATCH(AY90,'Rate &amp; Vol Update'!$E$6:$Z$6,1)))*(INDEX('Rate &amp; Vol Update'!$B$8:$B$127,MATCH(AT90,'Rate &amp; Vol Update'!$B$8:$B$127,1)+1)-INDEX('Rate &amp; Vol Update'!$B$8:$B$127,MATCH(AT90,'Rate &amp; Vol Update'!$B$8:$B$127,1))))*(INDEX('Rate &amp; Vol Update'!$E$8:$Z$127,MATCH(INDEX('Rate &amp; Vol Update'!$B$8:$B$127,MATCH(AT90,'Rate &amp; Vol Update'!$B$8:$B$127,1)),'Rate &amp; Vol Update'!$B$8:$B$127,0),MATCH(INDEX('Rate &amp; Vol Update'!$E$6:$Z$6,1,MATCH(AY90,'Rate &amp; Vol Update'!$E$6:$Z$6,1)),'Rate &amp; Vol Update'!$E$6:$Z$6,0))*(INDEX('Rate &amp; Vol Update'!$E$6:$Z$6,1,MATCH(AY90,'Rate &amp; Vol Update'!$E$6:$Z$6,1)+1)-AY90)*(INDEX('Rate &amp; Vol Update'!$B$8:$B$127,MATCH(AT90,'Rate &amp; Vol Update'!$B$8:$B$127,1)+1)-AT90)+INDEX('Rate &amp; Vol Update'!$E$8:$Z$127,MATCH(INDEX('Rate &amp; Vol Update'!$B$8:$B$127,MATCH(AT90,'Rate &amp; Vol Update'!$B$8:$B$127,1)),'Rate &amp; Vol Update'!$B$8:$B$127,0),MATCH(INDEX('Rate &amp; Vol Update'!$E$6:$Z$6,1,MATCH(AY90,'Rate &amp; Vol Update'!$E$6:$Z$6,1)+1),'Rate &amp; Vol Update'!$E$6:$Z$6,0))*(AY90-INDEX('Rate &amp; Vol Update'!$E$6:$Z$6,1,MATCH(AY90,'Rate &amp; Vol Update'!$E$6:$Z$6,1)))*(INDEX('Rate &amp; Vol Update'!$B$8:$B$127,MATCH(AT90,'Rate &amp; Vol Update'!$B$8:$B$127,1)+1)-AT90)+INDEX('Rate &amp; Vol Update'!$E$8:$Z$127,MATCH(INDEX('Rate &amp; Vol Update'!$B$8:$B$127,MATCH(AT90,'Rate &amp; Vol Update'!$B$8:$B$127,1)+1),'Rate &amp; Vol Update'!$B$8:$B$127,0),MATCH(INDEX('Rate &amp; Vol Update'!$E$6:$Z$6,1,MATCH(AY90,'Rate &amp; Vol Update'!$E$6:$Z$6,1)),'Rate &amp; Vol Update'!$E$6:$Z$6,0))*(INDEX('Rate &amp; Vol Update'!$E$6:$Z$6,1,MATCH(AY90,'Rate &amp; Vol Update'!$E$6:$Z$6,1)+1)-AY90)*(AT90-INDEX('Rate &amp; Vol Update'!$B$8:$B$127,MATCH(AT90,'Rate &amp; Vol Update'!$B$8:$B$127,1)))+INDEX('Rate &amp; Vol Update'!$E$8:$Z$127,MATCH(INDEX('Rate &amp; Vol Update'!$B$8:$B$127,MATCH(AT90,'Rate &amp; Vol Update'!$B$8:$B$127,1)+1),'Rate &amp; Vol Update'!$B$8:$B$127,0),MATCH(INDEX('Rate &amp; Vol Update'!$E$6:$Z$6,1,MATCH(AY90,'Rate &amp; Vol Update'!$E$6:$Z$6,1)+1),'Rate &amp; Vol Update'!$E$6:$Z$6,0))*(AY90-INDEX('Rate &amp; Vol Update'!$E$6:$Z$6,1,MATCH(AY90,'Rate &amp; Vol Update'!$E$6:$Z$6,1)))*(AT90-INDEX('Rate &amp; Vol Update'!$B$8:$B$127,MATCH(AT90,'Rate &amp; Vol Update'!$B$8:$B$127,1)))))*0.01%))</f>
        <v/>
      </c>
      <c r="BB90" s="5" t="str">
        <f>IF(AS90="","",1/((1+AZ90)^((AU90-'Rate &amp; Vol Update'!$C$2)/360)))</f>
        <v/>
      </c>
      <c r="BD90" s="15" t="str">
        <f>IF(AS90="","",IF(AT90&lt;'Rate &amp; Vol Update'!$C$2,MAX(0,AZ90-AY90)*(AV90/360)*AX90,(((IF('Adjustment Surface'!$C$2='Data Validation'!$A$2,AZ90,IF('Adjustment Surface'!$C$2='Data Validation'!$A$3,AY90,"Unknown Option Type"))-IF('Adjustment Surface'!$C$2='Data Validation'!$A$2,AY90,IF('Adjustment Surface'!$C$2='Data Validation'!$A$3,AZ90,"Unknown Option Type")))*(NORMDIST((IF('Adjustment Surface'!$C$2='Data Validation'!$A$2,AZ90,IF('Adjustment Surface'!$C$2='Data Validation'!$A$3,AY90,"Unknown Option Type"))-IF('Adjustment Surface'!$C$2='Data Validation'!$A$2,AY90,IF('Adjustment Surface'!$C$2='Data Validation'!$A$3,AZ90,"Unknown Option Type")))/(BA90*SQRT(AW90)),0,1,TRUE)))+((BA90*SQRT(AW90))*(NORMDIST((IF('Adjustment Surface'!$C$2='Data Validation'!$A$2,AZ90,IF('Adjustment Surface'!$C$2='Data Validation'!$A$3,AY90,"Unknown Option Type"))-IF('Adjustment Surface'!$C$2='Data Validation'!$A$2,AY90,IF('Adjustment Surface'!$C$2='Data Validation'!$A$3,AZ90,"Unknown Option Type")))/(BA90*SQRT(AW90)),0,1,FALSE))))*BB90*(AV90/360)*AX90))</f>
        <v/>
      </c>
      <c r="BE90" s="15" t="str">
        <f>IF(AS90="","",SUM(BD$4:BD90))</f>
        <v/>
      </c>
      <c r="BG90" s="15" t="str">
        <f>IF(AS90="","",IF(AT90&lt;'Rate &amp; Vol Update'!$C$2,0,((((((IF('Adjustment Surface'!$C$2='Data Validation'!$A$2,AZ90,IF('Adjustment Surface'!$C$2='Data Validation'!$A$3,AY90,"Unknown Option Type"))-IF('Adjustment Surface'!$C$2='Data Validation'!$A$2,AY90,IF('Adjustment Surface'!$C$2='Data Validation'!$A$3,AZ90,"Unknown Option Type")))*(NORMDIST((IF('Adjustment Surface'!$C$2='Data Validation'!$A$2,AZ90,IF('Adjustment Surface'!$C$2='Data Validation'!$A$3,AY90,"Unknown Option Type"))-IF('Adjustment Surface'!$C$2='Data Validation'!$A$2,AY90,IF('Adjustment Surface'!$C$2='Data Validation'!$A$3,AZ90,"Unknown Option Type")))/((BA90+0.01%)*SQRT(AW90)),0,1,TRUE)))+(((BA90+0.01%)*SQRT(AW90))*(NORMDIST((IF('Adjustment Surface'!$C$2='Data Validation'!$A$2,AZ90,IF('Adjustment Surface'!$C$2='Data Validation'!$A$3,AY90,"Unknown Option Type"))-IF('Adjustment Surface'!$C$2='Data Validation'!$A$2,AY90,IF('Adjustment Surface'!$C$2='Data Validation'!$A$3,AZ90,"Unknown Option Type")))/((BA90+0.01%)*SQRT(AW90)),0,1,FALSE))))*BB90*(AV90/360))-(BD90/AX90))*AX90)*BB90))</f>
        <v/>
      </c>
      <c r="BH90" s="15" t="str">
        <f>IF(AS90="","",SUM(BG$4:BG90))</f>
        <v/>
      </c>
      <c r="BI90" s="15"/>
      <c r="BJ90" s="20"/>
      <c r="BL90" s="4" t="str">
        <f>IF(BM89=MAX('Adjustment Surface'!$C$14:$F$14),"",BM89)</f>
        <v/>
      </c>
      <c r="BM90" s="4" t="str">
        <f>IF(BL90="","",IF(BL90&lt;EDATE('Adjustment Surface'!$C$6,DATEDIF('Adjustment Surface'!$C$6,MAX('Adjustment Surface'!$C$14:$F$14),"M")),EDATE(BL$5,COUNT(BL$5:BL90)),IF(BL90=EDATE('Adjustment Surface'!$C$6,DATEDIF('Adjustment Surface'!$C$6,MAX('Adjustment Surface'!$C$14:$F$14),"M")),MAX('Adjustment Surface'!$C$14:$F$14),EDATE('Adjustment Surface'!$C$6,DATEDIF('Adjustment Surface'!$C$6,MAX('Adjustment Surface'!$C$14:$F$14),"M")))))</f>
        <v/>
      </c>
      <c r="BN90" s="3" t="str">
        <f t="shared" si="9"/>
        <v/>
      </c>
      <c r="BO90" s="5" t="str">
        <f>IF(BK90="","",(BM90-'Rate &amp; Vol Update'!$C$2)/360)</f>
        <v/>
      </c>
      <c r="BP90" s="15" t="str">
        <f>IF(BK90="","",IF('Adjustment Surface'!$C$3='Data Validation'!$C$2,'Adjustment Surface'!$C$4,_xlfn.IFNA(IF(INDEX(Schedules!$E$3:$E$123,MATCH('Bachelier Model'!BL90,Schedules!$B$3:$B$123,0))="",BP89,INDEX(Schedules!$E$3:$E$123,MATCH('Bachelier Model'!BL90,Schedules!$B$3:$B$123,0))),BP89)))</f>
        <v/>
      </c>
      <c r="BQ90" s="16" t="str">
        <f>IF(BK90="","",'Adjustment Surface'!B$17)</f>
        <v/>
      </c>
      <c r="BR90" s="16" t="str" cm="1">
        <f t="array" ref="BR90">IF(BK90="","",FORECAST(BL90,INDEX('Rate &amp; Vol Update'!$C$6:$C$127,MATCH(INDEX('Rate &amp; Vol Update'!$B$6:$B$127,MATCH(BL90,'Rate &amp; Vol Update'!$B$6:$B$127,1)),'Rate &amp; Vol Update'!$B$6:$B$127,0)+IF('Adjustment Surface'!$C$11='Data Validation'!$E$3,-1,0)):INDEX('Rate &amp; Vol Update'!$C$6:$C$127,MATCH(INDEX('Rate &amp; Vol Update'!$B$6:$B$127,MATCH(BL90,'Rate &amp; Vol Update'!$B$6:$B$127,1)+1),'Rate &amp; Vol Update'!$B$6:$B$127,0)+IF('Adjustment Surface'!$C$11='Data Validation'!$E$3,-1,0)),INDEX('Rate &amp; Vol Update'!$B$6:$B$127,MATCH(BL90,'Rate &amp; Vol Update'!$B$6:$B$127,1)):INDEX('Rate &amp; Vol Update'!$B$6:$B$127,MATCH(BL90,'Rate &amp; Vol Update'!$B$6:$B$127,1)+1))/100)</f>
        <v/>
      </c>
      <c r="BS90" s="16" t="str" cm="1">
        <f t="array" ref="BS90">IF(BK90="","",IF(BL90&lt;'Rate &amp; Vol Update'!$C$2,0.001%,(1/((INDEX('Rate &amp; Vol Update'!$E$6:$Z$6,1,MATCH(BQ90,'Rate &amp; Vol Update'!$E$6:$Z$6,1)+1)-INDEX('Rate &amp; Vol Update'!$E$6:$Z$6,1,MATCH(BQ90,'Rate &amp; Vol Update'!$E$6:$Z$6,1)))*(INDEX('Rate &amp; Vol Update'!$B$8:$B$127,MATCH(BL90,'Rate &amp; Vol Update'!$B$8:$B$127,1)+1)-INDEX('Rate &amp; Vol Update'!$B$8:$B$127,MATCH(BL90,'Rate &amp; Vol Update'!$B$8:$B$127,1))))*(INDEX('Rate &amp; Vol Update'!$E$8:$Z$127,MATCH(INDEX('Rate &amp; Vol Update'!$B$8:$B$127,MATCH(BL90,'Rate &amp; Vol Update'!$B$8:$B$127,1)),'Rate &amp; Vol Update'!$B$8:$B$127,0),MATCH(INDEX('Rate &amp; Vol Update'!$E$6:$Z$6,1,MATCH(BQ90,'Rate &amp; Vol Update'!$E$6:$Z$6,1)),'Rate &amp; Vol Update'!$E$6:$Z$6,0))*(INDEX('Rate &amp; Vol Update'!$E$6:$Z$6,1,MATCH(BQ90,'Rate &amp; Vol Update'!$E$6:$Z$6,1)+1)-BQ90)*(INDEX('Rate &amp; Vol Update'!$B$8:$B$127,MATCH(BL90,'Rate &amp; Vol Update'!$B$8:$B$127,1)+1)-BL90)+INDEX('Rate &amp; Vol Update'!$E$8:$Z$127,MATCH(INDEX('Rate &amp; Vol Update'!$B$8:$B$127,MATCH(BL90,'Rate &amp; Vol Update'!$B$8:$B$127,1)),'Rate &amp; Vol Update'!$B$8:$B$127,0),MATCH(INDEX('Rate &amp; Vol Update'!$E$6:$Z$6,1,MATCH(BQ90,'Rate &amp; Vol Update'!$E$6:$Z$6,1)+1),'Rate &amp; Vol Update'!$E$6:$Z$6,0))*(BQ90-INDEX('Rate &amp; Vol Update'!$E$6:$Z$6,1,MATCH(BQ90,'Rate &amp; Vol Update'!$E$6:$Z$6,1)))*(INDEX('Rate &amp; Vol Update'!$B$8:$B$127,MATCH(BL90,'Rate &amp; Vol Update'!$B$8:$B$127,1)+1)-BL90)+INDEX('Rate &amp; Vol Update'!$E$8:$Z$127,MATCH(INDEX('Rate &amp; Vol Update'!$B$8:$B$127,MATCH(BL90,'Rate &amp; Vol Update'!$B$8:$B$127,1)+1),'Rate &amp; Vol Update'!$B$8:$B$127,0),MATCH(INDEX('Rate &amp; Vol Update'!$E$6:$Z$6,1,MATCH(BQ90,'Rate &amp; Vol Update'!$E$6:$Z$6,1)),'Rate &amp; Vol Update'!$E$6:$Z$6,0))*(INDEX('Rate &amp; Vol Update'!$E$6:$Z$6,1,MATCH(BQ90,'Rate &amp; Vol Update'!$E$6:$Z$6,1)+1)-BQ90)*(BL90-INDEX('Rate &amp; Vol Update'!$B$8:$B$127,MATCH(BL90,'Rate &amp; Vol Update'!$B$8:$B$127,1)))+INDEX('Rate &amp; Vol Update'!$E$8:$Z$127,MATCH(INDEX('Rate &amp; Vol Update'!$B$8:$B$127,MATCH(BL90,'Rate &amp; Vol Update'!$B$8:$B$127,1)+1),'Rate &amp; Vol Update'!$B$8:$B$127,0),MATCH(INDEX('Rate &amp; Vol Update'!$E$6:$Z$6,1,MATCH(BQ90,'Rate &amp; Vol Update'!$E$6:$Z$6,1)+1),'Rate &amp; Vol Update'!$E$6:$Z$6,0))*(BQ90-INDEX('Rate &amp; Vol Update'!$E$6:$Z$6,1,MATCH(BQ90,'Rate &amp; Vol Update'!$E$6:$Z$6,1)))*(BL90-INDEX('Rate &amp; Vol Update'!$B$8:$B$127,MATCH(BL90,'Rate &amp; Vol Update'!$B$8:$B$127,1)))))*0.01%))</f>
        <v/>
      </c>
      <c r="BT90" s="5" t="str">
        <f>IF(BK90="","",1/((1+BR90)^((BM90-'Rate &amp; Vol Update'!$C$2)/360)))</f>
        <v/>
      </c>
      <c r="BV90" s="15" t="str">
        <f>IF(BK90="","",IF(BL90&lt;'Rate &amp; Vol Update'!$C$2,MAX(0,BR90-BQ90)*(BN90/360)*BP90,(((IF('Adjustment Surface'!$C$2='Data Validation'!$A$2,BR90,IF('Adjustment Surface'!$C$2='Data Validation'!$A$3,BQ90,"Unknown Option Type"))-IF('Adjustment Surface'!$C$2='Data Validation'!$A$2,BQ90,IF('Adjustment Surface'!$C$2='Data Validation'!$A$3,BR90,"Unknown Option Type")))*(NORMDIST((IF('Adjustment Surface'!$C$2='Data Validation'!$A$2,BR90,IF('Adjustment Surface'!$C$2='Data Validation'!$A$3,BQ90,"Unknown Option Type"))-IF('Adjustment Surface'!$C$2='Data Validation'!$A$2,BQ90,IF('Adjustment Surface'!$C$2='Data Validation'!$A$3,BR90,"Unknown Option Type")))/(BS90*SQRT(BO90)),0,1,TRUE)))+((BS90*SQRT(BO90))*(NORMDIST((IF('Adjustment Surface'!$C$2='Data Validation'!$A$2,BR90,IF('Adjustment Surface'!$C$2='Data Validation'!$A$3,BQ90,"Unknown Option Type"))-IF('Adjustment Surface'!$C$2='Data Validation'!$A$2,BQ90,IF('Adjustment Surface'!$C$2='Data Validation'!$A$3,BR90,"Unknown Option Type")))/(BS90*SQRT(BO90)),0,1,FALSE))))*BT90*(BN90/360)*BP90))</f>
        <v/>
      </c>
      <c r="BW90" s="15" t="str">
        <f>IF(BK90="","",SUM(BV$4:BV90))</f>
        <v/>
      </c>
      <c r="BY90" s="15" t="str">
        <f>IF(BK90="","",IF(BL90&lt;'Rate &amp; Vol Update'!$C$2,0,((((((IF('Adjustment Surface'!$C$2='Data Validation'!$A$2,BR90,IF('Adjustment Surface'!$C$2='Data Validation'!$A$3,BQ90,"Unknown Option Type"))-IF('Adjustment Surface'!$C$2='Data Validation'!$A$2,BQ90,IF('Adjustment Surface'!$C$2='Data Validation'!$A$3,BR90,"Unknown Option Type")))*(NORMDIST((IF('Adjustment Surface'!$C$2='Data Validation'!$A$2,BR90,IF('Adjustment Surface'!$C$2='Data Validation'!$A$3,BQ90,"Unknown Option Type"))-IF('Adjustment Surface'!$C$2='Data Validation'!$A$2,BQ90,IF('Adjustment Surface'!$C$2='Data Validation'!$A$3,BR90,"Unknown Option Type")))/((BS90+0.01%)*SQRT(BO90)),0,1,TRUE)))+(((BS90+0.01%)*SQRT(BO90))*(NORMDIST((IF('Adjustment Surface'!$C$2='Data Validation'!$A$2,BR90,IF('Adjustment Surface'!$C$2='Data Validation'!$A$3,BQ90,"Unknown Option Type"))-IF('Adjustment Surface'!$C$2='Data Validation'!$A$2,BQ90,IF('Adjustment Surface'!$C$2='Data Validation'!$A$3,BR90,"Unknown Option Type")))/((BS90+0.01%)*SQRT(BO90)),0,1,FALSE))))*BT90*(BN90/360))-(BV90/BP90))*BP90)*BT90))</f>
        <v/>
      </c>
      <c r="BZ90" s="15" t="str">
        <f>IF(BK90="","",SUM(BY$4:BY90))</f>
        <v/>
      </c>
      <c r="CA90" s="15"/>
      <c r="CB90" s="20"/>
      <c r="CD90" s="4" t="str">
        <f>IF(CE89=MAX('Adjustment Surface'!$C$14:$F$14),"",CE89)</f>
        <v/>
      </c>
      <c r="CE90" s="4" t="str">
        <f>IF(CD90="","",IF(CD90&lt;EDATE('Adjustment Surface'!$C$6,DATEDIF('Adjustment Surface'!$C$6,MAX('Adjustment Surface'!$C$14:$F$14),"M")),EDATE(CD$5,COUNT(CD$5:CD90)),IF(CD90=EDATE('Adjustment Surface'!$C$6,DATEDIF('Adjustment Surface'!$C$6,MAX('Adjustment Surface'!$C$14:$F$14),"M")),MAX('Adjustment Surface'!$C$14:$F$14),EDATE('Adjustment Surface'!$C$6,DATEDIF('Adjustment Surface'!$C$6,MAX('Adjustment Surface'!$C$14:$F$14),"M")))))</f>
        <v/>
      </c>
      <c r="CF90" s="3" t="str">
        <f t="shared" si="10"/>
        <v/>
      </c>
      <c r="CG90" s="5" t="str">
        <f>IF(CC90="","",(CE90-'Rate &amp; Vol Update'!$C$2)/360)</f>
        <v/>
      </c>
      <c r="CH90" s="15" t="str">
        <f>IF(CC90="","",IF('Adjustment Surface'!$C$3='Data Validation'!$C$2,'Adjustment Surface'!$C$4,_xlfn.IFNA(IF(INDEX(Schedules!$E$3:$E$123,MATCH('Bachelier Model'!CD90,Schedules!$B$3:$B$123,0))="",CH89,INDEX(Schedules!$E$3:$E$123,MATCH('Bachelier Model'!CD90,Schedules!$B$3:$B$123,0))),CH89)))</f>
        <v/>
      </c>
      <c r="CI90" s="16" t="str">
        <f>IF(CC90="","",'Adjustment Surface'!B$18)</f>
        <v/>
      </c>
      <c r="CJ90" s="16" t="str" cm="1">
        <f t="array" ref="CJ90">IF(CC90="","",FORECAST(CD90,INDEX('Rate &amp; Vol Update'!$C$6:$C$127,MATCH(INDEX('Rate &amp; Vol Update'!$B$6:$B$127,MATCH(CD90,'Rate &amp; Vol Update'!$B$6:$B$127,1)),'Rate &amp; Vol Update'!$B$6:$B$127,0)+IF('Adjustment Surface'!$C$11='Data Validation'!$E$3,-1,0)):INDEX('Rate &amp; Vol Update'!$C$6:$C$127,MATCH(INDEX('Rate &amp; Vol Update'!$B$6:$B$127,MATCH(CD90,'Rate &amp; Vol Update'!$B$6:$B$127,1)+1),'Rate &amp; Vol Update'!$B$6:$B$127,0)+IF('Adjustment Surface'!$C$11='Data Validation'!$E$3,-1,0)),INDEX('Rate &amp; Vol Update'!$B$6:$B$127,MATCH(CD90,'Rate &amp; Vol Update'!$B$6:$B$127,1)):INDEX('Rate &amp; Vol Update'!$B$6:$B$127,MATCH(CD90,'Rate &amp; Vol Update'!$B$6:$B$127,1)+1))/100)</f>
        <v/>
      </c>
      <c r="CK90" s="16" t="str" cm="1">
        <f t="array" ref="CK90">IF(CC90="","",IF(CD90&lt;'Rate &amp; Vol Update'!$C$2,0.001%,(1/((INDEX('Rate &amp; Vol Update'!$E$6:$Z$6,1,MATCH(CI90,'Rate &amp; Vol Update'!$E$6:$Z$6,1)+1)-INDEX('Rate &amp; Vol Update'!$E$6:$Z$6,1,MATCH(CI90,'Rate &amp; Vol Update'!$E$6:$Z$6,1)))*(INDEX('Rate &amp; Vol Update'!$B$8:$B$127,MATCH(CD90,'Rate &amp; Vol Update'!$B$8:$B$127,1)+1)-INDEX('Rate &amp; Vol Update'!$B$8:$B$127,MATCH(CD90,'Rate &amp; Vol Update'!$B$8:$B$127,1))))*(INDEX('Rate &amp; Vol Update'!$E$8:$Z$127,MATCH(INDEX('Rate &amp; Vol Update'!$B$8:$B$127,MATCH(CD90,'Rate &amp; Vol Update'!$B$8:$B$127,1)),'Rate &amp; Vol Update'!$B$8:$B$127,0),MATCH(INDEX('Rate &amp; Vol Update'!$E$6:$Z$6,1,MATCH(CI90,'Rate &amp; Vol Update'!$E$6:$Z$6,1)),'Rate &amp; Vol Update'!$E$6:$Z$6,0))*(INDEX('Rate &amp; Vol Update'!$E$6:$Z$6,1,MATCH(CI90,'Rate &amp; Vol Update'!$E$6:$Z$6,1)+1)-CI90)*(INDEX('Rate &amp; Vol Update'!$B$8:$B$127,MATCH(CD90,'Rate &amp; Vol Update'!$B$8:$B$127,1)+1)-CD90)+INDEX('Rate &amp; Vol Update'!$E$8:$Z$127,MATCH(INDEX('Rate &amp; Vol Update'!$B$8:$B$127,MATCH(CD90,'Rate &amp; Vol Update'!$B$8:$B$127,1)),'Rate &amp; Vol Update'!$B$8:$B$127,0),MATCH(INDEX('Rate &amp; Vol Update'!$E$6:$Z$6,1,MATCH(CI90,'Rate &amp; Vol Update'!$E$6:$Z$6,1)+1),'Rate &amp; Vol Update'!$E$6:$Z$6,0))*(CI90-INDEX('Rate &amp; Vol Update'!$E$6:$Z$6,1,MATCH(CI90,'Rate &amp; Vol Update'!$E$6:$Z$6,1)))*(INDEX('Rate &amp; Vol Update'!$B$8:$B$127,MATCH(CD90,'Rate &amp; Vol Update'!$B$8:$B$127,1)+1)-CD90)+INDEX('Rate &amp; Vol Update'!$E$8:$Z$127,MATCH(INDEX('Rate &amp; Vol Update'!$B$8:$B$127,MATCH(CD90,'Rate &amp; Vol Update'!$B$8:$B$127,1)+1),'Rate &amp; Vol Update'!$B$8:$B$127,0),MATCH(INDEX('Rate &amp; Vol Update'!$E$6:$Z$6,1,MATCH(CI90,'Rate &amp; Vol Update'!$E$6:$Z$6,1)),'Rate &amp; Vol Update'!$E$6:$Z$6,0))*(INDEX('Rate &amp; Vol Update'!$E$6:$Z$6,1,MATCH(CI90,'Rate &amp; Vol Update'!$E$6:$Z$6,1)+1)-CI90)*(CD90-INDEX('Rate &amp; Vol Update'!$B$8:$B$127,MATCH(CD90,'Rate &amp; Vol Update'!$B$8:$B$127,1)))+INDEX('Rate &amp; Vol Update'!$E$8:$Z$127,MATCH(INDEX('Rate &amp; Vol Update'!$B$8:$B$127,MATCH(CD90,'Rate &amp; Vol Update'!$B$8:$B$127,1)+1),'Rate &amp; Vol Update'!$B$8:$B$127,0),MATCH(INDEX('Rate &amp; Vol Update'!$E$6:$Z$6,1,MATCH(CI90,'Rate &amp; Vol Update'!$E$6:$Z$6,1)+1),'Rate &amp; Vol Update'!$E$6:$Z$6,0))*(CI90-INDEX('Rate &amp; Vol Update'!$E$6:$Z$6,1,MATCH(CI90,'Rate &amp; Vol Update'!$E$6:$Z$6,1)))*(CD90-INDEX('Rate &amp; Vol Update'!$B$8:$B$127,MATCH(CD90,'Rate &amp; Vol Update'!$B$8:$B$127,1)))))*0.01%))</f>
        <v/>
      </c>
      <c r="CL90" s="5" t="str">
        <f>IF(CC90="","",1/((1+CJ90)^((CE90-'Rate &amp; Vol Update'!$C$2)/360)))</f>
        <v/>
      </c>
      <c r="CN90" s="15" t="str">
        <f>IF(CC90="","",IF(CD90&lt;'Rate &amp; Vol Update'!$C$2,MAX(0,CJ90-CI90)*(CF90/360)*CH90,(((IF('Adjustment Surface'!$C$2='Data Validation'!$A$2,CJ90,IF('Adjustment Surface'!$C$2='Data Validation'!$A$3,CI90,"Unknown Option Type"))-IF('Adjustment Surface'!$C$2='Data Validation'!$A$2,CI90,IF('Adjustment Surface'!$C$2='Data Validation'!$A$3,CJ90,"Unknown Option Type")))*(NORMDIST((IF('Adjustment Surface'!$C$2='Data Validation'!$A$2,CJ90,IF('Adjustment Surface'!$C$2='Data Validation'!$A$3,CI90,"Unknown Option Type"))-IF('Adjustment Surface'!$C$2='Data Validation'!$A$2,CI90,IF('Adjustment Surface'!$C$2='Data Validation'!$A$3,CJ90,"Unknown Option Type")))/(CK90*SQRT(CG90)),0,1,TRUE)))+((CK90*SQRT(CG90))*(NORMDIST((IF('Adjustment Surface'!$C$2='Data Validation'!$A$2,CJ90,IF('Adjustment Surface'!$C$2='Data Validation'!$A$3,CI90,"Unknown Option Type"))-IF('Adjustment Surface'!$C$2='Data Validation'!$A$2,CI90,IF('Adjustment Surface'!$C$2='Data Validation'!$A$3,CJ90,"Unknown Option Type")))/(CK90*SQRT(CG90)),0,1,FALSE))))*CL90*(CF90/360)*CH90))</f>
        <v/>
      </c>
      <c r="CO90" s="15" t="str">
        <f>IF(CC90="","",SUM(CN$4:CN90))</f>
        <v/>
      </c>
      <c r="CQ90" s="15" t="str">
        <f>IF(CC90="","",IF(CD90&lt;'Rate &amp; Vol Update'!$C$2,0,((((((IF('Adjustment Surface'!$C$2='Data Validation'!$A$2,CJ90,IF('Adjustment Surface'!$C$2='Data Validation'!$A$3,CI90,"Unknown Option Type"))-IF('Adjustment Surface'!$C$2='Data Validation'!$A$2,CI90,IF('Adjustment Surface'!$C$2='Data Validation'!$A$3,CJ90,"Unknown Option Type")))*(NORMDIST((IF('Adjustment Surface'!$C$2='Data Validation'!$A$2,CJ90,IF('Adjustment Surface'!$C$2='Data Validation'!$A$3,CI90,"Unknown Option Type"))-IF('Adjustment Surface'!$C$2='Data Validation'!$A$2,CI90,IF('Adjustment Surface'!$C$2='Data Validation'!$A$3,CJ90,"Unknown Option Type")))/((CK90+0.01%)*SQRT(CG90)),0,1,TRUE)))+(((CK90+0.01%)*SQRT(CG90))*(NORMDIST((IF('Adjustment Surface'!$C$2='Data Validation'!$A$2,CJ90,IF('Adjustment Surface'!$C$2='Data Validation'!$A$3,CI90,"Unknown Option Type"))-IF('Adjustment Surface'!$C$2='Data Validation'!$A$2,CI90,IF('Adjustment Surface'!$C$2='Data Validation'!$A$3,CJ90,"Unknown Option Type")))/((CK90+0.01%)*SQRT(CG90)),0,1,FALSE))))*CL90*(CF90/360))-(CN90/CH90))*CH90)*CL90))</f>
        <v/>
      </c>
      <c r="CR90" s="15" t="str">
        <f>IF(CC90="","",SUM(CQ$4:CQ90))</f>
        <v/>
      </c>
    </row>
    <row r="91" spans="7:96" x14ac:dyDescent="0.25">
      <c r="G91" s="28"/>
      <c r="J91" s="4" t="str">
        <f>IF(K90='Adjustment Surface'!C$8,"",K90)</f>
        <v/>
      </c>
      <c r="K91" s="4" t="str">
        <f>IF(J91="","",IF(J91&lt;'Adjustment Surface'!C$7,EDATE(J$5,COUNT(J$5:J91)),IF(J91='Adjustment Surface'!C$7,'Adjustment Surface'!C$8,'Adjustment Surface'!C$7)))</f>
        <v/>
      </c>
      <c r="L91" s="3" t="str">
        <f t="shared" si="6"/>
        <v/>
      </c>
      <c r="M91" s="5" t="str">
        <f>IF(I91="","",(K91-'Rate &amp; Vol Update'!$C$2)/360)</f>
        <v/>
      </c>
      <c r="N91" s="15" t="str">
        <f>IF(I91="","",IF('Adjustment Surface'!C$3='Data Validation'!$C$2,'Adjustment Surface'!C$4,IF(INDEX(Schedules!$E$3:$E$123,MATCH('Bachelier Model'!J91,Schedules!$B$3:$B$123,0))="",N90,INDEX(Schedules!$E$3:$E$123,MATCH('Bachelier Model'!J91,Schedules!$B$3:$B$123,0)))))</f>
        <v/>
      </c>
      <c r="O91" s="16" t="str">
        <f>IF(I91="","",IF('Adjustment Surface'!C$9='Data Validation'!$D$2,'Adjustment Surface'!C$10,IF(INDEX(Schedules!$H$3:$H$123,MATCH('Bachelier Model'!J91,Schedules!$B$3:$B$123,0))="",O90,INDEX(Schedules!$H$3:$H$123,MATCH('Bachelier Model'!J91,Schedules!$B$3:$B$123,0)))))</f>
        <v/>
      </c>
      <c r="P91" s="16" t="str" cm="1">
        <f t="array" ref="P91">IF(I91="","",FORECAST(J91,INDEX('Rate &amp; Vol Update'!$C$6:$C$127,MATCH(INDEX('Rate &amp; Vol Update'!$B$6:$B$127,MATCH(J91,'Rate &amp; Vol Update'!$B$6:$B$127,1)),'Rate &amp; Vol Update'!$B$6:$B$127,0)+IF('Adjustment Surface'!C$11='Data Validation'!$E$3,-1,0)):INDEX('Rate &amp; Vol Update'!$C$6:$C$127,MATCH(INDEX('Rate &amp; Vol Update'!$B$6:$B$127,MATCH(J91,'Rate &amp; Vol Update'!$B$6:$B$127,1)+1),'Rate &amp; Vol Update'!$B$6:$B$127,0)+IF('Adjustment Surface'!C$11='Data Validation'!$E$3,-1,0)),INDEX('Rate &amp; Vol Update'!$B$6:$B$127,MATCH(J91,'Rate &amp; Vol Update'!$B$6:$B$127,1)):INDEX('Rate &amp; Vol Update'!$B$6:$B$127,MATCH(J91,'Rate &amp; Vol Update'!$B$6:$B$127,1)+1))/100)</f>
        <v/>
      </c>
      <c r="Q91" s="16" t="str" cm="1">
        <f t="array" ref="Q91">IF(I91="","",IF(J91&lt;'Rate &amp; Vol Update'!$C$2,0.001%,(1/((INDEX('Rate &amp; Vol Update'!$E$6:$Z$6,1,MATCH(O91,'Rate &amp; Vol Update'!$E$6:$Z$6,1)+1)-INDEX('Rate &amp; Vol Update'!$E$6:$Z$6,1,MATCH(O91,'Rate &amp; Vol Update'!$E$6:$Z$6,1)))*(INDEX('Rate &amp; Vol Update'!$B$8:$B$127,MATCH(J91,'Rate &amp; Vol Update'!$B$8:$B$127,1)+1)-INDEX('Rate &amp; Vol Update'!$B$8:$B$127,MATCH(J91,'Rate &amp; Vol Update'!$B$8:$B$127,1))))*(INDEX('Rate &amp; Vol Update'!$E$8:$Z$127,MATCH(INDEX('Rate &amp; Vol Update'!$B$8:$B$127,MATCH(J91,'Rate &amp; Vol Update'!$B$8:$B$127,1)),'Rate &amp; Vol Update'!$B$8:$B$127,0),MATCH(INDEX('Rate &amp; Vol Update'!$E$6:$Z$6,1,MATCH(O91,'Rate &amp; Vol Update'!$E$6:$Z$6,1)),'Rate &amp; Vol Update'!$E$6:$Z$6,0))*(INDEX('Rate &amp; Vol Update'!$E$6:$Z$6,1,MATCH(O91,'Rate &amp; Vol Update'!$E$6:$Z$6,1)+1)-O91)*(INDEX('Rate &amp; Vol Update'!$B$8:$B$127,MATCH(J91,'Rate &amp; Vol Update'!$B$8:$B$127,1)+1)-J91)+INDEX('Rate &amp; Vol Update'!$E$8:$Z$127,MATCH(INDEX('Rate &amp; Vol Update'!$B$8:$B$127,MATCH(J91,'Rate &amp; Vol Update'!$B$8:$B$127,1)),'Rate &amp; Vol Update'!$B$8:$B$127,0),MATCH(INDEX('Rate &amp; Vol Update'!$E$6:$Z$6,1,MATCH(O91,'Rate &amp; Vol Update'!$E$6:$Z$6,1)+1),'Rate &amp; Vol Update'!$E$6:$Z$6,0))*(O91-INDEX('Rate &amp; Vol Update'!$E$6:$Z$6,1,MATCH(O91,'Rate &amp; Vol Update'!$E$6:$Z$6,1)))*(INDEX('Rate &amp; Vol Update'!$B$8:$B$127,MATCH(J91,'Rate &amp; Vol Update'!$B$8:$B$127,1)+1)-J91)+INDEX('Rate &amp; Vol Update'!$E$8:$Z$127,MATCH(INDEX('Rate &amp; Vol Update'!$B$8:$B$127,MATCH(J91,'Rate &amp; Vol Update'!$B$8:$B$127,1)+1),'Rate &amp; Vol Update'!$B$8:$B$127,0),MATCH(INDEX('Rate &amp; Vol Update'!$E$6:$Z$6,1,MATCH(O91,'Rate &amp; Vol Update'!$E$6:$Z$6,1)),'Rate &amp; Vol Update'!$E$6:$Z$6,0))*(INDEX('Rate &amp; Vol Update'!$E$6:$Z$6,1,MATCH(O91,'Rate &amp; Vol Update'!$E$6:$Z$6,1)+1)-O91)*(J91-INDEX('Rate &amp; Vol Update'!$B$8:$B$127,MATCH(J91,'Rate &amp; Vol Update'!$B$8:$B$127,1)))+INDEX('Rate &amp; Vol Update'!$E$8:$Z$127,MATCH(INDEX('Rate &amp; Vol Update'!$B$8:$B$127,MATCH(J91,'Rate &amp; Vol Update'!$B$8:$B$127,1)+1),'Rate &amp; Vol Update'!$B$8:$B$127,0),MATCH(INDEX('Rate &amp; Vol Update'!$E$6:$Z$6,1,MATCH(O91,'Rate &amp; Vol Update'!$E$6:$Z$6,1)+1),'Rate &amp; Vol Update'!$E$6:$Z$6,0))*(O91-INDEX('Rate &amp; Vol Update'!$E$6:$Z$6,1,MATCH(O91,'Rate &amp; Vol Update'!$E$6:$Z$6,1)))*(J91-INDEX('Rate &amp; Vol Update'!$B$8:$B$127,MATCH(J91,'Rate &amp; Vol Update'!$B$8:$B$127,1)))))*0.01%))</f>
        <v/>
      </c>
      <c r="R91" s="5" t="str">
        <f>IF(I91="","",1/((1+P91)^((K91-'Rate &amp; Vol Update'!$C$2)/360)))</f>
        <v/>
      </c>
      <c r="T91" s="15" t="str">
        <f>IF(I91="","",IF(J91&lt;'Rate &amp; Vol Update'!$C$2,MAX(0,P91-O91)*(L91/360)*N91,(((IF('Adjustment Surface'!C$2='Data Validation'!$A$2,P91,IF('Adjustment Surface'!C$2='Data Validation'!$A$3,O91,"Unknown Option Type"))-IF('Adjustment Surface'!C$2='Data Validation'!$A$2,O91,IF('Adjustment Surface'!C$2='Data Validation'!$A$3,P91,"Unknown Option Type")))*(NORMDIST((IF('Adjustment Surface'!C$2='Data Validation'!$A$2,P91,IF('Adjustment Surface'!C$2='Data Validation'!$A$3,O91,"Unknown Option Type"))-IF('Adjustment Surface'!C$2='Data Validation'!$A$2,O91,IF('Adjustment Surface'!C$2='Data Validation'!$A$3,P91,"Unknown Option Type")))/(Q91*SQRT(M91)),0,1,TRUE)))+((Q91*SQRT(M91))*(NORMDIST((IF('Adjustment Surface'!C$2='Data Validation'!$A$2,P91,IF('Adjustment Surface'!C$2='Data Validation'!$A$3,O91,"Unknown Option Type"))-IF('Adjustment Surface'!C$2='Data Validation'!$A$2,O91,IF('Adjustment Surface'!C$2='Data Validation'!$A$3,P91,"Unknown Option Type")))/(Q91*SQRT(M91)),0,1,FALSE))))*R91*(L91/360)*N91))</f>
        <v/>
      </c>
      <c r="U91" s="15" t="str">
        <f>IF(I91="","",SUM(T$4:T91))</f>
        <v/>
      </c>
      <c r="W91" s="15" t="str">
        <f>IF(I91="","",IF(J91&lt;'Rate &amp; Vol Update'!$C$2,0,((((((IF('Adjustment Surface'!C$2='Data Validation'!$A$2,P91,IF('Adjustment Surface'!C$2='Data Validation'!$A$3,O91,"Unknown Option Type"))-IF('Adjustment Surface'!C$2='Data Validation'!$A$2,O91,IF('Adjustment Surface'!C$2='Data Validation'!$A$3,P91,"Unknown Option Type")))*(NORMDIST((IF('Adjustment Surface'!C$2='Data Validation'!$A$2,P91,IF('Adjustment Surface'!C$2='Data Validation'!$A$3,O91,"Unknown Option Type"))-IF('Adjustment Surface'!C$2='Data Validation'!$A$2,O91,IF('Adjustment Surface'!C$2='Data Validation'!$A$3,P91,"Unknown Option Type")))/((Q91+0.01%)*SQRT(M91)),0,1,TRUE)))+(((Q91+0.01%)*SQRT(M91))*(NORMDIST((IF('Adjustment Surface'!C$2='Data Validation'!$A$2,P91,IF('Adjustment Surface'!C$2='Data Validation'!$A$3,O91,"Unknown Option Type"))-IF('Adjustment Surface'!C$2='Data Validation'!$A$2,O91,IF('Adjustment Surface'!C$2='Data Validation'!$A$3,P91,"Unknown Option Type")))/((Q91+0.01%)*SQRT(M91)),0,1,FALSE))))*R91*(L91/360))-(T91/N91))*N91)*R91))</f>
        <v/>
      </c>
      <c r="X91" s="15" t="str">
        <f>IF(I91="","",SUM(W$4:W91))</f>
        <v/>
      </c>
      <c r="Y91" s="15"/>
      <c r="Z91" s="20"/>
      <c r="AB91" s="4" t="str">
        <f>IF(AC90=MAX('Adjustment Surface'!$C$14:$F$14),"",AC90)</f>
        <v/>
      </c>
      <c r="AC91" s="4" t="str">
        <f>IF(AB91="","",IF(AB91&lt;EDATE('Adjustment Surface'!$C$6,DATEDIF('Adjustment Surface'!$C$6,MAX('Adjustment Surface'!$C$14:$F$14),"M")),EDATE(AB$5,COUNT(AB$5:AB91)),IF(AB91=EDATE('Adjustment Surface'!$C$6,DATEDIF('Adjustment Surface'!$C$6,MAX('Adjustment Surface'!$C$14:$F$14),"M")),MAX('Adjustment Surface'!$C$14:$F$14),EDATE('Adjustment Surface'!$C$6,DATEDIF('Adjustment Surface'!$C$6,MAX('Adjustment Surface'!$C$14:$F$14),"M")))))</f>
        <v/>
      </c>
      <c r="AD91" s="3" t="str">
        <f t="shared" si="7"/>
        <v/>
      </c>
      <c r="AE91" s="5" t="str">
        <f>IF(AA91="","",(AC91-'Rate &amp; Vol Update'!$C$2)/360)</f>
        <v/>
      </c>
      <c r="AF91" s="15" t="str">
        <f>IF(AA91="","",IF('Adjustment Surface'!$C$3='Data Validation'!$C$2,'Adjustment Surface'!$C$4,_xlfn.IFNA(IF(INDEX(Schedules!$E$3:$E$123,MATCH('Bachelier Model'!AB91,Schedules!$B$3:$B$123,0))="",AF90,INDEX(Schedules!$E$3:$E$123,MATCH('Bachelier Model'!AB91,Schedules!$B$3:$B$123,0))),AF90)))</f>
        <v/>
      </c>
      <c r="AG91" s="16" t="str">
        <f>IF(AA91="","",'Adjustment Surface'!B$15)</f>
        <v/>
      </c>
      <c r="AH91" s="16" t="str" cm="1">
        <f t="array" ref="AH91">IF(AA91="","",FORECAST(AB91,INDEX('Rate &amp; Vol Update'!$C$6:$C$127,MATCH(INDEX('Rate &amp; Vol Update'!$B$6:$B$127,MATCH(AB91,'Rate &amp; Vol Update'!$B$6:$B$127,1)),'Rate &amp; Vol Update'!$B$6:$B$127,0)+IF('Adjustment Surface'!$C$11='Data Validation'!$E$3,-1,0)):INDEX('Rate &amp; Vol Update'!$C$6:$C$127,MATCH(INDEX('Rate &amp; Vol Update'!$B$6:$B$127,MATCH(AB91,'Rate &amp; Vol Update'!$B$6:$B$127,1)+1),'Rate &amp; Vol Update'!$B$6:$B$127,0)+IF('Adjustment Surface'!$C$11='Data Validation'!$E$3,-1,0)),INDEX('Rate &amp; Vol Update'!$B$6:$B$127,MATCH(AB91,'Rate &amp; Vol Update'!$B$6:$B$127,1)):INDEX('Rate &amp; Vol Update'!$B$6:$B$127,MATCH(AB91,'Rate &amp; Vol Update'!$B$6:$B$127,1)+1))/100)</f>
        <v/>
      </c>
      <c r="AI91" s="16" t="str" cm="1">
        <f t="array" ref="AI91">IF(AA91="","",IF(AB91&lt;'Rate &amp; Vol Update'!$C$2,0.001%,(1/((INDEX('Rate &amp; Vol Update'!$E$6:$Z$6,1,MATCH(AG91,'Rate &amp; Vol Update'!$E$6:$Z$6,1)+1)-INDEX('Rate &amp; Vol Update'!$E$6:$Z$6,1,MATCH(AG91,'Rate &amp; Vol Update'!$E$6:$Z$6,1)))*(INDEX('Rate &amp; Vol Update'!$B$8:$B$127,MATCH(AB91,'Rate &amp; Vol Update'!$B$8:$B$127,1)+1)-INDEX('Rate &amp; Vol Update'!$B$8:$B$127,MATCH(AB91,'Rate &amp; Vol Update'!$B$8:$B$127,1))))*(INDEX('Rate &amp; Vol Update'!$E$8:$Z$127,MATCH(INDEX('Rate &amp; Vol Update'!$B$8:$B$127,MATCH(AB91,'Rate &amp; Vol Update'!$B$8:$B$127,1)),'Rate &amp; Vol Update'!$B$8:$B$127,0),MATCH(INDEX('Rate &amp; Vol Update'!$E$6:$Z$6,1,MATCH(AG91,'Rate &amp; Vol Update'!$E$6:$Z$6,1)),'Rate &amp; Vol Update'!$E$6:$Z$6,0))*(INDEX('Rate &amp; Vol Update'!$E$6:$Z$6,1,MATCH(AG91,'Rate &amp; Vol Update'!$E$6:$Z$6,1)+1)-AG91)*(INDEX('Rate &amp; Vol Update'!$B$8:$B$127,MATCH(AB91,'Rate &amp; Vol Update'!$B$8:$B$127,1)+1)-AB91)+INDEX('Rate &amp; Vol Update'!$E$8:$Z$127,MATCH(INDEX('Rate &amp; Vol Update'!$B$8:$B$127,MATCH(AB91,'Rate &amp; Vol Update'!$B$8:$B$127,1)),'Rate &amp; Vol Update'!$B$8:$B$127,0),MATCH(INDEX('Rate &amp; Vol Update'!$E$6:$Z$6,1,MATCH(AG91,'Rate &amp; Vol Update'!$E$6:$Z$6,1)+1),'Rate &amp; Vol Update'!$E$6:$Z$6,0))*(AG91-INDEX('Rate &amp; Vol Update'!$E$6:$Z$6,1,MATCH(AG91,'Rate &amp; Vol Update'!$E$6:$Z$6,1)))*(INDEX('Rate &amp; Vol Update'!$B$8:$B$127,MATCH(AB91,'Rate &amp; Vol Update'!$B$8:$B$127,1)+1)-AB91)+INDEX('Rate &amp; Vol Update'!$E$8:$Z$127,MATCH(INDEX('Rate &amp; Vol Update'!$B$8:$B$127,MATCH(AB91,'Rate &amp; Vol Update'!$B$8:$B$127,1)+1),'Rate &amp; Vol Update'!$B$8:$B$127,0),MATCH(INDEX('Rate &amp; Vol Update'!$E$6:$Z$6,1,MATCH(AG91,'Rate &amp; Vol Update'!$E$6:$Z$6,1)),'Rate &amp; Vol Update'!$E$6:$Z$6,0))*(INDEX('Rate &amp; Vol Update'!$E$6:$Z$6,1,MATCH(AG91,'Rate &amp; Vol Update'!$E$6:$Z$6,1)+1)-AG91)*(AB91-INDEX('Rate &amp; Vol Update'!$B$8:$B$127,MATCH(AB91,'Rate &amp; Vol Update'!$B$8:$B$127,1)))+INDEX('Rate &amp; Vol Update'!$E$8:$Z$127,MATCH(INDEX('Rate &amp; Vol Update'!$B$8:$B$127,MATCH(AB91,'Rate &amp; Vol Update'!$B$8:$B$127,1)+1),'Rate &amp; Vol Update'!$B$8:$B$127,0),MATCH(INDEX('Rate &amp; Vol Update'!$E$6:$Z$6,1,MATCH(AG91,'Rate &amp; Vol Update'!$E$6:$Z$6,1)+1),'Rate &amp; Vol Update'!$E$6:$Z$6,0))*(AG91-INDEX('Rate &amp; Vol Update'!$E$6:$Z$6,1,MATCH(AG91,'Rate &amp; Vol Update'!$E$6:$Z$6,1)))*(AB91-INDEX('Rate &amp; Vol Update'!$B$8:$B$127,MATCH(AB91,'Rate &amp; Vol Update'!$B$8:$B$127,1)))))*0.01%))</f>
        <v/>
      </c>
      <c r="AJ91" s="5" t="str">
        <f>IF(AA91="","",1/((1+AH91)^((AC91-'Rate &amp; Vol Update'!$C$2)/360)))</f>
        <v/>
      </c>
      <c r="AL91" s="15" t="str">
        <f>IF(AA91="","",IF(AB91&lt;'Rate &amp; Vol Update'!$C$2,MAX(0,AH91-AG91)*(AD91/360)*AF91,(((IF('Adjustment Surface'!$C$2='Data Validation'!$A$2,AH91,IF('Adjustment Surface'!$C$2='Data Validation'!$A$3,AG91,"Unknown Option Type"))-IF('Adjustment Surface'!$C$2='Data Validation'!$A$2,AG91,IF('Adjustment Surface'!$C$2='Data Validation'!$A$3,AH91,"Unknown Option Type")))*(NORMDIST((IF('Adjustment Surface'!$C$2='Data Validation'!$A$2,AH91,IF('Adjustment Surface'!$C$2='Data Validation'!$A$3,AG91,"Unknown Option Type"))-IF('Adjustment Surface'!$C$2='Data Validation'!$A$2,AG91,IF('Adjustment Surface'!$C$2='Data Validation'!$A$3,AH91,"Unknown Option Type")))/(AI91*SQRT(AE91)),0,1,TRUE)))+((AI91*SQRT(AE91))*(NORMDIST((IF('Adjustment Surface'!$C$2='Data Validation'!$A$2,AH91,IF('Adjustment Surface'!$C$2='Data Validation'!$A$3,AG91,"Unknown Option Type"))-IF('Adjustment Surface'!$C$2='Data Validation'!$A$2,AG91,IF('Adjustment Surface'!$C$2='Data Validation'!$A$3,AH91,"Unknown Option Type")))/(AI91*SQRT(AE91)),0,1,FALSE))))*AJ91*(AD91/360)*AF91))</f>
        <v/>
      </c>
      <c r="AM91" s="15" t="str">
        <f>IF(AA91="","",SUM(AL$4:AL91))</f>
        <v/>
      </c>
      <c r="AO91" s="15" t="str">
        <f>IF(AA91="","",IF(AB91&lt;'Rate &amp; Vol Update'!$C$2,0,((((((IF('Adjustment Surface'!$C$2='Data Validation'!$A$2,AH91,IF('Adjustment Surface'!$C$2='Data Validation'!$A$3,AG91,"Unknown Option Type"))-IF('Adjustment Surface'!$C$2='Data Validation'!$A$2,AG91,IF('Adjustment Surface'!$C$2='Data Validation'!$A$3,AH91,"Unknown Option Type")))*(NORMDIST((IF('Adjustment Surface'!$C$2='Data Validation'!$A$2,AH91,IF('Adjustment Surface'!$C$2='Data Validation'!$A$3,AG91,"Unknown Option Type"))-IF('Adjustment Surface'!$C$2='Data Validation'!$A$2,AG91,IF('Adjustment Surface'!$C$2='Data Validation'!$A$3,AH91,"Unknown Option Type")))/((AI91+0.01%)*SQRT(AE91)),0,1,TRUE)))+(((AI91+0.01%)*SQRT(AE91))*(NORMDIST((IF('Adjustment Surface'!$C$2='Data Validation'!$A$2,AH91,IF('Adjustment Surface'!$C$2='Data Validation'!$A$3,AG91,"Unknown Option Type"))-IF('Adjustment Surface'!$C$2='Data Validation'!$A$2,AG91,IF('Adjustment Surface'!$C$2='Data Validation'!$A$3,AH91,"Unknown Option Type")))/((AI91+0.01%)*SQRT(AE91)),0,1,FALSE))))*AJ91*(AD91/360))-(AL91/AF91))*AF91)*AJ91))</f>
        <v/>
      </c>
      <c r="AP91" s="15" t="str">
        <f>IF(AA91="","",SUM(AO$4:AO91))</f>
        <v/>
      </c>
      <c r="AQ91" s="15"/>
      <c r="AR91" s="20"/>
      <c r="AT91" s="4" t="str">
        <f>IF(AU90=MAX('Adjustment Surface'!$C$14:$F$14),"",AU90)</f>
        <v/>
      </c>
      <c r="AU91" s="4" t="str">
        <f>IF(AT91="","",IF(AT91&lt;EDATE('Adjustment Surface'!$C$6,DATEDIF('Adjustment Surface'!$C$6,MAX('Adjustment Surface'!$C$14:$F$14),"M")),EDATE(AT$5,COUNT(AT$5:AT91)),IF(AT91=EDATE('Adjustment Surface'!$C$6,DATEDIF('Adjustment Surface'!$C$6,MAX('Adjustment Surface'!$C$14:$F$14),"M")),MAX('Adjustment Surface'!$C$14:$F$14),EDATE('Adjustment Surface'!$C$6,DATEDIF('Adjustment Surface'!$C$6,MAX('Adjustment Surface'!$C$14:$F$14),"M")))))</f>
        <v/>
      </c>
      <c r="AV91" s="3" t="str">
        <f t="shared" si="8"/>
        <v/>
      </c>
      <c r="AW91" s="5" t="str">
        <f>IF(AS91="","",(AU91-'Rate &amp; Vol Update'!$C$2)/360)</f>
        <v/>
      </c>
      <c r="AX91" s="15" t="str">
        <f>IF(AS91="","",IF('Adjustment Surface'!$C$3='Data Validation'!$C$2,'Adjustment Surface'!$C$4,_xlfn.IFNA(IF(INDEX(Schedules!$E$3:$E$123,MATCH('Bachelier Model'!AT91,Schedules!$B$3:$B$123,0))="",AX90,INDEX(Schedules!$E$3:$E$123,MATCH('Bachelier Model'!AT91,Schedules!$B$3:$B$123,0))),AX90)))</f>
        <v/>
      </c>
      <c r="AY91" s="16" t="str">
        <f>IF(AS91="","",'Adjustment Surface'!B$16)</f>
        <v/>
      </c>
      <c r="AZ91" s="16" t="str" cm="1">
        <f t="array" ref="AZ91">IF(AS91="","",FORECAST(AT91,INDEX('Rate &amp; Vol Update'!$C$6:$C$127,MATCH(INDEX('Rate &amp; Vol Update'!$B$6:$B$127,MATCH(AT91,'Rate &amp; Vol Update'!$B$6:$B$127,1)),'Rate &amp; Vol Update'!$B$6:$B$127,0)+IF('Adjustment Surface'!$C$11='Data Validation'!$E$3,-1,0)):INDEX('Rate &amp; Vol Update'!$C$6:$C$127,MATCH(INDEX('Rate &amp; Vol Update'!$B$6:$B$127,MATCH(AT91,'Rate &amp; Vol Update'!$B$6:$B$127,1)+1),'Rate &amp; Vol Update'!$B$6:$B$127,0)+IF('Adjustment Surface'!$C$11='Data Validation'!$E$3,-1,0)),INDEX('Rate &amp; Vol Update'!$B$6:$B$127,MATCH(AT91,'Rate &amp; Vol Update'!$B$6:$B$127,1)):INDEX('Rate &amp; Vol Update'!$B$6:$B$127,MATCH(AT91,'Rate &amp; Vol Update'!$B$6:$B$127,1)+1))/100)</f>
        <v/>
      </c>
      <c r="BA91" s="16" t="str" cm="1">
        <f t="array" ref="BA91">IF(AS91="","",IF(AT91&lt;'Rate &amp; Vol Update'!$C$2,0.001%,(1/((INDEX('Rate &amp; Vol Update'!$E$6:$Z$6,1,MATCH(AY91,'Rate &amp; Vol Update'!$E$6:$Z$6,1)+1)-INDEX('Rate &amp; Vol Update'!$E$6:$Z$6,1,MATCH(AY91,'Rate &amp; Vol Update'!$E$6:$Z$6,1)))*(INDEX('Rate &amp; Vol Update'!$B$8:$B$127,MATCH(AT91,'Rate &amp; Vol Update'!$B$8:$B$127,1)+1)-INDEX('Rate &amp; Vol Update'!$B$8:$B$127,MATCH(AT91,'Rate &amp; Vol Update'!$B$8:$B$127,1))))*(INDEX('Rate &amp; Vol Update'!$E$8:$Z$127,MATCH(INDEX('Rate &amp; Vol Update'!$B$8:$B$127,MATCH(AT91,'Rate &amp; Vol Update'!$B$8:$B$127,1)),'Rate &amp; Vol Update'!$B$8:$B$127,0),MATCH(INDEX('Rate &amp; Vol Update'!$E$6:$Z$6,1,MATCH(AY91,'Rate &amp; Vol Update'!$E$6:$Z$6,1)),'Rate &amp; Vol Update'!$E$6:$Z$6,0))*(INDEX('Rate &amp; Vol Update'!$E$6:$Z$6,1,MATCH(AY91,'Rate &amp; Vol Update'!$E$6:$Z$6,1)+1)-AY91)*(INDEX('Rate &amp; Vol Update'!$B$8:$B$127,MATCH(AT91,'Rate &amp; Vol Update'!$B$8:$B$127,1)+1)-AT91)+INDEX('Rate &amp; Vol Update'!$E$8:$Z$127,MATCH(INDEX('Rate &amp; Vol Update'!$B$8:$B$127,MATCH(AT91,'Rate &amp; Vol Update'!$B$8:$B$127,1)),'Rate &amp; Vol Update'!$B$8:$B$127,0),MATCH(INDEX('Rate &amp; Vol Update'!$E$6:$Z$6,1,MATCH(AY91,'Rate &amp; Vol Update'!$E$6:$Z$6,1)+1),'Rate &amp; Vol Update'!$E$6:$Z$6,0))*(AY91-INDEX('Rate &amp; Vol Update'!$E$6:$Z$6,1,MATCH(AY91,'Rate &amp; Vol Update'!$E$6:$Z$6,1)))*(INDEX('Rate &amp; Vol Update'!$B$8:$B$127,MATCH(AT91,'Rate &amp; Vol Update'!$B$8:$B$127,1)+1)-AT91)+INDEX('Rate &amp; Vol Update'!$E$8:$Z$127,MATCH(INDEX('Rate &amp; Vol Update'!$B$8:$B$127,MATCH(AT91,'Rate &amp; Vol Update'!$B$8:$B$127,1)+1),'Rate &amp; Vol Update'!$B$8:$B$127,0),MATCH(INDEX('Rate &amp; Vol Update'!$E$6:$Z$6,1,MATCH(AY91,'Rate &amp; Vol Update'!$E$6:$Z$6,1)),'Rate &amp; Vol Update'!$E$6:$Z$6,0))*(INDEX('Rate &amp; Vol Update'!$E$6:$Z$6,1,MATCH(AY91,'Rate &amp; Vol Update'!$E$6:$Z$6,1)+1)-AY91)*(AT91-INDEX('Rate &amp; Vol Update'!$B$8:$B$127,MATCH(AT91,'Rate &amp; Vol Update'!$B$8:$B$127,1)))+INDEX('Rate &amp; Vol Update'!$E$8:$Z$127,MATCH(INDEX('Rate &amp; Vol Update'!$B$8:$B$127,MATCH(AT91,'Rate &amp; Vol Update'!$B$8:$B$127,1)+1),'Rate &amp; Vol Update'!$B$8:$B$127,0),MATCH(INDEX('Rate &amp; Vol Update'!$E$6:$Z$6,1,MATCH(AY91,'Rate &amp; Vol Update'!$E$6:$Z$6,1)+1),'Rate &amp; Vol Update'!$E$6:$Z$6,0))*(AY91-INDEX('Rate &amp; Vol Update'!$E$6:$Z$6,1,MATCH(AY91,'Rate &amp; Vol Update'!$E$6:$Z$6,1)))*(AT91-INDEX('Rate &amp; Vol Update'!$B$8:$B$127,MATCH(AT91,'Rate &amp; Vol Update'!$B$8:$B$127,1)))))*0.01%))</f>
        <v/>
      </c>
      <c r="BB91" s="5" t="str">
        <f>IF(AS91="","",1/((1+AZ91)^((AU91-'Rate &amp; Vol Update'!$C$2)/360)))</f>
        <v/>
      </c>
      <c r="BD91" s="15" t="str">
        <f>IF(AS91="","",IF(AT91&lt;'Rate &amp; Vol Update'!$C$2,MAX(0,AZ91-AY91)*(AV91/360)*AX91,(((IF('Adjustment Surface'!$C$2='Data Validation'!$A$2,AZ91,IF('Adjustment Surface'!$C$2='Data Validation'!$A$3,AY91,"Unknown Option Type"))-IF('Adjustment Surface'!$C$2='Data Validation'!$A$2,AY91,IF('Adjustment Surface'!$C$2='Data Validation'!$A$3,AZ91,"Unknown Option Type")))*(NORMDIST((IF('Adjustment Surface'!$C$2='Data Validation'!$A$2,AZ91,IF('Adjustment Surface'!$C$2='Data Validation'!$A$3,AY91,"Unknown Option Type"))-IF('Adjustment Surface'!$C$2='Data Validation'!$A$2,AY91,IF('Adjustment Surface'!$C$2='Data Validation'!$A$3,AZ91,"Unknown Option Type")))/(BA91*SQRT(AW91)),0,1,TRUE)))+((BA91*SQRT(AW91))*(NORMDIST((IF('Adjustment Surface'!$C$2='Data Validation'!$A$2,AZ91,IF('Adjustment Surface'!$C$2='Data Validation'!$A$3,AY91,"Unknown Option Type"))-IF('Adjustment Surface'!$C$2='Data Validation'!$A$2,AY91,IF('Adjustment Surface'!$C$2='Data Validation'!$A$3,AZ91,"Unknown Option Type")))/(BA91*SQRT(AW91)),0,1,FALSE))))*BB91*(AV91/360)*AX91))</f>
        <v/>
      </c>
      <c r="BE91" s="15" t="str">
        <f>IF(AS91="","",SUM(BD$4:BD91))</f>
        <v/>
      </c>
      <c r="BG91" s="15" t="str">
        <f>IF(AS91="","",IF(AT91&lt;'Rate &amp; Vol Update'!$C$2,0,((((((IF('Adjustment Surface'!$C$2='Data Validation'!$A$2,AZ91,IF('Adjustment Surface'!$C$2='Data Validation'!$A$3,AY91,"Unknown Option Type"))-IF('Adjustment Surface'!$C$2='Data Validation'!$A$2,AY91,IF('Adjustment Surface'!$C$2='Data Validation'!$A$3,AZ91,"Unknown Option Type")))*(NORMDIST((IF('Adjustment Surface'!$C$2='Data Validation'!$A$2,AZ91,IF('Adjustment Surface'!$C$2='Data Validation'!$A$3,AY91,"Unknown Option Type"))-IF('Adjustment Surface'!$C$2='Data Validation'!$A$2,AY91,IF('Adjustment Surface'!$C$2='Data Validation'!$A$3,AZ91,"Unknown Option Type")))/((BA91+0.01%)*SQRT(AW91)),0,1,TRUE)))+(((BA91+0.01%)*SQRT(AW91))*(NORMDIST((IF('Adjustment Surface'!$C$2='Data Validation'!$A$2,AZ91,IF('Adjustment Surface'!$C$2='Data Validation'!$A$3,AY91,"Unknown Option Type"))-IF('Adjustment Surface'!$C$2='Data Validation'!$A$2,AY91,IF('Adjustment Surface'!$C$2='Data Validation'!$A$3,AZ91,"Unknown Option Type")))/((BA91+0.01%)*SQRT(AW91)),0,1,FALSE))))*BB91*(AV91/360))-(BD91/AX91))*AX91)*BB91))</f>
        <v/>
      </c>
      <c r="BH91" s="15" t="str">
        <f>IF(AS91="","",SUM(BG$4:BG91))</f>
        <v/>
      </c>
      <c r="BI91" s="15"/>
      <c r="BJ91" s="20"/>
      <c r="BL91" s="4" t="str">
        <f>IF(BM90=MAX('Adjustment Surface'!$C$14:$F$14),"",BM90)</f>
        <v/>
      </c>
      <c r="BM91" s="4" t="str">
        <f>IF(BL91="","",IF(BL91&lt;EDATE('Adjustment Surface'!$C$6,DATEDIF('Adjustment Surface'!$C$6,MAX('Adjustment Surface'!$C$14:$F$14),"M")),EDATE(BL$5,COUNT(BL$5:BL91)),IF(BL91=EDATE('Adjustment Surface'!$C$6,DATEDIF('Adjustment Surface'!$C$6,MAX('Adjustment Surface'!$C$14:$F$14),"M")),MAX('Adjustment Surface'!$C$14:$F$14),EDATE('Adjustment Surface'!$C$6,DATEDIF('Adjustment Surface'!$C$6,MAX('Adjustment Surface'!$C$14:$F$14),"M")))))</f>
        <v/>
      </c>
      <c r="BN91" s="3" t="str">
        <f t="shared" si="9"/>
        <v/>
      </c>
      <c r="BO91" s="5" t="str">
        <f>IF(BK91="","",(BM91-'Rate &amp; Vol Update'!$C$2)/360)</f>
        <v/>
      </c>
      <c r="BP91" s="15" t="str">
        <f>IF(BK91="","",IF('Adjustment Surface'!$C$3='Data Validation'!$C$2,'Adjustment Surface'!$C$4,_xlfn.IFNA(IF(INDEX(Schedules!$E$3:$E$123,MATCH('Bachelier Model'!BL91,Schedules!$B$3:$B$123,0))="",BP90,INDEX(Schedules!$E$3:$E$123,MATCH('Bachelier Model'!BL91,Schedules!$B$3:$B$123,0))),BP90)))</f>
        <v/>
      </c>
      <c r="BQ91" s="16" t="str">
        <f>IF(BK91="","",'Adjustment Surface'!B$17)</f>
        <v/>
      </c>
      <c r="BR91" s="16" t="str" cm="1">
        <f t="array" ref="BR91">IF(BK91="","",FORECAST(BL91,INDEX('Rate &amp; Vol Update'!$C$6:$C$127,MATCH(INDEX('Rate &amp; Vol Update'!$B$6:$B$127,MATCH(BL91,'Rate &amp; Vol Update'!$B$6:$B$127,1)),'Rate &amp; Vol Update'!$B$6:$B$127,0)+IF('Adjustment Surface'!$C$11='Data Validation'!$E$3,-1,0)):INDEX('Rate &amp; Vol Update'!$C$6:$C$127,MATCH(INDEX('Rate &amp; Vol Update'!$B$6:$B$127,MATCH(BL91,'Rate &amp; Vol Update'!$B$6:$B$127,1)+1),'Rate &amp; Vol Update'!$B$6:$B$127,0)+IF('Adjustment Surface'!$C$11='Data Validation'!$E$3,-1,0)),INDEX('Rate &amp; Vol Update'!$B$6:$B$127,MATCH(BL91,'Rate &amp; Vol Update'!$B$6:$B$127,1)):INDEX('Rate &amp; Vol Update'!$B$6:$B$127,MATCH(BL91,'Rate &amp; Vol Update'!$B$6:$B$127,1)+1))/100)</f>
        <v/>
      </c>
      <c r="BS91" s="16" t="str" cm="1">
        <f t="array" ref="BS91">IF(BK91="","",IF(BL91&lt;'Rate &amp; Vol Update'!$C$2,0.001%,(1/((INDEX('Rate &amp; Vol Update'!$E$6:$Z$6,1,MATCH(BQ91,'Rate &amp; Vol Update'!$E$6:$Z$6,1)+1)-INDEX('Rate &amp; Vol Update'!$E$6:$Z$6,1,MATCH(BQ91,'Rate &amp; Vol Update'!$E$6:$Z$6,1)))*(INDEX('Rate &amp; Vol Update'!$B$8:$B$127,MATCH(BL91,'Rate &amp; Vol Update'!$B$8:$B$127,1)+1)-INDEX('Rate &amp; Vol Update'!$B$8:$B$127,MATCH(BL91,'Rate &amp; Vol Update'!$B$8:$B$127,1))))*(INDEX('Rate &amp; Vol Update'!$E$8:$Z$127,MATCH(INDEX('Rate &amp; Vol Update'!$B$8:$B$127,MATCH(BL91,'Rate &amp; Vol Update'!$B$8:$B$127,1)),'Rate &amp; Vol Update'!$B$8:$B$127,0),MATCH(INDEX('Rate &amp; Vol Update'!$E$6:$Z$6,1,MATCH(BQ91,'Rate &amp; Vol Update'!$E$6:$Z$6,1)),'Rate &amp; Vol Update'!$E$6:$Z$6,0))*(INDEX('Rate &amp; Vol Update'!$E$6:$Z$6,1,MATCH(BQ91,'Rate &amp; Vol Update'!$E$6:$Z$6,1)+1)-BQ91)*(INDEX('Rate &amp; Vol Update'!$B$8:$B$127,MATCH(BL91,'Rate &amp; Vol Update'!$B$8:$B$127,1)+1)-BL91)+INDEX('Rate &amp; Vol Update'!$E$8:$Z$127,MATCH(INDEX('Rate &amp; Vol Update'!$B$8:$B$127,MATCH(BL91,'Rate &amp; Vol Update'!$B$8:$B$127,1)),'Rate &amp; Vol Update'!$B$8:$B$127,0),MATCH(INDEX('Rate &amp; Vol Update'!$E$6:$Z$6,1,MATCH(BQ91,'Rate &amp; Vol Update'!$E$6:$Z$6,1)+1),'Rate &amp; Vol Update'!$E$6:$Z$6,0))*(BQ91-INDEX('Rate &amp; Vol Update'!$E$6:$Z$6,1,MATCH(BQ91,'Rate &amp; Vol Update'!$E$6:$Z$6,1)))*(INDEX('Rate &amp; Vol Update'!$B$8:$B$127,MATCH(BL91,'Rate &amp; Vol Update'!$B$8:$B$127,1)+1)-BL91)+INDEX('Rate &amp; Vol Update'!$E$8:$Z$127,MATCH(INDEX('Rate &amp; Vol Update'!$B$8:$B$127,MATCH(BL91,'Rate &amp; Vol Update'!$B$8:$B$127,1)+1),'Rate &amp; Vol Update'!$B$8:$B$127,0),MATCH(INDEX('Rate &amp; Vol Update'!$E$6:$Z$6,1,MATCH(BQ91,'Rate &amp; Vol Update'!$E$6:$Z$6,1)),'Rate &amp; Vol Update'!$E$6:$Z$6,0))*(INDEX('Rate &amp; Vol Update'!$E$6:$Z$6,1,MATCH(BQ91,'Rate &amp; Vol Update'!$E$6:$Z$6,1)+1)-BQ91)*(BL91-INDEX('Rate &amp; Vol Update'!$B$8:$B$127,MATCH(BL91,'Rate &amp; Vol Update'!$B$8:$B$127,1)))+INDEX('Rate &amp; Vol Update'!$E$8:$Z$127,MATCH(INDEX('Rate &amp; Vol Update'!$B$8:$B$127,MATCH(BL91,'Rate &amp; Vol Update'!$B$8:$B$127,1)+1),'Rate &amp; Vol Update'!$B$8:$B$127,0),MATCH(INDEX('Rate &amp; Vol Update'!$E$6:$Z$6,1,MATCH(BQ91,'Rate &amp; Vol Update'!$E$6:$Z$6,1)+1),'Rate &amp; Vol Update'!$E$6:$Z$6,0))*(BQ91-INDEX('Rate &amp; Vol Update'!$E$6:$Z$6,1,MATCH(BQ91,'Rate &amp; Vol Update'!$E$6:$Z$6,1)))*(BL91-INDEX('Rate &amp; Vol Update'!$B$8:$B$127,MATCH(BL91,'Rate &amp; Vol Update'!$B$8:$B$127,1)))))*0.01%))</f>
        <v/>
      </c>
      <c r="BT91" s="5" t="str">
        <f>IF(BK91="","",1/((1+BR91)^((BM91-'Rate &amp; Vol Update'!$C$2)/360)))</f>
        <v/>
      </c>
      <c r="BV91" s="15" t="str">
        <f>IF(BK91="","",IF(BL91&lt;'Rate &amp; Vol Update'!$C$2,MAX(0,BR91-BQ91)*(BN91/360)*BP91,(((IF('Adjustment Surface'!$C$2='Data Validation'!$A$2,BR91,IF('Adjustment Surface'!$C$2='Data Validation'!$A$3,BQ91,"Unknown Option Type"))-IF('Adjustment Surface'!$C$2='Data Validation'!$A$2,BQ91,IF('Adjustment Surface'!$C$2='Data Validation'!$A$3,BR91,"Unknown Option Type")))*(NORMDIST((IF('Adjustment Surface'!$C$2='Data Validation'!$A$2,BR91,IF('Adjustment Surface'!$C$2='Data Validation'!$A$3,BQ91,"Unknown Option Type"))-IF('Adjustment Surface'!$C$2='Data Validation'!$A$2,BQ91,IF('Adjustment Surface'!$C$2='Data Validation'!$A$3,BR91,"Unknown Option Type")))/(BS91*SQRT(BO91)),0,1,TRUE)))+((BS91*SQRT(BO91))*(NORMDIST((IF('Adjustment Surface'!$C$2='Data Validation'!$A$2,BR91,IF('Adjustment Surface'!$C$2='Data Validation'!$A$3,BQ91,"Unknown Option Type"))-IF('Adjustment Surface'!$C$2='Data Validation'!$A$2,BQ91,IF('Adjustment Surface'!$C$2='Data Validation'!$A$3,BR91,"Unknown Option Type")))/(BS91*SQRT(BO91)),0,1,FALSE))))*BT91*(BN91/360)*BP91))</f>
        <v/>
      </c>
      <c r="BW91" s="15" t="str">
        <f>IF(BK91="","",SUM(BV$4:BV91))</f>
        <v/>
      </c>
      <c r="BY91" s="15" t="str">
        <f>IF(BK91="","",IF(BL91&lt;'Rate &amp; Vol Update'!$C$2,0,((((((IF('Adjustment Surface'!$C$2='Data Validation'!$A$2,BR91,IF('Adjustment Surface'!$C$2='Data Validation'!$A$3,BQ91,"Unknown Option Type"))-IF('Adjustment Surface'!$C$2='Data Validation'!$A$2,BQ91,IF('Adjustment Surface'!$C$2='Data Validation'!$A$3,BR91,"Unknown Option Type")))*(NORMDIST((IF('Adjustment Surface'!$C$2='Data Validation'!$A$2,BR91,IF('Adjustment Surface'!$C$2='Data Validation'!$A$3,BQ91,"Unknown Option Type"))-IF('Adjustment Surface'!$C$2='Data Validation'!$A$2,BQ91,IF('Adjustment Surface'!$C$2='Data Validation'!$A$3,BR91,"Unknown Option Type")))/((BS91+0.01%)*SQRT(BO91)),0,1,TRUE)))+(((BS91+0.01%)*SQRT(BO91))*(NORMDIST((IF('Adjustment Surface'!$C$2='Data Validation'!$A$2,BR91,IF('Adjustment Surface'!$C$2='Data Validation'!$A$3,BQ91,"Unknown Option Type"))-IF('Adjustment Surface'!$C$2='Data Validation'!$A$2,BQ91,IF('Adjustment Surface'!$C$2='Data Validation'!$A$3,BR91,"Unknown Option Type")))/((BS91+0.01%)*SQRT(BO91)),0,1,FALSE))))*BT91*(BN91/360))-(BV91/BP91))*BP91)*BT91))</f>
        <v/>
      </c>
      <c r="BZ91" s="15" t="str">
        <f>IF(BK91="","",SUM(BY$4:BY91))</f>
        <v/>
      </c>
      <c r="CA91" s="15"/>
      <c r="CB91" s="20"/>
      <c r="CD91" s="4" t="str">
        <f>IF(CE90=MAX('Adjustment Surface'!$C$14:$F$14),"",CE90)</f>
        <v/>
      </c>
      <c r="CE91" s="4" t="str">
        <f>IF(CD91="","",IF(CD91&lt;EDATE('Adjustment Surface'!$C$6,DATEDIF('Adjustment Surface'!$C$6,MAX('Adjustment Surface'!$C$14:$F$14),"M")),EDATE(CD$5,COUNT(CD$5:CD91)),IF(CD91=EDATE('Adjustment Surface'!$C$6,DATEDIF('Adjustment Surface'!$C$6,MAX('Adjustment Surface'!$C$14:$F$14),"M")),MAX('Adjustment Surface'!$C$14:$F$14),EDATE('Adjustment Surface'!$C$6,DATEDIF('Adjustment Surface'!$C$6,MAX('Adjustment Surface'!$C$14:$F$14),"M")))))</f>
        <v/>
      </c>
      <c r="CF91" s="3" t="str">
        <f t="shared" si="10"/>
        <v/>
      </c>
      <c r="CG91" s="5" t="str">
        <f>IF(CC91="","",(CE91-'Rate &amp; Vol Update'!$C$2)/360)</f>
        <v/>
      </c>
      <c r="CH91" s="15" t="str">
        <f>IF(CC91="","",IF('Adjustment Surface'!$C$3='Data Validation'!$C$2,'Adjustment Surface'!$C$4,_xlfn.IFNA(IF(INDEX(Schedules!$E$3:$E$123,MATCH('Bachelier Model'!CD91,Schedules!$B$3:$B$123,0))="",CH90,INDEX(Schedules!$E$3:$E$123,MATCH('Bachelier Model'!CD91,Schedules!$B$3:$B$123,0))),CH90)))</f>
        <v/>
      </c>
      <c r="CI91" s="16" t="str">
        <f>IF(CC91="","",'Adjustment Surface'!B$18)</f>
        <v/>
      </c>
      <c r="CJ91" s="16" t="str" cm="1">
        <f t="array" ref="CJ91">IF(CC91="","",FORECAST(CD91,INDEX('Rate &amp; Vol Update'!$C$6:$C$127,MATCH(INDEX('Rate &amp; Vol Update'!$B$6:$B$127,MATCH(CD91,'Rate &amp; Vol Update'!$B$6:$B$127,1)),'Rate &amp; Vol Update'!$B$6:$B$127,0)+IF('Adjustment Surface'!$C$11='Data Validation'!$E$3,-1,0)):INDEX('Rate &amp; Vol Update'!$C$6:$C$127,MATCH(INDEX('Rate &amp; Vol Update'!$B$6:$B$127,MATCH(CD91,'Rate &amp; Vol Update'!$B$6:$B$127,1)+1),'Rate &amp; Vol Update'!$B$6:$B$127,0)+IF('Adjustment Surface'!$C$11='Data Validation'!$E$3,-1,0)),INDEX('Rate &amp; Vol Update'!$B$6:$B$127,MATCH(CD91,'Rate &amp; Vol Update'!$B$6:$B$127,1)):INDEX('Rate &amp; Vol Update'!$B$6:$B$127,MATCH(CD91,'Rate &amp; Vol Update'!$B$6:$B$127,1)+1))/100)</f>
        <v/>
      </c>
      <c r="CK91" s="16" t="str" cm="1">
        <f t="array" ref="CK91">IF(CC91="","",IF(CD91&lt;'Rate &amp; Vol Update'!$C$2,0.001%,(1/((INDEX('Rate &amp; Vol Update'!$E$6:$Z$6,1,MATCH(CI91,'Rate &amp; Vol Update'!$E$6:$Z$6,1)+1)-INDEX('Rate &amp; Vol Update'!$E$6:$Z$6,1,MATCH(CI91,'Rate &amp; Vol Update'!$E$6:$Z$6,1)))*(INDEX('Rate &amp; Vol Update'!$B$8:$B$127,MATCH(CD91,'Rate &amp; Vol Update'!$B$8:$B$127,1)+1)-INDEX('Rate &amp; Vol Update'!$B$8:$B$127,MATCH(CD91,'Rate &amp; Vol Update'!$B$8:$B$127,1))))*(INDEX('Rate &amp; Vol Update'!$E$8:$Z$127,MATCH(INDEX('Rate &amp; Vol Update'!$B$8:$B$127,MATCH(CD91,'Rate &amp; Vol Update'!$B$8:$B$127,1)),'Rate &amp; Vol Update'!$B$8:$B$127,0),MATCH(INDEX('Rate &amp; Vol Update'!$E$6:$Z$6,1,MATCH(CI91,'Rate &amp; Vol Update'!$E$6:$Z$6,1)),'Rate &amp; Vol Update'!$E$6:$Z$6,0))*(INDEX('Rate &amp; Vol Update'!$E$6:$Z$6,1,MATCH(CI91,'Rate &amp; Vol Update'!$E$6:$Z$6,1)+1)-CI91)*(INDEX('Rate &amp; Vol Update'!$B$8:$B$127,MATCH(CD91,'Rate &amp; Vol Update'!$B$8:$B$127,1)+1)-CD91)+INDEX('Rate &amp; Vol Update'!$E$8:$Z$127,MATCH(INDEX('Rate &amp; Vol Update'!$B$8:$B$127,MATCH(CD91,'Rate &amp; Vol Update'!$B$8:$B$127,1)),'Rate &amp; Vol Update'!$B$8:$B$127,0),MATCH(INDEX('Rate &amp; Vol Update'!$E$6:$Z$6,1,MATCH(CI91,'Rate &amp; Vol Update'!$E$6:$Z$6,1)+1),'Rate &amp; Vol Update'!$E$6:$Z$6,0))*(CI91-INDEX('Rate &amp; Vol Update'!$E$6:$Z$6,1,MATCH(CI91,'Rate &amp; Vol Update'!$E$6:$Z$6,1)))*(INDEX('Rate &amp; Vol Update'!$B$8:$B$127,MATCH(CD91,'Rate &amp; Vol Update'!$B$8:$B$127,1)+1)-CD91)+INDEX('Rate &amp; Vol Update'!$E$8:$Z$127,MATCH(INDEX('Rate &amp; Vol Update'!$B$8:$B$127,MATCH(CD91,'Rate &amp; Vol Update'!$B$8:$B$127,1)+1),'Rate &amp; Vol Update'!$B$8:$B$127,0),MATCH(INDEX('Rate &amp; Vol Update'!$E$6:$Z$6,1,MATCH(CI91,'Rate &amp; Vol Update'!$E$6:$Z$6,1)),'Rate &amp; Vol Update'!$E$6:$Z$6,0))*(INDEX('Rate &amp; Vol Update'!$E$6:$Z$6,1,MATCH(CI91,'Rate &amp; Vol Update'!$E$6:$Z$6,1)+1)-CI91)*(CD91-INDEX('Rate &amp; Vol Update'!$B$8:$B$127,MATCH(CD91,'Rate &amp; Vol Update'!$B$8:$B$127,1)))+INDEX('Rate &amp; Vol Update'!$E$8:$Z$127,MATCH(INDEX('Rate &amp; Vol Update'!$B$8:$B$127,MATCH(CD91,'Rate &amp; Vol Update'!$B$8:$B$127,1)+1),'Rate &amp; Vol Update'!$B$8:$B$127,0),MATCH(INDEX('Rate &amp; Vol Update'!$E$6:$Z$6,1,MATCH(CI91,'Rate &amp; Vol Update'!$E$6:$Z$6,1)+1),'Rate &amp; Vol Update'!$E$6:$Z$6,0))*(CI91-INDEX('Rate &amp; Vol Update'!$E$6:$Z$6,1,MATCH(CI91,'Rate &amp; Vol Update'!$E$6:$Z$6,1)))*(CD91-INDEX('Rate &amp; Vol Update'!$B$8:$B$127,MATCH(CD91,'Rate &amp; Vol Update'!$B$8:$B$127,1)))))*0.01%))</f>
        <v/>
      </c>
      <c r="CL91" s="5" t="str">
        <f>IF(CC91="","",1/((1+CJ91)^((CE91-'Rate &amp; Vol Update'!$C$2)/360)))</f>
        <v/>
      </c>
      <c r="CN91" s="15" t="str">
        <f>IF(CC91="","",IF(CD91&lt;'Rate &amp; Vol Update'!$C$2,MAX(0,CJ91-CI91)*(CF91/360)*CH91,(((IF('Adjustment Surface'!$C$2='Data Validation'!$A$2,CJ91,IF('Adjustment Surface'!$C$2='Data Validation'!$A$3,CI91,"Unknown Option Type"))-IF('Adjustment Surface'!$C$2='Data Validation'!$A$2,CI91,IF('Adjustment Surface'!$C$2='Data Validation'!$A$3,CJ91,"Unknown Option Type")))*(NORMDIST((IF('Adjustment Surface'!$C$2='Data Validation'!$A$2,CJ91,IF('Adjustment Surface'!$C$2='Data Validation'!$A$3,CI91,"Unknown Option Type"))-IF('Adjustment Surface'!$C$2='Data Validation'!$A$2,CI91,IF('Adjustment Surface'!$C$2='Data Validation'!$A$3,CJ91,"Unknown Option Type")))/(CK91*SQRT(CG91)),0,1,TRUE)))+((CK91*SQRT(CG91))*(NORMDIST((IF('Adjustment Surface'!$C$2='Data Validation'!$A$2,CJ91,IF('Adjustment Surface'!$C$2='Data Validation'!$A$3,CI91,"Unknown Option Type"))-IF('Adjustment Surface'!$C$2='Data Validation'!$A$2,CI91,IF('Adjustment Surface'!$C$2='Data Validation'!$A$3,CJ91,"Unknown Option Type")))/(CK91*SQRT(CG91)),0,1,FALSE))))*CL91*(CF91/360)*CH91))</f>
        <v/>
      </c>
      <c r="CO91" s="15" t="str">
        <f>IF(CC91="","",SUM(CN$4:CN91))</f>
        <v/>
      </c>
      <c r="CQ91" s="15" t="str">
        <f>IF(CC91="","",IF(CD91&lt;'Rate &amp; Vol Update'!$C$2,0,((((((IF('Adjustment Surface'!$C$2='Data Validation'!$A$2,CJ91,IF('Adjustment Surface'!$C$2='Data Validation'!$A$3,CI91,"Unknown Option Type"))-IF('Adjustment Surface'!$C$2='Data Validation'!$A$2,CI91,IF('Adjustment Surface'!$C$2='Data Validation'!$A$3,CJ91,"Unknown Option Type")))*(NORMDIST((IF('Adjustment Surface'!$C$2='Data Validation'!$A$2,CJ91,IF('Adjustment Surface'!$C$2='Data Validation'!$A$3,CI91,"Unknown Option Type"))-IF('Adjustment Surface'!$C$2='Data Validation'!$A$2,CI91,IF('Adjustment Surface'!$C$2='Data Validation'!$A$3,CJ91,"Unknown Option Type")))/((CK91+0.01%)*SQRT(CG91)),0,1,TRUE)))+(((CK91+0.01%)*SQRT(CG91))*(NORMDIST((IF('Adjustment Surface'!$C$2='Data Validation'!$A$2,CJ91,IF('Adjustment Surface'!$C$2='Data Validation'!$A$3,CI91,"Unknown Option Type"))-IF('Adjustment Surface'!$C$2='Data Validation'!$A$2,CI91,IF('Adjustment Surface'!$C$2='Data Validation'!$A$3,CJ91,"Unknown Option Type")))/((CK91+0.01%)*SQRT(CG91)),0,1,FALSE))))*CL91*(CF91/360))-(CN91/CH91))*CH91)*CL91))</f>
        <v/>
      </c>
      <c r="CR91" s="15" t="str">
        <f>IF(CC91="","",SUM(CQ$4:CQ91))</f>
        <v/>
      </c>
    </row>
    <row r="92" spans="7:96" x14ac:dyDescent="0.25">
      <c r="G92" s="28"/>
      <c r="J92" s="4" t="str">
        <f>IF(K91='Adjustment Surface'!C$8,"",K91)</f>
        <v/>
      </c>
      <c r="K92" s="4" t="str">
        <f>IF(J92="","",IF(J92&lt;'Adjustment Surface'!C$7,EDATE(J$5,COUNT(J$5:J92)),IF(J92='Adjustment Surface'!C$7,'Adjustment Surface'!C$8,'Adjustment Surface'!C$7)))</f>
        <v/>
      </c>
      <c r="L92" s="3" t="str">
        <f t="shared" si="6"/>
        <v/>
      </c>
      <c r="M92" s="5" t="str">
        <f>IF(I92="","",(K92-'Rate &amp; Vol Update'!$C$2)/360)</f>
        <v/>
      </c>
      <c r="N92" s="15" t="str">
        <f>IF(I92="","",IF('Adjustment Surface'!C$3='Data Validation'!$C$2,'Adjustment Surface'!C$4,IF(INDEX(Schedules!$E$3:$E$123,MATCH('Bachelier Model'!J92,Schedules!$B$3:$B$123,0))="",N91,INDEX(Schedules!$E$3:$E$123,MATCH('Bachelier Model'!J92,Schedules!$B$3:$B$123,0)))))</f>
        <v/>
      </c>
      <c r="O92" s="16" t="str">
        <f>IF(I92="","",IF('Adjustment Surface'!C$9='Data Validation'!$D$2,'Adjustment Surface'!C$10,IF(INDEX(Schedules!$H$3:$H$123,MATCH('Bachelier Model'!J92,Schedules!$B$3:$B$123,0))="",O91,INDEX(Schedules!$H$3:$H$123,MATCH('Bachelier Model'!J92,Schedules!$B$3:$B$123,0)))))</f>
        <v/>
      </c>
      <c r="P92" s="16" t="str" cm="1">
        <f t="array" ref="P92">IF(I92="","",FORECAST(J92,INDEX('Rate &amp; Vol Update'!$C$6:$C$127,MATCH(INDEX('Rate &amp; Vol Update'!$B$6:$B$127,MATCH(J92,'Rate &amp; Vol Update'!$B$6:$B$127,1)),'Rate &amp; Vol Update'!$B$6:$B$127,0)+IF('Adjustment Surface'!C$11='Data Validation'!$E$3,-1,0)):INDEX('Rate &amp; Vol Update'!$C$6:$C$127,MATCH(INDEX('Rate &amp; Vol Update'!$B$6:$B$127,MATCH(J92,'Rate &amp; Vol Update'!$B$6:$B$127,1)+1),'Rate &amp; Vol Update'!$B$6:$B$127,0)+IF('Adjustment Surface'!C$11='Data Validation'!$E$3,-1,0)),INDEX('Rate &amp; Vol Update'!$B$6:$B$127,MATCH(J92,'Rate &amp; Vol Update'!$B$6:$B$127,1)):INDEX('Rate &amp; Vol Update'!$B$6:$B$127,MATCH(J92,'Rate &amp; Vol Update'!$B$6:$B$127,1)+1))/100)</f>
        <v/>
      </c>
      <c r="Q92" s="16" t="str" cm="1">
        <f t="array" ref="Q92">IF(I92="","",IF(J92&lt;'Rate &amp; Vol Update'!$C$2,0.001%,(1/((INDEX('Rate &amp; Vol Update'!$E$6:$Z$6,1,MATCH(O92,'Rate &amp; Vol Update'!$E$6:$Z$6,1)+1)-INDEX('Rate &amp; Vol Update'!$E$6:$Z$6,1,MATCH(O92,'Rate &amp; Vol Update'!$E$6:$Z$6,1)))*(INDEX('Rate &amp; Vol Update'!$B$8:$B$127,MATCH(J92,'Rate &amp; Vol Update'!$B$8:$B$127,1)+1)-INDEX('Rate &amp; Vol Update'!$B$8:$B$127,MATCH(J92,'Rate &amp; Vol Update'!$B$8:$B$127,1))))*(INDEX('Rate &amp; Vol Update'!$E$8:$Z$127,MATCH(INDEX('Rate &amp; Vol Update'!$B$8:$B$127,MATCH(J92,'Rate &amp; Vol Update'!$B$8:$B$127,1)),'Rate &amp; Vol Update'!$B$8:$B$127,0),MATCH(INDEX('Rate &amp; Vol Update'!$E$6:$Z$6,1,MATCH(O92,'Rate &amp; Vol Update'!$E$6:$Z$6,1)),'Rate &amp; Vol Update'!$E$6:$Z$6,0))*(INDEX('Rate &amp; Vol Update'!$E$6:$Z$6,1,MATCH(O92,'Rate &amp; Vol Update'!$E$6:$Z$6,1)+1)-O92)*(INDEX('Rate &amp; Vol Update'!$B$8:$B$127,MATCH(J92,'Rate &amp; Vol Update'!$B$8:$B$127,1)+1)-J92)+INDEX('Rate &amp; Vol Update'!$E$8:$Z$127,MATCH(INDEX('Rate &amp; Vol Update'!$B$8:$B$127,MATCH(J92,'Rate &amp; Vol Update'!$B$8:$B$127,1)),'Rate &amp; Vol Update'!$B$8:$B$127,0),MATCH(INDEX('Rate &amp; Vol Update'!$E$6:$Z$6,1,MATCH(O92,'Rate &amp; Vol Update'!$E$6:$Z$6,1)+1),'Rate &amp; Vol Update'!$E$6:$Z$6,0))*(O92-INDEX('Rate &amp; Vol Update'!$E$6:$Z$6,1,MATCH(O92,'Rate &amp; Vol Update'!$E$6:$Z$6,1)))*(INDEX('Rate &amp; Vol Update'!$B$8:$B$127,MATCH(J92,'Rate &amp; Vol Update'!$B$8:$B$127,1)+1)-J92)+INDEX('Rate &amp; Vol Update'!$E$8:$Z$127,MATCH(INDEX('Rate &amp; Vol Update'!$B$8:$B$127,MATCH(J92,'Rate &amp; Vol Update'!$B$8:$B$127,1)+1),'Rate &amp; Vol Update'!$B$8:$B$127,0),MATCH(INDEX('Rate &amp; Vol Update'!$E$6:$Z$6,1,MATCH(O92,'Rate &amp; Vol Update'!$E$6:$Z$6,1)),'Rate &amp; Vol Update'!$E$6:$Z$6,0))*(INDEX('Rate &amp; Vol Update'!$E$6:$Z$6,1,MATCH(O92,'Rate &amp; Vol Update'!$E$6:$Z$6,1)+1)-O92)*(J92-INDEX('Rate &amp; Vol Update'!$B$8:$B$127,MATCH(J92,'Rate &amp; Vol Update'!$B$8:$B$127,1)))+INDEX('Rate &amp; Vol Update'!$E$8:$Z$127,MATCH(INDEX('Rate &amp; Vol Update'!$B$8:$B$127,MATCH(J92,'Rate &amp; Vol Update'!$B$8:$B$127,1)+1),'Rate &amp; Vol Update'!$B$8:$B$127,0),MATCH(INDEX('Rate &amp; Vol Update'!$E$6:$Z$6,1,MATCH(O92,'Rate &amp; Vol Update'!$E$6:$Z$6,1)+1),'Rate &amp; Vol Update'!$E$6:$Z$6,0))*(O92-INDEX('Rate &amp; Vol Update'!$E$6:$Z$6,1,MATCH(O92,'Rate &amp; Vol Update'!$E$6:$Z$6,1)))*(J92-INDEX('Rate &amp; Vol Update'!$B$8:$B$127,MATCH(J92,'Rate &amp; Vol Update'!$B$8:$B$127,1)))))*0.01%))</f>
        <v/>
      </c>
      <c r="R92" s="5" t="str">
        <f>IF(I92="","",1/((1+P92)^((K92-'Rate &amp; Vol Update'!$C$2)/360)))</f>
        <v/>
      </c>
      <c r="T92" s="15" t="str">
        <f>IF(I92="","",IF(J92&lt;'Rate &amp; Vol Update'!$C$2,MAX(0,P92-O92)*(L92/360)*N92,(((IF('Adjustment Surface'!C$2='Data Validation'!$A$2,P92,IF('Adjustment Surface'!C$2='Data Validation'!$A$3,O92,"Unknown Option Type"))-IF('Adjustment Surface'!C$2='Data Validation'!$A$2,O92,IF('Adjustment Surface'!C$2='Data Validation'!$A$3,P92,"Unknown Option Type")))*(NORMDIST((IF('Adjustment Surface'!C$2='Data Validation'!$A$2,P92,IF('Adjustment Surface'!C$2='Data Validation'!$A$3,O92,"Unknown Option Type"))-IF('Adjustment Surface'!C$2='Data Validation'!$A$2,O92,IF('Adjustment Surface'!C$2='Data Validation'!$A$3,P92,"Unknown Option Type")))/(Q92*SQRT(M92)),0,1,TRUE)))+((Q92*SQRT(M92))*(NORMDIST((IF('Adjustment Surface'!C$2='Data Validation'!$A$2,P92,IF('Adjustment Surface'!C$2='Data Validation'!$A$3,O92,"Unknown Option Type"))-IF('Adjustment Surface'!C$2='Data Validation'!$A$2,O92,IF('Adjustment Surface'!C$2='Data Validation'!$A$3,P92,"Unknown Option Type")))/(Q92*SQRT(M92)),0,1,FALSE))))*R92*(L92/360)*N92))</f>
        <v/>
      </c>
      <c r="U92" s="15" t="str">
        <f>IF(I92="","",SUM(T$4:T92))</f>
        <v/>
      </c>
      <c r="W92" s="15" t="str">
        <f>IF(I92="","",IF(J92&lt;'Rate &amp; Vol Update'!$C$2,0,((((((IF('Adjustment Surface'!C$2='Data Validation'!$A$2,P92,IF('Adjustment Surface'!C$2='Data Validation'!$A$3,O92,"Unknown Option Type"))-IF('Adjustment Surface'!C$2='Data Validation'!$A$2,O92,IF('Adjustment Surface'!C$2='Data Validation'!$A$3,P92,"Unknown Option Type")))*(NORMDIST((IF('Adjustment Surface'!C$2='Data Validation'!$A$2,P92,IF('Adjustment Surface'!C$2='Data Validation'!$A$3,O92,"Unknown Option Type"))-IF('Adjustment Surface'!C$2='Data Validation'!$A$2,O92,IF('Adjustment Surface'!C$2='Data Validation'!$A$3,P92,"Unknown Option Type")))/((Q92+0.01%)*SQRT(M92)),0,1,TRUE)))+(((Q92+0.01%)*SQRT(M92))*(NORMDIST((IF('Adjustment Surface'!C$2='Data Validation'!$A$2,P92,IF('Adjustment Surface'!C$2='Data Validation'!$A$3,O92,"Unknown Option Type"))-IF('Adjustment Surface'!C$2='Data Validation'!$A$2,O92,IF('Adjustment Surface'!C$2='Data Validation'!$A$3,P92,"Unknown Option Type")))/((Q92+0.01%)*SQRT(M92)),0,1,FALSE))))*R92*(L92/360))-(T92/N92))*N92)*R92))</f>
        <v/>
      </c>
      <c r="X92" s="15" t="str">
        <f>IF(I92="","",SUM(W$4:W92))</f>
        <v/>
      </c>
      <c r="Y92" s="15"/>
      <c r="Z92" s="20"/>
      <c r="AB92" s="4" t="str">
        <f>IF(AC91=MAX('Adjustment Surface'!$C$14:$F$14),"",AC91)</f>
        <v/>
      </c>
      <c r="AC92" s="4" t="str">
        <f>IF(AB92="","",IF(AB92&lt;EDATE('Adjustment Surface'!$C$6,DATEDIF('Adjustment Surface'!$C$6,MAX('Adjustment Surface'!$C$14:$F$14),"M")),EDATE(AB$5,COUNT(AB$5:AB92)),IF(AB92=EDATE('Adjustment Surface'!$C$6,DATEDIF('Adjustment Surface'!$C$6,MAX('Adjustment Surface'!$C$14:$F$14),"M")),MAX('Adjustment Surface'!$C$14:$F$14),EDATE('Adjustment Surface'!$C$6,DATEDIF('Adjustment Surface'!$C$6,MAX('Adjustment Surface'!$C$14:$F$14),"M")))))</f>
        <v/>
      </c>
      <c r="AD92" s="3" t="str">
        <f t="shared" si="7"/>
        <v/>
      </c>
      <c r="AE92" s="5" t="str">
        <f>IF(AA92="","",(AC92-'Rate &amp; Vol Update'!$C$2)/360)</f>
        <v/>
      </c>
      <c r="AF92" s="15" t="str">
        <f>IF(AA92="","",IF('Adjustment Surface'!$C$3='Data Validation'!$C$2,'Adjustment Surface'!$C$4,_xlfn.IFNA(IF(INDEX(Schedules!$E$3:$E$123,MATCH('Bachelier Model'!AB92,Schedules!$B$3:$B$123,0))="",AF91,INDEX(Schedules!$E$3:$E$123,MATCH('Bachelier Model'!AB92,Schedules!$B$3:$B$123,0))),AF91)))</f>
        <v/>
      </c>
      <c r="AG92" s="16" t="str">
        <f>IF(AA92="","",'Adjustment Surface'!B$15)</f>
        <v/>
      </c>
      <c r="AH92" s="16" t="str" cm="1">
        <f t="array" ref="AH92">IF(AA92="","",FORECAST(AB92,INDEX('Rate &amp; Vol Update'!$C$6:$C$127,MATCH(INDEX('Rate &amp; Vol Update'!$B$6:$B$127,MATCH(AB92,'Rate &amp; Vol Update'!$B$6:$B$127,1)),'Rate &amp; Vol Update'!$B$6:$B$127,0)+IF('Adjustment Surface'!$C$11='Data Validation'!$E$3,-1,0)):INDEX('Rate &amp; Vol Update'!$C$6:$C$127,MATCH(INDEX('Rate &amp; Vol Update'!$B$6:$B$127,MATCH(AB92,'Rate &amp; Vol Update'!$B$6:$B$127,1)+1),'Rate &amp; Vol Update'!$B$6:$B$127,0)+IF('Adjustment Surface'!$C$11='Data Validation'!$E$3,-1,0)),INDEX('Rate &amp; Vol Update'!$B$6:$B$127,MATCH(AB92,'Rate &amp; Vol Update'!$B$6:$B$127,1)):INDEX('Rate &amp; Vol Update'!$B$6:$B$127,MATCH(AB92,'Rate &amp; Vol Update'!$B$6:$B$127,1)+1))/100)</f>
        <v/>
      </c>
      <c r="AI92" s="16" t="str" cm="1">
        <f t="array" ref="AI92">IF(AA92="","",IF(AB92&lt;'Rate &amp; Vol Update'!$C$2,0.001%,(1/((INDEX('Rate &amp; Vol Update'!$E$6:$Z$6,1,MATCH(AG92,'Rate &amp; Vol Update'!$E$6:$Z$6,1)+1)-INDEX('Rate &amp; Vol Update'!$E$6:$Z$6,1,MATCH(AG92,'Rate &amp; Vol Update'!$E$6:$Z$6,1)))*(INDEX('Rate &amp; Vol Update'!$B$8:$B$127,MATCH(AB92,'Rate &amp; Vol Update'!$B$8:$B$127,1)+1)-INDEX('Rate &amp; Vol Update'!$B$8:$B$127,MATCH(AB92,'Rate &amp; Vol Update'!$B$8:$B$127,1))))*(INDEX('Rate &amp; Vol Update'!$E$8:$Z$127,MATCH(INDEX('Rate &amp; Vol Update'!$B$8:$B$127,MATCH(AB92,'Rate &amp; Vol Update'!$B$8:$B$127,1)),'Rate &amp; Vol Update'!$B$8:$B$127,0),MATCH(INDEX('Rate &amp; Vol Update'!$E$6:$Z$6,1,MATCH(AG92,'Rate &amp; Vol Update'!$E$6:$Z$6,1)),'Rate &amp; Vol Update'!$E$6:$Z$6,0))*(INDEX('Rate &amp; Vol Update'!$E$6:$Z$6,1,MATCH(AG92,'Rate &amp; Vol Update'!$E$6:$Z$6,1)+1)-AG92)*(INDEX('Rate &amp; Vol Update'!$B$8:$B$127,MATCH(AB92,'Rate &amp; Vol Update'!$B$8:$B$127,1)+1)-AB92)+INDEX('Rate &amp; Vol Update'!$E$8:$Z$127,MATCH(INDEX('Rate &amp; Vol Update'!$B$8:$B$127,MATCH(AB92,'Rate &amp; Vol Update'!$B$8:$B$127,1)),'Rate &amp; Vol Update'!$B$8:$B$127,0),MATCH(INDEX('Rate &amp; Vol Update'!$E$6:$Z$6,1,MATCH(AG92,'Rate &amp; Vol Update'!$E$6:$Z$6,1)+1),'Rate &amp; Vol Update'!$E$6:$Z$6,0))*(AG92-INDEX('Rate &amp; Vol Update'!$E$6:$Z$6,1,MATCH(AG92,'Rate &amp; Vol Update'!$E$6:$Z$6,1)))*(INDEX('Rate &amp; Vol Update'!$B$8:$B$127,MATCH(AB92,'Rate &amp; Vol Update'!$B$8:$B$127,1)+1)-AB92)+INDEX('Rate &amp; Vol Update'!$E$8:$Z$127,MATCH(INDEX('Rate &amp; Vol Update'!$B$8:$B$127,MATCH(AB92,'Rate &amp; Vol Update'!$B$8:$B$127,1)+1),'Rate &amp; Vol Update'!$B$8:$B$127,0),MATCH(INDEX('Rate &amp; Vol Update'!$E$6:$Z$6,1,MATCH(AG92,'Rate &amp; Vol Update'!$E$6:$Z$6,1)),'Rate &amp; Vol Update'!$E$6:$Z$6,0))*(INDEX('Rate &amp; Vol Update'!$E$6:$Z$6,1,MATCH(AG92,'Rate &amp; Vol Update'!$E$6:$Z$6,1)+1)-AG92)*(AB92-INDEX('Rate &amp; Vol Update'!$B$8:$B$127,MATCH(AB92,'Rate &amp; Vol Update'!$B$8:$B$127,1)))+INDEX('Rate &amp; Vol Update'!$E$8:$Z$127,MATCH(INDEX('Rate &amp; Vol Update'!$B$8:$B$127,MATCH(AB92,'Rate &amp; Vol Update'!$B$8:$B$127,1)+1),'Rate &amp; Vol Update'!$B$8:$B$127,0),MATCH(INDEX('Rate &amp; Vol Update'!$E$6:$Z$6,1,MATCH(AG92,'Rate &amp; Vol Update'!$E$6:$Z$6,1)+1),'Rate &amp; Vol Update'!$E$6:$Z$6,0))*(AG92-INDEX('Rate &amp; Vol Update'!$E$6:$Z$6,1,MATCH(AG92,'Rate &amp; Vol Update'!$E$6:$Z$6,1)))*(AB92-INDEX('Rate &amp; Vol Update'!$B$8:$B$127,MATCH(AB92,'Rate &amp; Vol Update'!$B$8:$B$127,1)))))*0.01%))</f>
        <v/>
      </c>
      <c r="AJ92" s="5" t="str">
        <f>IF(AA92="","",1/((1+AH92)^((AC92-'Rate &amp; Vol Update'!$C$2)/360)))</f>
        <v/>
      </c>
      <c r="AL92" s="15" t="str">
        <f>IF(AA92="","",IF(AB92&lt;'Rate &amp; Vol Update'!$C$2,MAX(0,AH92-AG92)*(AD92/360)*AF92,(((IF('Adjustment Surface'!$C$2='Data Validation'!$A$2,AH92,IF('Adjustment Surface'!$C$2='Data Validation'!$A$3,AG92,"Unknown Option Type"))-IF('Adjustment Surface'!$C$2='Data Validation'!$A$2,AG92,IF('Adjustment Surface'!$C$2='Data Validation'!$A$3,AH92,"Unknown Option Type")))*(NORMDIST((IF('Adjustment Surface'!$C$2='Data Validation'!$A$2,AH92,IF('Adjustment Surface'!$C$2='Data Validation'!$A$3,AG92,"Unknown Option Type"))-IF('Adjustment Surface'!$C$2='Data Validation'!$A$2,AG92,IF('Adjustment Surface'!$C$2='Data Validation'!$A$3,AH92,"Unknown Option Type")))/(AI92*SQRT(AE92)),0,1,TRUE)))+((AI92*SQRT(AE92))*(NORMDIST((IF('Adjustment Surface'!$C$2='Data Validation'!$A$2,AH92,IF('Adjustment Surface'!$C$2='Data Validation'!$A$3,AG92,"Unknown Option Type"))-IF('Adjustment Surface'!$C$2='Data Validation'!$A$2,AG92,IF('Adjustment Surface'!$C$2='Data Validation'!$A$3,AH92,"Unknown Option Type")))/(AI92*SQRT(AE92)),0,1,FALSE))))*AJ92*(AD92/360)*AF92))</f>
        <v/>
      </c>
      <c r="AM92" s="15" t="str">
        <f>IF(AA92="","",SUM(AL$4:AL92))</f>
        <v/>
      </c>
      <c r="AO92" s="15" t="str">
        <f>IF(AA92="","",IF(AB92&lt;'Rate &amp; Vol Update'!$C$2,0,((((((IF('Adjustment Surface'!$C$2='Data Validation'!$A$2,AH92,IF('Adjustment Surface'!$C$2='Data Validation'!$A$3,AG92,"Unknown Option Type"))-IF('Adjustment Surface'!$C$2='Data Validation'!$A$2,AG92,IF('Adjustment Surface'!$C$2='Data Validation'!$A$3,AH92,"Unknown Option Type")))*(NORMDIST((IF('Adjustment Surface'!$C$2='Data Validation'!$A$2,AH92,IF('Adjustment Surface'!$C$2='Data Validation'!$A$3,AG92,"Unknown Option Type"))-IF('Adjustment Surface'!$C$2='Data Validation'!$A$2,AG92,IF('Adjustment Surface'!$C$2='Data Validation'!$A$3,AH92,"Unknown Option Type")))/((AI92+0.01%)*SQRT(AE92)),0,1,TRUE)))+(((AI92+0.01%)*SQRT(AE92))*(NORMDIST((IF('Adjustment Surface'!$C$2='Data Validation'!$A$2,AH92,IF('Adjustment Surface'!$C$2='Data Validation'!$A$3,AG92,"Unknown Option Type"))-IF('Adjustment Surface'!$C$2='Data Validation'!$A$2,AG92,IF('Adjustment Surface'!$C$2='Data Validation'!$A$3,AH92,"Unknown Option Type")))/((AI92+0.01%)*SQRT(AE92)),0,1,FALSE))))*AJ92*(AD92/360))-(AL92/AF92))*AF92)*AJ92))</f>
        <v/>
      </c>
      <c r="AP92" s="15" t="str">
        <f>IF(AA92="","",SUM(AO$4:AO92))</f>
        <v/>
      </c>
      <c r="AQ92" s="15"/>
      <c r="AR92" s="20"/>
      <c r="AT92" s="4" t="str">
        <f>IF(AU91=MAX('Adjustment Surface'!$C$14:$F$14),"",AU91)</f>
        <v/>
      </c>
      <c r="AU92" s="4" t="str">
        <f>IF(AT92="","",IF(AT92&lt;EDATE('Adjustment Surface'!$C$6,DATEDIF('Adjustment Surface'!$C$6,MAX('Adjustment Surface'!$C$14:$F$14),"M")),EDATE(AT$5,COUNT(AT$5:AT92)),IF(AT92=EDATE('Adjustment Surface'!$C$6,DATEDIF('Adjustment Surface'!$C$6,MAX('Adjustment Surface'!$C$14:$F$14),"M")),MAX('Adjustment Surface'!$C$14:$F$14),EDATE('Adjustment Surface'!$C$6,DATEDIF('Adjustment Surface'!$C$6,MAX('Adjustment Surface'!$C$14:$F$14),"M")))))</f>
        <v/>
      </c>
      <c r="AV92" s="3" t="str">
        <f t="shared" si="8"/>
        <v/>
      </c>
      <c r="AW92" s="5" t="str">
        <f>IF(AS92="","",(AU92-'Rate &amp; Vol Update'!$C$2)/360)</f>
        <v/>
      </c>
      <c r="AX92" s="15" t="str">
        <f>IF(AS92="","",IF('Adjustment Surface'!$C$3='Data Validation'!$C$2,'Adjustment Surface'!$C$4,_xlfn.IFNA(IF(INDEX(Schedules!$E$3:$E$123,MATCH('Bachelier Model'!AT92,Schedules!$B$3:$B$123,0))="",AX91,INDEX(Schedules!$E$3:$E$123,MATCH('Bachelier Model'!AT92,Schedules!$B$3:$B$123,0))),AX91)))</f>
        <v/>
      </c>
      <c r="AY92" s="16" t="str">
        <f>IF(AS92="","",'Adjustment Surface'!B$16)</f>
        <v/>
      </c>
      <c r="AZ92" s="16" t="str" cm="1">
        <f t="array" ref="AZ92">IF(AS92="","",FORECAST(AT92,INDEX('Rate &amp; Vol Update'!$C$6:$C$127,MATCH(INDEX('Rate &amp; Vol Update'!$B$6:$B$127,MATCH(AT92,'Rate &amp; Vol Update'!$B$6:$B$127,1)),'Rate &amp; Vol Update'!$B$6:$B$127,0)+IF('Adjustment Surface'!$C$11='Data Validation'!$E$3,-1,0)):INDEX('Rate &amp; Vol Update'!$C$6:$C$127,MATCH(INDEX('Rate &amp; Vol Update'!$B$6:$B$127,MATCH(AT92,'Rate &amp; Vol Update'!$B$6:$B$127,1)+1),'Rate &amp; Vol Update'!$B$6:$B$127,0)+IF('Adjustment Surface'!$C$11='Data Validation'!$E$3,-1,0)),INDEX('Rate &amp; Vol Update'!$B$6:$B$127,MATCH(AT92,'Rate &amp; Vol Update'!$B$6:$B$127,1)):INDEX('Rate &amp; Vol Update'!$B$6:$B$127,MATCH(AT92,'Rate &amp; Vol Update'!$B$6:$B$127,1)+1))/100)</f>
        <v/>
      </c>
      <c r="BA92" s="16" t="str" cm="1">
        <f t="array" ref="BA92">IF(AS92="","",IF(AT92&lt;'Rate &amp; Vol Update'!$C$2,0.001%,(1/((INDEX('Rate &amp; Vol Update'!$E$6:$Z$6,1,MATCH(AY92,'Rate &amp; Vol Update'!$E$6:$Z$6,1)+1)-INDEX('Rate &amp; Vol Update'!$E$6:$Z$6,1,MATCH(AY92,'Rate &amp; Vol Update'!$E$6:$Z$6,1)))*(INDEX('Rate &amp; Vol Update'!$B$8:$B$127,MATCH(AT92,'Rate &amp; Vol Update'!$B$8:$B$127,1)+1)-INDEX('Rate &amp; Vol Update'!$B$8:$B$127,MATCH(AT92,'Rate &amp; Vol Update'!$B$8:$B$127,1))))*(INDEX('Rate &amp; Vol Update'!$E$8:$Z$127,MATCH(INDEX('Rate &amp; Vol Update'!$B$8:$B$127,MATCH(AT92,'Rate &amp; Vol Update'!$B$8:$B$127,1)),'Rate &amp; Vol Update'!$B$8:$B$127,0),MATCH(INDEX('Rate &amp; Vol Update'!$E$6:$Z$6,1,MATCH(AY92,'Rate &amp; Vol Update'!$E$6:$Z$6,1)),'Rate &amp; Vol Update'!$E$6:$Z$6,0))*(INDEX('Rate &amp; Vol Update'!$E$6:$Z$6,1,MATCH(AY92,'Rate &amp; Vol Update'!$E$6:$Z$6,1)+1)-AY92)*(INDEX('Rate &amp; Vol Update'!$B$8:$B$127,MATCH(AT92,'Rate &amp; Vol Update'!$B$8:$B$127,1)+1)-AT92)+INDEX('Rate &amp; Vol Update'!$E$8:$Z$127,MATCH(INDEX('Rate &amp; Vol Update'!$B$8:$B$127,MATCH(AT92,'Rate &amp; Vol Update'!$B$8:$B$127,1)),'Rate &amp; Vol Update'!$B$8:$B$127,0),MATCH(INDEX('Rate &amp; Vol Update'!$E$6:$Z$6,1,MATCH(AY92,'Rate &amp; Vol Update'!$E$6:$Z$6,1)+1),'Rate &amp; Vol Update'!$E$6:$Z$6,0))*(AY92-INDEX('Rate &amp; Vol Update'!$E$6:$Z$6,1,MATCH(AY92,'Rate &amp; Vol Update'!$E$6:$Z$6,1)))*(INDEX('Rate &amp; Vol Update'!$B$8:$B$127,MATCH(AT92,'Rate &amp; Vol Update'!$B$8:$B$127,1)+1)-AT92)+INDEX('Rate &amp; Vol Update'!$E$8:$Z$127,MATCH(INDEX('Rate &amp; Vol Update'!$B$8:$B$127,MATCH(AT92,'Rate &amp; Vol Update'!$B$8:$B$127,1)+1),'Rate &amp; Vol Update'!$B$8:$B$127,0),MATCH(INDEX('Rate &amp; Vol Update'!$E$6:$Z$6,1,MATCH(AY92,'Rate &amp; Vol Update'!$E$6:$Z$6,1)),'Rate &amp; Vol Update'!$E$6:$Z$6,0))*(INDEX('Rate &amp; Vol Update'!$E$6:$Z$6,1,MATCH(AY92,'Rate &amp; Vol Update'!$E$6:$Z$6,1)+1)-AY92)*(AT92-INDEX('Rate &amp; Vol Update'!$B$8:$B$127,MATCH(AT92,'Rate &amp; Vol Update'!$B$8:$B$127,1)))+INDEX('Rate &amp; Vol Update'!$E$8:$Z$127,MATCH(INDEX('Rate &amp; Vol Update'!$B$8:$B$127,MATCH(AT92,'Rate &amp; Vol Update'!$B$8:$B$127,1)+1),'Rate &amp; Vol Update'!$B$8:$B$127,0),MATCH(INDEX('Rate &amp; Vol Update'!$E$6:$Z$6,1,MATCH(AY92,'Rate &amp; Vol Update'!$E$6:$Z$6,1)+1),'Rate &amp; Vol Update'!$E$6:$Z$6,0))*(AY92-INDEX('Rate &amp; Vol Update'!$E$6:$Z$6,1,MATCH(AY92,'Rate &amp; Vol Update'!$E$6:$Z$6,1)))*(AT92-INDEX('Rate &amp; Vol Update'!$B$8:$B$127,MATCH(AT92,'Rate &amp; Vol Update'!$B$8:$B$127,1)))))*0.01%))</f>
        <v/>
      </c>
      <c r="BB92" s="5" t="str">
        <f>IF(AS92="","",1/((1+AZ92)^((AU92-'Rate &amp; Vol Update'!$C$2)/360)))</f>
        <v/>
      </c>
      <c r="BD92" s="15" t="str">
        <f>IF(AS92="","",IF(AT92&lt;'Rate &amp; Vol Update'!$C$2,MAX(0,AZ92-AY92)*(AV92/360)*AX92,(((IF('Adjustment Surface'!$C$2='Data Validation'!$A$2,AZ92,IF('Adjustment Surface'!$C$2='Data Validation'!$A$3,AY92,"Unknown Option Type"))-IF('Adjustment Surface'!$C$2='Data Validation'!$A$2,AY92,IF('Adjustment Surface'!$C$2='Data Validation'!$A$3,AZ92,"Unknown Option Type")))*(NORMDIST((IF('Adjustment Surface'!$C$2='Data Validation'!$A$2,AZ92,IF('Adjustment Surface'!$C$2='Data Validation'!$A$3,AY92,"Unknown Option Type"))-IF('Adjustment Surface'!$C$2='Data Validation'!$A$2,AY92,IF('Adjustment Surface'!$C$2='Data Validation'!$A$3,AZ92,"Unknown Option Type")))/(BA92*SQRT(AW92)),0,1,TRUE)))+((BA92*SQRT(AW92))*(NORMDIST((IF('Adjustment Surface'!$C$2='Data Validation'!$A$2,AZ92,IF('Adjustment Surface'!$C$2='Data Validation'!$A$3,AY92,"Unknown Option Type"))-IF('Adjustment Surface'!$C$2='Data Validation'!$A$2,AY92,IF('Adjustment Surface'!$C$2='Data Validation'!$A$3,AZ92,"Unknown Option Type")))/(BA92*SQRT(AW92)),0,1,FALSE))))*BB92*(AV92/360)*AX92))</f>
        <v/>
      </c>
      <c r="BE92" s="15" t="str">
        <f>IF(AS92="","",SUM(BD$4:BD92))</f>
        <v/>
      </c>
      <c r="BG92" s="15" t="str">
        <f>IF(AS92="","",IF(AT92&lt;'Rate &amp; Vol Update'!$C$2,0,((((((IF('Adjustment Surface'!$C$2='Data Validation'!$A$2,AZ92,IF('Adjustment Surface'!$C$2='Data Validation'!$A$3,AY92,"Unknown Option Type"))-IF('Adjustment Surface'!$C$2='Data Validation'!$A$2,AY92,IF('Adjustment Surface'!$C$2='Data Validation'!$A$3,AZ92,"Unknown Option Type")))*(NORMDIST((IF('Adjustment Surface'!$C$2='Data Validation'!$A$2,AZ92,IF('Adjustment Surface'!$C$2='Data Validation'!$A$3,AY92,"Unknown Option Type"))-IF('Adjustment Surface'!$C$2='Data Validation'!$A$2,AY92,IF('Adjustment Surface'!$C$2='Data Validation'!$A$3,AZ92,"Unknown Option Type")))/((BA92+0.01%)*SQRT(AW92)),0,1,TRUE)))+(((BA92+0.01%)*SQRT(AW92))*(NORMDIST((IF('Adjustment Surface'!$C$2='Data Validation'!$A$2,AZ92,IF('Adjustment Surface'!$C$2='Data Validation'!$A$3,AY92,"Unknown Option Type"))-IF('Adjustment Surface'!$C$2='Data Validation'!$A$2,AY92,IF('Adjustment Surface'!$C$2='Data Validation'!$A$3,AZ92,"Unknown Option Type")))/((BA92+0.01%)*SQRT(AW92)),0,1,FALSE))))*BB92*(AV92/360))-(BD92/AX92))*AX92)*BB92))</f>
        <v/>
      </c>
      <c r="BH92" s="15" t="str">
        <f>IF(AS92="","",SUM(BG$4:BG92))</f>
        <v/>
      </c>
      <c r="BI92" s="15"/>
      <c r="BJ92" s="20"/>
      <c r="BL92" s="4" t="str">
        <f>IF(BM91=MAX('Adjustment Surface'!$C$14:$F$14),"",BM91)</f>
        <v/>
      </c>
      <c r="BM92" s="4" t="str">
        <f>IF(BL92="","",IF(BL92&lt;EDATE('Adjustment Surface'!$C$6,DATEDIF('Adjustment Surface'!$C$6,MAX('Adjustment Surface'!$C$14:$F$14),"M")),EDATE(BL$5,COUNT(BL$5:BL92)),IF(BL92=EDATE('Adjustment Surface'!$C$6,DATEDIF('Adjustment Surface'!$C$6,MAX('Adjustment Surface'!$C$14:$F$14),"M")),MAX('Adjustment Surface'!$C$14:$F$14),EDATE('Adjustment Surface'!$C$6,DATEDIF('Adjustment Surface'!$C$6,MAX('Adjustment Surface'!$C$14:$F$14),"M")))))</f>
        <v/>
      </c>
      <c r="BN92" s="3" t="str">
        <f t="shared" si="9"/>
        <v/>
      </c>
      <c r="BO92" s="5" t="str">
        <f>IF(BK92="","",(BM92-'Rate &amp; Vol Update'!$C$2)/360)</f>
        <v/>
      </c>
      <c r="BP92" s="15" t="str">
        <f>IF(BK92="","",IF('Adjustment Surface'!$C$3='Data Validation'!$C$2,'Adjustment Surface'!$C$4,_xlfn.IFNA(IF(INDEX(Schedules!$E$3:$E$123,MATCH('Bachelier Model'!BL92,Schedules!$B$3:$B$123,0))="",BP91,INDEX(Schedules!$E$3:$E$123,MATCH('Bachelier Model'!BL92,Schedules!$B$3:$B$123,0))),BP91)))</f>
        <v/>
      </c>
      <c r="BQ92" s="16" t="str">
        <f>IF(BK92="","",'Adjustment Surface'!B$17)</f>
        <v/>
      </c>
      <c r="BR92" s="16" t="str" cm="1">
        <f t="array" ref="BR92">IF(BK92="","",FORECAST(BL92,INDEX('Rate &amp; Vol Update'!$C$6:$C$127,MATCH(INDEX('Rate &amp; Vol Update'!$B$6:$B$127,MATCH(BL92,'Rate &amp; Vol Update'!$B$6:$B$127,1)),'Rate &amp; Vol Update'!$B$6:$B$127,0)+IF('Adjustment Surface'!$C$11='Data Validation'!$E$3,-1,0)):INDEX('Rate &amp; Vol Update'!$C$6:$C$127,MATCH(INDEX('Rate &amp; Vol Update'!$B$6:$B$127,MATCH(BL92,'Rate &amp; Vol Update'!$B$6:$B$127,1)+1),'Rate &amp; Vol Update'!$B$6:$B$127,0)+IF('Adjustment Surface'!$C$11='Data Validation'!$E$3,-1,0)),INDEX('Rate &amp; Vol Update'!$B$6:$B$127,MATCH(BL92,'Rate &amp; Vol Update'!$B$6:$B$127,1)):INDEX('Rate &amp; Vol Update'!$B$6:$B$127,MATCH(BL92,'Rate &amp; Vol Update'!$B$6:$B$127,1)+1))/100)</f>
        <v/>
      </c>
      <c r="BS92" s="16" t="str" cm="1">
        <f t="array" ref="BS92">IF(BK92="","",IF(BL92&lt;'Rate &amp; Vol Update'!$C$2,0.001%,(1/((INDEX('Rate &amp; Vol Update'!$E$6:$Z$6,1,MATCH(BQ92,'Rate &amp; Vol Update'!$E$6:$Z$6,1)+1)-INDEX('Rate &amp; Vol Update'!$E$6:$Z$6,1,MATCH(BQ92,'Rate &amp; Vol Update'!$E$6:$Z$6,1)))*(INDEX('Rate &amp; Vol Update'!$B$8:$B$127,MATCH(BL92,'Rate &amp; Vol Update'!$B$8:$B$127,1)+1)-INDEX('Rate &amp; Vol Update'!$B$8:$B$127,MATCH(BL92,'Rate &amp; Vol Update'!$B$8:$B$127,1))))*(INDEX('Rate &amp; Vol Update'!$E$8:$Z$127,MATCH(INDEX('Rate &amp; Vol Update'!$B$8:$B$127,MATCH(BL92,'Rate &amp; Vol Update'!$B$8:$B$127,1)),'Rate &amp; Vol Update'!$B$8:$B$127,0),MATCH(INDEX('Rate &amp; Vol Update'!$E$6:$Z$6,1,MATCH(BQ92,'Rate &amp; Vol Update'!$E$6:$Z$6,1)),'Rate &amp; Vol Update'!$E$6:$Z$6,0))*(INDEX('Rate &amp; Vol Update'!$E$6:$Z$6,1,MATCH(BQ92,'Rate &amp; Vol Update'!$E$6:$Z$6,1)+1)-BQ92)*(INDEX('Rate &amp; Vol Update'!$B$8:$B$127,MATCH(BL92,'Rate &amp; Vol Update'!$B$8:$B$127,1)+1)-BL92)+INDEX('Rate &amp; Vol Update'!$E$8:$Z$127,MATCH(INDEX('Rate &amp; Vol Update'!$B$8:$B$127,MATCH(BL92,'Rate &amp; Vol Update'!$B$8:$B$127,1)),'Rate &amp; Vol Update'!$B$8:$B$127,0),MATCH(INDEX('Rate &amp; Vol Update'!$E$6:$Z$6,1,MATCH(BQ92,'Rate &amp; Vol Update'!$E$6:$Z$6,1)+1),'Rate &amp; Vol Update'!$E$6:$Z$6,0))*(BQ92-INDEX('Rate &amp; Vol Update'!$E$6:$Z$6,1,MATCH(BQ92,'Rate &amp; Vol Update'!$E$6:$Z$6,1)))*(INDEX('Rate &amp; Vol Update'!$B$8:$B$127,MATCH(BL92,'Rate &amp; Vol Update'!$B$8:$B$127,1)+1)-BL92)+INDEX('Rate &amp; Vol Update'!$E$8:$Z$127,MATCH(INDEX('Rate &amp; Vol Update'!$B$8:$B$127,MATCH(BL92,'Rate &amp; Vol Update'!$B$8:$B$127,1)+1),'Rate &amp; Vol Update'!$B$8:$B$127,0),MATCH(INDEX('Rate &amp; Vol Update'!$E$6:$Z$6,1,MATCH(BQ92,'Rate &amp; Vol Update'!$E$6:$Z$6,1)),'Rate &amp; Vol Update'!$E$6:$Z$6,0))*(INDEX('Rate &amp; Vol Update'!$E$6:$Z$6,1,MATCH(BQ92,'Rate &amp; Vol Update'!$E$6:$Z$6,1)+1)-BQ92)*(BL92-INDEX('Rate &amp; Vol Update'!$B$8:$B$127,MATCH(BL92,'Rate &amp; Vol Update'!$B$8:$B$127,1)))+INDEX('Rate &amp; Vol Update'!$E$8:$Z$127,MATCH(INDEX('Rate &amp; Vol Update'!$B$8:$B$127,MATCH(BL92,'Rate &amp; Vol Update'!$B$8:$B$127,1)+1),'Rate &amp; Vol Update'!$B$8:$B$127,0),MATCH(INDEX('Rate &amp; Vol Update'!$E$6:$Z$6,1,MATCH(BQ92,'Rate &amp; Vol Update'!$E$6:$Z$6,1)+1),'Rate &amp; Vol Update'!$E$6:$Z$6,0))*(BQ92-INDEX('Rate &amp; Vol Update'!$E$6:$Z$6,1,MATCH(BQ92,'Rate &amp; Vol Update'!$E$6:$Z$6,1)))*(BL92-INDEX('Rate &amp; Vol Update'!$B$8:$B$127,MATCH(BL92,'Rate &amp; Vol Update'!$B$8:$B$127,1)))))*0.01%))</f>
        <v/>
      </c>
      <c r="BT92" s="5" t="str">
        <f>IF(BK92="","",1/((1+BR92)^((BM92-'Rate &amp; Vol Update'!$C$2)/360)))</f>
        <v/>
      </c>
      <c r="BV92" s="15" t="str">
        <f>IF(BK92="","",IF(BL92&lt;'Rate &amp; Vol Update'!$C$2,MAX(0,BR92-BQ92)*(BN92/360)*BP92,(((IF('Adjustment Surface'!$C$2='Data Validation'!$A$2,BR92,IF('Adjustment Surface'!$C$2='Data Validation'!$A$3,BQ92,"Unknown Option Type"))-IF('Adjustment Surface'!$C$2='Data Validation'!$A$2,BQ92,IF('Adjustment Surface'!$C$2='Data Validation'!$A$3,BR92,"Unknown Option Type")))*(NORMDIST((IF('Adjustment Surface'!$C$2='Data Validation'!$A$2,BR92,IF('Adjustment Surface'!$C$2='Data Validation'!$A$3,BQ92,"Unknown Option Type"))-IF('Adjustment Surface'!$C$2='Data Validation'!$A$2,BQ92,IF('Adjustment Surface'!$C$2='Data Validation'!$A$3,BR92,"Unknown Option Type")))/(BS92*SQRT(BO92)),0,1,TRUE)))+((BS92*SQRT(BO92))*(NORMDIST((IF('Adjustment Surface'!$C$2='Data Validation'!$A$2,BR92,IF('Adjustment Surface'!$C$2='Data Validation'!$A$3,BQ92,"Unknown Option Type"))-IF('Adjustment Surface'!$C$2='Data Validation'!$A$2,BQ92,IF('Adjustment Surface'!$C$2='Data Validation'!$A$3,BR92,"Unknown Option Type")))/(BS92*SQRT(BO92)),0,1,FALSE))))*BT92*(BN92/360)*BP92))</f>
        <v/>
      </c>
      <c r="BW92" s="15" t="str">
        <f>IF(BK92="","",SUM(BV$4:BV92))</f>
        <v/>
      </c>
      <c r="BY92" s="15" t="str">
        <f>IF(BK92="","",IF(BL92&lt;'Rate &amp; Vol Update'!$C$2,0,((((((IF('Adjustment Surface'!$C$2='Data Validation'!$A$2,BR92,IF('Adjustment Surface'!$C$2='Data Validation'!$A$3,BQ92,"Unknown Option Type"))-IF('Adjustment Surface'!$C$2='Data Validation'!$A$2,BQ92,IF('Adjustment Surface'!$C$2='Data Validation'!$A$3,BR92,"Unknown Option Type")))*(NORMDIST((IF('Adjustment Surface'!$C$2='Data Validation'!$A$2,BR92,IF('Adjustment Surface'!$C$2='Data Validation'!$A$3,BQ92,"Unknown Option Type"))-IF('Adjustment Surface'!$C$2='Data Validation'!$A$2,BQ92,IF('Adjustment Surface'!$C$2='Data Validation'!$A$3,BR92,"Unknown Option Type")))/((BS92+0.01%)*SQRT(BO92)),0,1,TRUE)))+(((BS92+0.01%)*SQRT(BO92))*(NORMDIST((IF('Adjustment Surface'!$C$2='Data Validation'!$A$2,BR92,IF('Adjustment Surface'!$C$2='Data Validation'!$A$3,BQ92,"Unknown Option Type"))-IF('Adjustment Surface'!$C$2='Data Validation'!$A$2,BQ92,IF('Adjustment Surface'!$C$2='Data Validation'!$A$3,BR92,"Unknown Option Type")))/((BS92+0.01%)*SQRT(BO92)),0,1,FALSE))))*BT92*(BN92/360))-(BV92/BP92))*BP92)*BT92))</f>
        <v/>
      </c>
      <c r="BZ92" s="15" t="str">
        <f>IF(BK92="","",SUM(BY$4:BY92))</f>
        <v/>
      </c>
      <c r="CA92" s="15"/>
      <c r="CB92" s="20"/>
      <c r="CD92" s="4" t="str">
        <f>IF(CE91=MAX('Adjustment Surface'!$C$14:$F$14),"",CE91)</f>
        <v/>
      </c>
      <c r="CE92" s="4" t="str">
        <f>IF(CD92="","",IF(CD92&lt;EDATE('Adjustment Surface'!$C$6,DATEDIF('Adjustment Surface'!$C$6,MAX('Adjustment Surface'!$C$14:$F$14),"M")),EDATE(CD$5,COUNT(CD$5:CD92)),IF(CD92=EDATE('Adjustment Surface'!$C$6,DATEDIF('Adjustment Surface'!$C$6,MAX('Adjustment Surface'!$C$14:$F$14),"M")),MAX('Adjustment Surface'!$C$14:$F$14),EDATE('Adjustment Surface'!$C$6,DATEDIF('Adjustment Surface'!$C$6,MAX('Adjustment Surface'!$C$14:$F$14),"M")))))</f>
        <v/>
      </c>
      <c r="CF92" s="3" t="str">
        <f t="shared" si="10"/>
        <v/>
      </c>
      <c r="CG92" s="5" t="str">
        <f>IF(CC92="","",(CE92-'Rate &amp; Vol Update'!$C$2)/360)</f>
        <v/>
      </c>
      <c r="CH92" s="15" t="str">
        <f>IF(CC92="","",IF('Adjustment Surface'!$C$3='Data Validation'!$C$2,'Adjustment Surface'!$C$4,_xlfn.IFNA(IF(INDEX(Schedules!$E$3:$E$123,MATCH('Bachelier Model'!CD92,Schedules!$B$3:$B$123,0))="",CH91,INDEX(Schedules!$E$3:$E$123,MATCH('Bachelier Model'!CD92,Schedules!$B$3:$B$123,0))),CH91)))</f>
        <v/>
      </c>
      <c r="CI92" s="16" t="str">
        <f>IF(CC92="","",'Adjustment Surface'!B$18)</f>
        <v/>
      </c>
      <c r="CJ92" s="16" t="str" cm="1">
        <f t="array" ref="CJ92">IF(CC92="","",FORECAST(CD92,INDEX('Rate &amp; Vol Update'!$C$6:$C$127,MATCH(INDEX('Rate &amp; Vol Update'!$B$6:$B$127,MATCH(CD92,'Rate &amp; Vol Update'!$B$6:$B$127,1)),'Rate &amp; Vol Update'!$B$6:$B$127,0)+IF('Adjustment Surface'!$C$11='Data Validation'!$E$3,-1,0)):INDEX('Rate &amp; Vol Update'!$C$6:$C$127,MATCH(INDEX('Rate &amp; Vol Update'!$B$6:$B$127,MATCH(CD92,'Rate &amp; Vol Update'!$B$6:$B$127,1)+1),'Rate &amp; Vol Update'!$B$6:$B$127,0)+IF('Adjustment Surface'!$C$11='Data Validation'!$E$3,-1,0)),INDEX('Rate &amp; Vol Update'!$B$6:$B$127,MATCH(CD92,'Rate &amp; Vol Update'!$B$6:$B$127,1)):INDEX('Rate &amp; Vol Update'!$B$6:$B$127,MATCH(CD92,'Rate &amp; Vol Update'!$B$6:$B$127,1)+1))/100)</f>
        <v/>
      </c>
      <c r="CK92" s="16" t="str" cm="1">
        <f t="array" ref="CK92">IF(CC92="","",IF(CD92&lt;'Rate &amp; Vol Update'!$C$2,0.001%,(1/((INDEX('Rate &amp; Vol Update'!$E$6:$Z$6,1,MATCH(CI92,'Rate &amp; Vol Update'!$E$6:$Z$6,1)+1)-INDEX('Rate &amp; Vol Update'!$E$6:$Z$6,1,MATCH(CI92,'Rate &amp; Vol Update'!$E$6:$Z$6,1)))*(INDEX('Rate &amp; Vol Update'!$B$8:$B$127,MATCH(CD92,'Rate &amp; Vol Update'!$B$8:$B$127,1)+1)-INDEX('Rate &amp; Vol Update'!$B$8:$B$127,MATCH(CD92,'Rate &amp; Vol Update'!$B$8:$B$127,1))))*(INDEX('Rate &amp; Vol Update'!$E$8:$Z$127,MATCH(INDEX('Rate &amp; Vol Update'!$B$8:$B$127,MATCH(CD92,'Rate &amp; Vol Update'!$B$8:$B$127,1)),'Rate &amp; Vol Update'!$B$8:$B$127,0),MATCH(INDEX('Rate &amp; Vol Update'!$E$6:$Z$6,1,MATCH(CI92,'Rate &amp; Vol Update'!$E$6:$Z$6,1)),'Rate &amp; Vol Update'!$E$6:$Z$6,0))*(INDEX('Rate &amp; Vol Update'!$E$6:$Z$6,1,MATCH(CI92,'Rate &amp; Vol Update'!$E$6:$Z$6,1)+1)-CI92)*(INDEX('Rate &amp; Vol Update'!$B$8:$B$127,MATCH(CD92,'Rate &amp; Vol Update'!$B$8:$B$127,1)+1)-CD92)+INDEX('Rate &amp; Vol Update'!$E$8:$Z$127,MATCH(INDEX('Rate &amp; Vol Update'!$B$8:$B$127,MATCH(CD92,'Rate &amp; Vol Update'!$B$8:$B$127,1)),'Rate &amp; Vol Update'!$B$8:$B$127,0),MATCH(INDEX('Rate &amp; Vol Update'!$E$6:$Z$6,1,MATCH(CI92,'Rate &amp; Vol Update'!$E$6:$Z$6,1)+1),'Rate &amp; Vol Update'!$E$6:$Z$6,0))*(CI92-INDEX('Rate &amp; Vol Update'!$E$6:$Z$6,1,MATCH(CI92,'Rate &amp; Vol Update'!$E$6:$Z$6,1)))*(INDEX('Rate &amp; Vol Update'!$B$8:$B$127,MATCH(CD92,'Rate &amp; Vol Update'!$B$8:$B$127,1)+1)-CD92)+INDEX('Rate &amp; Vol Update'!$E$8:$Z$127,MATCH(INDEX('Rate &amp; Vol Update'!$B$8:$B$127,MATCH(CD92,'Rate &amp; Vol Update'!$B$8:$B$127,1)+1),'Rate &amp; Vol Update'!$B$8:$B$127,0),MATCH(INDEX('Rate &amp; Vol Update'!$E$6:$Z$6,1,MATCH(CI92,'Rate &amp; Vol Update'!$E$6:$Z$6,1)),'Rate &amp; Vol Update'!$E$6:$Z$6,0))*(INDEX('Rate &amp; Vol Update'!$E$6:$Z$6,1,MATCH(CI92,'Rate &amp; Vol Update'!$E$6:$Z$6,1)+1)-CI92)*(CD92-INDEX('Rate &amp; Vol Update'!$B$8:$B$127,MATCH(CD92,'Rate &amp; Vol Update'!$B$8:$B$127,1)))+INDEX('Rate &amp; Vol Update'!$E$8:$Z$127,MATCH(INDEX('Rate &amp; Vol Update'!$B$8:$B$127,MATCH(CD92,'Rate &amp; Vol Update'!$B$8:$B$127,1)+1),'Rate &amp; Vol Update'!$B$8:$B$127,0),MATCH(INDEX('Rate &amp; Vol Update'!$E$6:$Z$6,1,MATCH(CI92,'Rate &amp; Vol Update'!$E$6:$Z$6,1)+1),'Rate &amp; Vol Update'!$E$6:$Z$6,0))*(CI92-INDEX('Rate &amp; Vol Update'!$E$6:$Z$6,1,MATCH(CI92,'Rate &amp; Vol Update'!$E$6:$Z$6,1)))*(CD92-INDEX('Rate &amp; Vol Update'!$B$8:$B$127,MATCH(CD92,'Rate &amp; Vol Update'!$B$8:$B$127,1)))))*0.01%))</f>
        <v/>
      </c>
      <c r="CL92" s="5" t="str">
        <f>IF(CC92="","",1/((1+CJ92)^((CE92-'Rate &amp; Vol Update'!$C$2)/360)))</f>
        <v/>
      </c>
      <c r="CN92" s="15" t="str">
        <f>IF(CC92="","",IF(CD92&lt;'Rate &amp; Vol Update'!$C$2,MAX(0,CJ92-CI92)*(CF92/360)*CH92,(((IF('Adjustment Surface'!$C$2='Data Validation'!$A$2,CJ92,IF('Adjustment Surface'!$C$2='Data Validation'!$A$3,CI92,"Unknown Option Type"))-IF('Adjustment Surface'!$C$2='Data Validation'!$A$2,CI92,IF('Adjustment Surface'!$C$2='Data Validation'!$A$3,CJ92,"Unknown Option Type")))*(NORMDIST((IF('Adjustment Surface'!$C$2='Data Validation'!$A$2,CJ92,IF('Adjustment Surface'!$C$2='Data Validation'!$A$3,CI92,"Unknown Option Type"))-IF('Adjustment Surface'!$C$2='Data Validation'!$A$2,CI92,IF('Adjustment Surface'!$C$2='Data Validation'!$A$3,CJ92,"Unknown Option Type")))/(CK92*SQRT(CG92)),0,1,TRUE)))+((CK92*SQRT(CG92))*(NORMDIST((IF('Adjustment Surface'!$C$2='Data Validation'!$A$2,CJ92,IF('Adjustment Surface'!$C$2='Data Validation'!$A$3,CI92,"Unknown Option Type"))-IF('Adjustment Surface'!$C$2='Data Validation'!$A$2,CI92,IF('Adjustment Surface'!$C$2='Data Validation'!$A$3,CJ92,"Unknown Option Type")))/(CK92*SQRT(CG92)),0,1,FALSE))))*CL92*(CF92/360)*CH92))</f>
        <v/>
      </c>
      <c r="CO92" s="15" t="str">
        <f>IF(CC92="","",SUM(CN$4:CN92))</f>
        <v/>
      </c>
      <c r="CQ92" s="15" t="str">
        <f>IF(CC92="","",IF(CD92&lt;'Rate &amp; Vol Update'!$C$2,0,((((((IF('Adjustment Surface'!$C$2='Data Validation'!$A$2,CJ92,IF('Adjustment Surface'!$C$2='Data Validation'!$A$3,CI92,"Unknown Option Type"))-IF('Adjustment Surface'!$C$2='Data Validation'!$A$2,CI92,IF('Adjustment Surface'!$C$2='Data Validation'!$A$3,CJ92,"Unknown Option Type")))*(NORMDIST((IF('Adjustment Surface'!$C$2='Data Validation'!$A$2,CJ92,IF('Adjustment Surface'!$C$2='Data Validation'!$A$3,CI92,"Unknown Option Type"))-IF('Adjustment Surface'!$C$2='Data Validation'!$A$2,CI92,IF('Adjustment Surface'!$C$2='Data Validation'!$A$3,CJ92,"Unknown Option Type")))/((CK92+0.01%)*SQRT(CG92)),0,1,TRUE)))+(((CK92+0.01%)*SQRT(CG92))*(NORMDIST((IF('Adjustment Surface'!$C$2='Data Validation'!$A$2,CJ92,IF('Adjustment Surface'!$C$2='Data Validation'!$A$3,CI92,"Unknown Option Type"))-IF('Adjustment Surface'!$C$2='Data Validation'!$A$2,CI92,IF('Adjustment Surface'!$C$2='Data Validation'!$A$3,CJ92,"Unknown Option Type")))/((CK92+0.01%)*SQRT(CG92)),0,1,FALSE))))*CL92*(CF92/360))-(CN92/CH92))*CH92)*CL92))</f>
        <v/>
      </c>
      <c r="CR92" s="15" t="str">
        <f>IF(CC92="","",SUM(CQ$4:CQ92))</f>
        <v/>
      </c>
    </row>
    <row r="93" spans="7:96" x14ac:dyDescent="0.25">
      <c r="G93" s="28"/>
      <c r="J93" s="4" t="str">
        <f>IF(K92='Adjustment Surface'!C$8,"",K92)</f>
        <v/>
      </c>
      <c r="K93" s="4" t="str">
        <f>IF(J93="","",IF(J93&lt;'Adjustment Surface'!C$7,EDATE(J$5,COUNT(J$5:J93)),IF(J93='Adjustment Surface'!C$7,'Adjustment Surface'!C$8,'Adjustment Surface'!C$7)))</f>
        <v/>
      </c>
      <c r="L93" s="3" t="str">
        <f t="shared" si="6"/>
        <v/>
      </c>
      <c r="M93" s="5" t="str">
        <f>IF(I93="","",(K93-'Rate &amp; Vol Update'!$C$2)/360)</f>
        <v/>
      </c>
      <c r="N93" s="15" t="str">
        <f>IF(I93="","",IF('Adjustment Surface'!C$3='Data Validation'!$C$2,'Adjustment Surface'!C$4,IF(INDEX(Schedules!$E$3:$E$123,MATCH('Bachelier Model'!J93,Schedules!$B$3:$B$123,0))="",N92,INDEX(Schedules!$E$3:$E$123,MATCH('Bachelier Model'!J93,Schedules!$B$3:$B$123,0)))))</f>
        <v/>
      </c>
      <c r="O93" s="16" t="str">
        <f>IF(I93="","",IF('Adjustment Surface'!C$9='Data Validation'!$D$2,'Adjustment Surface'!C$10,IF(INDEX(Schedules!$H$3:$H$123,MATCH('Bachelier Model'!J93,Schedules!$B$3:$B$123,0))="",O92,INDEX(Schedules!$H$3:$H$123,MATCH('Bachelier Model'!J93,Schedules!$B$3:$B$123,0)))))</f>
        <v/>
      </c>
      <c r="P93" s="16" t="str" cm="1">
        <f t="array" ref="P93">IF(I93="","",FORECAST(J93,INDEX('Rate &amp; Vol Update'!$C$6:$C$127,MATCH(INDEX('Rate &amp; Vol Update'!$B$6:$B$127,MATCH(J93,'Rate &amp; Vol Update'!$B$6:$B$127,1)),'Rate &amp; Vol Update'!$B$6:$B$127,0)+IF('Adjustment Surface'!C$11='Data Validation'!$E$3,-1,0)):INDEX('Rate &amp; Vol Update'!$C$6:$C$127,MATCH(INDEX('Rate &amp; Vol Update'!$B$6:$B$127,MATCH(J93,'Rate &amp; Vol Update'!$B$6:$B$127,1)+1),'Rate &amp; Vol Update'!$B$6:$B$127,0)+IF('Adjustment Surface'!C$11='Data Validation'!$E$3,-1,0)),INDEX('Rate &amp; Vol Update'!$B$6:$B$127,MATCH(J93,'Rate &amp; Vol Update'!$B$6:$B$127,1)):INDEX('Rate &amp; Vol Update'!$B$6:$B$127,MATCH(J93,'Rate &amp; Vol Update'!$B$6:$B$127,1)+1))/100)</f>
        <v/>
      </c>
      <c r="Q93" s="16" t="str" cm="1">
        <f t="array" ref="Q93">IF(I93="","",IF(J93&lt;'Rate &amp; Vol Update'!$C$2,0.001%,(1/((INDEX('Rate &amp; Vol Update'!$E$6:$Z$6,1,MATCH(O93,'Rate &amp; Vol Update'!$E$6:$Z$6,1)+1)-INDEX('Rate &amp; Vol Update'!$E$6:$Z$6,1,MATCH(O93,'Rate &amp; Vol Update'!$E$6:$Z$6,1)))*(INDEX('Rate &amp; Vol Update'!$B$8:$B$127,MATCH(J93,'Rate &amp; Vol Update'!$B$8:$B$127,1)+1)-INDEX('Rate &amp; Vol Update'!$B$8:$B$127,MATCH(J93,'Rate &amp; Vol Update'!$B$8:$B$127,1))))*(INDEX('Rate &amp; Vol Update'!$E$8:$Z$127,MATCH(INDEX('Rate &amp; Vol Update'!$B$8:$B$127,MATCH(J93,'Rate &amp; Vol Update'!$B$8:$B$127,1)),'Rate &amp; Vol Update'!$B$8:$B$127,0),MATCH(INDEX('Rate &amp; Vol Update'!$E$6:$Z$6,1,MATCH(O93,'Rate &amp; Vol Update'!$E$6:$Z$6,1)),'Rate &amp; Vol Update'!$E$6:$Z$6,0))*(INDEX('Rate &amp; Vol Update'!$E$6:$Z$6,1,MATCH(O93,'Rate &amp; Vol Update'!$E$6:$Z$6,1)+1)-O93)*(INDEX('Rate &amp; Vol Update'!$B$8:$B$127,MATCH(J93,'Rate &amp; Vol Update'!$B$8:$B$127,1)+1)-J93)+INDEX('Rate &amp; Vol Update'!$E$8:$Z$127,MATCH(INDEX('Rate &amp; Vol Update'!$B$8:$B$127,MATCH(J93,'Rate &amp; Vol Update'!$B$8:$B$127,1)),'Rate &amp; Vol Update'!$B$8:$B$127,0),MATCH(INDEX('Rate &amp; Vol Update'!$E$6:$Z$6,1,MATCH(O93,'Rate &amp; Vol Update'!$E$6:$Z$6,1)+1),'Rate &amp; Vol Update'!$E$6:$Z$6,0))*(O93-INDEX('Rate &amp; Vol Update'!$E$6:$Z$6,1,MATCH(O93,'Rate &amp; Vol Update'!$E$6:$Z$6,1)))*(INDEX('Rate &amp; Vol Update'!$B$8:$B$127,MATCH(J93,'Rate &amp; Vol Update'!$B$8:$B$127,1)+1)-J93)+INDEX('Rate &amp; Vol Update'!$E$8:$Z$127,MATCH(INDEX('Rate &amp; Vol Update'!$B$8:$B$127,MATCH(J93,'Rate &amp; Vol Update'!$B$8:$B$127,1)+1),'Rate &amp; Vol Update'!$B$8:$B$127,0),MATCH(INDEX('Rate &amp; Vol Update'!$E$6:$Z$6,1,MATCH(O93,'Rate &amp; Vol Update'!$E$6:$Z$6,1)),'Rate &amp; Vol Update'!$E$6:$Z$6,0))*(INDEX('Rate &amp; Vol Update'!$E$6:$Z$6,1,MATCH(O93,'Rate &amp; Vol Update'!$E$6:$Z$6,1)+1)-O93)*(J93-INDEX('Rate &amp; Vol Update'!$B$8:$B$127,MATCH(J93,'Rate &amp; Vol Update'!$B$8:$B$127,1)))+INDEX('Rate &amp; Vol Update'!$E$8:$Z$127,MATCH(INDEX('Rate &amp; Vol Update'!$B$8:$B$127,MATCH(J93,'Rate &amp; Vol Update'!$B$8:$B$127,1)+1),'Rate &amp; Vol Update'!$B$8:$B$127,0),MATCH(INDEX('Rate &amp; Vol Update'!$E$6:$Z$6,1,MATCH(O93,'Rate &amp; Vol Update'!$E$6:$Z$6,1)+1),'Rate &amp; Vol Update'!$E$6:$Z$6,0))*(O93-INDEX('Rate &amp; Vol Update'!$E$6:$Z$6,1,MATCH(O93,'Rate &amp; Vol Update'!$E$6:$Z$6,1)))*(J93-INDEX('Rate &amp; Vol Update'!$B$8:$B$127,MATCH(J93,'Rate &amp; Vol Update'!$B$8:$B$127,1)))))*0.01%))</f>
        <v/>
      </c>
      <c r="R93" s="5" t="str">
        <f>IF(I93="","",1/((1+P93)^((K93-'Rate &amp; Vol Update'!$C$2)/360)))</f>
        <v/>
      </c>
      <c r="T93" s="15" t="str">
        <f>IF(I93="","",IF(J93&lt;'Rate &amp; Vol Update'!$C$2,MAX(0,P93-O93)*(L93/360)*N93,(((IF('Adjustment Surface'!C$2='Data Validation'!$A$2,P93,IF('Adjustment Surface'!C$2='Data Validation'!$A$3,O93,"Unknown Option Type"))-IF('Adjustment Surface'!C$2='Data Validation'!$A$2,O93,IF('Adjustment Surface'!C$2='Data Validation'!$A$3,P93,"Unknown Option Type")))*(NORMDIST((IF('Adjustment Surface'!C$2='Data Validation'!$A$2,P93,IF('Adjustment Surface'!C$2='Data Validation'!$A$3,O93,"Unknown Option Type"))-IF('Adjustment Surface'!C$2='Data Validation'!$A$2,O93,IF('Adjustment Surface'!C$2='Data Validation'!$A$3,P93,"Unknown Option Type")))/(Q93*SQRT(M93)),0,1,TRUE)))+((Q93*SQRT(M93))*(NORMDIST((IF('Adjustment Surface'!C$2='Data Validation'!$A$2,P93,IF('Adjustment Surface'!C$2='Data Validation'!$A$3,O93,"Unknown Option Type"))-IF('Adjustment Surface'!C$2='Data Validation'!$A$2,O93,IF('Adjustment Surface'!C$2='Data Validation'!$A$3,P93,"Unknown Option Type")))/(Q93*SQRT(M93)),0,1,FALSE))))*R93*(L93/360)*N93))</f>
        <v/>
      </c>
      <c r="U93" s="15" t="str">
        <f>IF(I93="","",SUM(T$4:T93))</f>
        <v/>
      </c>
      <c r="W93" s="15" t="str">
        <f>IF(I93="","",IF(J93&lt;'Rate &amp; Vol Update'!$C$2,0,((((((IF('Adjustment Surface'!C$2='Data Validation'!$A$2,P93,IF('Adjustment Surface'!C$2='Data Validation'!$A$3,O93,"Unknown Option Type"))-IF('Adjustment Surface'!C$2='Data Validation'!$A$2,O93,IF('Adjustment Surface'!C$2='Data Validation'!$A$3,P93,"Unknown Option Type")))*(NORMDIST((IF('Adjustment Surface'!C$2='Data Validation'!$A$2,P93,IF('Adjustment Surface'!C$2='Data Validation'!$A$3,O93,"Unknown Option Type"))-IF('Adjustment Surface'!C$2='Data Validation'!$A$2,O93,IF('Adjustment Surface'!C$2='Data Validation'!$A$3,P93,"Unknown Option Type")))/((Q93+0.01%)*SQRT(M93)),0,1,TRUE)))+(((Q93+0.01%)*SQRT(M93))*(NORMDIST((IF('Adjustment Surface'!C$2='Data Validation'!$A$2,P93,IF('Adjustment Surface'!C$2='Data Validation'!$A$3,O93,"Unknown Option Type"))-IF('Adjustment Surface'!C$2='Data Validation'!$A$2,O93,IF('Adjustment Surface'!C$2='Data Validation'!$A$3,P93,"Unknown Option Type")))/((Q93+0.01%)*SQRT(M93)),0,1,FALSE))))*R93*(L93/360))-(T93/N93))*N93)*R93))</f>
        <v/>
      </c>
      <c r="X93" s="15" t="str">
        <f>IF(I93="","",SUM(W$4:W93))</f>
        <v/>
      </c>
      <c r="Y93" s="15"/>
      <c r="Z93" s="20"/>
      <c r="AB93" s="4" t="str">
        <f>IF(AC92=MAX('Adjustment Surface'!$C$14:$F$14),"",AC92)</f>
        <v/>
      </c>
      <c r="AC93" s="4" t="str">
        <f>IF(AB93="","",IF(AB93&lt;EDATE('Adjustment Surface'!$C$6,DATEDIF('Adjustment Surface'!$C$6,MAX('Adjustment Surface'!$C$14:$F$14),"M")),EDATE(AB$5,COUNT(AB$5:AB93)),IF(AB93=EDATE('Adjustment Surface'!$C$6,DATEDIF('Adjustment Surface'!$C$6,MAX('Adjustment Surface'!$C$14:$F$14),"M")),MAX('Adjustment Surface'!$C$14:$F$14),EDATE('Adjustment Surface'!$C$6,DATEDIF('Adjustment Surface'!$C$6,MAX('Adjustment Surface'!$C$14:$F$14),"M")))))</f>
        <v/>
      </c>
      <c r="AD93" s="3" t="str">
        <f t="shared" si="7"/>
        <v/>
      </c>
      <c r="AE93" s="5" t="str">
        <f>IF(AA93="","",(AC93-'Rate &amp; Vol Update'!$C$2)/360)</f>
        <v/>
      </c>
      <c r="AF93" s="15" t="str">
        <f>IF(AA93="","",IF('Adjustment Surface'!$C$3='Data Validation'!$C$2,'Adjustment Surface'!$C$4,_xlfn.IFNA(IF(INDEX(Schedules!$E$3:$E$123,MATCH('Bachelier Model'!AB93,Schedules!$B$3:$B$123,0))="",AF92,INDEX(Schedules!$E$3:$E$123,MATCH('Bachelier Model'!AB93,Schedules!$B$3:$B$123,0))),AF92)))</f>
        <v/>
      </c>
      <c r="AG93" s="16" t="str">
        <f>IF(AA93="","",'Adjustment Surface'!B$15)</f>
        <v/>
      </c>
      <c r="AH93" s="16" t="str" cm="1">
        <f t="array" ref="AH93">IF(AA93="","",FORECAST(AB93,INDEX('Rate &amp; Vol Update'!$C$6:$C$127,MATCH(INDEX('Rate &amp; Vol Update'!$B$6:$B$127,MATCH(AB93,'Rate &amp; Vol Update'!$B$6:$B$127,1)),'Rate &amp; Vol Update'!$B$6:$B$127,0)+IF('Adjustment Surface'!$C$11='Data Validation'!$E$3,-1,0)):INDEX('Rate &amp; Vol Update'!$C$6:$C$127,MATCH(INDEX('Rate &amp; Vol Update'!$B$6:$B$127,MATCH(AB93,'Rate &amp; Vol Update'!$B$6:$B$127,1)+1),'Rate &amp; Vol Update'!$B$6:$B$127,0)+IF('Adjustment Surface'!$C$11='Data Validation'!$E$3,-1,0)),INDEX('Rate &amp; Vol Update'!$B$6:$B$127,MATCH(AB93,'Rate &amp; Vol Update'!$B$6:$B$127,1)):INDEX('Rate &amp; Vol Update'!$B$6:$B$127,MATCH(AB93,'Rate &amp; Vol Update'!$B$6:$B$127,1)+1))/100)</f>
        <v/>
      </c>
      <c r="AI93" s="16" t="str" cm="1">
        <f t="array" ref="AI93">IF(AA93="","",IF(AB93&lt;'Rate &amp; Vol Update'!$C$2,0.001%,(1/((INDEX('Rate &amp; Vol Update'!$E$6:$Z$6,1,MATCH(AG93,'Rate &amp; Vol Update'!$E$6:$Z$6,1)+1)-INDEX('Rate &amp; Vol Update'!$E$6:$Z$6,1,MATCH(AG93,'Rate &amp; Vol Update'!$E$6:$Z$6,1)))*(INDEX('Rate &amp; Vol Update'!$B$8:$B$127,MATCH(AB93,'Rate &amp; Vol Update'!$B$8:$B$127,1)+1)-INDEX('Rate &amp; Vol Update'!$B$8:$B$127,MATCH(AB93,'Rate &amp; Vol Update'!$B$8:$B$127,1))))*(INDEX('Rate &amp; Vol Update'!$E$8:$Z$127,MATCH(INDEX('Rate &amp; Vol Update'!$B$8:$B$127,MATCH(AB93,'Rate &amp; Vol Update'!$B$8:$B$127,1)),'Rate &amp; Vol Update'!$B$8:$B$127,0),MATCH(INDEX('Rate &amp; Vol Update'!$E$6:$Z$6,1,MATCH(AG93,'Rate &amp; Vol Update'!$E$6:$Z$6,1)),'Rate &amp; Vol Update'!$E$6:$Z$6,0))*(INDEX('Rate &amp; Vol Update'!$E$6:$Z$6,1,MATCH(AG93,'Rate &amp; Vol Update'!$E$6:$Z$6,1)+1)-AG93)*(INDEX('Rate &amp; Vol Update'!$B$8:$B$127,MATCH(AB93,'Rate &amp; Vol Update'!$B$8:$B$127,1)+1)-AB93)+INDEX('Rate &amp; Vol Update'!$E$8:$Z$127,MATCH(INDEX('Rate &amp; Vol Update'!$B$8:$B$127,MATCH(AB93,'Rate &amp; Vol Update'!$B$8:$B$127,1)),'Rate &amp; Vol Update'!$B$8:$B$127,0),MATCH(INDEX('Rate &amp; Vol Update'!$E$6:$Z$6,1,MATCH(AG93,'Rate &amp; Vol Update'!$E$6:$Z$6,1)+1),'Rate &amp; Vol Update'!$E$6:$Z$6,0))*(AG93-INDEX('Rate &amp; Vol Update'!$E$6:$Z$6,1,MATCH(AG93,'Rate &amp; Vol Update'!$E$6:$Z$6,1)))*(INDEX('Rate &amp; Vol Update'!$B$8:$B$127,MATCH(AB93,'Rate &amp; Vol Update'!$B$8:$B$127,1)+1)-AB93)+INDEX('Rate &amp; Vol Update'!$E$8:$Z$127,MATCH(INDEX('Rate &amp; Vol Update'!$B$8:$B$127,MATCH(AB93,'Rate &amp; Vol Update'!$B$8:$B$127,1)+1),'Rate &amp; Vol Update'!$B$8:$B$127,0),MATCH(INDEX('Rate &amp; Vol Update'!$E$6:$Z$6,1,MATCH(AG93,'Rate &amp; Vol Update'!$E$6:$Z$6,1)),'Rate &amp; Vol Update'!$E$6:$Z$6,0))*(INDEX('Rate &amp; Vol Update'!$E$6:$Z$6,1,MATCH(AG93,'Rate &amp; Vol Update'!$E$6:$Z$6,1)+1)-AG93)*(AB93-INDEX('Rate &amp; Vol Update'!$B$8:$B$127,MATCH(AB93,'Rate &amp; Vol Update'!$B$8:$B$127,1)))+INDEX('Rate &amp; Vol Update'!$E$8:$Z$127,MATCH(INDEX('Rate &amp; Vol Update'!$B$8:$B$127,MATCH(AB93,'Rate &amp; Vol Update'!$B$8:$B$127,1)+1),'Rate &amp; Vol Update'!$B$8:$B$127,0),MATCH(INDEX('Rate &amp; Vol Update'!$E$6:$Z$6,1,MATCH(AG93,'Rate &amp; Vol Update'!$E$6:$Z$6,1)+1),'Rate &amp; Vol Update'!$E$6:$Z$6,0))*(AG93-INDEX('Rate &amp; Vol Update'!$E$6:$Z$6,1,MATCH(AG93,'Rate &amp; Vol Update'!$E$6:$Z$6,1)))*(AB93-INDEX('Rate &amp; Vol Update'!$B$8:$B$127,MATCH(AB93,'Rate &amp; Vol Update'!$B$8:$B$127,1)))))*0.01%))</f>
        <v/>
      </c>
      <c r="AJ93" s="5" t="str">
        <f>IF(AA93="","",1/((1+AH93)^((AC93-'Rate &amp; Vol Update'!$C$2)/360)))</f>
        <v/>
      </c>
      <c r="AL93" s="15" t="str">
        <f>IF(AA93="","",IF(AB93&lt;'Rate &amp; Vol Update'!$C$2,MAX(0,AH93-AG93)*(AD93/360)*AF93,(((IF('Adjustment Surface'!$C$2='Data Validation'!$A$2,AH93,IF('Adjustment Surface'!$C$2='Data Validation'!$A$3,AG93,"Unknown Option Type"))-IF('Adjustment Surface'!$C$2='Data Validation'!$A$2,AG93,IF('Adjustment Surface'!$C$2='Data Validation'!$A$3,AH93,"Unknown Option Type")))*(NORMDIST((IF('Adjustment Surface'!$C$2='Data Validation'!$A$2,AH93,IF('Adjustment Surface'!$C$2='Data Validation'!$A$3,AG93,"Unknown Option Type"))-IF('Adjustment Surface'!$C$2='Data Validation'!$A$2,AG93,IF('Adjustment Surface'!$C$2='Data Validation'!$A$3,AH93,"Unknown Option Type")))/(AI93*SQRT(AE93)),0,1,TRUE)))+((AI93*SQRT(AE93))*(NORMDIST((IF('Adjustment Surface'!$C$2='Data Validation'!$A$2,AH93,IF('Adjustment Surface'!$C$2='Data Validation'!$A$3,AG93,"Unknown Option Type"))-IF('Adjustment Surface'!$C$2='Data Validation'!$A$2,AG93,IF('Adjustment Surface'!$C$2='Data Validation'!$A$3,AH93,"Unknown Option Type")))/(AI93*SQRT(AE93)),0,1,FALSE))))*AJ93*(AD93/360)*AF93))</f>
        <v/>
      </c>
      <c r="AM93" s="15" t="str">
        <f>IF(AA93="","",SUM(AL$4:AL93))</f>
        <v/>
      </c>
      <c r="AO93" s="15" t="str">
        <f>IF(AA93="","",IF(AB93&lt;'Rate &amp; Vol Update'!$C$2,0,((((((IF('Adjustment Surface'!$C$2='Data Validation'!$A$2,AH93,IF('Adjustment Surface'!$C$2='Data Validation'!$A$3,AG93,"Unknown Option Type"))-IF('Adjustment Surface'!$C$2='Data Validation'!$A$2,AG93,IF('Adjustment Surface'!$C$2='Data Validation'!$A$3,AH93,"Unknown Option Type")))*(NORMDIST((IF('Adjustment Surface'!$C$2='Data Validation'!$A$2,AH93,IF('Adjustment Surface'!$C$2='Data Validation'!$A$3,AG93,"Unknown Option Type"))-IF('Adjustment Surface'!$C$2='Data Validation'!$A$2,AG93,IF('Adjustment Surface'!$C$2='Data Validation'!$A$3,AH93,"Unknown Option Type")))/((AI93+0.01%)*SQRT(AE93)),0,1,TRUE)))+(((AI93+0.01%)*SQRT(AE93))*(NORMDIST((IF('Adjustment Surface'!$C$2='Data Validation'!$A$2,AH93,IF('Adjustment Surface'!$C$2='Data Validation'!$A$3,AG93,"Unknown Option Type"))-IF('Adjustment Surface'!$C$2='Data Validation'!$A$2,AG93,IF('Adjustment Surface'!$C$2='Data Validation'!$A$3,AH93,"Unknown Option Type")))/((AI93+0.01%)*SQRT(AE93)),0,1,FALSE))))*AJ93*(AD93/360))-(AL93/AF93))*AF93)*AJ93))</f>
        <v/>
      </c>
      <c r="AP93" s="15" t="str">
        <f>IF(AA93="","",SUM(AO$4:AO93))</f>
        <v/>
      </c>
      <c r="AQ93" s="15"/>
      <c r="AR93" s="20"/>
      <c r="AT93" s="4" t="str">
        <f>IF(AU92=MAX('Adjustment Surface'!$C$14:$F$14),"",AU92)</f>
        <v/>
      </c>
      <c r="AU93" s="4" t="str">
        <f>IF(AT93="","",IF(AT93&lt;EDATE('Adjustment Surface'!$C$6,DATEDIF('Adjustment Surface'!$C$6,MAX('Adjustment Surface'!$C$14:$F$14),"M")),EDATE(AT$5,COUNT(AT$5:AT93)),IF(AT93=EDATE('Adjustment Surface'!$C$6,DATEDIF('Adjustment Surface'!$C$6,MAX('Adjustment Surface'!$C$14:$F$14),"M")),MAX('Adjustment Surface'!$C$14:$F$14),EDATE('Adjustment Surface'!$C$6,DATEDIF('Adjustment Surface'!$C$6,MAX('Adjustment Surface'!$C$14:$F$14),"M")))))</f>
        <v/>
      </c>
      <c r="AV93" s="3" t="str">
        <f t="shared" si="8"/>
        <v/>
      </c>
      <c r="AW93" s="5" t="str">
        <f>IF(AS93="","",(AU93-'Rate &amp; Vol Update'!$C$2)/360)</f>
        <v/>
      </c>
      <c r="AX93" s="15" t="str">
        <f>IF(AS93="","",IF('Adjustment Surface'!$C$3='Data Validation'!$C$2,'Adjustment Surface'!$C$4,_xlfn.IFNA(IF(INDEX(Schedules!$E$3:$E$123,MATCH('Bachelier Model'!AT93,Schedules!$B$3:$B$123,0))="",AX92,INDEX(Schedules!$E$3:$E$123,MATCH('Bachelier Model'!AT93,Schedules!$B$3:$B$123,0))),AX92)))</f>
        <v/>
      </c>
      <c r="AY93" s="16" t="str">
        <f>IF(AS93="","",'Adjustment Surface'!B$16)</f>
        <v/>
      </c>
      <c r="AZ93" s="16" t="str" cm="1">
        <f t="array" ref="AZ93">IF(AS93="","",FORECAST(AT93,INDEX('Rate &amp; Vol Update'!$C$6:$C$127,MATCH(INDEX('Rate &amp; Vol Update'!$B$6:$B$127,MATCH(AT93,'Rate &amp; Vol Update'!$B$6:$B$127,1)),'Rate &amp; Vol Update'!$B$6:$B$127,0)+IF('Adjustment Surface'!$C$11='Data Validation'!$E$3,-1,0)):INDEX('Rate &amp; Vol Update'!$C$6:$C$127,MATCH(INDEX('Rate &amp; Vol Update'!$B$6:$B$127,MATCH(AT93,'Rate &amp; Vol Update'!$B$6:$B$127,1)+1),'Rate &amp; Vol Update'!$B$6:$B$127,0)+IF('Adjustment Surface'!$C$11='Data Validation'!$E$3,-1,0)),INDEX('Rate &amp; Vol Update'!$B$6:$B$127,MATCH(AT93,'Rate &amp; Vol Update'!$B$6:$B$127,1)):INDEX('Rate &amp; Vol Update'!$B$6:$B$127,MATCH(AT93,'Rate &amp; Vol Update'!$B$6:$B$127,1)+1))/100)</f>
        <v/>
      </c>
      <c r="BA93" s="16" t="str" cm="1">
        <f t="array" ref="BA93">IF(AS93="","",IF(AT93&lt;'Rate &amp; Vol Update'!$C$2,0.001%,(1/((INDEX('Rate &amp; Vol Update'!$E$6:$Z$6,1,MATCH(AY93,'Rate &amp; Vol Update'!$E$6:$Z$6,1)+1)-INDEX('Rate &amp; Vol Update'!$E$6:$Z$6,1,MATCH(AY93,'Rate &amp; Vol Update'!$E$6:$Z$6,1)))*(INDEX('Rate &amp; Vol Update'!$B$8:$B$127,MATCH(AT93,'Rate &amp; Vol Update'!$B$8:$B$127,1)+1)-INDEX('Rate &amp; Vol Update'!$B$8:$B$127,MATCH(AT93,'Rate &amp; Vol Update'!$B$8:$B$127,1))))*(INDEX('Rate &amp; Vol Update'!$E$8:$Z$127,MATCH(INDEX('Rate &amp; Vol Update'!$B$8:$B$127,MATCH(AT93,'Rate &amp; Vol Update'!$B$8:$B$127,1)),'Rate &amp; Vol Update'!$B$8:$B$127,0),MATCH(INDEX('Rate &amp; Vol Update'!$E$6:$Z$6,1,MATCH(AY93,'Rate &amp; Vol Update'!$E$6:$Z$6,1)),'Rate &amp; Vol Update'!$E$6:$Z$6,0))*(INDEX('Rate &amp; Vol Update'!$E$6:$Z$6,1,MATCH(AY93,'Rate &amp; Vol Update'!$E$6:$Z$6,1)+1)-AY93)*(INDEX('Rate &amp; Vol Update'!$B$8:$B$127,MATCH(AT93,'Rate &amp; Vol Update'!$B$8:$B$127,1)+1)-AT93)+INDEX('Rate &amp; Vol Update'!$E$8:$Z$127,MATCH(INDEX('Rate &amp; Vol Update'!$B$8:$B$127,MATCH(AT93,'Rate &amp; Vol Update'!$B$8:$B$127,1)),'Rate &amp; Vol Update'!$B$8:$B$127,0),MATCH(INDEX('Rate &amp; Vol Update'!$E$6:$Z$6,1,MATCH(AY93,'Rate &amp; Vol Update'!$E$6:$Z$6,1)+1),'Rate &amp; Vol Update'!$E$6:$Z$6,0))*(AY93-INDEX('Rate &amp; Vol Update'!$E$6:$Z$6,1,MATCH(AY93,'Rate &amp; Vol Update'!$E$6:$Z$6,1)))*(INDEX('Rate &amp; Vol Update'!$B$8:$B$127,MATCH(AT93,'Rate &amp; Vol Update'!$B$8:$B$127,1)+1)-AT93)+INDEX('Rate &amp; Vol Update'!$E$8:$Z$127,MATCH(INDEX('Rate &amp; Vol Update'!$B$8:$B$127,MATCH(AT93,'Rate &amp; Vol Update'!$B$8:$B$127,1)+1),'Rate &amp; Vol Update'!$B$8:$B$127,0),MATCH(INDEX('Rate &amp; Vol Update'!$E$6:$Z$6,1,MATCH(AY93,'Rate &amp; Vol Update'!$E$6:$Z$6,1)),'Rate &amp; Vol Update'!$E$6:$Z$6,0))*(INDEX('Rate &amp; Vol Update'!$E$6:$Z$6,1,MATCH(AY93,'Rate &amp; Vol Update'!$E$6:$Z$6,1)+1)-AY93)*(AT93-INDEX('Rate &amp; Vol Update'!$B$8:$B$127,MATCH(AT93,'Rate &amp; Vol Update'!$B$8:$B$127,1)))+INDEX('Rate &amp; Vol Update'!$E$8:$Z$127,MATCH(INDEX('Rate &amp; Vol Update'!$B$8:$B$127,MATCH(AT93,'Rate &amp; Vol Update'!$B$8:$B$127,1)+1),'Rate &amp; Vol Update'!$B$8:$B$127,0),MATCH(INDEX('Rate &amp; Vol Update'!$E$6:$Z$6,1,MATCH(AY93,'Rate &amp; Vol Update'!$E$6:$Z$6,1)+1),'Rate &amp; Vol Update'!$E$6:$Z$6,0))*(AY93-INDEX('Rate &amp; Vol Update'!$E$6:$Z$6,1,MATCH(AY93,'Rate &amp; Vol Update'!$E$6:$Z$6,1)))*(AT93-INDEX('Rate &amp; Vol Update'!$B$8:$B$127,MATCH(AT93,'Rate &amp; Vol Update'!$B$8:$B$127,1)))))*0.01%))</f>
        <v/>
      </c>
      <c r="BB93" s="5" t="str">
        <f>IF(AS93="","",1/((1+AZ93)^((AU93-'Rate &amp; Vol Update'!$C$2)/360)))</f>
        <v/>
      </c>
      <c r="BD93" s="15" t="str">
        <f>IF(AS93="","",IF(AT93&lt;'Rate &amp; Vol Update'!$C$2,MAX(0,AZ93-AY93)*(AV93/360)*AX93,(((IF('Adjustment Surface'!$C$2='Data Validation'!$A$2,AZ93,IF('Adjustment Surface'!$C$2='Data Validation'!$A$3,AY93,"Unknown Option Type"))-IF('Adjustment Surface'!$C$2='Data Validation'!$A$2,AY93,IF('Adjustment Surface'!$C$2='Data Validation'!$A$3,AZ93,"Unknown Option Type")))*(NORMDIST((IF('Adjustment Surface'!$C$2='Data Validation'!$A$2,AZ93,IF('Adjustment Surface'!$C$2='Data Validation'!$A$3,AY93,"Unknown Option Type"))-IF('Adjustment Surface'!$C$2='Data Validation'!$A$2,AY93,IF('Adjustment Surface'!$C$2='Data Validation'!$A$3,AZ93,"Unknown Option Type")))/(BA93*SQRT(AW93)),0,1,TRUE)))+((BA93*SQRT(AW93))*(NORMDIST((IF('Adjustment Surface'!$C$2='Data Validation'!$A$2,AZ93,IF('Adjustment Surface'!$C$2='Data Validation'!$A$3,AY93,"Unknown Option Type"))-IF('Adjustment Surface'!$C$2='Data Validation'!$A$2,AY93,IF('Adjustment Surface'!$C$2='Data Validation'!$A$3,AZ93,"Unknown Option Type")))/(BA93*SQRT(AW93)),0,1,FALSE))))*BB93*(AV93/360)*AX93))</f>
        <v/>
      </c>
      <c r="BE93" s="15" t="str">
        <f>IF(AS93="","",SUM(BD$4:BD93))</f>
        <v/>
      </c>
      <c r="BG93" s="15" t="str">
        <f>IF(AS93="","",IF(AT93&lt;'Rate &amp; Vol Update'!$C$2,0,((((((IF('Adjustment Surface'!$C$2='Data Validation'!$A$2,AZ93,IF('Adjustment Surface'!$C$2='Data Validation'!$A$3,AY93,"Unknown Option Type"))-IF('Adjustment Surface'!$C$2='Data Validation'!$A$2,AY93,IF('Adjustment Surface'!$C$2='Data Validation'!$A$3,AZ93,"Unknown Option Type")))*(NORMDIST((IF('Adjustment Surface'!$C$2='Data Validation'!$A$2,AZ93,IF('Adjustment Surface'!$C$2='Data Validation'!$A$3,AY93,"Unknown Option Type"))-IF('Adjustment Surface'!$C$2='Data Validation'!$A$2,AY93,IF('Adjustment Surface'!$C$2='Data Validation'!$A$3,AZ93,"Unknown Option Type")))/((BA93+0.01%)*SQRT(AW93)),0,1,TRUE)))+(((BA93+0.01%)*SQRT(AW93))*(NORMDIST((IF('Adjustment Surface'!$C$2='Data Validation'!$A$2,AZ93,IF('Adjustment Surface'!$C$2='Data Validation'!$A$3,AY93,"Unknown Option Type"))-IF('Adjustment Surface'!$C$2='Data Validation'!$A$2,AY93,IF('Adjustment Surface'!$C$2='Data Validation'!$A$3,AZ93,"Unknown Option Type")))/((BA93+0.01%)*SQRT(AW93)),0,1,FALSE))))*BB93*(AV93/360))-(BD93/AX93))*AX93)*BB93))</f>
        <v/>
      </c>
      <c r="BH93" s="15" t="str">
        <f>IF(AS93="","",SUM(BG$4:BG93))</f>
        <v/>
      </c>
      <c r="BI93" s="15"/>
      <c r="BJ93" s="20"/>
      <c r="BL93" s="4" t="str">
        <f>IF(BM92=MAX('Adjustment Surface'!$C$14:$F$14),"",BM92)</f>
        <v/>
      </c>
      <c r="BM93" s="4" t="str">
        <f>IF(BL93="","",IF(BL93&lt;EDATE('Adjustment Surface'!$C$6,DATEDIF('Adjustment Surface'!$C$6,MAX('Adjustment Surface'!$C$14:$F$14),"M")),EDATE(BL$5,COUNT(BL$5:BL93)),IF(BL93=EDATE('Adjustment Surface'!$C$6,DATEDIF('Adjustment Surface'!$C$6,MAX('Adjustment Surface'!$C$14:$F$14),"M")),MAX('Adjustment Surface'!$C$14:$F$14),EDATE('Adjustment Surface'!$C$6,DATEDIF('Adjustment Surface'!$C$6,MAX('Adjustment Surface'!$C$14:$F$14),"M")))))</f>
        <v/>
      </c>
      <c r="BN93" s="3" t="str">
        <f t="shared" si="9"/>
        <v/>
      </c>
      <c r="BO93" s="5" t="str">
        <f>IF(BK93="","",(BM93-'Rate &amp; Vol Update'!$C$2)/360)</f>
        <v/>
      </c>
      <c r="BP93" s="15" t="str">
        <f>IF(BK93="","",IF('Adjustment Surface'!$C$3='Data Validation'!$C$2,'Adjustment Surface'!$C$4,_xlfn.IFNA(IF(INDEX(Schedules!$E$3:$E$123,MATCH('Bachelier Model'!BL93,Schedules!$B$3:$B$123,0))="",BP92,INDEX(Schedules!$E$3:$E$123,MATCH('Bachelier Model'!BL93,Schedules!$B$3:$B$123,0))),BP92)))</f>
        <v/>
      </c>
      <c r="BQ93" s="16" t="str">
        <f>IF(BK93="","",'Adjustment Surface'!B$17)</f>
        <v/>
      </c>
      <c r="BR93" s="16" t="str" cm="1">
        <f t="array" ref="BR93">IF(BK93="","",FORECAST(BL93,INDEX('Rate &amp; Vol Update'!$C$6:$C$127,MATCH(INDEX('Rate &amp; Vol Update'!$B$6:$B$127,MATCH(BL93,'Rate &amp; Vol Update'!$B$6:$B$127,1)),'Rate &amp; Vol Update'!$B$6:$B$127,0)+IF('Adjustment Surface'!$C$11='Data Validation'!$E$3,-1,0)):INDEX('Rate &amp; Vol Update'!$C$6:$C$127,MATCH(INDEX('Rate &amp; Vol Update'!$B$6:$B$127,MATCH(BL93,'Rate &amp; Vol Update'!$B$6:$B$127,1)+1),'Rate &amp; Vol Update'!$B$6:$B$127,0)+IF('Adjustment Surface'!$C$11='Data Validation'!$E$3,-1,0)),INDEX('Rate &amp; Vol Update'!$B$6:$B$127,MATCH(BL93,'Rate &amp; Vol Update'!$B$6:$B$127,1)):INDEX('Rate &amp; Vol Update'!$B$6:$B$127,MATCH(BL93,'Rate &amp; Vol Update'!$B$6:$B$127,1)+1))/100)</f>
        <v/>
      </c>
      <c r="BS93" s="16" t="str" cm="1">
        <f t="array" ref="BS93">IF(BK93="","",IF(BL93&lt;'Rate &amp; Vol Update'!$C$2,0.001%,(1/((INDEX('Rate &amp; Vol Update'!$E$6:$Z$6,1,MATCH(BQ93,'Rate &amp; Vol Update'!$E$6:$Z$6,1)+1)-INDEX('Rate &amp; Vol Update'!$E$6:$Z$6,1,MATCH(BQ93,'Rate &amp; Vol Update'!$E$6:$Z$6,1)))*(INDEX('Rate &amp; Vol Update'!$B$8:$B$127,MATCH(BL93,'Rate &amp; Vol Update'!$B$8:$B$127,1)+1)-INDEX('Rate &amp; Vol Update'!$B$8:$B$127,MATCH(BL93,'Rate &amp; Vol Update'!$B$8:$B$127,1))))*(INDEX('Rate &amp; Vol Update'!$E$8:$Z$127,MATCH(INDEX('Rate &amp; Vol Update'!$B$8:$B$127,MATCH(BL93,'Rate &amp; Vol Update'!$B$8:$B$127,1)),'Rate &amp; Vol Update'!$B$8:$B$127,0),MATCH(INDEX('Rate &amp; Vol Update'!$E$6:$Z$6,1,MATCH(BQ93,'Rate &amp; Vol Update'!$E$6:$Z$6,1)),'Rate &amp; Vol Update'!$E$6:$Z$6,0))*(INDEX('Rate &amp; Vol Update'!$E$6:$Z$6,1,MATCH(BQ93,'Rate &amp; Vol Update'!$E$6:$Z$6,1)+1)-BQ93)*(INDEX('Rate &amp; Vol Update'!$B$8:$B$127,MATCH(BL93,'Rate &amp; Vol Update'!$B$8:$B$127,1)+1)-BL93)+INDEX('Rate &amp; Vol Update'!$E$8:$Z$127,MATCH(INDEX('Rate &amp; Vol Update'!$B$8:$B$127,MATCH(BL93,'Rate &amp; Vol Update'!$B$8:$B$127,1)),'Rate &amp; Vol Update'!$B$8:$B$127,0),MATCH(INDEX('Rate &amp; Vol Update'!$E$6:$Z$6,1,MATCH(BQ93,'Rate &amp; Vol Update'!$E$6:$Z$6,1)+1),'Rate &amp; Vol Update'!$E$6:$Z$6,0))*(BQ93-INDEX('Rate &amp; Vol Update'!$E$6:$Z$6,1,MATCH(BQ93,'Rate &amp; Vol Update'!$E$6:$Z$6,1)))*(INDEX('Rate &amp; Vol Update'!$B$8:$B$127,MATCH(BL93,'Rate &amp; Vol Update'!$B$8:$B$127,1)+1)-BL93)+INDEX('Rate &amp; Vol Update'!$E$8:$Z$127,MATCH(INDEX('Rate &amp; Vol Update'!$B$8:$B$127,MATCH(BL93,'Rate &amp; Vol Update'!$B$8:$B$127,1)+1),'Rate &amp; Vol Update'!$B$8:$B$127,0),MATCH(INDEX('Rate &amp; Vol Update'!$E$6:$Z$6,1,MATCH(BQ93,'Rate &amp; Vol Update'!$E$6:$Z$6,1)),'Rate &amp; Vol Update'!$E$6:$Z$6,0))*(INDEX('Rate &amp; Vol Update'!$E$6:$Z$6,1,MATCH(BQ93,'Rate &amp; Vol Update'!$E$6:$Z$6,1)+1)-BQ93)*(BL93-INDEX('Rate &amp; Vol Update'!$B$8:$B$127,MATCH(BL93,'Rate &amp; Vol Update'!$B$8:$B$127,1)))+INDEX('Rate &amp; Vol Update'!$E$8:$Z$127,MATCH(INDEX('Rate &amp; Vol Update'!$B$8:$B$127,MATCH(BL93,'Rate &amp; Vol Update'!$B$8:$B$127,1)+1),'Rate &amp; Vol Update'!$B$8:$B$127,0),MATCH(INDEX('Rate &amp; Vol Update'!$E$6:$Z$6,1,MATCH(BQ93,'Rate &amp; Vol Update'!$E$6:$Z$6,1)+1),'Rate &amp; Vol Update'!$E$6:$Z$6,0))*(BQ93-INDEX('Rate &amp; Vol Update'!$E$6:$Z$6,1,MATCH(BQ93,'Rate &amp; Vol Update'!$E$6:$Z$6,1)))*(BL93-INDEX('Rate &amp; Vol Update'!$B$8:$B$127,MATCH(BL93,'Rate &amp; Vol Update'!$B$8:$B$127,1)))))*0.01%))</f>
        <v/>
      </c>
      <c r="BT93" s="5" t="str">
        <f>IF(BK93="","",1/((1+BR93)^((BM93-'Rate &amp; Vol Update'!$C$2)/360)))</f>
        <v/>
      </c>
      <c r="BV93" s="15" t="str">
        <f>IF(BK93="","",IF(BL93&lt;'Rate &amp; Vol Update'!$C$2,MAX(0,BR93-BQ93)*(BN93/360)*BP93,(((IF('Adjustment Surface'!$C$2='Data Validation'!$A$2,BR93,IF('Adjustment Surface'!$C$2='Data Validation'!$A$3,BQ93,"Unknown Option Type"))-IF('Adjustment Surface'!$C$2='Data Validation'!$A$2,BQ93,IF('Adjustment Surface'!$C$2='Data Validation'!$A$3,BR93,"Unknown Option Type")))*(NORMDIST((IF('Adjustment Surface'!$C$2='Data Validation'!$A$2,BR93,IF('Adjustment Surface'!$C$2='Data Validation'!$A$3,BQ93,"Unknown Option Type"))-IF('Adjustment Surface'!$C$2='Data Validation'!$A$2,BQ93,IF('Adjustment Surface'!$C$2='Data Validation'!$A$3,BR93,"Unknown Option Type")))/(BS93*SQRT(BO93)),0,1,TRUE)))+((BS93*SQRT(BO93))*(NORMDIST((IF('Adjustment Surface'!$C$2='Data Validation'!$A$2,BR93,IF('Adjustment Surface'!$C$2='Data Validation'!$A$3,BQ93,"Unknown Option Type"))-IF('Adjustment Surface'!$C$2='Data Validation'!$A$2,BQ93,IF('Adjustment Surface'!$C$2='Data Validation'!$A$3,BR93,"Unknown Option Type")))/(BS93*SQRT(BO93)),0,1,FALSE))))*BT93*(BN93/360)*BP93))</f>
        <v/>
      </c>
      <c r="BW93" s="15" t="str">
        <f>IF(BK93="","",SUM(BV$4:BV93))</f>
        <v/>
      </c>
      <c r="BY93" s="15" t="str">
        <f>IF(BK93="","",IF(BL93&lt;'Rate &amp; Vol Update'!$C$2,0,((((((IF('Adjustment Surface'!$C$2='Data Validation'!$A$2,BR93,IF('Adjustment Surface'!$C$2='Data Validation'!$A$3,BQ93,"Unknown Option Type"))-IF('Adjustment Surface'!$C$2='Data Validation'!$A$2,BQ93,IF('Adjustment Surface'!$C$2='Data Validation'!$A$3,BR93,"Unknown Option Type")))*(NORMDIST((IF('Adjustment Surface'!$C$2='Data Validation'!$A$2,BR93,IF('Adjustment Surface'!$C$2='Data Validation'!$A$3,BQ93,"Unknown Option Type"))-IF('Adjustment Surface'!$C$2='Data Validation'!$A$2,BQ93,IF('Adjustment Surface'!$C$2='Data Validation'!$A$3,BR93,"Unknown Option Type")))/((BS93+0.01%)*SQRT(BO93)),0,1,TRUE)))+(((BS93+0.01%)*SQRT(BO93))*(NORMDIST((IF('Adjustment Surface'!$C$2='Data Validation'!$A$2,BR93,IF('Adjustment Surface'!$C$2='Data Validation'!$A$3,BQ93,"Unknown Option Type"))-IF('Adjustment Surface'!$C$2='Data Validation'!$A$2,BQ93,IF('Adjustment Surface'!$C$2='Data Validation'!$A$3,BR93,"Unknown Option Type")))/((BS93+0.01%)*SQRT(BO93)),0,1,FALSE))))*BT93*(BN93/360))-(BV93/BP93))*BP93)*BT93))</f>
        <v/>
      </c>
      <c r="BZ93" s="15" t="str">
        <f>IF(BK93="","",SUM(BY$4:BY93))</f>
        <v/>
      </c>
      <c r="CA93" s="15"/>
      <c r="CB93" s="20"/>
      <c r="CD93" s="4" t="str">
        <f>IF(CE92=MAX('Adjustment Surface'!$C$14:$F$14),"",CE92)</f>
        <v/>
      </c>
      <c r="CE93" s="4" t="str">
        <f>IF(CD93="","",IF(CD93&lt;EDATE('Adjustment Surface'!$C$6,DATEDIF('Adjustment Surface'!$C$6,MAX('Adjustment Surface'!$C$14:$F$14),"M")),EDATE(CD$5,COUNT(CD$5:CD93)),IF(CD93=EDATE('Adjustment Surface'!$C$6,DATEDIF('Adjustment Surface'!$C$6,MAX('Adjustment Surface'!$C$14:$F$14),"M")),MAX('Adjustment Surface'!$C$14:$F$14),EDATE('Adjustment Surface'!$C$6,DATEDIF('Adjustment Surface'!$C$6,MAX('Adjustment Surface'!$C$14:$F$14),"M")))))</f>
        <v/>
      </c>
      <c r="CF93" s="3" t="str">
        <f t="shared" si="10"/>
        <v/>
      </c>
      <c r="CG93" s="5" t="str">
        <f>IF(CC93="","",(CE93-'Rate &amp; Vol Update'!$C$2)/360)</f>
        <v/>
      </c>
      <c r="CH93" s="15" t="str">
        <f>IF(CC93="","",IF('Adjustment Surface'!$C$3='Data Validation'!$C$2,'Adjustment Surface'!$C$4,_xlfn.IFNA(IF(INDEX(Schedules!$E$3:$E$123,MATCH('Bachelier Model'!CD93,Schedules!$B$3:$B$123,0))="",CH92,INDEX(Schedules!$E$3:$E$123,MATCH('Bachelier Model'!CD93,Schedules!$B$3:$B$123,0))),CH92)))</f>
        <v/>
      </c>
      <c r="CI93" s="16" t="str">
        <f>IF(CC93="","",'Adjustment Surface'!B$18)</f>
        <v/>
      </c>
      <c r="CJ93" s="16" t="str" cm="1">
        <f t="array" ref="CJ93">IF(CC93="","",FORECAST(CD93,INDEX('Rate &amp; Vol Update'!$C$6:$C$127,MATCH(INDEX('Rate &amp; Vol Update'!$B$6:$B$127,MATCH(CD93,'Rate &amp; Vol Update'!$B$6:$B$127,1)),'Rate &amp; Vol Update'!$B$6:$B$127,0)+IF('Adjustment Surface'!$C$11='Data Validation'!$E$3,-1,0)):INDEX('Rate &amp; Vol Update'!$C$6:$C$127,MATCH(INDEX('Rate &amp; Vol Update'!$B$6:$B$127,MATCH(CD93,'Rate &amp; Vol Update'!$B$6:$B$127,1)+1),'Rate &amp; Vol Update'!$B$6:$B$127,0)+IF('Adjustment Surface'!$C$11='Data Validation'!$E$3,-1,0)),INDEX('Rate &amp; Vol Update'!$B$6:$B$127,MATCH(CD93,'Rate &amp; Vol Update'!$B$6:$B$127,1)):INDEX('Rate &amp; Vol Update'!$B$6:$B$127,MATCH(CD93,'Rate &amp; Vol Update'!$B$6:$B$127,1)+1))/100)</f>
        <v/>
      </c>
      <c r="CK93" s="16" t="str" cm="1">
        <f t="array" ref="CK93">IF(CC93="","",IF(CD93&lt;'Rate &amp; Vol Update'!$C$2,0.001%,(1/((INDEX('Rate &amp; Vol Update'!$E$6:$Z$6,1,MATCH(CI93,'Rate &amp; Vol Update'!$E$6:$Z$6,1)+1)-INDEX('Rate &amp; Vol Update'!$E$6:$Z$6,1,MATCH(CI93,'Rate &amp; Vol Update'!$E$6:$Z$6,1)))*(INDEX('Rate &amp; Vol Update'!$B$8:$B$127,MATCH(CD93,'Rate &amp; Vol Update'!$B$8:$B$127,1)+1)-INDEX('Rate &amp; Vol Update'!$B$8:$B$127,MATCH(CD93,'Rate &amp; Vol Update'!$B$8:$B$127,1))))*(INDEX('Rate &amp; Vol Update'!$E$8:$Z$127,MATCH(INDEX('Rate &amp; Vol Update'!$B$8:$B$127,MATCH(CD93,'Rate &amp; Vol Update'!$B$8:$B$127,1)),'Rate &amp; Vol Update'!$B$8:$B$127,0),MATCH(INDEX('Rate &amp; Vol Update'!$E$6:$Z$6,1,MATCH(CI93,'Rate &amp; Vol Update'!$E$6:$Z$6,1)),'Rate &amp; Vol Update'!$E$6:$Z$6,0))*(INDEX('Rate &amp; Vol Update'!$E$6:$Z$6,1,MATCH(CI93,'Rate &amp; Vol Update'!$E$6:$Z$6,1)+1)-CI93)*(INDEX('Rate &amp; Vol Update'!$B$8:$B$127,MATCH(CD93,'Rate &amp; Vol Update'!$B$8:$B$127,1)+1)-CD93)+INDEX('Rate &amp; Vol Update'!$E$8:$Z$127,MATCH(INDEX('Rate &amp; Vol Update'!$B$8:$B$127,MATCH(CD93,'Rate &amp; Vol Update'!$B$8:$B$127,1)),'Rate &amp; Vol Update'!$B$8:$B$127,0),MATCH(INDEX('Rate &amp; Vol Update'!$E$6:$Z$6,1,MATCH(CI93,'Rate &amp; Vol Update'!$E$6:$Z$6,1)+1),'Rate &amp; Vol Update'!$E$6:$Z$6,0))*(CI93-INDEX('Rate &amp; Vol Update'!$E$6:$Z$6,1,MATCH(CI93,'Rate &amp; Vol Update'!$E$6:$Z$6,1)))*(INDEX('Rate &amp; Vol Update'!$B$8:$B$127,MATCH(CD93,'Rate &amp; Vol Update'!$B$8:$B$127,1)+1)-CD93)+INDEX('Rate &amp; Vol Update'!$E$8:$Z$127,MATCH(INDEX('Rate &amp; Vol Update'!$B$8:$B$127,MATCH(CD93,'Rate &amp; Vol Update'!$B$8:$B$127,1)+1),'Rate &amp; Vol Update'!$B$8:$B$127,0),MATCH(INDEX('Rate &amp; Vol Update'!$E$6:$Z$6,1,MATCH(CI93,'Rate &amp; Vol Update'!$E$6:$Z$6,1)),'Rate &amp; Vol Update'!$E$6:$Z$6,0))*(INDEX('Rate &amp; Vol Update'!$E$6:$Z$6,1,MATCH(CI93,'Rate &amp; Vol Update'!$E$6:$Z$6,1)+1)-CI93)*(CD93-INDEX('Rate &amp; Vol Update'!$B$8:$B$127,MATCH(CD93,'Rate &amp; Vol Update'!$B$8:$B$127,1)))+INDEX('Rate &amp; Vol Update'!$E$8:$Z$127,MATCH(INDEX('Rate &amp; Vol Update'!$B$8:$B$127,MATCH(CD93,'Rate &amp; Vol Update'!$B$8:$B$127,1)+1),'Rate &amp; Vol Update'!$B$8:$B$127,0),MATCH(INDEX('Rate &amp; Vol Update'!$E$6:$Z$6,1,MATCH(CI93,'Rate &amp; Vol Update'!$E$6:$Z$6,1)+1),'Rate &amp; Vol Update'!$E$6:$Z$6,0))*(CI93-INDEX('Rate &amp; Vol Update'!$E$6:$Z$6,1,MATCH(CI93,'Rate &amp; Vol Update'!$E$6:$Z$6,1)))*(CD93-INDEX('Rate &amp; Vol Update'!$B$8:$B$127,MATCH(CD93,'Rate &amp; Vol Update'!$B$8:$B$127,1)))))*0.01%))</f>
        <v/>
      </c>
      <c r="CL93" s="5" t="str">
        <f>IF(CC93="","",1/((1+CJ93)^((CE93-'Rate &amp; Vol Update'!$C$2)/360)))</f>
        <v/>
      </c>
      <c r="CN93" s="15" t="str">
        <f>IF(CC93="","",IF(CD93&lt;'Rate &amp; Vol Update'!$C$2,MAX(0,CJ93-CI93)*(CF93/360)*CH93,(((IF('Adjustment Surface'!$C$2='Data Validation'!$A$2,CJ93,IF('Adjustment Surface'!$C$2='Data Validation'!$A$3,CI93,"Unknown Option Type"))-IF('Adjustment Surface'!$C$2='Data Validation'!$A$2,CI93,IF('Adjustment Surface'!$C$2='Data Validation'!$A$3,CJ93,"Unknown Option Type")))*(NORMDIST((IF('Adjustment Surface'!$C$2='Data Validation'!$A$2,CJ93,IF('Adjustment Surface'!$C$2='Data Validation'!$A$3,CI93,"Unknown Option Type"))-IF('Adjustment Surface'!$C$2='Data Validation'!$A$2,CI93,IF('Adjustment Surface'!$C$2='Data Validation'!$A$3,CJ93,"Unknown Option Type")))/(CK93*SQRT(CG93)),0,1,TRUE)))+((CK93*SQRT(CG93))*(NORMDIST((IF('Adjustment Surface'!$C$2='Data Validation'!$A$2,CJ93,IF('Adjustment Surface'!$C$2='Data Validation'!$A$3,CI93,"Unknown Option Type"))-IF('Adjustment Surface'!$C$2='Data Validation'!$A$2,CI93,IF('Adjustment Surface'!$C$2='Data Validation'!$A$3,CJ93,"Unknown Option Type")))/(CK93*SQRT(CG93)),0,1,FALSE))))*CL93*(CF93/360)*CH93))</f>
        <v/>
      </c>
      <c r="CO93" s="15" t="str">
        <f>IF(CC93="","",SUM(CN$4:CN93))</f>
        <v/>
      </c>
      <c r="CQ93" s="15" t="str">
        <f>IF(CC93="","",IF(CD93&lt;'Rate &amp; Vol Update'!$C$2,0,((((((IF('Adjustment Surface'!$C$2='Data Validation'!$A$2,CJ93,IF('Adjustment Surface'!$C$2='Data Validation'!$A$3,CI93,"Unknown Option Type"))-IF('Adjustment Surface'!$C$2='Data Validation'!$A$2,CI93,IF('Adjustment Surface'!$C$2='Data Validation'!$A$3,CJ93,"Unknown Option Type")))*(NORMDIST((IF('Adjustment Surface'!$C$2='Data Validation'!$A$2,CJ93,IF('Adjustment Surface'!$C$2='Data Validation'!$A$3,CI93,"Unknown Option Type"))-IF('Adjustment Surface'!$C$2='Data Validation'!$A$2,CI93,IF('Adjustment Surface'!$C$2='Data Validation'!$A$3,CJ93,"Unknown Option Type")))/((CK93+0.01%)*SQRT(CG93)),0,1,TRUE)))+(((CK93+0.01%)*SQRT(CG93))*(NORMDIST((IF('Adjustment Surface'!$C$2='Data Validation'!$A$2,CJ93,IF('Adjustment Surface'!$C$2='Data Validation'!$A$3,CI93,"Unknown Option Type"))-IF('Adjustment Surface'!$C$2='Data Validation'!$A$2,CI93,IF('Adjustment Surface'!$C$2='Data Validation'!$A$3,CJ93,"Unknown Option Type")))/((CK93+0.01%)*SQRT(CG93)),0,1,FALSE))))*CL93*(CF93/360))-(CN93/CH93))*CH93)*CL93))</f>
        <v/>
      </c>
      <c r="CR93" s="15" t="str">
        <f>IF(CC93="","",SUM(CQ$4:CQ93))</f>
        <v/>
      </c>
    </row>
    <row r="94" spans="7:96" x14ac:dyDescent="0.25">
      <c r="G94" s="28"/>
      <c r="J94" s="4" t="str">
        <f>IF(K93='Adjustment Surface'!C$8,"",K93)</f>
        <v/>
      </c>
      <c r="K94" s="4" t="str">
        <f>IF(J94="","",IF(J94&lt;'Adjustment Surface'!C$7,EDATE(J$5,COUNT(J$5:J94)),IF(J94='Adjustment Surface'!C$7,'Adjustment Surface'!C$8,'Adjustment Surface'!C$7)))</f>
        <v/>
      </c>
      <c r="L94" s="3" t="str">
        <f t="shared" si="6"/>
        <v/>
      </c>
      <c r="M94" s="5" t="str">
        <f>IF(I94="","",(K94-'Rate &amp; Vol Update'!$C$2)/360)</f>
        <v/>
      </c>
      <c r="N94" s="15" t="str">
        <f>IF(I94="","",IF('Adjustment Surface'!C$3='Data Validation'!$C$2,'Adjustment Surface'!C$4,IF(INDEX(Schedules!$E$3:$E$123,MATCH('Bachelier Model'!J94,Schedules!$B$3:$B$123,0))="",N93,INDEX(Schedules!$E$3:$E$123,MATCH('Bachelier Model'!J94,Schedules!$B$3:$B$123,0)))))</f>
        <v/>
      </c>
      <c r="O94" s="16" t="str">
        <f>IF(I94="","",IF('Adjustment Surface'!C$9='Data Validation'!$D$2,'Adjustment Surface'!C$10,IF(INDEX(Schedules!$H$3:$H$123,MATCH('Bachelier Model'!J94,Schedules!$B$3:$B$123,0))="",O93,INDEX(Schedules!$H$3:$H$123,MATCH('Bachelier Model'!J94,Schedules!$B$3:$B$123,0)))))</f>
        <v/>
      </c>
      <c r="P94" s="16" t="str" cm="1">
        <f t="array" ref="P94">IF(I94="","",FORECAST(J94,INDEX('Rate &amp; Vol Update'!$C$6:$C$127,MATCH(INDEX('Rate &amp; Vol Update'!$B$6:$B$127,MATCH(J94,'Rate &amp; Vol Update'!$B$6:$B$127,1)),'Rate &amp; Vol Update'!$B$6:$B$127,0)+IF('Adjustment Surface'!C$11='Data Validation'!$E$3,-1,0)):INDEX('Rate &amp; Vol Update'!$C$6:$C$127,MATCH(INDEX('Rate &amp; Vol Update'!$B$6:$B$127,MATCH(J94,'Rate &amp; Vol Update'!$B$6:$B$127,1)+1),'Rate &amp; Vol Update'!$B$6:$B$127,0)+IF('Adjustment Surface'!C$11='Data Validation'!$E$3,-1,0)),INDEX('Rate &amp; Vol Update'!$B$6:$B$127,MATCH(J94,'Rate &amp; Vol Update'!$B$6:$B$127,1)):INDEX('Rate &amp; Vol Update'!$B$6:$B$127,MATCH(J94,'Rate &amp; Vol Update'!$B$6:$B$127,1)+1))/100)</f>
        <v/>
      </c>
      <c r="Q94" s="16" t="str" cm="1">
        <f t="array" ref="Q94">IF(I94="","",IF(J94&lt;'Rate &amp; Vol Update'!$C$2,0.001%,(1/((INDEX('Rate &amp; Vol Update'!$E$6:$Z$6,1,MATCH(O94,'Rate &amp; Vol Update'!$E$6:$Z$6,1)+1)-INDEX('Rate &amp; Vol Update'!$E$6:$Z$6,1,MATCH(O94,'Rate &amp; Vol Update'!$E$6:$Z$6,1)))*(INDEX('Rate &amp; Vol Update'!$B$8:$B$127,MATCH(J94,'Rate &amp; Vol Update'!$B$8:$B$127,1)+1)-INDEX('Rate &amp; Vol Update'!$B$8:$B$127,MATCH(J94,'Rate &amp; Vol Update'!$B$8:$B$127,1))))*(INDEX('Rate &amp; Vol Update'!$E$8:$Z$127,MATCH(INDEX('Rate &amp; Vol Update'!$B$8:$B$127,MATCH(J94,'Rate &amp; Vol Update'!$B$8:$B$127,1)),'Rate &amp; Vol Update'!$B$8:$B$127,0),MATCH(INDEX('Rate &amp; Vol Update'!$E$6:$Z$6,1,MATCH(O94,'Rate &amp; Vol Update'!$E$6:$Z$6,1)),'Rate &amp; Vol Update'!$E$6:$Z$6,0))*(INDEX('Rate &amp; Vol Update'!$E$6:$Z$6,1,MATCH(O94,'Rate &amp; Vol Update'!$E$6:$Z$6,1)+1)-O94)*(INDEX('Rate &amp; Vol Update'!$B$8:$B$127,MATCH(J94,'Rate &amp; Vol Update'!$B$8:$B$127,1)+1)-J94)+INDEX('Rate &amp; Vol Update'!$E$8:$Z$127,MATCH(INDEX('Rate &amp; Vol Update'!$B$8:$B$127,MATCH(J94,'Rate &amp; Vol Update'!$B$8:$B$127,1)),'Rate &amp; Vol Update'!$B$8:$B$127,0),MATCH(INDEX('Rate &amp; Vol Update'!$E$6:$Z$6,1,MATCH(O94,'Rate &amp; Vol Update'!$E$6:$Z$6,1)+1),'Rate &amp; Vol Update'!$E$6:$Z$6,0))*(O94-INDEX('Rate &amp; Vol Update'!$E$6:$Z$6,1,MATCH(O94,'Rate &amp; Vol Update'!$E$6:$Z$6,1)))*(INDEX('Rate &amp; Vol Update'!$B$8:$B$127,MATCH(J94,'Rate &amp; Vol Update'!$B$8:$B$127,1)+1)-J94)+INDEX('Rate &amp; Vol Update'!$E$8:$Z$127,MATCH(INDEX('Rate &amp; Vol Update'!$B$8:$B$127,MATCH(J94,'Rate &amp; Vol Update'!$B$8:$B$127,1)+1),'Rate &amp; Vol Update'!$B$8:$B$127,0),MATCH(INDEX('Rate &amp; Vol Update'!$E$6:$Z$6,1,MATCH(O94,'Rate &amp; Vol Update'!$E$6:$Z$6,1)),'Rate &amp; Vol Update'!$E$6:$Z$6,0))*(INDEX('Rate &amp; Vol Update'!$E$6:$Z$6,1,MATCH(O94,'Rate &amp; Vol Update'!$E$6:$Z$6,1)+1)-O94)*(J94-INDEX('Rate &amp; Vol Update'!$B$8:$B$127,MATCH(J94,'Rate &amp; Vol Update'!$B$8:$B$127,1)))+INDEX('Rate &amp; Vol Update'!$E$8:$Z$127,MATCH(INDEX('Rate &amp; Vol Update'!$B$8:$B$127,MATCH(J94,'Rate &amp; Vol Update'!$B$8:$B$127,1)+1),'Rate &amp; Vol Update'!$B$8:$B$127,0),MATCH(INDEX('Rate &amp; Vol Update'!$E$6:$Z$6,1,MATCH(O94,'Rate &amp; Vol Update'!$E$6:$Z$6,1)+1),'Rate &amp; Vol Update'!$E$6:$Z$6,0))*(O94-INDEX('Rate &amp; Vol Update'!$E$6:$Z$6,1,MATCH(O94,'Rate &amp; Vol Update'!$E$6:$Z$6,1)))*(J94-INDEX('Rate &amp; Vol Update'!$B$8:$B$127,MATCH(J94,'Rate &amp; Vol Update'!$B$8:$B$127,1)))))*0.01%))</f>
        <v/>
      </c>
      <c r="R94" s="5" t="str">
        <f>IF(I94="","",1/((1+P94)^((K94-'Rate &amp; Vol Update'!$C$2)/360)))</f>
        <v/>
      </c>
      <c r="T94" s="15" t="str">
        <f>IF(I94="","",IF(J94&lt;'Rate &amp; Vol Update'!$C$2,MAX(0,P94-O94)*(L94/360)*N94,(((IF('Adjustment Surface'!C$2='Data Validation'!$A$2,P94,IF('Adjustment Surface'!C$2='Data Validation'!$A$3,O94,"Unknown Option Type"))-IF('Adjustment Surface'!C$2='Data Validation'!$A$2,O94,IF('Adjustment Surface'!C$2='Data Validation'!$A$3,P94,"Unknown Option Type")))*(NORMDIST((IF('Adjustment Surface'!C$2='Data Validation'!$A$2,P94,IF('Adjustment Surface'!C$2='Data Validation'!$A$3,O94,"Unknown Option Type"))-IF('Adjustment Surface'!C$2='Data Validation'!$A$2,O94,IF('Adjustment Surface'!C$2='Data Validation'!$A$3,P94,"Unknown Option Type")))/(Q94*SQRT(M94)),0,1,TRUE)))+((Q94*SQRT(M94))*(NORMDIST((IF('Adjustment Surface'!C$2='Data Validation'!$A$2,P94,IF('Adjustment Surface'!C$2='Data Validation'!$A$3,O94,"Unknown Option Type"))-IF('Adjustment Surface'!C$2='Data Validation'!$A$2,O94,IF('Adjustment Surface'!C$2='Data Validation'!$A$3,P94,"Unknown Option Type")))/(Q94*SQRT(M94)),0,1,FALSE))))*R94*(L94/360)*N94))</f>
        <v/>
      </c>
      <c r="U94" s="15" t="str">
        <f>IF(I94="","",SUM(T$4:T94))</f>
        <v/>
      </c>
      <c r="W94" s="15" t="str">
        <f>IF(I94="","",IF(J94&lt;'Rate &amp; Vol Update'!$C$2,0,((((((IF('Adjustment Surface'!C$2='Data Validation'!$A$2,P94,IF('Adjustment Surface'!C$2='Data Validation'!$A$3,O94,"Unknown Option Type"))-IF('Adjustment Surface'!C$2='Data Validation'!$A$2,O94,IF('Adjustment Surface'!C$2='Data Validation'!$A$3,P94,"Unknown Option Type")))*(NORMDIST((IF('Adjustment Surface'!C$2='Data Validation'!$A$2,P94,IF('Adjustment Surface'!C$2='Data Validation'!$A$3,O94,"Unknown Option Type"))-IF('Adjustment Surface'!C$2='Data Validation'!$A$2,O94,IF('Adjustment Surface'!C$2='Data Validation'!$A$3,P94,"Unknown Option Type")))/((Q94+0.01%)*SQRT(M94)),0,1,TRUE)))+(((Q94+0.01%)*SQRT(M94))*(NORMDIST((IF('Adjustment Surface'!C$2='Data Validation'!$A$2,P94,IF('Adjustment Surface'!C$2='Data Validation'!$A$3,O94,"Unknown Option Type"))-IF('Adjustment Surface'!C$2='Data Validation'!$A$2,O94,IF('Adjustment Surface'!C$2='Data Validation'!$A$3,P94,"Unknown Option Type")))/((Q94+0.01%)*SQRT(M94)),0,1,FALSE))))*R94*(L94/360))-(T94/N94))*N94)*R94))</f>
        <v/>
      </c>
      <c r="X94" s="15" t="str">
        <f>IF(I94="","",SUM(W$4:W94))</f>
        <v/>
      </c>
      <c r="Y94" s="15"/>
      <c r="Z94" s="20"/>
      <c r="AB94" s="4" t="str">
        <f>IF(AC93=MAX('Adjustment Surface'!$C$14:$F$14),"",AC93)</f>
        <v/>
      </c>
      <c r="AC94" s="4" t="str">
        <f>IF(AB94="","",IF(AB94&lt;EDATE('Adjustment Surface'!$C$6,DATEDIF('Adjustment Surface'!$C$6,MAX('Adjustment Surface'!$C$14:$F$14),"M")),EDATE(AB$5,COUNT(AB$5:AB94)),IF(AB94=EDATE('Adjustment Surface'!$C$6,DATEDIF('Adjustment Surface'!$C$6,MAX('Adjustment Surface'!$C$14:$F$14),"M")),MAX('Adjustment Surface'!$C$14:$F$14),EDATE('Adjustment Surface'!$C$6,DATEDIF('Adjustment Surface'!$C$6,MAX('Adjustment Surface'!$C$14:$F$14),"M")))))</f>
        <v/>
      </c>
      <c r="AD94" s="3" t="str">
        <f t="shared" si="7"/>
        <v/>
      </c>
      <c r="AE94" s="5" t="str">
        <f>IF(AA94="","",(AC94-'Rate &amp; Vol Update'!$C$2)/360)</f>
        <v/>
      </c>
      <c r="AF94" s="15" t="str">
        <f>IF(AA94="","",IF('Adjustment Surface'!$C$3='Data Validation'!$C$2,'Adjustment Surface'!$C$4,_xlfn.IFNA(IF(INDEX(Schedules!$E$3:$E$123,MATCH('Bachelier Model'!AB94,Schedules!$B$3:$B$123,0))="",AF93,INDEX(Schedules!$E$3:$E$123,MATCH('Bachelier Model'!AB94,Schedules!$B$3:$B$123,0))),AF93)))</f>
        <v/>
      </c>
      <c r="AG94" s="16" t="str">
        <f>IF(AA94="","",'Adjustment Surface'!B$15)</f>
        <v/>
      </c>
      <c r="AH94" s="16" t="str" cm="1">
        <f t="array" ref="AH94">IF(AA94="","",FORECAST(AB94,INDEX('Rate &amp; Vol Update'!$C$6:$C$127,MATCH(INDEX('Rate &amp; Vol Update'!$B$6:$B$127,MATCH(AB94,'Rate &amp; Vol Update'!$B$6:$B$127,1)),'Rate &amp; Vol Update'!$B$6:$B$127,0)+IF('Adjustment Surface'!$C$11='Data Validation'!$E$3,-1,0)):INDEX('Rate &amp; Vol Update'!$C$6:$C$127,MATCH(INDEX('Rate &amp; Vol Update'!$B$6:$B$127,MATCH(AB94,'Rate &amp; Vol Update'!$B$6:$B$127,1)+1),'Rate &amp; Vol Update'!$B$6:$B$127,0)+IF('Adjustment Surface'!$C$11='Data Validation'!$E$3,-1,0)),INDEX('Rate &amp; Vol Update'!$B$6:$B$127,MATCH(AB94,'Rate &amp; Vol Update'!$B$6:$B$127,1)):INDEX('Rate &amp; Vol Update'!$B$6:$B$127,MATCH(AB94,'Rate &amp; Vol Update'!$B$6:$B$127,1)+1))/100)</f>
        <v/>
      </c>
      <c r="AI94" s="16" t="str" cm="1">
        <f t="array" ref="AI94">IF(AA94="","",IF(AB94&lt;'Rate &amp; Vol Update'!$C$2,0.001%,(1/((INDEX('Rate &amp; Vol Update'!$E$6:$Z$6,1,MATCH(AG94,'Rate &amp; Vol Update'!$E$6:$Z$6,1)+1)-INDEX('Rate &amp; Vol Update'!$E$6:$Z$6,1,MATCH(AG94,'Rate &amp; Vol Update'!$E$6:$Z$6,1)))*(INDEX('Rate &amp; Vol Update'!$B$8:$B$127,MATCH(AB94,'Rate &amp; Vol Update'!$B$8:$B$127,1)+1)-INDEX('Rate &amp; Vol Update'!$B$8:$B$127,MATCH(AB94,'Rate &amp; Vol Update'!$B$8:$B$127,1))))*(INDEX('Rate &amp; Vol Update'!$E$8:$Z$127,MATCH(INDEX('Rate &amp; Vol Update'!$B$8:$B$127,MATCH(AB94,'Rate &amp; Vol Update'!$B$8:$B$127,1)),'Rate &amp; Vol Update'!$B$8:$B$127,0),MATCH(INDEX('Rate &amp; Vol Update'!$E$6:$Z$6,1,MATCH(AG94,'Rate &amp; Vol Update'!$E$6:$Z$6,1)),'Rate &amp; Vol Update'!$E$6:$Z$6,0))*(INDEX('Rate &amp; Vol Update'!$E$6:$Z$6,1,MATCH(AG94,'Rate &amp; Vol Update'!$E$6:$Z$6,1)+1)-AG94)*(INDEX('Rate &amp; Vol Update'!$B$8:$B$127,MATCH(AB94,'Rate &amp; Vol Update'!$B$8:$B$127,1)+1)-AB94)+INDEX('Rate &amp; Vol Update'!$E$8:$Z$127,MATCH(INDEX('Rate &amp; Vol Update'!$B$8:$B$127,MATCH(AB94,'Rate &amp; Vol Update'!$B$8:$B$127,1)),'Rate &amp; Vol Update'!$B$8:$B$127,0),MATCH(INDEX('Rate &amp; Vol Update'!$E$6:$Z$6,1,MATCH(AG94,'Rate &amp; Vol Update'!$E$6:$Z$6,1)+1),'Rate &amp; Vol Update'!$E$6:$Z$6,0))*(AG94-INDEX('Rate &amp; Vol Update'!$E$6:$Z$6,1,MATCH(AG94,'Rate &amp; Vol Update'!$E$6:$Z$6,1)))*(INDEX('Rate &amp; Vol Update'!$B$8:$B$127,MATCH(AB94,'Rate &amp; Vol Update'!$B$8:$B$127,1)+1)-AB94)+INDEX('Rate &amp; Vol Update'!$E$8:$Z$127,MATCH(INDEX('Rate &amp; Vol Update'!$B$8:$B$127,MATCH(AB94,'Rate &amp; Vol Update'!$B$8:$B$127,1)+1),'Rate &amp; Vol Update'!$B$8:$B$127,0),MATCH(INDEX('Rate &amp; Vol Update'!$E$6:$Z$6,1,MATCH(AG94,'Rate &amp; Vol Update'!$E$6:$Z$6,1)),'Rate &amp; Vol Update'!$E$6:$Z$6,0))*(INDEX('Rate &amp; Vol Update'!$E$6:$Z$6,1,MATCH(AG94,'Rate &amp; Vol Update'!$E$6:$Z$6,1)+1)-AG94)*(AB94-INDEX('Rate &amp; Vol Update'!$B$8:$B$127,MATCH(AB94,'Rate &amp; Vol Update'!$B$8:$B$127,1)))+INDEX('Rate &amp; Vol Update'!$E$8:$Z$127,MATCH(INDEX('Rate &amp; Vol Update'!$B$8:$B$127,MATCH(AB94,'Rate &amp; Vol Update'!$B$8:$B$127,1)+1),'Rate &amp; Vol Update'!$B$8:$B$127,0),MATCH(INDEX('Rate &amp; Vol Update'!$E$6:$Z$6,1,MATCH(AG94,'Rate &amp; Vol Update'!$E$6:$Z$6,1)+1),'Rate &amp; Vol Update'!$E$6:$Z$6,0))*(AG94-INDEX('Rate &amp; Vol Update'!$E$6:$Z$6,1,MATCH(AG94,'Rate &amp; Vol Update'!$E$6:$Z$6,1)))*(AB94-INDEX('Rate &amp; Vol Update'!$B$8:$B$127,MATCH(AB94,'Rate &amp; Vol Update'!$B$8:$B$127,1)))))*0.01%))</f>
        <v/>
      </c>
      <c r="AJ94" s="5" t="str">
        <f>IF(AA94="","",1/((1+AH94)^((AC94-'Rate &amp; Vol Update'!$C$2)/360)))</f>
        <v/>
      </c>
      <c r="AL94" s="15" t="str">
        <f>IF(AA94="","",IF(AB94&lt;'Rate &amp; Vol Update'!$C$2,MAX(0,AH94-AG94)*(AD94/360)*AF94,(((IF('Adjustment Surface'!$C$2='Data Validation'!$A$2,AH94,IF('Adjustment Surface'!$C$2='Data Validation'!$A$3,AG94,"Unknown Option Type"))-IF('Adjustment Surface'!$C$2='Data Validation'!$A$2,AG94,IF('Adjustment Surface'!$C$2='Data Validation'!$A$3,AH94,"Unknown Option Type")))*(NORMDIST((IF('Adjustment Surface'!$C$2='Data Validation'!$A$2,AH94,IF('Adjustment Surface'!$C$2='Data Validation'!$A$3,AG94,"Unknown Option Type"))-IF('Adjustment Surface'!$C$2='Data Validation'!$A$2,AG94,IF('Adjustment Surface'!$C$2='Data Validation'!$A$3,AH94,"Unknown Option Type")))/(AI94*SQRT(AE94)),0,1,TRUE)))+((AI94*SQRT(AE94))*(NORMDIST((IF('Adjustment Surface'!$C$2='Data Validation'!$A$2,AH94,IF('Adjustment Surface'!$C$2='Data Validation'!$A$3,AG94,"Unknown Option Type"))-IF('Adjustment Surface'!$C$2='Data Validation'!$A$2,AG94,IF('Adjustment Surface'!$C$2='Data Validation'!$A$3,AH94,"Unknown Option Type")))/(AI94*SQRT(AE94)),0,1,FALSE))))*AJ94*(AD94/360)*AF94))</f>
        <v/>
      </c>
      <c r="AM94" s="15" t="str">
        <f>IF(AA94="","",SUM(AL$4:AL94))</f>
        <v/>
      </c>
      <c r="AO94" s="15" t="str">
        <f>IF(AA94="","",IF(AB94&lt;'Rate &amp; Vol Update'!$C$2,0,((((((IF('Adjustment Surface'!$C$2='Data Validation'!$A$2,AH94,IF('Adjustment Surface'!$C$2='Data Validation'!$A$3,AG94,"Unknown Option Type"))-IF('Adjustment Surface'!$C$2='Data Validation'!$A$2,AG94,IF('Adjustment Surface'!$C$2='Data Validation'!$A$3,AH94,"Unknown Option Type")))*(NORMDIST((IF('Adjustment Surface'!$C$2='Data Validation'!$A$2,AH94,IF('Adjustment Surface'!$C$2='Data Validation'!$A$3,AG94,"Unknown Option Type"))-IF('Adjustment Surface'!$C$2='Data Validation'!$A$2,AG94,IF('Adjustment Surface'!$C$2='Data Validation'!$A$3,AH94,"Unknown Option Type")))/((AI94+0.01%)*SQRT(AE94)),0,1,TRUE)))+(((AI94+0.01%)*SQRT(AE94))*(NORMDIST((IF('Adjustment Surface'!$C$2='Data Validation'!$A$2,AH94,IF('Adjustment Surface'!$C$2='Data Validation'!$A$3,AG94,"Unknown Option Type"))-IF('Adjustment Surface'!$C$2='Data Validation'!$A$2,AG94,IF('Adjustment Surface'!$C$2='Data Validation'!$A$3,AH94,"Unknown Option Type")))/((AI94+0.01%)*SQRT(AE94)),0,1,FALSE))))*AJ94*(AD94/360))-(AL94/AF94))*AF94)*AJ94))</f>
        <v/>
      </c>
      <c r="AP94" s="15" t="str">
        <f>IF(AA94="","",SUM(AO$4:AO94))</f>
        <v/>
      </c>
      <c r="AQ94" s="15"/>
      <c r="AR94" s="20"/>
      <c r="AT94" s="4" t="str">
        <f>IF(AU93=MAX('Adjustment Surface'!$C$14:$F$14),"",AU93)</f>
        <v/>
      </c>
      <c r="AU94" s="4" t="str">
        <f>IF(AT94="","",IF(AT94&lt;EDATE('Adjustment Surface'!$C$6,DATEDIF('Adjustment Surface'!$C$6,MAX('Adjustment Surface'!$C$14:$F$14),"M")),EDATE(AT$5,COUNT(AT$5:AT94)),IF(AT94=EDATE('Adjustment Surface'!$C$6,DATEDIF('Adjustment Surface'!$C$6,MAX('Adjustment Surface'!$C$14:$F$14),"M")),MAX('Adjustment Surface'!$C$14:$F$14),EDATE('Adjustment Surface'!$C$6,DATEDIF('Adjustment Surface'!$C$6,MAX('Adjustment Surface'!$C$14:$F$14),"M")))))</f>
        <v/>
      </c>
      <c r="AV94" s="3" t="str">
        <f t="shared" si="8"/>
        <v/>
      </c>
      <c r="AW94" s="5" t="str">
        <f>IF(AS94="","",(AU94-'Rate &amp; Vol Update'!$C$2)/360)</f>
        <v/>
      </c>
      <c r="AX94" s="15" t="str">
        <f>IF(AS94="","",IF('Adjustment Surface'!$C$3='Data Validation'!$C$2,'Adjustment Surface'!$C$4,_xlfn.IFNA(IF(INDEX(Schedules!$E$3:$E$123,MATCH('Bachelier Model'!AT94,Schedules!$B$3:$B$123,0))="",AX93,INDEX(Schedules!$E$3:$E$123,MATCH('Bachelier Model'!AT94,Schedules!$B$3:$B$123,0))),AX93)))</f>
        <v/>
      </c>
      <c r="AY94" s="16" t="str">
        <f>IF(AS94="","",'Adjustment Surface'!B$16)</f>
        <v/>
      </c>
      <c r="AZ94" s="16" t="str" cm="1">
        <f t="array" ref="AZ94">IF(AS94="","",FORECAST(AT94,INDEX('Rate &amp; Vol Update'!$C$6:$C$127,MATCH(INDEX('Rate &amp; Vol Update'!$B$6:$B$127,MATCH(AT94,'Rate &amp; Vol Update'!$B$6:$B$127,1)),'Rate &amp; Vol Update'!$B$6:$B$127,0)+IF('Adjustment Surface'!$C$11='Data Validation'!$E$3,-1,0)):INDEX('Rate &amp; Vol Update'!$C$6:$C$127,MATCH(INDEX('Rate &amp; Vol Update'!$B$6:$B$127,MATCH(AT94,'Rate &amp; Vol Update'!$B$6:$B$127,1)+1),'Rate &amp; Vol Update'!$B$6:$B$127,0)+IF('Adjustment Surface'!$C$11='Data Validation'!$E$3,-1,0)),INDEX('Rate &amp; Vol Update'!$B$6:$B$127,MATCH(AT94,'Rate &amp; Vol Update'!$B$6:$B$127,1)):INDEX('Rate &amp; Vol Update'!$B$6:$B$127,MATCH(AT94,'Rate &amp; Vol Update'!$B$6:$B$127,1)+1))/100)</f>
        <v/>
      </c>
      <c r="BA94" s="16" t="str" cm="1">
        <f t="array" ref="BA94">IF(AS94="","",IF(AT94&lt;'Rate &amp; Vol Update'!$C$2,0.001%,(1/((INDEX('Rate &amp; Vol Update'!$E$6:$Z$6,1,MATCH(AY94,'Rate &amp; Vol Update'!$E$6:$Z$6,1)+1)-INDEX('Rate &amp; Vol Update'!$E$6:$Z$6,1,MATCH(AY94,'Rate &amp; Vol Update'!$E$6:$Z$6,1)))*(INDEX('Rate &amp; Vol Update'!$B$8:$B$127,MATCH(AT94,'Rate &amp; Vol Update'!$B$8:$B$127,1)+1)-INDEX('Rate &amp; Vol Update'!$B$8:$B$127,MATCH(AT94,'Rate &amp; Vol Update'!$B$8:$B$127,1))))*(INDEX('Rate &amp; Vol Update'!$E$8:$Z$127,MATCH(INDEX('Rate &amp; Vol Update'!$B$8:$B$127,MATCH(AT94,'Rate &amp; Vol Update'!$B$8:$B$127,1)),'Rate &amp; Vol Update'!$B$8:$B$127,0),MATCH(INDEX('Rate &amp; Vol Update'!$E$6:$Z$6,1,MATCH(AY94,'Rate &amp; Vol Update'!$E$6:$Z$6,1)),'Rate &amp; Vol Update'!$E$6:$Z$6,0))*(INDEX('Rate &amp; Vol Update'!$E$6:$Z$6,1,MATCH(AY94,'Rate &amp; Vol Update'!$E$6:$Z$6,1)+1)-AY94)*(INDEX('Rate &amp; Vol Update'!$B$8:$B$127,MATCH(AT94,'Rate &amp; Vol Update'!$B$8:$B$127,1)+1)-AT94)+INDEX('Rate &amp; Vol Update'!$E$8:$Z$127,MATCH(INDEX('Rate &amp; Vol Update'!$B$8:$B$127,MATCH(AT94,'Rate &amp; Vol Update'!$B$8:$B$127,1)),'Rate &amp; Vol Update'!$B$8:$B$127,0),MATCH(INDEX('Rate &amp; Vol Update'!$E$6:$Z$6,1,MATCH(AY94,'Rate &amp; Vol Update'!$E$6:$Z$6,1)+1),'Rate &amp; Vol Update'!$E$6:$Z$6,0))*(AY94-INDEX('Rate &amp; Vol Update'!$E$6:$Z$6,1,MATCH(AY94,'Rate &amp; Vol Update'!$E$6:$Z$6,1)))*(INDEX('Rate &amp; Vol Update'!$B$8:$B$127,MATCH(AT94,'Rate &amp; Vol Update'!$B$8:$B$127,1)+1)-AT94)+INDEX('Rate &amp; Vol Update'!$E$8:$Z$127,MATCH(INDEX('Rate &amp; Vol Update'!$B$8:$B$127,MATCH(AT94,'Rate &amp; Vol Update'!$B$8:$B$127,1)+1),'Rate &amp; Vol Update'!$B$8:$B$127,0),MATCH(INDEX('Rate &amp; Vol Update'!$E$6:$Z$6,1,MATCH(AY94,'Rate &amp; Vol Update'!$E$6:$Z$6,1)),'Rate &amp; Vol Update'!$E$6:$Z$6,0))*(INDEX('Rate &amp; Vol Update'!$E$6:$Z$6,1,MATCH(AY94,'Rate &amp; Vol Update'!$E$6:$Z$6,1)+1)-AY94)*(AT94-INDEX('Rate &amp; Vol Update'!$B$8:$B$127,MATCH(AT94,'Rate &amp; Vol Update'!$B$8:$B$127,1)))+INDEX('Rate &amp; Vol Update'!$E$8:$Z$127,MATCH(INDEX('Rate &amp; Vol Update'!$B$8:$B$127,MATCH(AT94,'Rate &amp; Vol Update'!$B$8:$B$127,1)+1),'Rate &amp; Vol Update'!$B$8:$B$127,0),MATCH(INDEX('Rate &amp; Vol Update'!$E$6:$Z$6,1,MATCH(AY94,'Rate &amp; Vol Update'!$E$6:$Z$6,1)+1),'Rate &amp; Vol Update'!$E$6:$Z$6,0))*(AY94-INDEX('Rate &amp; Vol Update'!$E$6:$Z$6,1,MATCH(AY94,'Rate &amp; Vol Update'!$E$6:$Z$6,1)))*(AT94-INDEX('Rate &amp; Vol Update'!$B$8:$B$127,MATCH(AT94,'Rate &amp; Vol Update'!$B$8:$B$127,1)))))*0.01%))</f>
        <v/>
      </c>
      <c r="BB94" s="5" t="str">
        <f>IF(AS94="","",1/((1+AZ94)^((AU94-'Rate &amp; Vol Update'!$C$2)/360)))</f>
        <v/>
      </c>
      <c r="BD94" s="15" t="str">
        <f>IF(AS94="","",IF(AT94&lt;'Rate &amp; Vol Update'!$C$2,MAX(0,AZ94-AY94)*(AV94/360)*AX94,(((IF('Adjustment Surface'!$C$2='Data Validation'!$A$2,AZ94,IF('Adjustment Surface'!$C$2='Data Validation'!$A$3,AY94,"Unknown Option Type"))-IF('Adjustment Surface'!$C$2='Data Validation'!$A$2,AY94,IF('Adjustment Surface'!$C$2='Data Validation'!$A$3,AZ94,"Unknown Option Type")))*(NORMDIST((IF('Adjustment Surface'!$C$2='Data Validation'!$A$2,AZ94,IF('Adjustment Surface'!$C$2='Data Validation'!$A$3,AY94,"Unknown Option Type"))-IF('Adjustment Surface'!$C$2='Data Validation'!$A$2,AY94,IF('Adjustment Surface'!$C$2='Data Validation'!$A$3,AZ94,"Unknown Option Type")))/(BA94*SQRT(AW94)),0,1,TRUE)))+((BA94*SQRT(AW94))*(NORMDIST((IF('Adjustment Surface'!$C$2='Data Validation'!$A$2,AZ94,IF('Adjustment Surface'!$C$2='Data Validation'!$A$3,AY94,"Unknown Option Type"))-IF('Adjustment Surface'!$C$2='Data Validation'!$A$2,AY94,IF('Adjustment Surface'!$C$2='Data Validation'!$A$3,AZ94,"Unknown Option Type")))/(BA94*SQRT(AW94)),0,1,FALSE))))*BB94*(AV94/360)*AX94))</f>
        <v/>
      </c>
      <c r="BE94" s="15" t="str">
        <f>IF(AS94="","",SUM(BD$4:BD94))</f>
        <v/>
      </c>
      <c r="BG94" s="15" t="str">
        <f>IF(AS94="","",IF(AT94&lt;'Rate &amp; Vol Update'!$C$2,0,((((((IF('Adjustment Surface'!$C$2='Data Validation'!$A$2,AZ94,IF('Adjustment Surface'!$C$2='Data Validation'!$A$3,AY94,"Unknown Option Type"))-IF('Adjustment Surface'!$C$2='Data Validation'!$A$2,AY94,IF('Adjustment Surface'!$C$2='Data Validation'!$A$3,AZ94,"Unknown Option Type")))*(NORMDIST((IF('Adjustment Surface'!$C$2='Data Validation'!$A$2,AZ94,IF('Adjustment Surface'!$C$2='Data Validation'!$A$3,AY94,"Unknown Option Type"))-IF('Adjustment Surface'!$C$2='Data Validation'!$A$2,AY94,IF('Adjustment Surface'!$C$2='Data Validation'!$A$3,AZ94,"Unknown Option Type")))/((BA94+0.01%)*SQRT(AW94)),0,1,TRUE)))+(((BA94+0.01%)*SQRT(AW94))*(NORMDIST((IF('Adjustment Surface'!$C$2='Data Validation'!$A$2,AZ94,IF('Adjustment Surface'!$C$2='Data Validation'!$A$3,AY94,"Unknown Option Type"))-IF('Adjustment Surface'!$C$2='Data Validation'!$A$2,AY94,IF('Adjustment Surface'!$C$2='Data Validation'!$A$3,AZ94,"Unknown Option Type")))/((BA94+0.01%)*SQRT(AW94)),0,1,FALSE))))*BB94*(AV94/360))-(BD94/AX94))*AX94)*BB94))</f>
        <v/>
      </c>
      <c r="BH94" s="15" t="str">
        <f>IF(AS94="","",SUM(BG$4:BG94))</f>
        <v/>
      </c>
      <c r="BI94" s="15"/>
      <c r="BJ94" s="20"/>
      <c r="BL94" s="4" t="str">
        <f>IF(BM93=MAX('Adjustment Surface'!$C$14:$F$14),"",BM93)</f>
        <v/>
      </c>
      <c r="BM94" s="4" t="str">
        <f>IF(BL94="","",IF(BL94&lt;EDATE('Adjustment Surface'!$C$6,DATEDIF('Adjustment Surface'!$C$6,MAX('Adjustment Surface'!$C$14:$F$14),"M")),EDATE(BL$5,COUNT(BL$5:BL94)),IF(BL94=EDATE('Adjustment Surface'!$C$6,DATEDIF('Adjustment Surface'!$C$6,MAX('Adjustment Surface'!$C$14:$F$14),"M")),MAX('Adjustment Surface'!$C$14:$F$14),EDATE('Adjustment Surface'!$C$6,DATEDIF('Adjustment Surface'!$C$6,MAX('Adjustment Surface'!$C$14:$F$14),"M")))))</f>
        <v/>
      </c>
      <c r="BN94" s="3" t="str">
        <f t="shared" si="9"/>
        <v/>
      </c>
      <c r="BO94" s="5" t="str">
        <f>IF(BK94="","",(BM94-'Rate &amp; Vol Update'!$C$2)/360)</f>
        <v/>
      </c>
      <c r="BP94" s="15" t="str">
        <f>IF(BK94="","",IF('Adjustment Surface'!$C$3='Data Validation'!$C$2,'Adjustment Surface'!$C$4,_xlfn.IFNA(IF(INDEX(Schedules!$E$3:$E$123,MATCH('Bachelier Model'!BL94,Schedules!$B$3:$B$123,0))="",BP93,INDEX(Schedules!$E$3:$E$123,MATCH('Bachelier Model'!BL94,Schedules!$B$3:$B$123,0))),BP93)))</f>
        <v/>
      </c>
      <c r="BQ94" s="16" t="str">
        <f>IF(BK94="","",'Adjustment Surface'!B$17)</f>
        <v/>
      </c>
      <c r="BR94" s="16" t="str" cm="1">
        <f t="array" ref="BR94">IF(BK94="","",FORECAST(BL94,INDEX('Rate &amp; Vol Update'!$C$6:$C$127,MATCH(INDEX('Rate &amp; Vol Update'!$B$6:$B$127,MATCH(BL94,'Rate &amp; Vol Update'!$B$6:$B$127,1)),'Rate &amp; Vol Update'!$B$6:$B$127,0)+IF('Adjustment Surface'!$C$11='Data Validation'!$E$3,-1,0)):INDEX('Rate &amp; Vol Update'!$C$6:$C$127,MATCH(INDEX('Rate &amp; Vol Update'!$B$6:$B$127,MATCH(BL94,'Rate &amp; Vol Update'!$B$6:$B$127,1)+1),'Rate &amp; Vol Update'!$B$6:$B$127,0)+IF('Adjustment Surface'!$C$11='Data Validation'!$E$3,-1,0)),INDEX('Rate &amp; Vol Update'!$B$6:$B$127,MATCH(BL94,'Rate &amp; Vol Update'!$B$6:$B$127,1)):INDEX('Rate &amp; Vol Update'!$B$6:$B$127,MATCH(BL94,'Rate &amp; Vol Update'!$B$6:$B$127,1)+1))/100)</f>
        <v/>
      </c>
      <c r="BS94" s="16" t="str" cm="1">
        <f t="array" ref="BS94">IF(BK94="","",IF(BL94&lt;'Rate &amp; Vol Update'!$C$2,0.001%,(1/((INDEX('Rate &amp; Vol Update'!$E$6:$Z$6,1,MATCH(BQ94,'Rate &amp; Vol Update'!$E$6:$Z$6,1)+1)-INDEX('Rate &amp; Vol Update'!$E$6:$Z$6,1,MATCH(BQ94,'Rate &amp; Vol Update'!$E$6:$Z$6,1)))*(INDEX('Rate &amp; Vol Update'!$B$8:$B$127,MATCH(BL94,'Rate &amp; Vol Update'!$B$8:$B$127,1)+1)-INDEX('Rate &amp; Vol Update'!$B$8:$B$127,MATCH(BL94,'Rate &amp; Vol Update'!$B$8:$B$127,1))))*(INDEX('Rate &amp; Vol Update'!$E$8:$Z$127,MATCH(INDEX('Rate &amp; Vol Update'!$B$8:$B$127,MATCH(BL94,'Rate &amp; Vol Update'!$B$8:$B$127,1)),'Rate &amp; Vol Update'!$B$8:$B$127,0),MATCH(INDEX('Rate &amp; Vol Update'!$E$6:$Z$6,1,MATCH(BQ94,'Rate &amp; Vol Update'!$E$6:$Z$6,1)),'Rate &amp; Vol Update'!$E$6:$Z$6,0))*(INDEX('Rate &amp; Vol Update'!$E$6:$Z$6,1,MATCH(BQ94,'Rate &amp; Vol Update'!$E$6:$Z$6,1)+1)-BQ94)*(INDEX('Rate &amp; Vol Update'!$B$8:$B$127,MATCH(BL94,'Rate &amp; Vol Update'!$B$8:$B$127,1)+1)-BL94)+INDEX('Rate &amp; Vol Update'!$E$8:$Z$127,MATCH(INDEX('Rate &amp; Vol Update'!$B$8:$B$127,MATCH(BL94,'Rate &amp; Vol Update'!$B$8:$B$127,1)),'Rate &amp; Vol Update'!$B$8:$B$127,0),MATCH(INDEX('Rate &amp; Vol Update'!$E$6:$Z$6,1,MATCH(BQ94,'Rate &amp; Vol Update'!$E$6:$Z$6,1)+1),'Rate &amp; Vol Update'!$E$6:$Z$6,0))*(BQ94-INDEX('Rate &amp; Vol Update'!$E$6:$Z$6,1,MATCH(BQ94,'Rate &amp; Vol Update'!$E$6:$Z$6,1)))*(INDEX('Rate &amp; Vol Update'!$B$8:$B$127,MATCH(BL94,'Rate &amp; Vol Update'!$B$8:$B$127,1)+1)-BL94)+INDEX('Rate &amp; Vol Update'!$E$8:$Z$127,MATCH(INDEX('Rate &amp; Vol Update'!$B$8:$B$127,MATCH(BL94,'Rate &amp; Vol Update'!$B$8:$B$127,1)+1),'Rate &amp; Vol Update'!$B$8:$B$127,0),MATCH(INDEX('Rate &amp; Vol Update'!$E$6:$Z$6,1,MATCH(BQ94,'Rate &amp; Vol Update'!$E$6:$Z$6,1)),'Rate &amp; Vol Update'!$E$6:$Z$6,0))*(INDEX('Rate &amp; Vol Update'!$E$6:$Z$6,1,MATCH(BQ94,'Rate &amp; Vol Update'!$E$6:$Z$6,1)+1)-BQ94)*(BL94-INDEX('Rate &amp; Vol Update'!$B$8:$B$127,MATCH(BL94,'Rate &amp; Vol Update'!$B$8:$B$127,1)))+INDEX('Rate &amp; Vol Update'!$E$8:$Z$127,MATCH(INDEX('Rate &amp; Vol Update'!$B$8:$B$127,MATCH(BL94,'Rate &amp; Vol Update'!$B$8:$B$127,1)+1),'Rate &amp; Vol Update'!$B$8:$B$127,0),MATCH(INDEX('Rate &amp; Vol Update'!$E$6:$Z$6,1,MATCH(BQ94,'Rate &amp; Vol Update'!$E$6:$Z$6,1)+1),'Rate &amp; Vol Update'!$E$6:$Z$6,0))*(BQ94-INDEX('Rate &amp; Vol Update'!$E$6:$Z$6,1,MATCH(BQ94,'Rate &amp; Vol Update'!$E$6:$Z$6,1)))*(BL94-INDEX('Rate &amp; Vol Update'!$B$8:$B$127,MATCH(BL94,'Rate &amp; Vol Update'!$B$8:$B$127,1)))))*0.01%))</f>
        <v/>
      </c>
      <c r="BT94" s="5" t="str">
        <f>IF(BK94="","",1/((1+BR94)^((BM94-'Rate &amp; Vol Update'!$C$2)/360)))</f>
        <v/>
      </c>
      <c r="BV94" s="15" t="str">
        <f>IF(BK94="","",IF(BL94&lt;'Rate &amp; Vol Update'!$C$2,MAX(0,BR94-BQ94)*(BN94/360)*BP94,(((IF('Adjustment Surface'!$C$2='Data Validation'!$A$2,BR94,IF('Adjustment Surface'!$C$2='Data Validation'!$A$3,BQ94,"Unknown Option Type"))-IF('Adjustment Surface'!$C$2='Data Validation'!$A$2,BQ94,IF('Adjustment Surface'!$C$2='Data Validation'!$A$3,BR94,"Unknown Option Type")))*(NORMDIST((IF('Adjustment Surface'!$C$2='Data Validation'!$A$2,BR94,IF('Adjustment Surface'!$C$2='Data Validation'!$A$3,BQ94,"Unknown Option Type"))-IF('Adjustment Surface'!$C$2='Data Validation'!$A$2,BQ94,IF('Adjustment Surface'!$C$2='Data Validation'!$A$3,BR94,"Unknown Option Type")))/(BS94*SQRT(BO94)),0,1,TRUE)))+((BS94*SQRT(BO94))*(NORMDIST((IF('Adjustment Surface'!$C$2='Data Validation'!$A$2,BR94,IF('Adjustment Surface'!$C$2='Data Validation'!$A$3,BQ94,"Unknown Option Type"))-IF('Adjustment Surface'!$C$2='Data Validation'!$A$2,BQ94,IF('Adjustment Surface'!$C$2='Data Validation'!$A$3,BR94,"Unknown Option Type")))/(BS94*SQRT(BO94)),0,1,FALSE))))*BT94*(BN94/360)*BP94))</f>
        <v/>
      </c>
      <c r="BW94" s="15" t="str">
        <f>IF(BK94="","",SUM(BV$4:BV94))</f>
        <v/>
      </c>
      <c r="BY94" s="15" t="str">
        <f>IF(BK94="","",IF(BL94&lt;'Rate &amp; Vol Update'!$C$2,0,((((((IF('Adjustment Surface'!$C$2='Data Validation'!$A$2,BR94,IF('Adjustment Surface'!$C$2='Data Validation'!$A$3,BQ94,"Unknown Option Type"))-IF('Adjustment Surface'!$C$2='Data Validation'!$A$2,BQ94,IF('Adjustment Surface'!$C$2='Data Validation'!$A$3,BR94,"Unknown Option Type")))*(NORMDIST((IF('Adjustment Surface'!$C$2='Data Validation'!$A$2,BR94,IF('Adjustment Surface'!$C$2='Data Validation'!$A$3,BQ94,"Unknown Option Type"))-IF('Adjustment Surface'!$C$2='Data Validation'!$A$2,BQ94,IF('Adjustment Surface'!$C$2='Data Validation'!$A$3,BR94,"Unknown Option Type")))/((BS94+0.01%)*SQRT(BO94)),0,1,TRUE)))+(((BS94+0.01%)*SQRT(BO94))*(NORMDIST((IF('Adjustment Surface'!$C$2='Data Validation'!$A$2,BR94,IF('Adjustment Surface'!$C$2='Data Validation'!$A$3,BQ94,"Unknown Option Type"))-IF('Adjustment Surface'!$C$2='Data Validation'!$A$2,BQ94,IF('Adjustment Surface'!$C$2='Data Validation'!$A$3,BR94,"Unknown Option Type")))/((BS94+0.01%)*SQRT(BO94)),0,1,FALSE))))*BT94*(BN94/360))-(BV94/BP94))*BP94)*BT94))</f>
        <v/>
      </c>
      <c r="BZ94" s="15" t="str">
        <f>IF(BK94="","",SUM(BY$4:BY94))</f>
        <v/>
      </c>
      <c r="CA94" s="15"/>
      <c r="CB94" s="20"/>
      <c r="CD94" s="4" t="str">
        <f>IF(CE93=MAX('Adjustment Surface'!$C$14:$F$14),"",CE93)</f>
        <v/>
      </c>
      <c r="CE94" s="4" t="str">
        <f>IF(CD94="","",IF(CD94&lt;EDATE('Adjustment Surface'!$C$6,DATEDIF('Adjustment Surface'!$C$6,MAX('Adjustment Surface'!$C$14:$F$14),"M")),EDATE(CD$5,COUNT(CD$5:CD94)),IF(CD94=EDATE('Adjustment Surface'!$C$6,DATEDIF('Adjustment Surface'!$C$6,MAX('Adjustment Surface'!$C$14:$F$14),"M")),MAX('Adjustment Surface'!$C$14:$F$14),EDATE('Adjustment Surface'!$C$6,DATEDIF('Adjustment Surface'!$C$6,MAX('Adjustment Surface'!$C$14:$F$14),"M")))))</f>
        <v/>
      </c>
      <c r="CF94" s="3" t="str">
        <f t="shared" si="10"/>
        <v/>
      </c>
      <c r="CG94" s="5" t="str">
        <f>IF(CC94="","",(CE94-'Rate &amp; Vol Update'!$C$2)/360)</f>
        <v/>
      </c>
      <c r="CH94" s="15" t="str">
        <f>IF(CC94="","",IF('Adjustment Surface'!$C$3='Data Validation'!$C$2,'Adjustment Surface'!$C$4,_xlfn.IFNA(IF(INDEX(Schedules!$E$3:$E$123,MATCH('Bachelier Model'!CD94,Schedules!$B$3:$B$123,0))="",CH93,INDEX(Schedules!$E$3:$E$123,MATCH('Bachelier Model'!CD94,Schedules!$B$3:$B$123,0))),CH93)))</f>
        <v/>
      </c>
      <c r="CI94" s="16" t="str">
        <f>IF(CC94="","",'Adjustment Surface'!B$18)</f>
        <v/>
      </c>
      <c r="CJ94" s="16" t="str" cm="1">
        <f t="array" ref="CJ94">IF(CC94="","",FORECAST(CD94,INDEX('Rate &amp; Vol Update'!$C$6:$C$127,MATCH(INDEX('Rate &amp; Vol Update'!$B$6:$B$127,MATCH(CD94,'Rate &amp; Vol Update'!$B$6:$B$127,1)),'Rate &amp; Vol Update'!$B$6:$B$127,0)+IF('Adjustment Surface'!$C$11='Data Validation'!$E$3,-1,0)):INDEX('Rate &amp; Vol Update'!$C$6:$C$127,MATCH(INDEX('Rate &amp; Vol Update'!$B$6:$B$127,MATCH(CD94,'Rate &amp; Vol Update'!$B$6:$B$127,1)+1),'Rate &amp; Vol Update'!$B$6:$B$127,0)+IF('Adjustment Surface'!$C$11='Data Validation'!$E$3,-1,0)),INDEX('Rate &amp; Vol Update'!$B$6:$B$127,MATCH(CD94,'Rate &amp; Vol Update'!$B$6:$B$127,1)):INDEX('Rate &amp; Vol Update'!$B$6:$B$127,MATCH(CD94,'Rate &amp; Vol Update'!$B$6:$B$127,1)+1))/100)</f>
        <v/>
      </c>
      <c r="CK94" s="16" t="str" cm="1">
        <f t="array" ref="CK94">IF(CC94="","",IF(CD94&lt;'Rate &amp; Vol Update'!$C$2,0.001%,(1/((INDEX('Rate &amp; Vol Update'!$E$6:$Z$6,1,MATCH(CI94,'Rate &amp; Vol Update'!$E$6:$Z$6,1)+1)-INDEX('Rate &amp; Vol Update'!$E$6:$Z$6,1,MATCH(CI94,'Rate &amp; Vol Update'!$E$6:$Z$6,1)))*(INDEX('Rate &amp; Vol Update'!$B$8:$B$127,MATCH(CD94,'Rate &amp; Vol Update'!$B$8:$B$127,1)+1)-INDEX('Rate &amp; Vol Update'!$B$8:$B$127,MATCH(CD94,'Rate &amp; Vol Update'!$B$8:$B$127,1))))*(INDEX('Rate &amp; Vol Update'!$E$8:$Z$127,MATCH(INDEX('Rate &amp; Vol Update'!$B$8:$B$127,MATCH(CD94,'Rate &amp; Vol Update'!$B$8:$B$127,1)),'Rate &amp; Vol Update'!$B$8:$B$127,0),MATCH(INDEX('Rate &amp; Vol Update'!$E$6:$Z$6,1,MATCH(CI94,'Rate &amp; Vol Update'!$E$6:$Z$6,1)),'Rate &amp; Vol Update'!$E$6:$Z$6,0))*(INDEX('Rate &amp; Vol Update'!$E$6:$Z$6,1,MATCH(CI94,'Rate &amp; Vol Update'!$E$6:$Z$6,1)+1)-CI94)*(INDEX('Rate &amp; Vol Update'!$B$8:$B$127,MATCH(CD94,'Rate &amp; Vol Update'!$B$8:$B$127,1)+1)-CD94)+INDEX('Rate &amp; Vol Update'!$E$8:$Z$127,MATCH(INDEX('Rate &amp; Vol Update'!$B$8:$B$127,MATCH(CD94,'Rate &amp; Vol Update'!$B$8:$B$127,1)),'Rate &amp; Vol Update'!$B$8:$B$127,0),MATCH(INDEX('Rate &amp; Vol Update'!$E$6:$Z$6,1,MATCH(CI94,'Rate &amp; Vol Update'!$E$6:$Z$6,1)+1),'Rate &amp; Vol Update'!$E$6:$Z$6,0))*(CI94-INDEX('Rate &amp; Vol Update'!$E$6:$Z$6,1,MATCH(CI94,'Rate &amp; Vol Update'!$E$6:$Z$6,1)))*(INDEX('Rate &amp; Vol Update'!$B$8:$B$127,MATCH(CD94,'Rate &amp; Vol Update'!$B$8:$B$127,1)+1)-CD94)+INDEX('Rate &amp; Vol Update'!$E$8:$Z$127,MATCH(INDEX('Rate &amp; Vol Update'!$B$8:$B$127,MATCH(CD94,'Rate &amp; Vol Update'!$B$8:$B$127,1)+1),'Rate &amp; Vol Update'!$B$8:$B$127,0),MATCH(INDEX('Rate &amp; Vol Update'!$E$6:$Z$6,1,MATCH(CI94,'Rate &amp; Vol Update'!$E$6:$Z$6,1)),'Rate &amp; Vol Update'!$E$6:$Z$6,0))*(INDEX('Rate &amp; Vol Update'!$E$6:$Z$6,1,MATCH(CI94,'Rate &amp; Vol Update'!$E$6:$Z$6,1)+1)-CI94)*(CD94-INDEX('Rate &amp; Vol Update'!$B$8:$B$127,MATCH(CD94,'Rate &amp; Vol Update'!$B$8:$B$127,1)))+INDEX('Rate &amp; Vol Update'!$E$8:$Z$127,MATCH(INDEX('Rate &amp; Vol Update'!$B$8:$B$127,MATCH(CD94,'Rate &amp; Vol Update'!$B$8:$B$127,1)+1),'Rate &amp; Vol Update'!$B$8:$B$127,0),MATCH(INDEX('Rate &amp; Vol Update'!$E$6:$Z$6,1,MATCH(CI94,'Rate &amp; Vol Update'!$E$6:$Z$6,1)+1),'Rate &amp; Vol Update'!$E$6:$Z$6,0))*(CI94-INDEX('Rate &amp; Vol Update'!$E$6:$Z$6,1,MATCH(CI94,'Rate &amp; Vol Update'!$E$6:$Z$6,1)))*(CD94-INDEX('Rate &amp; Vol Update'!$B$8:$B$127,MATCH(CD94,'Rate &amp; Vol Update'!$B$8:$B$127,1)))))*0.01%))</f>
        <v/>
      </c>
      <c r="CL94" s="5" t="str">
        <f>IF(CC94="","",1/((1+CJ94)^((CE94-'Rate &amp; Vol Update'!$C$2)/360)))</f>
        <v/>
      </c>
      <c r="CN94" s="15" t="str">
        <f>IF(CC94="","",IF(CD94&lt;'Rate &amp; Vol Update'!$C$2,MAX(0,CJ94-CI94)*(CF94/360)*CH94,(((IF('Adjustment Surface'!$C$2='Data Validation'!$A$2,CJ94,IF('Adjustment Surface'!$C$2='Data Validation'!$A$3,CI94,"Unknown Option Type"))-IF('Adjustment Surface'!$C$2='Data Validation'!$A$2,CI94,IF('Adjustment Surface'!$C$2='Data Validation'!$A$3,CJ94,"Unknown Option Type")))*(NORMDIST((IF('Adjustment Surface'!$C$2='Data Validation'!$A$2,CJ94,IF('Adjustment Surface'!$C$2='Data Validation'!$A$3,CI94,"Unknown Option Type"))-IF('Adjustment Surface'!$C$2='Data Validation'!$A$2,CI94,IF('Adjustment Surface'!$C$2='Data Validation'!$A$3,CJ94,"Unknown Option Type")))/(CK94*SQRT(CG94)),0,1,TRUE)))+((CK94*SQRT(CG94))*(NORMDIST((IF('Adjustment Surface'!$C$2='Data Validation'!$A$2,CJ94,IF('Adjustment Surface'!$C$2='Data Validation'!$A$3,CI94,"Unknown Option Type"))-IF('Adjustment Surface'!$C$2='Data Validation'!$A$2,CI94,IF('Adjustment Surface'!$C$2='Data Validation'!$A$3,CJ94,"Unknown Option Type")))/(CK94*SQRT(CG94)),0,1,FALSE))))*CL94*(CF94/360)*CH94))</f>
        <v/>
      </c>
      <c r="CO94" s="15" t="str">
        <f>IF(CC94="","",SUM(CN$4:CN94))</f>
        <v/>
      </c>
      <c r="CQ94" s="15" t="str">
        <f>IF(CC94="","",IF(CD94&lt;'Rate &amp; Vol Update'!$C$2,0,((((((IF('Adjustment Surface'!$C$2='Data Validation'!$A$2,CJ94,IF('Adjustment Surface'!$C$2='Data Validation'!$A$3,CI94,"Unknown Option Type"))-IF('Adjustment Surface'!$C$2='Data Validation'!$A$2,CI94,IF('Adjustment Surface'!$C$2='Data Validation'!$A$3,CJ94,"Unknown Option Type")))*(NORMDIST((IF('Adjustment Surface'!$C$2='Data Validation'!$A$2,CJ94,IF('Adjustment Surface'!$C$2='Data Validation'!$A$3,CI94,"Unknown Option Type"))-IF('Adjustment Surface'!$C$2='Data Validation'!$A$2,CI94,IF('Adjustment Surface'!$C$2='Data Validation'!$A$3,CJ94,"Unknown Option Type")))/((CK94+0.01%)*SQRT(CG94)),0,1,TRUE)))+(((CK94+0.01%)*SQRT(CG94))*(NORMDIST((IF('Adjustment Surface'!$C$2='Data Validation'!$A$2,CJ94,IF('Adjustment Surface'!$C$2='Data Validation'!$A$3,CI94,"Unknown Option Type"))-IF('Adjustment Surface'!$C$2='Data Validation'!$A$2,CI94,IF('Adjustment Surface'!$C$2='Data Validation'!$A$3,CJ94,"Unknown Option Type")))/((CK94+0.01%)*SQRT(CG94)),0,1,FALSE))))*CL94*(CF94/360))-(CN94/CH94))*CH94)*CL94))</f>
        <v/>
      </c>
      <c r="CR94" s="15" t="str">
        <f>IF(CC94="","",SUM(CQ$4:CQ94))</f>
        <v/>
      </c>
    </row>
    <row r="95" spans="7:96" x14ac:dyDescent="0.25">
      <c r="G95" s="28"/>
      <c r="J95" s="4" t="str">
        <f>IF(K94='Adjustment Surface'!C$8,"",K94)</f>
        <v/>
      </c>
      <c r="K95" s="4" t="str">
        <f>IF(J95="","",IF(J95&lt;'Adjustment Surface'!C$7,EDATE(J$5,COUNT(J$5:J95)),IF(J95='Adjustment Surface'!C$7,'Adjustment Surface'!C$8,'Adjustment Surface'!C$7)))</f>
        <v/>
      </c>
      <c r="L95" s="3" t="str">
        <f t="shared" si="6"/>
        <v/>
      </c>
      <c r="M95" s="5" t="str">
        <f>IF(I95="","",(K95-'Rate &amp; Vol Update'!$C$2)/360)</f>
        <v/>
      </c>
      <c r="N95" s="15" t="str">
        <f>IF(I95="","",IF('Adjustment Surface'!C$3='Data Validation'!$C$2,'Adjustment Surface'!C$4,IF(INDEX(Schedules!$E$3:$E$123,MATCH('Bachelier Model'!J95,Schedules!$B$3:$B$123,0))="",N94,INDEX(Schedules!$E$3:$E$123,MATCH('Bachelier Model'!J95,Schedules!$B$3:$B$123,0)))))</f>
        <v/>
      </c>
      <c r="O95" s="16" t="str">
        <f>IF(I95="","",IF('Adjustment Surface'!C$9='Data Validation'!$D$2,'Adjustment Surface'!C$10,IF(INDEX(Schedules!$H$3:$H$123,MATCH('Bachelier Model'!J95,Schedules!$B$3:$B$123,0))="",O94,INDEX(Schedules!$H$3:$H$123,MATCH('Bachelier Model'!J95,Schedules!$B$3:$B$123,0)))))</f>
        <v/>
      </c>
      <c r="P95" s="16" t="str" cm="1">
        <f t="array" ref="P95">IF(I95="","",FORECAST(J95,INDEX('Rate &amp; Vol Update'!$C$6:$C$127,MATCH(INDEX('Rate &amp; Vol Update'!$B$6:$B$127,MATCH(J95,'Rate &amp; Vol Update'!$B$6:$B$127,1)),'Rate &amp; Vol Update'!$B$6:$B$127,0)+IF('Adjustment Surface'!C$11='Data Validation'!$E$3,-1,0)):INDEX('Rate &amp; Vol Update'!$C$6:$C$127,MATCH(INDEX('Rate &amp; Vol Update'!$B$6:$B$127,MATCH(J95,'Rate &amp; Vol Update'!$B$6:$B$127,1)+1),'Rate &amp; Vol Update'!$B$6:$B$127,0)+IF('Adjustment Surface'!C$11='Data Validation'!$E$3,-1,0)),INDEX('Rate &amp; Vol Update'!$B$6:$B$127,MATCH(J95,'Rate &amp; Vol Update'!$B$6:$B$127,1)):INDEX('Rate &amp; Vol Update'!$B$6:$B$127,MATCH(J95,'Rate &amp; Vol Update'!$B$6:$B$127,1)+1))/100)</f>
        <v/>
      </c>
      <c r="Q95" s="16" t="str" cm="1">
        <f t="array" ref="Q95">IF(I95="","",IF(J95&lt;'Rate &amp; Vol Update'!$C$2,0.001%,(1/((INDEX('Rate &amp; Vol Update'!$E$6:$Z$6,1,MATCH(O95,'Rate &amp; Vol Update'!$E$6:$Z$6,1)+1)-INDEX('Rate &amp; Vol Update'!$E$6:$Z$6,1,MATCH(O95,'Rate &amp; Vol Update'!$E$6:$Z$6,1)))*(INDEX('Rate &amp; Vol Update'!$B$8:$B$127,MATCH(J95,'Rate &amp; Vol Update'!$B$8:$B$127,1)+1)-INDEX('Rate &amp; Vol Update'!$B$8:$B$127,MATCH(J95,'Rate &amp; Vol Update'!$B$8:$B$127,1))))*(INDEX('Rate &amp; Vol Update'!$E$8:$Z$127,MATCH(INDEX('Rate &amp; Vol Update'!$B$8:$B$127,MATCH(J95,'Rate &amp; Vol Update'!$B$8:$B$127,1)),'Rate &amp; Vol Update'!$B$8:$B$127,0),MATCH(INDEX('Rate &amp; Vol Update'!$E$6:$Z$6,1,MATCH(O95,'Rate &amp; Vol Update'!$E$6:$Z$6,1)),'Rate &amp; Vol Update'!$E$6:$Z$6,0))*(INDEX('Rate &amp; Vol Update'!$E$6:$Z$6,1,MATCH(O95,'Rate &amp; Vol Update'!$E$6:$Z$6,1)+1)-O95)*(INDEX('Rate &amp; Vol Update'!$B$8:$B$127,MATCH(J95,'Rate &amp; Vol Update'!$B$8:$B$127,1)+1)-J95)+INDEX('Rate &amp; Vol Update'!$E$8:$Z$127,MATCH(INDEX('Rate &amp; Vol Update'!$B$8:$B$127,MATCH(J95,'Rate &amp; Vol Update'!$B$8:$B$127,1)),'Rate &amp; Vol Update'!$B$8:$B$127,0),MATCH(INDEX('Rate &amp; Vol Update'!$E$6:$Z$6,1,MATCH(O95,'Rate &amp; Vol Update'!$E$6:$Z$6,1)+1),'Rate &amp; Vol Update'!$E$6:$Z$6,0))*(O95-INDEX('Rate &amp; Vol Update'!$E$6:$Z$6,1,MATCH(O95,'Rate &amp; Vol Update'!$E$6:$Z$6,1)))*(INDEX('Rate &amp; Vol Update'!$B$8:$B$127,MATCH(J95,'Rate &amp; Vol Update'!$B$8:$B$127,1)+1)-J95)+INDEX('Rate &amp; Vol Update'!$E$8:$Z$127,MATCH(INDEX('Rate &amp; Vol Update'!$B$8:$B$127,MATCH(J95,'Rate &amp; Vol Update'!$B$8:$B$127,1)+1),'Rate &amp; Vol Update'!$B$8:$B$127,0),MATCH(INDEX('Rate &amp; Vol Update'!$E$6:$Z$6,1,MATCH(O95,'Rate &amp; Vol Update'!$E$6:$Z$6,1)),'Rate &amp; Vol Update'!$E$6:$Z$6,0))*(INDEX('Rate &amp; Vol Update'!$E$6:$Z$6,1,MATCH(O95,'Rate &amp; Vol Update'!$E$6:$Z$6,1)+1)-O95)*(J95-INDEX('Rate &amp; Vol Update'!$B$8:$B$127,MATCH(J95,'Rate &amp; Vol Update'!$B$8:$B$127,1)))+INDEX('Rate &amp; Vol Update'!$E$8:$Z$127,MATCH(INDEX('Rate &amp; Vol Update'!$B$8:$B$127,MATCH(J95,'Rate &amp; Vol Update'!$B$8:$B$127,1)+1),'Rate &amp; Vol Update'!$B$8:$B$127,0),MATCH(INDEX('Rate &amp; Vol Update'!$E$6:$Z$6,1,MATCH(O95,'Rate &amp; Vol Update'!$E$6:$Z$6,1)+1),'Rate &amp; Vol Update'!$E$6:$Z$6,0))*(O95-INDEX('Rate &amp; Vol Update'!$E$6:$Z$6,1,MATCH(O95,'Rate &amp; Vol Update'!$E$6:$Z$6,1)))*(J95-INDEX('Rate &amp; Vol Update'!$B$8:$B$127,MATCH(J95,'Rate &amp; Vol Update'!$B$8:$B$127,1)))))*0.01%))</f>
        <v/>
      </c>
      <c r="R95" s="5" t="str">
        <f>IF(I95="","",1/((1+P95)^((K95-'Rate &amp; Vol Update'!$C$2)/360)))</f>
        <v/>
      </c>
      <c r="T95" s="15" t="str">
        <f>IF(I95="","",IF(J95&lt;'Rate &amp; Vol Update'!$C$2,MAX(0,P95-O95)*(L95/360)*N95,(((IF('Adjustment Surface'!C$2='Data Validation'!$A$2,P95,IF('Adjustment Surface'!C$2='Data Validation'!$A$3,O95,"Unknown Option Type"))-IF('Adjustment Surface'!C$2='Data Validation'!$A$2,O95,IF('Adjustment Surface'!C$2='Data Validation'!$A$3,P95,"Unknown Option Type")))*(NORMDIST((IF('Adjustment Surface'!C$2='Data Validation'!$A$2,P95,IF('Adjustment Surface'!C$2='Data Validation'!$A$3,O95,"Unknown Option Type"))-IF('Adjustment Surface'!C$2='Data Validation'!$A$2,O95,IF('Adjustment Surface'!C$2='Data Validation'!$A$3,P95,"Unknown Option Type")))/(Q95*SQRT(M95)),0,1,TRUE)))+((Q95*SQRT(M95))*(NORMDIST((IF('Adjustment Surface'!C$2='Data Validation'!$A$2,P95,IF('Adjustment Surface'!C$2='Data Validation'!$A$3,O95,"Unknown Option Type"))-IF('Adjustment Surface'!C$2='Data Validation'!$A$2,O95,IF('Adjustment Surface'!C$2='Data Validation'!$A$3,P95,"Unknown Option Type")))/(Q95*SQRT(M95)),0,1,FALSE))))*R95*(L95/360)*N95))</f>
        <v/>
      </c>
      <c r="U95" s="15" t="str">
        <f>IF(I95="","",SUM(T$4:T95))</f>
        <v/>
      </c>
      <c r="W95" s="15" t="str">
        <f>IF(I95="","",IF(J95&lt;'Rate &amp; Vol Update'!$C$2,0,((((((IF('Adjustment Surface'!C$2='Data Validation'!$A$2,P95,IF('Adjustment Surface'!C$2='Data Validation'!$A$3,O95,"Unknown Option Type"))-IF('Adjustment Surface'!C$2='Data Validation'!$A$2,O95,IF('Adjustment Surface'!C$2='Data Validation'!$A$3,P95,"Unknown Option Type")))*(NORMDIST((IF('Adjustment Surface'!C$2='Data Validation'!$A$2,P95,IF('Adjustment Surface'!C$2='Data Validation'!$A$3,O95,"Unknown Option Type"))-IF('Adjustment Surface'!C$2='Data Validation'!$A$2,O95,IF('Adjustment Surface'!C$2='Data Validation'!$A$3,P95,"Unknown Option Type")))/((Q95+0.01%)*SQRT(M95)),0,1,TRUE)))+(((Q95+0.01%)*SQRT(M95))*(NORMDIST((IF('Adjustment Surface'!C$2='Data Validation'!$A$2,P95,IF('Adjustment Surface'!C$2='Data Validation'!$A$3,O95,"Unknown Option Type"))-IF('Adjustment Surface'!C$2='Data Validation'!$A$2,O95,IF('Adjustment Surface'!C$2='Data Validation'!$A$3,P95,"Unknown Option Type")))/((Q95+0.01%)*SQRT(M95)),0,1,FALSE))))*R95*(L95/360))-(T95/N95))*N95)*R95))</f>
        <v/>
      </c>
      <c r="X95" s="15" t="str">
        <f>IF(I95="","",SUM(W$4:W95))</f>
        <v/>
      </c>
      <c r="Y95" s="15"/>
      <c r="Z95" s="20"/>
      <c r="AB95" s="4" t="str">
        <f>IF(AC94=MAX('Adjustment Surface'!$C$14:$F$14),"",AC94)</f>
        <v/>
      </c>
      <c r="AC95" s="4" t="str">
        <f>IF(AB95="","",IF(AB95&lt;EDATE('Adjustment Surface'!$C$6,DATEDIF('Adjustment Surface'!$C$6,MAX('Adjustment Surface'!$C$14:$F$14),"M")),EDATE(AB$5,COUNT(AB$5:AB95)),IF(AB95=EDATE('Adjustment Surface'!$C$6,DATEDIF('Adjustment Surface'!$C$6,MAX('Adjustment Surface'!$C$14:$F$14),"M")),MAX('Adjustment Surface'!$C$14:$F$14),EDATE('Adjustment Surface'!$C$6,DATEDIF('Adjustment Surface'!$C$6,MAX('Adjustment Surface'!$C$14:$F$14),"M")))))</f>
        <v/>
      </c>
      <c r="AD95" s="3" t="str">
        <f t="shared" si="7"/>
        <v/>
      </c>
      <c r="AE95" s="5" t="str">
        <f>IF(AA95="","",(AC95-'Rate &amp; Vol Update'!$C$2)/360)</f>
        <v/>
      </c>
      <c r="AF95" s="15" t="str">
        <f>IF(AA95="","",IF('Adjustment Surface'!$C$3='Data Validation'!$C$2,'Adjustment Surface'!$C$4,_xlfn.IFNA(IF(INDEX(Schedules!$E$3:$E$123,MATCH('Bachelier Model'!AB95,Schedules!$B$3:$B$123,0))="",AF94,INDEX(Schedules!$E$3:$E$123,MATCH('Bachelier Model'!AB95,Schedules!$B$3:$B$123,0))),AF94)))</f>
        <v/>
      </c>
      <c r="AG95" s="16" t="str">
        <f>IF(AA95="","",'Adjustment Surface'!B$15)</f>
        <v/>
      </c>
      <c r="AH95" s="16" t="str" cm="1">
        <f t="array" ref="AH95">IF(AA95="","",FORECAST(AB95,INDEX('Rate &amp; Vol Update'!$C$6:$C$127,MATCH(INDEX('Rate &amp; Vol Update'!$B$6:$B$127,MATCH(AB95,'Rate &amp; Vol Update'!$B$6:$B$127,1)),'Rate &amp; Vol Update'!$B$6:$B$127,0)+IF('Adjustment Surface'!$C$11='Data Validation'!$E$3,-1,0)):INDEX('Rate &amp; Vol Update'!$C$6:$C$127,MATCH(INDEX('Rate &amp; Vol Update'!$B$6:$B$127,MATCH(AB95,'Rate &amp; Vol Update'!$B$6:$B$127,1)+1),'Rate &amp; Vol Update'!$B$6:$B$127,0)+IF('Adjustment Surface'!$C$11='Data Validation'!$E$3,-1,0)),INDEX('Rate &amp; Vol Update'!$B$6:$B$127,MATCH(AB95,'Rate &amp; Vol Update'!$B$6:$B$127,1)):INDEX('Rate &amp; Vol Update'!$B$6:$B$127,MATCH(AB95,'Rate &amp; Vol Update'!$B$6:$B$127,1)+1))/100)</f>
        <v/>
      </c>
      <c r="AI95" s="16" t="str" cm="1">
        <f t="array" ref="AI95">IF(AA95="","",IF(AB95&lt;'Rate &amp; Vol Update'!$C$2,0.001%,(1/((INDEX('Rate &amp; Vol Update'!$E$6:$Z$6,1,MATCH(AG95,'Rate &amp; Vol Update'!$E$6:$Z$6,1)+1)-INDEX('Rate &amp; Vol Update'!$E$6:$Z$6,1,MATCH(AG95,'Rate &amp; Vol Update'!$E$6:$Z$6,1)))*(INDEX('Rate &amp; Vol Update'!$B$8:$B$127,MATCH(AB95,'Rate &amp; Vol Update'!$B$8:$B$127,1)+1)-INDEX('Rate &amp; Vol Update'!$B$8:$B$127,MATCH(AB95,'Rate &amp; Vol Update'!$B$8:$B$127,1))))*(INDEX('Rate &amp; Vol Update'!$E$8:$Z$127,MATCH(INDEX('Rate &amp; Vol Update'!$B$8:$B$127,MATCH(AB95,'Rate &amp; Vol Update'!$B$8:$B$127,1)),'Rate &amp; Vol Update'!$B$8:$B$127,0),MATCH(INDEX('Rate &amp; Vol Update'!$E$6:$Z$6,1,MATCH(AG95,'Rate &amp; Vol Update'!$E$6:$Z$6,1)),'Rate &amp; Vol Update'!$E$6:$Z$6,0))*(INDEX('Rate &amp; Vol Update'!$E$6:$Z$6,1,MATCH(AG95,'Rate &amp; Vol Update'!$E$6:$Z$6,1)+1)-AG95)*(INDEX('Rate &amp; Vol Update'!$B$8:$B$127,MATCH(AB95,'Rate &amp; Vol Update'!$B$8:$B$127,1)+1)-AB95)+INDEX('Rate &amp; Vol Update'!$E$8:$Z$127,MATCH(INDEX('Rate &amp; Vol Update'!$B$8:$B$127,MATCH(AB95,'Rate &amp; Vol Update'!$B$8:$B$127,1)),'Rate &amp; Vol Update'!$B$8:$B$127,0),MATCH(INDEX('Rate &amp; Vol Update'!$E$6:$Z$6,1,MATCH(AG95,'Rate &amp; Vol Update'!$E$6:$Z$6,1)+1),'Rate &amp; Vol Update'!$E$6:$Z$6,0))*(AG95-INDEX('Rate &amp; Vol Update'!$E$6:$Z$6,1,MATCH(AG95,'Rate &amp; Vol Update'!$E$6:$Z$6,1)))*(INDEX('Rate &amp; Vol Update'!$B$8:$B$127,MATCH(AB95,'Rate &amp; Vol Update'!$B$8:$B$127,1)+1)-AB95)+INDEX('Rate &amp; Vol Update'!$E$8:$Z$127,MATCH(INDEX('Rate &amp; Vol Update'!$B$8:$B$127,MATCH(AB95,'Rate &amp; Vol Update'!$B$8:$B$127,1)+1),'Rate &amp; Vol Update'!$B$8:$B$127,0),MATCH(INDEX('Rate &amp; Vol Update'!$E$6:$Z$6,1,MATCH(AG95,'Rate &amp; Vol Update'!$E$6:$Z$6,1)),'Rate &amp; Vol Update'!$E$6:$Z$6,0))*(INDEX('Rate &amp; Vol Update'!$E$6:$Z$6,1,MATCH(AG95,'Rate &amp; Vol Update'!$E$6:$Z$6,1)+1)-AG95)*(AB95-INDEX('Rate &amp; Vol Update'!$B$8:$B$127,MATCH(AB95,'Rate &amp; Vol Update'!$B$8:$B$127,1)))+INDEX('Rate &amp; Vol Update'!$E$8:$Z$127,MATCH(INDEX('Rate &amp; Vol Update'!$B$8:$B$127,MATCH(AB95,'Rate &amp; Vol Update'!$B$8:$B$127,1)+1),'Rate &amp; Vol Update'!$B$8:$B$127,0),MATCH(INDEX('Rate &amp; Vol Update'!$E$6:$Z$6,1,MATCH(AG95,'Rate &amp; Vol Update'!$E$6:$Z$6,1)+1),'Rate &amp; Vol Update'!$E$6:$Z$6,0))*(AG95-INDEX('Rate &amp; Vol Update'!$E$6:$Z$6,1,MATCH(AG95,'Rate &amp; Vol Update'!$E$6:$Z$6,1)))*(AB95-INDEX('Rate &amp; Vol Update'!$B$8:$B$127,MATCH(AB95,'Rate &amp; Vol Update'!$B$8:$B$127,1)))))*0.01%))</f>
        <v/>
      </c>
      <c r="AJ95" s="5" t="str">
        <f>IF(AA95="","",1/((1+AH95)^((AC95-'Rate &amp; Vol Update'!$C$2)/360)))</f>
        <v/>
      </c>
      <c r="AL95" s="15" t="str">
        <f>IF(AA95="","",IF(AB95&lt;'Rate &amp; Vol Update'!$C$2,MAX(0,AH95-AG95)*(AD95/360)*AF95,(((IF('Adjustment Surface'!$C$2='Data Validation'!$A$2,AH95,IF('Adjustment Surface'!$C$2='Data Validation'!$A$3,AG95,"Unknown Option Type"))-IF('Adjustment Surface'!$C$2='Data Validation'!$A$2,AG95,IF('Adjustment Surface'!$C$2='Data Validation'!$A$3,AH95,"Unknown Option Type")))*(NORMDIST((IF('Adjustment Surface'!$C$2='Data Validation'!$A$2,AH95,IF('Adjustment Surface'!$C$2='Data Validation'!$A$3,AG95,"Unknown Option Type"))-IF('Adjustment Surface'!$C$2='Data Validation'!$A$2,AG95,IF('Adjustment Surface'!$C$2='Data Validation'!$A$3,AH95,"Unknown Option Type")))/(AI95*SQRT(AE95)),0,1,TRUE)))+((AI95*SQRT(AE95))*(NORMDIST((IF('Adjustment Surface'!$C$2='Data Validation'!$A$2,AH95,IF('Adjustment Surface'!$C$2='Data Validation'!$A$3,AG95,"Unknown Option Type"))-IF('Adjustment Surface'!$C$2='Data Validation'!$A$2,AG95,IF('Adjustment Surface'!$C$2='Data Validation'!$A$3,AH95,"Unknown Option Type")))/(AI95*SQRT(AE95)),0,1,FALSE))))*AJ95*(AD95/360)*AF95))</f>
        <v/>
      </c>
      <c r="AM95" s="15" t="str">
        <f>IF(AA95="","",SUM(AL$4:AL95))</f>
        <v/>
      </c>
      <c r="AO95" s="15" t="str">
        <f>IF(AA95="","",IF(AB95&lt;'Rate &amp; Vol Update'!$C$2,0,((((((IF('Adjustment Surface'!$C$2='Data Validation'!$A$2,AH95,IF('Adjustment Surface'!$C$2='Data Validation'!$A$3,AG95,"Unknown Option Type"))-IF('Adjustment Surface'!$C$2='Data Validation'!$A$2,AG95,IF('Adjustment Surface'!$C$2='Data Validation'!$A$3,AH95,"Unknown Option Type")))*(NORMDIST((IF('Adjustment Surface'!$C$2='Data Validation'!$A$2,AH95,IF('Adjustment Surface'!$C$2='Data Validation'!$A$3,AG95,"Unknown Option Type"))-IF('Adjustment Surface'!$C$2='Data Validation'!$A$2,AG95,IF('Adjustment Surface'!$C$2='Data Validation'!$A$3,AH95,"Unknown Option Type")))/((AI95+0.01%)*SQRT(AE95)),0,1,TRUE)))+(((AI95+0.01%)*SQRT(AE95))*(NORMDIST((IF('Adjustment Surface'!$C$2='Data Validation'!$A$2,AH95,IF('Adjustment Surface'!$C$2='Data Validation'!$A$3,AG95,"Unknown Option Type"))-IF('Adjustment Surface'!$C$2='Data Validation'!$A$2,AG95,IF('Adjustment Surface'!$C$2='Data Validation'!$A$3,AH95,"Unknown Option Type")))/((AI95+0.01%)*SQRT(AE95)),0,1,FALSE))))*AJ95*(AD95/360))-(AL95/AF95))*AF95)*AJ95))</f>
        <v/>
      </c>
      <c r="AP95" s="15" t="str">
        <f>IF(AA95="","",SUM(AO$4:AO95))</f>
        <v/>
      </c>
      <c r="AQ95" s="15"/>
      <c r="AR95" s="20"/>
      <c r="AT95" s="4" t="str">
        <f>IF(AU94=MAX('Adjustment Surface'!$C$14:$F$14),"",AU94)</f>
        <v/>
      </c>
      <c r="AU95" s="4" t="str">
        <f>IF(AT95="","",IF(AT95&lt;EDATE('Adjustment Surface'!$C$6,DATEDIF('Adjustment Surface'!$C$6,MAX('Adjustment Surface'!$C$14:$F$14),"M")),EDATE(AT$5,COUNT(AT$5:AT95)),IF(AT95=EDATE('Adjustment Surface'!$C$6,DATEDIF('Adjustment Surface'!$C$6,MAX('Adjustment Surface'!$C$14:$F$14),"M")),MAX('Adjustment Surface'!$C$14:$F$14),EDATE('Adjustment Surface'!$C$6,DATEDIF('Adjustment Surface'!$C$6,MAX('Adjustment Surface'!$C$14:$F$14),"M")))))</f>
        <v/>
      </c>
      <c r="AV95" s="3" t="str">
        <f t="shared" si="8"/>
        <v/>
      </c>
      <c r="AW95" s="5" t="str">
        <f>IF(AS95="","",(AU95-'Rate &amp; Vol Update'!$C$2)/360)</f>
        <v/>
      </c>
      <c r="AX95" s="15" t="str">
        <f>IF(AS95="","",IF('Adjustment Surface'!$C$3='Data Validation'!$C$2,'Adjustment Surface'!$C$4,_xlfn.IFNA(IF(INDEX(Schedules!$E$3:$E$123,MATCH('Bachelier Model'!AT95,Schedules!$B$3:$B$123,0))="",AX94,INDEX(Schedules!$E$3:$E$123,MATCH('Bachelier Model'!AT95,Schedules!$B$3:$B$123,0))),AX94)))</f>
        <v/>
      </c>
      <c r="AY95" s="16" t="str">
        <f>IF(AS95="","",'Adjustment Surface'!B$16)</f>
        <v/>
      </c>
      <c r="AZ95" s="16" t="str" cm="1">
        <f t="array" ref="AZ95">IF(AS95="","",FORECAST(AT95,INDEX('Rate &amp; Vol Update'!$C$6:$C$127,MATCH(INDEX('Rate &amp; Vol Update'!$B$6:$B$127,MATCH(AT95,'Rate &amp; Vol Update'!$B$6:$B$127,1)),'Rate &amp; Vol Update'!$B$6:$B$127,0)+IF('Adjustment Surface'!$C$11='Data Validation'!$E$3,-1,0)):INDEX('Rate &amp; Vol Update'!$C$6:$C$127,MATCH(INDEX('Rate &amp; Vol Update'!$B$6:$B$127,MATCH(AT95,'Rate &amp; Vol Update'!$B$6:$B$127,1)+1),'Rate &amp; Vol Update'!$B$6:$B$127,0)+IF('Adjustment Surface'!$C$11='Data Validation'!$E$3,-1,0)),INDEX('Rate &amp; Vol Update'!$B$6:$B$127,MATCH(AT95,'Rate &amp; Vol Update'!$B$6:$B$127,1)):INDEX('Rate &amp; Vol Update'!$B$6:$B$127,MATCH(AT95,'Rate &amp; Vol Update'!$B$6:$B$127,1)+1))/100)</f>
        <v/>
      </c>
      <c r="BA95" s="16" t="str" cm="1">
        <f t="array" ref="BA95">IF(AS95="","",IF(AT95&lt;'Rate &amp; Vol Update'!$C$2,0.001%,(1/((INDEX('Rate &amp; Vol Update'!$E$6:$Z$6,1,MATCH(AY95,'Rate &amp; Vol Update'!$E$6:$Z$6,1)+1)-INDEX('Rate &amp; Vol Update'!$E$6:$Z$6,1,MATCH(AY95,'Rate &amp; Vol Update'!$E$6:$Z$6,1)))*(INDEX('Rate &amp; Vol Update'!$B$8:$B$127,MATCH(AT95,'Rate &amp; Vol Update'!$B$8:$B$127,1)+1)-INDEX('Rate &amp; Vol Update'!$B$8:$B$127,MATCH(AT95,'Rate &amp; Vol Update'!$B$8:$B$127,1))))*(INDEX('Rate &amp; Vol Update'!$E$8:$Z$127,MATCH(INDEX('Rate &amp; Vol Update'!$B$8:$B$127,MATCH(AT95,'Rate &amp; Vol Update'!$B$8:$B$127,1)),'Rate &amp; Vol Update'!$B$8:$B$127,0),MATCH(INDEX('Rate &amp; Vol Update'!$E$6:$Z$6,1,MATCH(AY95,'Rate &amp; Vol Update'!$E$6:$Z$6,1)),'Rate &amp; Vol Update'!$E$6:$Z$6,0))*(INDEX('Rate &amp; Vol Update'!$E$6:$Z$6,1,MATCH(AY95,'Rate &amp; Vol Update'!$E$6:$Z$6,1)+1)-AY95)*(INDEX('Rate &amp; Vol Update'!$B$8:$B$127,MATCH(AT95,'Rate &amp; Vol Update'!$B$8:$B$127,1)+1)-AT95)+INDEX('Rate &amp; Vol Update'!$E$8:$Z$127,MATCH(INDEX('Rate &amp; Vol Update'!$B$8:$B$127,MATCH(AT95,'Rate &amp; Vol Update'!$B$8:$B$127,1)),'Rate &amp; Vol Update'!$B$8:$B$127,0),MATCH(INDEX('Rate &amp; Vol Update'!$E$6:$Z$6,1,MATCH(AY95,'Rate &amp; Vol Update'!$E$6:$Z$6,1)+1),'Rate &amp; Vol Update'!$E$6:$Z$6,0))*(AY95-INDEX('Rate &amp; Vol Update'!$E$6:$Z$6,1,MATCH(AY95,'Rate &amp; Vol Update'!$E$6:$Z$6,1)))*(INDEX('Rate &amp; Vol Update'!$B$8:$B$127,MATCH(AT95,'Rate &amp; Vol Update'!$B$8:$B$127,1)+1)-AT95)+INDEX('Rate &amp; Vol Update'!$E$8:$Z$127,MATCH(INDEX('Rate &amp; Vol Update'!$B$8:$B$127,MATCH(AT95,'Rate &amp; Vol Update'!$B$8:$B$127,1)+1),'Rate &amp; Vol Update'!$B$8:$B$127,0),MATCH(INDEX('Rate &amp; Vol Update'!$E$6:$Z$6,1,MATCH(AY95,'Rate &amp; Vol Update'!$E$6:$Z$6,1)),'Rate &amp; Vol Update'!$E$6:$Z$6,0))*(INDEX('Rate &amp; Vol Update'!$E$6:$Z$6,1,MATCH(AY95,'Rate &amp; Vol Update'!$E$6:$Z$6,1)+1)-AY95)*(AT95-INDEX('Rate &amp; Vol Update'!$B$8:$B$127,MATCH(AT95,'Rate &amp; Vol Update'!$B$8:$B$127,1)))+INDEX('Rate &amp; Vol Update'!$E$8:$Z$127,MATCH(INDEX('Rate &amp; Vol Update'!$B$8:$B$127,MATCH(AT95,'Rate &amp; Vol Update'!$B$8:$B$127,1)+1),'Rate &amp; Vol Update'!$B$8:$B$127,0),MATCH(INDEX('Rate &amp; Vol Update'!$E$6:$Z$6,1,MATCH(AY95,'Rate &amp; Vol Update'!$E$6:$Z$6,1)+1),'Rate &amp; Vol Update'!$E$6:$Z$6,0))*(AY95-INDEX('Rate &amp; Vol Update'!$E$6:$Z$6,1,MATCH(AY95,'Rate &amp; Vol Update'!$E$6:$Z$6,1)))*(AT95-INDEX('Rate &amp; Vol Update'!$B$8:$B$127,MATCH(AT95,'Rate &amp; Vol Update'!$B$8:$B$127,1)))))*0.01%))</f>
        <v/>
      </c>
      <c r="BB95" s="5" t="str">
        <f>IF(AS95="","",1/((1+AZ95)^((AU95-'Rate &amp; Vol Update'!$C$2)/360)))</f>
        <v/>
      </c>
      <c r="BD95" s="15" t="str">
        <f>IF(AS95="","",IF(AT95&lt;'Rate &amp; Vol Update'!$C$2,MAX(0,AZ95-AY95)*(AV95/360)*AX95,(((IF('Adjustment Surface'!$C$2='Data Validation'!$A$2,AZ95,IF('Adjustment Surface'!$C$2='Data Validation'!$A$3,AY95,"Unknown Option Type"))-IF('Adjustment Surface'!$C$2='Data Validation'!$A$2,AY95,IF('Adjustment Surface'!$C$2='Data Validation'!$A$3,AZ95,"Unknown Option Type")))*(NORMDIST((IF('Adjustment Surface'!$C$2='Data Validation'!$A$2,AZ95,IF('Adjustment Surface'!$C$2='Data Validation'!$A$3,AY95,"Unknown Option Type"))-IF('Adjustment Surface'!$C$2='Data Validation'!$A$2,AY95,IF('Adjustment Surface'!$C$2='Data Validation'!$A$3,AZ95,"Unknown Option Type")))/(BA95*SQRT(AW95)),0,1,TRUE)))+((BA95*SQRT(AW95))*(NORMDIST((IF('Adjustment Surface'!$C$2='Data Validation'!$A$2,AZ95,IF('Adjustment Surface'!$C$2='Data Validation'!$A$3,AY95,"Unknown Option Type"))-IF('Adjustment Surface'!$C$2='Data Validation'!$A$2,AY95,IF('Adjustment Surface'!$C$2='Data Validation'!$A$3,AZ95,"Unknown Option Type")))/(BA95*SQRT(AW95)),0,1,FALSE))))*BB95*(AV95/360)*AX95))</f>
        <v/>
      </c>
      <c r="BE95" s="15" t="str">
        <f>IF(AS95="","",SUM(BD$4:BD95))</f>
        <v/>
      </c>
      <c r="BG95" s="15" t="str">
        <f>IF(AS95="","",IF(AT95&lt;'Rate &amp; Vol Update'!$C$2,0,((((((IF('Adjustment Surface'!$C$2='Data Validation'!$A$2,AZ95,IF('Adjustment Surface'!$C$2='Data Validation'!$A$3,AY95,"Unknown Option Type"))-IF('Adjustment Surface'!$C$2='Data Validation'!$A$2,AY95,IF('Adjustment Surface'!$C$2='Data Validation'!$A$3,AZ95,"Unknown Option Type")))*(NORMDIST((IF('Adjustment Surface'!$C$2='Data Validation'!$A$2,AZ95,IF('Adjustment Surface'!$C$2='Data Validation'!$A$3,AY95,"Unknown Option Type"))-IF('Adjustment Surface'!$C$2='Data Validation'!$A$2,AY95,IF('Adjustment Surface'!$C$2='Data Validation'!$A$3,AZ95,"Unknown Option Type")))/((BA95+0.01%)*SQRT(AW95)),0,1,TRUE)))+(((BA95+0.01%)*SQRT(AW95))*(NORMDIST((IF('Adjustment Surface'!$C$2='Data Validation'!$A$2,AZ95,IF('Adjustment Surface'!$C$2='Data Validation'!$A$3,AY95,"Unknown Option Type"))-IF('Adjustment Surface'!$C$2='Data Validation'!$A$2,AY95,IF('Adjustment Surface'!$C$2='Data Validation'!$A$3,AZ95,"Unknown Option Type")))/((BA95+0.01%)*SQRT(AW95)),0,1,FALSE))))*BB95*(AV95/360))-(BD95/AX95))*AX95)*BB95))</f>
        <v/>
      </c>
      <c r="BH95" s="15" t="str">
        <f>IF(AS95="","",SUM(BG$4:BG95))</f>
        <v/>
      </c>
      <c r="BI95" s="15"/>
      <c r="BJ95" s="20"/>
      <c r="BL95" s="4" t="str">
        <f>IF(BM94=MAX('Adjustment Surface'!$C$14:$F$14),"",BM94)</f>
        <v/>
      </c>
      <c r="BM95" s="4" t="str">
        <f>IF(BL95="","",IF(BL95&lt;EDATE('Adjustment Surface'!$C$6,DATEDIF('Adjustment Surface'!$C$6,MAX('Adjustment Surface'!$C$14:$F$14),"M")),EDATE(BL$5,COUNT(BL$5:BL95)),IF(BL95=EDATE('Adjustment Surface'!$C$6,DATEDIF('Adjustment Surface'!$C$6,MAX('Adjustment Surface'!$C$14:$F$14),"M")),MAX('Adjustment Surface'!$C$14:$F$14),EDATE('Adjustment Surface'!$C$6,DATEDIF('Adjustment Surface'!$C$6,MAX('Adjustment Surface'!$C$14:$F$14),"M")))))</f>
        <v/>
      </c>
      <c r="BN95" s="3" t="str">
        <f t="shared" si="9"/>
        <v/>
      </c>
      <c r="BO95" s="5" t="str">
        <f>IF(BK95="","",(BM95-'Rate &amp; Vol Update'!$C$2)/360)</f>
        <v/>
      </c>
      <c r="BP95" s="15" t="str">
        <f>IF(BK95="","",IF('Adjustment Surface'!$C$3='Data Validation'!$C$2,'Adjustment Surface'!$C$4,_xlfn.IFNA(IF(INDEX(Schedules!$E$3:$E$123,MATCH('Bachelier Model'!BL95,Schedules!$B$3:$B$123,0))="",BP94,INDEX(Schedules!$E$3:$E$123,MATCH('Bachelier Model'!BL95,Schedules!$B$3:$B$123,0))),BP94)))</f>
        <v/>
      </c>
      <c r="BQ95" s="16" t="str">
        <f>IF(BK95="","",'Adjustment Surface'!B$17)</f>
        <v/>
      </c>
      <c r="BR95" s="16" t="str" cm="1">
        <f t="array" ref="BR95">IF(BK95="","",FORECAST(BL95,INDEX('Rate &amp; Vol Update'!$C$6:$C$127,MATCH(INDEX('Rate &amp; Vol Update'!$B$6:$B$127,MATCH(BL95,'Rate &amp; Vol Update'!$B$6:$B$127,1)),'Rate &amp; Vol Update'!$B$6:$B$127,0)+IF('Adjustment Surface'!$C$11='Data Validation'!$E$3,-1,0)):INDEX('Rate &amp; Vol Update'!$C$6:$C$127,MATCH(INDEX('Rate &amp; Vol Update'!$B$6:$B$127,MATCH(BL95,'Rate &amp; Vol Update'!$B$6:$B$127,1)+1),'Rate &amp; Vol Update'!$B$6:$B$127,0)+IF('Adjustment Surface'!$C$11='Data Validation'!$E$3,-1,0)),INDEX('Rate &amp; Vol Update'!$B$6:$B$127,MATCH(BL95,'Rate &amp; Vol Update'!$B$6:$B$127,1)):INDEX('Rate &amp; Vol Update'!$B$6:$B$127,MATCH(BL95,'Rate &amp; Vol Update'!$B$6:$B$127,1)+1))/100)</f>
        <v/>
      </c>
      <c r="BS95" s="16" t="str" cm="1">
        <f t="array" ref="BS95">IF(BK95="","",IF(BL95&lt;'Rate &amp; Vol Update'!$C$2,0.001%,(1/((INDEX('Rate &amp; Vol Update'!$E$6:$Z$6,1,MATCH(BQ95,'Rate &amp; Vol Update'!$E$6:$Z$6,1)+1)-INDEX('Rate &amp; Vol Update'!$E$6:$Z$6,1,MATCH(BQ95,'Rate &amp; Vol Update'!$E$6:$Z$6,1)))*(INDEX('Rate &amp; Vol Update'!$B$8:$B$127,MATCH(BL95,'Rate &amp; Vol Update'!$B$8:$B$127,1)+1)-INDEX('Rate &amp; Vol Update'!$B$8:$B$127,MATCH(BL95,'Rate &amp; Vol Update'!$B$8:$B$127,1))))*(INDEX('Rate &amp; Vol Update'!$E$8:$Z$127,MATCH(INDEX('Rate &amp; Vol Update'!$B$8:$B$127,MATCH(BL95,'Rate &amp; Vol Update'!$B$8:$B$127,1)),'Rate &amp; Vol Update'!$B$8:$B$127,0),MATCH(INDEX('Rate &amp; Vol Update'!$E$6:$Z$6,1,MATCH(BQ95,'Rate &amp; Vol Update'!$E$6:$Z$6,1)),'Rate &amp; Vol Update'!$E$6:$Z$6,0))*(INDEX('Rate &amp; Vol Update'!$E$6:$Z$6,1,MATCH(BQ95,'Rate &amp; Vol Update'!$E$6:$Z$6,1)+1)-BQ95)*(INDEX('Rate &amp; Vol Update'!$B$8:$B$127,MATCH(BL95,'Rate &amp; Vol Update'!$B$8:$B$127,1)+1)-BL95)+INDEX('Rate &amp; Vol Update'!$E$8:$Z$127,MATCH(INDEX('Rate &amp; Vol Update'!$B$8:$B$127,MATCH(BL95,'Rate &amp; Vol Update'!$B$8:$B$127,1)),'Rate &amp; Vol Update'!$B$8:$B$127,0),MATCH(INDEX('Rate &amp; Vol Update'!$E$6:$Z$6,1,MATCH(BQ95,'Rate &amp; Vol Update'!$E$6:$Z$6,1)+1),'Rate &amp; Vol Update'!$E$6:$Z$6,0))*(BQ95-INDEX('Rate &amp; Vol Update'!$E$6:$Z$6,1,MATCH(BQ95,'Rate &amp; Vol Update'!$E$6:$Z$6,1)))*(INDEX('Rate &amp; Vol Update'!$B$8:$B$127,MATCH(BL95,'Rate &amp; Vol Update'!$B$8:$B$127,1)+1)-BL95)+INDEX('Rate &amp; Vol Update'!$E$8:$Z$127,MATCH(INDEX('Rate &amp; Vol Update'!$B$8:$B$127,MATCH(BL95,'Rate &amp; Vol Update'!$B$8:$B$127,1)+1),'Rate &amp; Vol Update'!$B$8:$B$127,0),MATCH(INDEX('Rate &amp; Vol Update'!$E$6:$Z$6,1,MATCH(BQ95,'Rate &amp; Vol Update'!$E$6:$Z$6,1)),'Rate &amp; Vol Update'!$E$6:$Z$6,0))*(INDEX('Rate &amp; Vol Update'!$E$6:$Z$6,1,MATCH(BQ95,'Rate &amp; Vol Update'!$E$6:$Z$6,1)+1)-BQ95)*(BL95-INDEX('Rate &amp; Vol Update'!$B$8:$B$127,MATCH(BL95,'Rate &amp; Vol Update'!$B$8:$B$127,1)))+INDEX('Rate &amp; Vol Update'!$E$8:$Z$127,MATCH(INDEX('Rate &amp; Vol Update'!$B$8:$B$127,MATCH(BL95,'Rate &amp; Vol Update'!$B$8:$B$127,1)+1),'Rate &amp; Vol Update'!$B$8:$B$127,0),MATCH(INDEX('Rate &amp; Vol Update'!$E$6:$Z$6,1,MATCH(BQ95,'Rate &amp; Vol Update'!$E$6:$Z$6,1)+1),'Rate &amp; Vol Update'!$E$6:$Z$6,0))*(BQ95-INDEX('Rate &amp; Vol Update'!$E$6:$Z$6,1,MATCH(BQ95,'Rate &amp; Vol Update'!$E$6:$Z$6,1)))*(BL95-INDEX('Rate &amp; Vol Update'!$B$8:$B$127,MATCH(BL95,'Rate &amp; Vol Update'!$B$8:$B$127,1)))))*0.01%))</f>
        <v/>
      </c>
      <c r="BT95" s="5" t="str">
        <f>IF(BK95="","",1/((1+BR95)^((BM95-'Rate &amp; Vol Update'!$C$2)/360)))</f>
        <v/>
      </c>
      <c r="BV95" s="15" t="str">
        <f>IF(BK95="","",IF(BL95&lt;'Rate &amp; Vol Update'!$C$2,MAX(0,BR95-BQ95)*(BN95/360)*BP95,(((IF('Adjustment Surface'!$C$2='Data Validation'!$A$2,BR95,IF('Adjustment Surface'!$C$2='Data Validation'!$A$3,BQ95,"Unknown Option Type"))-IF('Adjustment Surface'!$C$2='Data Validation'!$A$2,BQ95,IF('Adjustment Surface'!$C$2='Data Validation'!$A$3,BR95,"Unknown Option Type")))*(NORMDIST((IF('Adjustment Surface'!$C$2='Data Validation'!$A$2,BR95,IF('Adjustment Surface'!$C$2='Data Validation'!$A$3,BQ95,"Unknown Option Type"))-IF('Adjustment Surface'!$C$2='Data Validation'!$A$2,BQ95,IF('Adjustment Surface'!$C$2='Data Validation'!$A$3,BR95,"Unknown Option Type")))/(BS95*SQRT(BO95)),0,1,TRUE)))+((BS95*SQRT(BO95))*(NORMDIST((IF('Adjustment Surface'!$C$2='Data Validation'!$A$2,BR95,IF('Adjustment Surface'!$C$2='Data Validation'!$A$3,BQ95,"Unknown Option Type"))-IF('Adjustment Surface'!$C$2='Data Validation'!$A$2,BQ95,IF('Adjustment Surface'!$C$2='Data Validation'!$A$3,BR95,"Unknown Option Type")))/(BS95*SQRT(BO95)),0,1,FALSE))))*BT95*(BN95/360)*BP95))</f>
        <v/>
      </c>
      <c r="BW95" s="15" t="str">
        <f>IF(BK95="","",SUM(BV$4:BV95))</f>
        <v/>
      </c>
      <c r="BY95" s="15" t="str">
        <f>IF(BK95="","",IF(BL95&lt;'Rate &amp; Vol Update'!$C$2,0,((((((IF('Adjustment Surface'!$C$2='Data Validation'!$A$2,BR95,IF('Adjustment Surface'!$C$2='Data Validation'!$A$3,BQ95,"Unknown Option Type"))-IF('Adjustment Surface'!$C$2='Data Validation'!$A$2,BQ95,IF('Adjustment Surface'!$C$2='Data Validation'!$A$3,BR95,"Unknown Option Type")))*(NORMDIST((IF('Adjustment Surface'!$C$2='Data Validation'!$A$2,BR95,IF('Adjustment Surface'!$C$2='Data Validation'!$A$3,BQ95,"Unknown Option Type"))-IF('Adjustment Surface'!$C$2='Data Validation'!$A$2,BQ95,IF('Adjustment Surface'!$C$2='Data Validation'!$A$3,BR95,"Unknown Option Type")))/((BS95+0.01%)*SQRT(BO95)),0,1,TRUE)))+(((BS95+0.01%)*SQRT(BO95))*(NORMDIST((IF('Adjustment Surface'!$C$2='Data Validation'!$A$2,BR95,IF('Adjustment Surface'!$C$2='Data Validation'!$A$3,BQ95,"Unknown Option Type"))-IF('Adjustment Surface'!$C$2='Data Validation'!$A$2,BQ95,IF('Adjustment Surface'!$C$2='Data Validation'!$A$3,BR95,"Unknown Option Type")))/((BS95+0.01%)*SQRT(BO95)),0,1,FALSE))))*BT95*(BN95/360))-(BV95/BP95))*BP95)*BT95))</f>
        <v/>
      </c>
      <c r="BZ95" s="15" t="str">
        <f>IF(BK95="","",SUM(BY$4:BY95))</f>
        <v/>
      </c>
      <c r="CA95" s="15"/>
      <c r="CB95" s="20"/>
      <c r="CD95" s="4" t="str">
        <f>IF(CE94=MAX('Adjustment Surface'!$C$14:$F$14),"",CE94)</f>
        <v/>
      </c>
      <c r="CE95" s="4" t="str">
        <f>IF(CD95="","",IF(CD95&lt;EDATE('Adjustment Surface'!$C$6,DATEDIF('Adjustment Surface'!$C$6,MAX('Adjustment Surface'!$C$14:$F$14),"M")),EDATE(CD$5,COUNT(CD$5:CD95)),IF(CD95=EDATE('Adjustment Surface'!$C$6,DATEDIF('Adjustment Surface'!$C$6,MAX('Adjustment Surface'!$C$14:$F$14),"M")),MAX('Adjustment Surface'!$C$14:$F$14),EDATE('Adjustment Surface'!$C$6,DATEDIF('Adjustment Surface'!$C$6,MAX('Adjustment Surface'!$C$14:$F$14),"M")))))</f>
        <v/>
      </c>
      <c r="CF95" s="3" t="str">
        <f t="shared" si="10"/>
        <v/>
      </c>
      <c r="CG95" s="5" t="str">
        <f>IF(CC95="","",(CE95-'Rate &amp; Vol Update'!$C$2)/360)</f>
        <v/>
      </c>
      <c r="CH95" s="15" t="str">
        <f>IF(CC95="","",IF('Adjustment Surface'!$C$3='Data Validation'!$C$2,'Adjustment Surface'!$C$4,_xlfn.IFNA(IF(INDEX(Schedules!$E$3:$E$123,MATCH('Bachelier Model'!CD95,Schedules!$B$3:$B$123,0))="",CH94,INDEX(Schedules!$E$3:$E$123,MATCH('Bachelier Model'!CD95,Schedules!$B$3:$B$123,0))),CH94)))</f>
        <v/>
      </c>
      <c r="CI95" s="16" t="str">
        <f>IF(CC95="","",'Adjustment Surface'!B$18)</f>
        <v/>
      </c>
      <c r="CJ95" s="16" t="str" cm="1">
        <f t="array" ref="CJ95">IF(CC95="","",FORECAST(CD95,INDEX('Rate &amp; Vol Update'!$C$6:$C$127,MATCH(INDEX('Rate &amp; Vol Update'!$B$6:$B$127,MATCH(CD95,'Rate &amp; Vol Update'!$B$6:$B$127,1)),'Rate &amp; Vol Update'!$B$6:$B$127,0)+IF('Adjustment Surface'!$C$11='Data Validation'!$E$3,-1,0)):INDEX('Rate &amp; Vol Update'!$C$6:$C$127,MATCH(INDEX('Rate &amp; Vol Update'!$B$6:$B$127,MATCH(CD95,'Rate &amp; Vol Update'!$B$6:$B$127,1)+1),'Rate &amp; Vol Update'!$B$6:$B$127,0)+IF('Adjustment Surface'!$C$11='Data Validation'!$E$3,-1,0)),INDEX('Rate &amp; Vol Update'!$B$6:$B$127,MATCH(CD95,'Rate &amp; Vol Update'!$B$6:$B$127,1)):INDEX('Rate &amp; Vol Update'!$B$6:$B$127,MATCH(CD95,'Rate &amp; Vol Update'!$B$6:$B$127,1)+1))/100)</f>
        <v/>
      </c>
      <c r="CK95" s="16" t="str" cm="1">
        <f t="array" ref="CK95">IF(CC95="","",IF(CD95&lt;'Rate &amp; Vol Update'!$C$2,0.001%,(1/((INDEX('Rate &amp; Vol Update'!$E$6:$Z$6,1,MATCH(CI95,'Rate &amp; Vol Update'!$E$6:$Z$6,1)+1)-INDEX('Rate &amp; Vol Update'!$E$6:$Z$6,1,MATCH(CI95,'Rate &amp; Vol Update'!$E$6:$Z$6,1)))*(INDEX('Rate &amp; Vol Update'!$B$8:$B$127,MATCH(CD95,'Rate &amp; Vol Update'!$B$8:$B$127,1)+1)-INDEX('Rate &amp; Vol Update'!$B$8:$B$127,MATCH(CD95,'Rate &amp; Vol Update'!$B$8:$B$127,1))))*(INDEX('Rate &amp; Vol Update'!$E$8:$Z$127,MATCH(INDEX('Rate &amp; Vol Update'!$B$8:$B$127,MATCH(CD95,'Rate &amp; Vol Update'!$B$8:$B$127,1)),'Rate &amp; Vol Update'!$B$8:$B$127,0),MATCH(INDEX('Rate &amp; Vol Update'!$E$6:$Z$6,1,MATCH(CI95,'Rate &amp; Vol Update'!$E$6:$Z$6,1)),'Rate &amp; Vol Update'!$E$6:$Z$6,0))*(INDEX('Rate &amp; Vol Update'!$E$6:$Z$6,1,MATCH(CI95,'Rate &amp; Vol Update'!$E$6:$Z$6,1)+1)-CI95)*(INDEX('Rate &amp; Vol Update'!$B$8:$B$127,MATCH(CD95,'Rate &amp; Vol Update'!$B$8:$B$127,1)+1)-CD95)+INDEX('Rate &amp; Vol Update'!$E$8:$Z$127,MATCH(INDEX('Rate &amp; Vol Update'!$B$8:$B$127,MATCH(CD95,'Rate &amp; Vol Update'!$B$8:$B$127,1)),'Rate &amp; Vol Update'!$B$8:$B$127,0),MATCH(INDEX('Rate &amp; Vol Update'!$E$6:$Z$6,1,MATCH(CI95,'Rate &amp; Vol Update'!$E$6:$Z$6,1)+1),'Rate &amp; Vol Update'!$E$6:$Z$6,0))*(CI95-INDEX('Rate &amp; Vol Update'!$E$6:$Z$6,1,MATCH(CI95,'Rate &amp; Vol Update'!$E$6:$Z$6,1)))*(INDEX('Rate &amp; Vol Update'!$B$8:$B$127,MATCH(CD95,'Rate &amp; Vol Update'!$B$8:$B$127,1)+1)-CD95)+INDEX('Rate &amp; Vol Update'!$E$8:$Z$127,MATCH(INDEX('Rate &amp; Vol Update'!$B$8:$B$127,MATCH(CD95,'Rate &amp; Vol Update'!$B$8:$B$127,1)+1),'Rate &amp; Vol Update'!$B$8:$B$127,0),MATCH(INDEX('Rate &amp; Vol Update'!$E$6:$Z$6,1,MATCH(CI95,'Rate &amp; Vol Update'!$E$6:$Z$6,1)),'Rate &amp; Vol Update'!$E$6:$Z$6,0))*(INDEX('Rate &amp; Vol Update'!$E$6:$Z$6,1,MATCH(CI95,'Rate &amp; Vol Update'!$E$6:$Z$6,1)+1)-CI95)*(CD95-INDEX('Rate &amp; Vol Update'!$B$8:$B$127,MATCH(CD95,'Rate &amp; Vol Update'!$B$8:$B$127,1)))+INDEX('Rate &amp; Vol Update'!$E$8:$Z$127,MATCH(INDEX('Rate &amp; Vol Update'!$B$8:$B$127,MATCH(CD95,'Rate &amp; Vol Update'!$B$8:$B$127,1)+1),'Rate &amp; Vol Update'!$B$8:$B$127,0),MATCH(INDEX('Rate &amp; Vol Update'!$E$6:$Z$6,1,MATCH(CI95,'Rate &amp; Vol Update'!$E$6:$Z$6,1)+1),'Rate &amp; Vol Update'!$E$6:$Z$6,0))*(CI95-INDEX('Rate &amp; Vol Update'!$E$6:$Z$6,1,MATCH(CI95,'Rate &amp; Vol Update'!$E$6:$Z$6,1)))*(CD95-INDEX('Rate &amp; Vol Update'!$B$8:$B$127,MATCH(CD95,'Rate &amp; Vol Update'!$B$8:$B$127,1)))))*0.01%))</f>
        <v/>
      </c>
      <c r="CL95" s="5" t="str">
        <f>IF(CC95="","",1/((1+CJ95)^((CE95-'Rate &amp; Vol Update'!$C$2)/360)))</f>
        <v/>
      </c>
      <c r="CN95" s="15" t="str">
        <f>IF(CC95="","",IF(CD95&lt;'Rate &amp; Vol Update'!$C$2,MAX(0,CJ95-CI95)*(CF95/360)*CH95,(((IF('Adjustment Surface'!$C$2='Data Validation'!$A$2,CJ95,IF('Adjustment Surface'!$C$2='Data Validation'!$A$3,CI95,"Unknown Option Type"))-IF('Adjustment Surface'!$C$2='Data Validation'!$A$2,CI95,IF('Adjustment Surface'!$C$2='Data Validation'!$A$3,CJ95,"Unknown Option Type")))*(NORMDIST((IF('Adjustment Surface'!$C$2='Data Validation'!$A$2,CJ95,IF('Adjustment Surface'!$C$2='Data Validation'!$A$3,CI95,"Unknown Option Type"))-IF('Adjustment Surface'!$C$2='Data Validation'!$A$2,CI95,IF('Adjustment Surface'!$C$2='Data Validation'!$A$3,CJ95,"Unknown Option Type")))/(CK95*SQRT(CG95)),0,1,TRUE)))+((CK95*SQRT(CG95))*(NORMDIST((IF('Adjustment Surface'!$C$2='Data Validation'!$A$2,CJ95,IF('Adjustment Surface'!$C$2='Data Validation'!$A$3,CI95,"Unknown Option Type"))-IF('Adjustment Surface'!$C$2='Data Validation'!$A$2,CI95,IF('Adjustment Surface'!$C$2='Data Validation'!$A$3,CJ95,"Unknown Option Type")))/(CK95*SQRT(CG95)),0,1,FALSE))))*CL95*(CF95/360)*CH95))</f>
        <v/>
      </c>
      <c r="CO95" s="15" t="str">
        <f>IF(CC95="","",SUM(CN$4:CN95))</f>
        <v/>
      </c>
      <c r="CQ95" s="15" t="str">
        <f>IF(CC95="","",IF(CD95&lt;'Rate &amp; Vol Update'!$C$2,0,((((((IF('Adjustment Surface'!$C$2='Data Validation'!$A$2,CJ95,IF('Adjustment Surface'!$C$2='Data Validation'!$A$3,CI95,"Unknown Option Type"))-IF('Adjustment Surface'!$C$2='Data Validation'!$A$2,CI95,IF('Adjustment Surface'!$C$2='Data Validation'!$A$3,CJ95,"Unknown Option Type")))*(NORMDIST((IF('Adjustment Surface'!$C$2='Data Validation'!$A$2,CJ95,IF('Adjustment Surface'!$C$2='Data Validation'!$A$3,CI95,"Unknown Option Type"))-IF('Adjustment Surface'!$C$2='Data Validation'!$A$2,CI95,IF('Adjustment Surface'!$C$2='Data Validation'!$A$3,CJ95,"Unknown Option Type")))/((CK95+0.01%)*SQRT(CG95)),0,1,TRUE)))+(((CK95+0.01%)*SQRT(CG95))*(NORMDIST((IF('Adjustment Surface'!$C$2='Data Validation'!$A$2,CJ95,IF('Adjustment Surface'!$C$2='Data Validation'!$A$3,CI95,"Unknown Option Type"))-IF('Adjustment Surface'!$C$2='Data Validation'!$A$2,CI95,IF('Adjustment Surface'!$C$2='Data Validation'!$A$3,CJ95,"Unknown Option Type")))/((CK95+0.01%)*SQRT(CG95)),0,1,FALSE))))*CL95*(CF95/360))-(CN95/CH95))*CH95)*CL95))</f>
        <v/>
      </c>
      <c r="CR95" s="15" t="str">
        <f>IF(CC95="","",SUM(CQ$4:CQ95))</f>
        <v/>
      </c>
    </row>
    <row r="96" spans="7:96" x14ac:dyDescent="0.25">
      <c r="G96" s="28"/>
      <c r="J96" s="4" t="str">
        <f>IF(K95='Adjustment Surface'!C$8,"",K95)</f>
        <v/>
      </c>
      <c r="K96" s="4" t="str">
        <f>IF(J96="","",IF(J96&lt;'Adjustment Surface'!C$7,EDATE(J$5,COUNT(J$5:J96)),IF(J96='Adjustment Surface'!C$7,'Adjustment Surface'!C$8,'Adjustment Surface'!C$7)))</f>
        <v/>
      </c>
      <c r="L96" s="3" t="str">
        <f t="shared" si="6"/>
        <v/>
      </c>
      <c r="M96" s="5" t="str">
        <f>IF(I96="","",(K96-'Rate &amp; Vol Update'!$C$2)/360)</f>
        <v/>
      </c>
      <c r="N96" s="15" t="str">
        <f>IF(I96="","",IF('Adjustment Surface'!C$3='Data Validation'!$C$2,'Adjustment Surface'!C$4,IF(INDEX(Schedules!$E$3:$E$123,MATCH('Bachelier Model'!J96,Schedules!$B$3:$B$123,0))="",N95,INDEX(Schedules!$E$3:$E$123,MATCH('Bachelier Model'!J96,Schedules!$B$3:$B$123,0)))))</f>
        <v/>
      </c>
      <c r="O96" s="16" t="str">
        <f>IF(I96="","",IF('Adjustment Surface'!C$9='Data Validation'!$D$2,'Adjustment Surface'!C$10,IF(INDEX(Schedules!$H$3:$H$123,MATCH('Bachelier Model'!J96,Schedules!$B$3:$B$123,0))="",O95,INDEX(Schedules!$H$3:$H$123,MATCH('Bachelier Model'!J96,Schedules!$B$3:$B$123,0)))))</f>
        <v/>
      </c>
      <c r="P96" s="16" t="str" cm="1">
        <f t="array" ref="P96">IF(I96="","",FORECAST(J96,INDEX('Rate &amp; Vol Update'!$C$6:$C$127,MATCH(INDEX('Rate &amp; Vol Update'!$B$6:$B$127,MATCH(J96,'Rate &amp; Vol Update'!$B$6:$B$127,1)),'Rate &amp; Vol Update'!$B$6:$B$127,0)+IF('Adjustment Surface'!C$11='Data Validation'!$E$3,-1,0)):INDEX('Rate &amp; Vol Update'!$C$6:$C$127,MATCH(INDEX('Rate &amp; Vol Update'!$B$6:$B$127,MATCH(J96,'Rate &amp; Vol Update'!$B$6:$B$127,1)+1),'Rate &amp; Vol Update'!$B$6:$B$127,0)+IF('Adjustment Surface'!C$11='Data Validation'!$E$3,-1,0)),INDEX('Rate &amp; Vol Update'!$B$6:$B$127,MATCH(J96,'Rate &amp; Vol Update'!$B$6:$B$127,1)):INDEX('Rate &amp; Vol Update'!$B$6:$B$127,MATCH(J96,'Rate &amp; Vol Update'!$B$6:$B$127,1)+1))/100)</f>
        <v/>
      </c>
      <c r="Q96" s="16" t="str" cm="1">
        <f t="array" ref="Q96">IF(I96="","",IF(J96&lt;'Rate &amp; Vol Update'!$C$2,0.001%,(1/((INDEX('Rate &amp; Vol Update'!$E$6:$Z$6,1,MATCH(O96,'Rate &amp; Vol Update'!$E$6:$Z$6,1)+1)-INDEX('Rate &amp; Vol Update'!$E$6:$Z$6,1,MATCH(O96,'Rate &amp; Vol Update'!$E$6:$Z$6,1)))*(INDEX('Rate &amp; Vol Update'!$B$8:$B$127,MATCH(J96,'Rate &amp; Vol Update'!$B$8:$B$127,1)+1)-INDEX('Rate &amp; Vol Update'!$B$8:$B$127,MATCH(J96,'Rate &amp; Vol Update'!$B$8:$B$127,1))))*(INDEX('Rate &amp; Vol Update'!$E$8:$Z$127,MATCH(INDEX('Rate &amp; Vol Update'!$B$8:$B$127,MATCH(J96,'Rate &amp; Vol Update'!$B$8:$B$127,1)),'Rate &amp; Vol Update'!$B$8:$B$127,0),MATCH(INDEX('Rate &amp; Vol Update'!$E$6:$Z$6,1,MATCH(O96,'Rate &amp; Vol Update'!$E$6:$Z$6,1)),'Rate &amp; Vol Update'!$E$6:$Z$6,0))*(INDEX('Rate &amp; Vol Update'!$E$6:$Z$6,1,MATCH(O96,'Rate &amp; Vol Update'!$E$6:$Z$6,1)+1)-O96)*(INDEX('Rate &amp; Vol Update'!$B$8:$B$127,MATCH(J96,'Rate &amp; Vol Update'!$B$8:$B$127,1)+1)-J96)+INDEX('Rate &amp; Vol Update'!$E$8:$Z$127,MATCH(INDEX('Rate &amp; Vol Update'!$B$8:$B$127,MATCH(J96,'Rate &amp; Vol Update'!$B$8:$B$127,1)),'Rate &amp; Vol Update'!$B$8:$B$127,0),MATCH(INDEX('Rate &amp; Vol Update'!$E$6:$Z$6,1,MATCH(O96,'Rate &amp; Vol Update'!$E$6:$Z$6,1)+1),'Rate &amp; Vol Update'!$E$6:$Z$6,0))*(O96-INDEX('Rate &amp; Vol Update'!$E$6:$Z$6,1,MATCH(O96,'Rate &amp; Vol Update'!$E$6:$Z$6,1)))*(INDEX('Rate &amp; Vol Update'!$B$8:$B$127,MATCH(J96,'Rate &amp; Vol Update'!$B$8:$B$127,1)+1)-J96)+INDEX('Rate &amp; Vol Update'!$E$8:$Z$127,MATCH(INDEX('Rate &amp; Vol Update'!$B$8:$B$127,MATCH(J96,'Rate &amp; Vol Update'!$B$8:$B$127,1)+1),'Rate &amp; Vol Update'!$B$8:$B$127,0),MATCH(INDEX('Rate &amp; Vol Update'!$E$6:$Z$6,1,MATCH(O96,'Rate &amp; Vol Update'!$E$6:$Z$6,1)),'Rate &amp; Vol Update'!$E$6:$Z$6,0))*(INDEX('Rate &amp; Vol Update'!$E$6:$Z$6,1,MATCH(O96,'Rate &amp; Vol Update'!$E$6:$Z$6,1)+1)-O96)*(J96-INDEX('Rate &amp; Vol Update'!$B$8:$B$127,MATCH(J96,'Rate &amp; Vol Update'!$B$8:$B$127,1)))+INDEX('Rate &amp; Vol Update'!$E$8:$Z$127,MATCH(INDEX('Rate &amp; Vol Update'!$B$8:$B$127,MATCH(J96,'Rate &amp; Vol Update'!$B$8:$B$127,1)+1),'Rate &amp; Vol Update'!$B$8:$B$127,0),MATCH(INDEX('Rate &amp; Vol Update'!$E$6:$Z$6,1,MATCH(O96,'Rate &amp; Vol Update'!$E$6:$Z$6,1)+1),'Rate &amp; Vol Update'!$E$6:$Z$6,0))*(O96-INDEX('Rate &amp; Vol Update'!$E$6:$Z$6,1,MATCH(O96,'Rate &amp; Vol Update'!$E$6:$Z$6,1)))*(J96-INDEX('Rate &amp; Vol Update'!$B$8:$B$127,MATCH(J96,'Rate &amp; Vol Update'!$B$8:$B$127,1)))))*0.01%))</f>
        <v/>
      </c>
      <c r="R96" s="5" t="str">
        <f>IF(I96="","",1/((1+P96)^((K96-'Rate &amp; Vol Update'!$C$2)/360)))</f>
        <v/>
      </c>
      <c r="T96" s="15" t="str">
        <f>IF(I96="","",IF(J96&lt;'Rate &amp; Vol Update'!$C$2,MAX(0,P96-O96)*(L96/360)*N96,(((IF('Adjustment Surface'!C$2='Data Validation'!$A$2,P96,IF('Adjustment Surface'!C$2='Data Validation'!$A$3,O96,"Unknown Option Type"))-IF('Adjustment Surface'!C$2='Data Validation'!$A$2,O96,IF('Adjustment Surface'!C$2='Data Validation'!$A$3,P96,"Unknown Option Type")))*(NORMDIST((IF('Adjustment Surface'!C$2='Data Validation'!$A$2,P96,IF('Adjustment Surface'!C$2='Data Validation'!$A$3,O96,"Unknown Option Type"))-IF('Adjustment Surface'!C$2='Data Validation'!$A$2,O96,IF('Adjustment Surface'!C$2='Data Validation'!$A$3,P96,"Unknown Option Type")))/(Q96*SQRT(M96)),0,1,TRUE)))+((Q96*SQRT(M96))*(NORMDIST((IF('Adjustment Surface'!C$2='Data Validation'!$A$2,P96,IF('Adjustment Surface'!C$2='Data Validation'!$A$3,O96,"Unknown Option Type"))-IF('Adjustment Surface'!C$2='Data Validation'!$A$2,O96,IF('Adjustment Surface'!C$2='Data Validation'!$A$3,P96,"Unknown Option Type")))/(Q96*SQRT(M96)),0,1,FALSE))))*R96*(L96/360)*N96))</f>
        <v/>
      </c>
      <c r="U96" s="15" t="str">
        <f>IF(I96="","",SUM(T$4:T96))</f>
        <v/>
      </c>
      <c r="W96" s="15" t="str">
        <f>IF(I96="","",IF(J96&lt;'Rate &amp; Vol Update'!$C$2,0,((((((IF('Adjustment Surface'!C$2='Data Validation'!$A$2,P96,IF('Adjustment Surface'!C$2='Data Validation'!$A$3,O96,"Unknown Option Type"))-IF('Adjustment Surface'!C$2='Data Validation'!$A$2,O96,IF('Adjustment Surface'!C$2='Data Validation'!$A$3,P96,"Unknown Option Type")))*(NORMDIST((IF('Adjustment Surface'!C$2='Data Validation'!$A$2,P96,IF('Adjustment Surface'!C$2='Data Validation'!$A$3,O96,"Unknown Option Type"))-IF('Adjustment Surface'!C$2='Data Validation'!$A$2,O96,IF('Adjustment Surface'!C$2='Data Validation'!$A$3,P96,"Unknown Option Type")))/((Q96+0.01%)*SQRT(M96)),0,1,TRUE)))+(((Q96+0.01%)*SQRT(M96))*(NORMDIST((IF('Adjustment Surface'!C$2='Data Validation'!$A$2,P96,IF('Adjustment Surface'!C$2='Data Validation'!$A$3,O96,"Unknown Option Type"))-IF('Adjustment Surface'!C$2='Data Validation'!$A$2,O96,IF('Adjustment Surface'!C$2='Data Validation'!$A$3,P96,"Unknown Option Type")))/((Q96+0.01%)*SQRT(M96)),0,1,FALSE))))*R96*(L96/360))-(T96/N96))*N96)*R96))</f>
        <v/>
      </c>
      <c r="X96" s="15" t="str">
        <f>IF(I96="","",SUM(W$4:W96))</f>
        <v/>
      </c>
      <c r="Y96" s="15"/>
      <c r="Z96" s="20"/>
      <c r="AB96" s="4" t="str">
        <f>IF(AC95=MAX('Adjustment Surface'!$C$14:$F$14),"",AC95)</f>
        <v/>
      </c>
      <c r="AC96" s="4" t="str">
        <f>IF(AB96="","",IF(AB96&lt;EDATE('Adjustment Surface'!$C$6,DATEDIF('Adjustment Surface'!$C$6,MAX('Adjustment Surface'!$C$14:$F$14),"M")),EDATE(AB$5,COUNT(AB$5:AB96)),IF(AB96=EDATE('Adjustment Surface'!$C$6,DATEDIF('Adjustment Surface'!$C$6,MAX('Adjustment Surface'!$C$14:$F$14),"M")),MAX('Adjustment Surface'!$C$14:$F$14),EDATE('Adjustment Surface'!$C$6,DATEDIF('Adjustment Surface'!$C$6,MAX('Adjustment Surface'!$C$14:$F$14),"M")))))</f>
        <v/>
      </c>
      <c r="AD96" s="3" t="str">
        <f t="shared" si="7"/>
        <v/>
      </c>
      <c r="AE96" s="5" t="str">
        <f>IF(AA96="","",(AC96-'Rate &amp; Vol Update'!$C$2)/360)</f>
        <v/>
      </c>
      <c r="AF96" s="15" t="str">
        <f>IF(AA96="","",IF('Adjustment Surface'!$C$3='Data Validation'!$C$2,'Adjustment Surface'!$C$4,_xlfn.IFNA(IF(INDEX(Schedules!$E$3:$E$123,MATCH('Bachelier Model'!AB96,Schedules!$B$3:$B$123,0))="",AF95,INDEX(Schedules!$E$3:$E$123,MATCH('Bachelier Model'!AB96,Schedules!$B$3:$B$123,0))),AF95)))</f>
        <v/>
      </c>
      <c r="AG96" s="16" t="str">
        <f>IF(AA96="","",'Adjustment Surface'!B$15)</f>
        <v/>
      </c>
      <c r="AH96" s="16" t="str" cm="1">
        <f t="array" ref="AH96">IF(AA96="","",FORECAST(AB96,INDEX('Rate &amp; Vol Update'!$C$6:$C$127,MATCH(INDEX('Rate &amp; Vol Update'!$B$6:$B$127,MATCH(AB96,'Rate &amp; Vol Update'!$B$6:$B$127,1)),'Rate &amp; Vol Update'!$B$6:$B$127,0)+IF('Adjustment Surface'!$C$11='Data Validation'!$E$3,-1,0)):INDEX('Rate &amp; Vol Update'!$C$6:$C$127,MATCH(INDEX('Rate &amp; Vol Update'!$B$6:$B$127,MATCH(AB96,'Rate &amp; Vol Update'!$B$6:$B$127,1)+1),'Rate &amp; Vol Update'!$B$6:$B$127,0)+IF('Adjustment Surface'!$C$11='Data Validation'!$E$3,-1,0)),INDEX('Rate &amp; Vol Update'!$B$6:$B$127,MATCH(AB96,'Rate &amp; Vol Update'!$B$6:$B$127,1)):INDEX('Rate &amp; Vol Update'!$B$6:$B$127,MATCH(AB96,'Rate &amp; Vol Update'!$B$6:$B$127,1)+1))/100)</f>
        <v/>
      </c>
      <c r="AI96" s="16" t="str" cm="1">
        <f t="array" ref="AI96">IF(AA96="","",IF(AB96&lt;'Rate &amp; Vol Update'!$C$2,0.001%,(1/((INDEX('Rate &amp; Vol Update'!$E$6:$Z$6,1,MATCH(AG96,'Rate &amp; Vol Update'!$E$6:$Z$6,1)+1)-INDEX('Rate &amp; Vol Update'!$E$6:$Z$6,1,MATCH(AG96,'Rate &amp; Vol Update'!$E$6:$Z$6,1)))*(INDEX('Rate &amp; Vol Update'!$B$8:$B$127,MATCH(AB96,'Rate &amp; Vol Update'!$B$8:$B$127,1)+1)-INDEX('Rate &amp; Vol Update'!$B$8:$B$127,MATCH(AB96,'Rate &amp; Vol Update'!$B$8:$B$127,1))))*(INDEX('Rate &amp; Vol Update'!$E$8:$Z$127,MATCH(INDEX('Rate &amp; Vol Update'!$B$8:$B$127,MATCH(AB96,'Rate &amp; Vol Update'!$B$8:$B$127,1)),'Rate &amp; Vol Update'!$B$8:$B$127,0),MATCH(INDEX('Rate &amp; Vol Update'!$E$6:$Z$6,1,MATCH(AG96,'Rate &amp; Vol Update'!$E$6:$Z$6,1)),'Rate &amp; Vol Update'!$E$6:$Z$6,0))*(INDEX('Rate &amp; Vol Update'!$E$6:$Z$6,1,MATCH(AG96,'Rate &amp; Vol Update'!$E$6:$Z$6,1)+1)-AG96)*(INDEX('Rate &amp; Vol Update'!$B$8:$B$127,MATCH(AB96,'Rate &amp; Vol Update'!$B$8:$B$127,1)+1)-AB96)+INDEX('Rate &amp; Vol Update'!$E$8:$Z$127,MATCH(INDEX('Rate &amp; Vol Update'!$B$8:$B$127,MATCH(AB96,'Rate &amp; Vol Update'!$B$8:$B$127,1)),'Rate &amp; Vol Update'!$B$8:$B$127,0),MATCH(INDEX('Rate &amp; Vol Update'!$E$6:$Z$6,1,MATCH(AG96,'Rate &amp; Vol Update'!$E$6:$Z$6,1)+1),'Rate &amp; Vol Update'!$E$6:$Z$6,0))*(AG96-INDEX('Rate &amp; Vol Update'!$E$6:$Z$6,1,MATCH(AG96,'Rate &amp; Vol Update'!$E$6:$Z$6,1)))*(INDEX('Rate &amp; Vol Update'!$B$8:$B$127,MATCH(AB96,'Rate &amp; Vol Update'!$B$8:$B$127,1)+1)-AB96)+INDEX('Rate &amp; Vol Update'!$E$8:$Z$127,MATCH(INDEX('Rate &amp; Vol Update'!$B$8:$B$127,MATCH(AB96,'Rate &amp; Vol Update'!$B$8:$B$127,1)+1),'Rate &amp; Vol Update'!$B$8:$B$127,0),MATCH(INDEX('Rate &amp; Vol Update'!$E$6:$Z$6,1,MATCH(AG96,'Rate &amp; Vol Update'!$E$6:$Z$6,1)),'Rate &amp; Vol Update'!$E$6:$Z$6,0))*(INDEX('Rate &amp; Vol Update'!$E$6:$Z$6,1,MATCH(AG96,'Rate &amp; Vol Update'!$E$6:$Z$6,1)+1)-AG96)*(AB96-INDEX('Rate &amp; Vol Update'!$B$8:$B$127,MATCH(AB96,'Rate &amp; Vol Update'!$B$8:$B$127,1)))+INDEX('Rate &amp; Vol Update'!$E$8:$Z$127,MATCH(INDEX('Rate &amp; Vol Update'!$B$8:$B$127,MATCH(AB96,'Rate &amp; Vol Update'!$B$8:$B$127,1)+1),'Rate &amp; Vol Update'!$B$8:$B$127,0),MATCH(INDEX('Rate &amp; Vol Update'!$E$6:$Z$6,1,MATCH(AG96,'Rate &amp; Vol Update'!$E$6:$Z$6,1)+1),'Rate &amp; Vol Update'!$E$6:$Z$6,0))*(AG96-INDEX('Rate &amp; Vol Update'!$E$6:$Z$6,1,MATCH(AG96,'Rate &amp; Vol Update'!$E$6:$Z$6,1)))*(AB96-INDEX('Rate &amp; Vol Update'!$B$8:$B$127,MATCH(AB96,'Rate &amp; Vol Update'!$B$8:$B$127,1)))))*0.01%))</f>
        <v/>
      </c>
      <c r="AJ96" s="5" t="str">
        <f>IF(AA96="","",1/((1+AH96)^((AC96-'Rate &amp; Vol Update'!$C$2)/360)))</f>
        <v/>
      </c>
      <c r="AL96" s="15" t="str">
        <f>IF(AA96="","",IF(AB96&lt;'Rate &amp; Vol Update'!$C$2,MAX(0,AH96-AG96)*(AD96/360)*AF96,(((IF('Adjustment Surface'!$C$2='Data Validation'!$A$2,AH96,IF('Adjustment Surface'!$C$2='Data Validation'!$A$3,AG96,"Unknown Option Type"))-IF('Adjustment Surface'!$C$2='Data Validation'!$A$2,AG96,IF('Adjustment Surface'!$C$2='Data Validation'!$A$3,AH96,"Unknown Option Type")))*(NORMDIST((IF('Adjustment Surface'!$C$2='Data Validation'!$A$2,AH96,IF('Adjustment Surface'!$C$2='Data Validation'!$A$3,AG96,"Unknown Option Type"))-IF('Adjustment Surface'!$C$2='Data Validation'!$A$2,AG96,IF('Adjustment Surface'!$C$2='Data Validation'!$A$3,AH96,"Unknown Option Type")))/(AI96*SQRT(AE96)),0,1,TRUE)))+((AI96*SQRT(AE96))*(NORMDIST((IF('Adjustment Surface'!$C$2='Data Validation'!$A$2,AH96,IF('Adjustment Surface'!$C$2='Data Validation'!$A$3,AG96,"Unknown Option Type"))-IF('Adjustment Surface'!$C$2='Data Validation'!$A$2,AG96,IF('Adjustment Surface'!$C$2='Data Validation'!$A$3,AH96,"Unknown Option Type")))/(AI96*SQRT(AE96)),0,1,FALSE))))*AJ96*(AD96/360)*AF96))</f>
        <v/>
      </c>
      <c r="AM96" s="15" t="str">
        <f>IF(AA96="","",SUM(AL$4:AL96))</f>
        <v/>
      </c>
      <c r="AO96" s="15" t="str">
        <f>IF(AA96="","",IF(AB96&lt;'Rate &amp; Vol Update'!$C$2,0,((((((IF('Adjustment Surface'!$C$2='Data Validation'!$A$2,AH96,IF('Adjustment Surface'!$C$2='Data Validation'!$A$3,AG96,"Unknown Option Type"))-IF('Adjustment Surface'!$C$2='Data Validation'!$A$2,AG96,IF('Adjustment Surface'!$C$2='Data Validation'!$A$3,AH96,"Unknown Option Type")))*(NORMDIST((IF('Adjustment Surface'!$C$2='Data Validation'!$A$2,AH96,IF('Adjustment Surface'!$C$2='Data Validation'!$A$3,AG96,"Unknown Option Type"))-IF('Adjustment Surface'!$C$2='Data Validation'!$A$2,AG96,IF('Adjustment Surface'!$C$2='Data Validation'!$A$3,AH96,"Unknown Option Type")))/((AI96+0.01%)*SQRT(AE96)),0,1,TRUE)))+(((AI96+0.01%)*SQRT(AE96))*(NORMDIST((IF('Adjustment Surface'!$C$2='Data Validation'!$A$2,AH96,IF('Adjustment Surface'!$C$2='Data Validation'!$A$3,AG96,"Unknown Option Type"))-IF('Adjustment Surface'!$C$2='Data Validation'!$A$2,AG96,IF('Adjustment Surface'!$C$2='Data Validation'!$A$3,AH96,"Unknown Option Type")))/((AI96+0.01%)*SQRT(AE96)),0,1,FALSE))))*AJ96*(AD96/360))-(AL96/AF96))*AF96)*AJ96))</f>
        <v/>
      </c>
      <c r="AP96" s="15" t="str">
        <f>IF(AA96="","",SUM(AO$4:AO96))</f>
        <v/>
      </c>
      <c r="AQ96" s="15"/>
      <c r="AR96" s="20"/>
      <c r="AT96" s="4" t="str">
        <f>IF(AU95=MAX('Adjustment Surface'!$C$14:$F$14),"",AU95)</f>
        <v/>
      </c>
      <c r="AU96" s="4" t="str">
        <f>IF(AT96="","",IF(AT96&lt;EDATE('Adjustment Surface'!$C$6,DATEDIF('Adjustment Surface'!$C$6,MAX('Adjustment Surface'!$C$14:$F$14),"M")),EDATE(AT$5,COUNT(AT$5:AT96)),IF(AT96=EDATE('Adjustment Surface'!$C$6,DATEDIF('Adjustment Surface'!$C$6,MAX('Adjustment Surface'!$C$14:$F$14),"M")),MAX('Adjustment Surface'!$C$14:$F$14),EDATE('Adjustment Surface'!$C$6,DATEDIF('Adjustment Surface'!$C$6,MAX('Adjustment Surface'!$C$14:$F$14),"M")))))</f>
        <v/>
      </c>
      <c r="AV96" s="3" t="str">
        <f t="shared" si="8"/>
        <v/>
      </c>
      <c r="AW96" s="5" t="str">
        <f>IF(AS96="","",(AU96-'Rate &amp; Vol Update'!$C$2)/360)</f>
        <v/>
      </c>
      <c r="AX96" s="15" t="str">
        <f>IF(AS96="","",IF('Adjustment Surface'!$C$3='Data Validation'!$C$2,'Adjustment Surface'!$C$4,_xlfn.IFNA(IF(INDEX(Schedules!$E$3:$E$123,MATCH('Bachelier Model'!AT96,Schedules!$B$3:$B$123,0))="",AX95,INDEX(Schedules!$E$3:$E$123,MATCH('Bachelier Model'!AT96,Schedules!$B$3:$B$123,0))),AX95)))</f>
        <v/>
      </c>
      <c r="AY96" s="16" t="str">
        <f>IF(AS96="","",'Adjustment Surface'!B$16)</f>
        <v/>
      </c>
      <c r="AZ96" s="16" t="str" cm="1">
        <f t="array" ref="AZ96">IF(AS96="","",FORECAST(AT96,INDEX('Rate &amp; Vol Update'!$C$6:$C$127,MATCH(INDEX('Rate &amp; Vol Update'!$B$6:$B$127,MATCH(AT96,'Rate &amp; Vol Update'!$B$6:$B$127,1)),'Rate &amp; Vol Update'!$B$6:$B$127,0)+IF('Adjustment Surface'!$C$11='Data Validation'!$E$3,-1,0)):INDEX('Rate &amp; Vol Update'!$C$6:$C$127,MATCH(INDEX('Rate &amp; Vol Update'!$B$6:$B$127,MATCH(AT96,'Rate &amp; Vol Update'!$B$6:$B$127,1)+1),'Rate &amp; Vol Update'!$B$6:$B$127,0)+IF('Adjustment Surface'!$C$11='Data Validation'!$E$3,-1,0)),INDEX('Rate &amp; Vol Update'!$B$6:$B$127,MATCH(AT96,'Rate &amp; Vol Update'!$B$6:$B$127,1)):INDEX('Rate &amp; Vol Update'!$B$6:$B$127,MATCH(AT96,'Rate &amp; Vol Update'!$B$6:$B$127,1)+1))/100)</f>
        <v/>
      </c>
      <c r="BA96" s="16" t="str" cm="1">
        <f t="array" ref="BA96">IF(AS96="","",IF(AT96&lt;'Rate &amp; Vol Update'!$C$2,0.001%,(1/((INDEX('Rate &amp; Vol Update'!$E$6:$Z$6,1,MATCH(AY96,'Rate &amp; Vol Update'!$E$6:$Z$6,1)+1)-INDEX('Rate &amp; Vol Update'!$E$6:$Z$6,1,MATCH(AY96,'Rate &amp; Vol Update'!$E$6:$Z$6,1)))*(INDEX('Rate &amp; Vol Update'!$B$8:$B$127,MATCH(AT96,'Rate &amp; Vol Update'!$B$8:$B$127,1)+1)-INDEX('Rate &amp; Vol Update'!$B$8:$B$127,MATCH(AT96,'Rate &amp; Vol Update'!$B$8:$B$127,1))))*(INDEX('Rate &amp; Vol Update'!$E$8:$Z$127,MATCH(INDEX('Rate &amp; Vol Update'!$B$8:$B$127,MATCH(AT96,'Rate &amp; Vol Update'!$B$8:$B$127,1)),'Rate &amp; Vol Update'!$B$8:$B$127,0),MATCH(INDEX('Rate &amp; Vol Update'!$E$6:$Z$6,1,MATCH(AY96,'Rate &amp; Vol Update'!$E$6:$Z$6,1)),'Rate &amp; Vol Update'!$E$6:$Z$6,0))*(INDEX('Rate &amp; Vol Update'!$E$6:$Z$6,1,MATCH(AY96,'Rate &amp; Vol Update'!$E$6:$Z$6,1)+1)-AY96)*(INDEX('Rate &amp; Vol Update'!$B$8:$B$127,MATCH(AT96,'Rate &amp; Vol Update'!$B$8:$B$127,1)+1)-AT96)+INDEX('Rate &amp; Vol Update'!$E$8:$Z$127,MATCH(INDEX('Rate &amp; Vol Update'!$B$8:$B$127,MATCH(AT96,'Rate &amp; Vol Update'!$B$8:$B$127,1)),'Rate &amp; Vol Update'!$B$8:$B$127,0),MATCH(INDEX('Rate &amp; Vol Update'!$E$6:$Z$6,1,MATCH(AY96,'Rate &amp; Vol Update'!$E$6:$Z$6,1)+1),'Rate &amp; Vol Update'!$E$6:$Z$6,0))*(AY96-INDEX('Rate &amp; Vol Update'!$E$6:$Z$6,1,MATCH(AY96,'Rate &amp; Vol Update'!$E$6:$Z$6,1)))*(INDEX('Rate &amp; Vol Update'!$B$8:$B$127,MATCH(AT96,'Rate &amp; Vol Update'!$B$8:$B$127,1)+1)-AT96)+INDEX('Rate &amp; Vol Update'!$E$8:$Z$127,MATCH(INDEX('Rate &amp; Vol Update'!$B$8:$B$127,MATCH(AT96,'Rate &amp; Vol Update'!$B$8:$B$127,1)+1),'Rate &amp; Vol Update'!$B$8:$B$127,0),MATCH(INDEX('Rate &amp; Vol Update'!$E$6:$Z$6,1,MATCH(AY96,'Rate &amp; Vol Update'!$E$6:$Z$6,1)),'Rate &amp; Vol Update'!$E$6:$Z$6,0))*(INDEX('Rate &amp; Vol Update'!$E$6:$Z$6,1,MATCH(AY96,'Rate &amp; Vol Update'!$E$6:$Z$6,1)+1)-AY96)*(AT96-INDEX('Rate &amp; Vol Update'!$B$8:$B$127,MATCH(AT96,'Rate &amp; Vol Update'!$B$8:$B$127,1)))+INDEX('Rate &amp; Vol Update'!$E$8:$Z$127,MATCH(INDEX('Rate &amp; Vol Update'!$B$8:$B$127,MATCH(AT96,'Rate &amp; Vol Update'!$B$8:$B$127,1)+1),'Rate &amp; Vol Update'!$B$8:$B$127,0),MATCH(INDEX('Rate &amp; Vol Update'!$E$6:$Z$6,1,MATCH(AY96,'Rate &amp; Vol Update'!$E$6:$Z$6,1)+1),'Rate &amp; Vol Update'!$E$6:$Z$6,0))*(AY96-INDEX('Rate &amp; Vol Update'!$E$6:$Z$6,1,MATCH(AY96,'Rate &amp; Vol Update'!$E$6:$Z$6,1)))*(AT96-INDEX('Rate &amp; Vol Update'!$B$8:$B$127,MATCH(AT96,'Rate &amp; Vol Update'!$B$8:$B$127,1)))))*0.01%))</f>
        <v/>
      </c>
      <c r="BB96" s="5" t="str">
        <f>IF(AS96="","",1/((1+AZ96)^((AU96-'Rate &amp; Vol Update'!$C$2)/360)))</f>
        <v/>
      </c>
      <c r="BD96" s="15" t="str">
        <f>IF(AS96="","",IF(AT96&lt;'Rate &amp; Vol Update'!$C$2,MAX(0,AZ96-AY96)*(AV96/360)*AX96,(((IF('Adjustment Surface'!$C$2='Data Validation'!$A$2,AZ96,IF('Adjustment Surface'!$C$2='Data Validation'!$A$3,AY96,"Unknown Option Type"))-IF('Adjustment Surface'!$C$2='Data Validation'!$A$2,AY96,IF('Adjustment Surface'!$C$2='Data Validation'!$A$3,AZ96,"Unknown Option Type")))*(NORMDIST((IF('Adjustment Surface'!$C$2='Data Validation'!$A$2,AZ96,IF('Adjustment Surface'!$C$2='Data Validation'!$A$3,AY96,"Unknown Option Type"))-IF('Adjustment Surface'!$C$2='Data Validation'!$A$2,AY96,IF('Adjustment Surface'!$C$2='Data Validation'!$A$3,AZ96,"Unknown Option Type")))/(BA96*SQRT(AW96)),0,1,TRUE)))+((BA96*SQRT(AW96))*(NORMDIST((IF('Adjustment Surface'!$C$2='Data Validation'!$A$2,AZ96,IF('Adjustment Surface'!$C$2='Data Validation'!$A$3,AY96,"Unknown Option Type"))-IF('Adjustment Surface'!$C$2='Data Validation'!$A$2,AY96,IF('Adjustment Surface'!$C$2='Data Validation'!$A$3,AZ96,"Unknown Option Type")))/(BA96*SQRT(AW96)),0,1,FALSE))))*BB96*(AV96/360)*AX96))</f>
        <v/>
      </c>
      <c r="BE96" s="15" t="str">
        <f>IF(AS96="","",SUM(BD$4:BD96))</f>
        <v/>
      </c>
      <c r="BG96" s="15" t="str">
        <f>IF(AS96="","",IF(AT96&lt;'Rate &amp; Vol Update'!$C$2,0,((((((IF('Adjustment Surface'!$C$2='Data Validation'!$A$2,AZ96,IF('Adjustment Surface'!$C$2='Data Validation'!$A$3,AY96,"Unknown Option Type"))-IF('Adjustment Surface'!$C$2='Data Validation'!$A$2,AY96,IF('Adjustment Surface'!$C$2='Data Validation'!$A$3,AZ96,"Unknown Option Type")))*(NORMDIST((IF('Adjustment Surface'!$C$2='Data Validation'!$A$2,AZ96,IF('Adjustment Surface'!$C$2='Data Validation'!$A$3,AY96,"Unknown Option Type"))-IF('Adjustment Surface'!$C$2='Data Validation'!$A$2,AY96,IF('Adjustment Surface'!$C$2='Data Validation'!$A$3,AZ96,"Unknown Option Type")))/((BA96+0.01%)*SQRT(AW96)),0,1,TRUE)))+(((BA96+0.01%)*SQRT(AW96))*(NORMDIST((IF('Adjustment Surface'!$C$2='Data Validation'!$A$2,AZ96,IF('Adjustment Surface'!$C$2='Data Validation'!$A$3,AY96,"Unknown Option Type"))-IF('Adjustment Surface'!$C$2='Data Validation'!$A$2,AY96,IF('Adjustment Surface'!$C$2='Data Validation'!$A$3,AZ96,"Unknown Option Type")))/((BA96+0.01%)*SQRT(AW96)),0,1,FALSE))))*BB96*(AV96/360))-(BD96/AX96))*AX96)*BB96))</f>
        <v/>
      </c>
      <c r="BH96" s="15" t="str">
        <f>IF(AS96="","",SUM(BG$4:BG96))</f>
        <v/>
      </c>
      <c r="BI96" s="15"/>
      <c r="BJ96" s="20"/>
      <c r="BL96" s="4" t="str">
        <f>IF(BM95=MAX('Adjustment Surface'!$C$14:$F$14),"",BM95)</f>
        <v/>
      </c>
      <c r="BM96" s="4" t="str">
        <f>IF(BL96="","",IF(BL96&lt;EDATE('Adjustment Surface'!$C$6,DATEDIF('Adjustment Surface'!$C$6,MAX('Adjustment Surface'!$C$14:$F$14),"M")),EDATE(BL$5,COUNT(BL$5:BL96)),IF(BL96=EDATE('Adjustment Surface'!$C$6,DATEDIF('Adjustment Surface'!$C$6,MAX('Adjustment Surface'!$C$14:$F$14),"M")),MAX('Adjustment Surface'!$C$14:$F$14),EDATE('Adjustment Surface'!$C$6,DATEDIF('Adjustment Surface'!$C$6,MAX('Adjustment Surface'!$C$14:$F$14),"M")))))</f>
        <v/>
      </c>
      <c r="BN96" s="3" t="str">
        <f t="shared" si="9"/>
        <v/>
      </c>
      <c r="BO96" s="5" t="str">
        <f>IF(BK96="","",(BM96-'Rate &amp; Vol Update'!$C$2)/360)</f>
        <v/>
      </c>
      <c r="BP96" s="15" t="str">
        <f>IF(BK96="","",IF('Adjustment Surface'!$C$3='Data Validation'!$C$2,'Adjustment Surface'!$C$4,_xlfn.IFNA(IF(INDEX(Schedules!$E$3:$E$123,MATCH('Bachelier Model'!BL96,Schedules!$B$3:$B$123,0))="",BP95,INDEX(Schedules!$E$3:$E$123,MATCH('Bachelier Model'!BL96,Schedules!$B$3:$B$123,0))),BP95)))</f>
        <v/>
      </c>
      <c r="BQ96" s="16" t="str">
        <f>IF(BK96="","",'Adjustment Surface'!B$17)</f>
        <v/>
      </c>
      <c r="BR96" s="16" t="str" cm="1">
        <f t="array" ref="BR96">IF(BK96="","",FORECAST(BL96,INDEX('Rate &amp; Vol Update'!$C$6:$C$127,MATCH(INDEX('Rate &amp; Vol Update'!$B$6:$B$127,MATCH(BL96,'Rate &amp; Vol Update'!$B$6:$B$127,1)),'Rate &amp; Vol Update'!$B$6:$B$127,0)+IF('Adjustment Surface'!$C$11='Data Validation'!$E$3,-1,0)):INDEX('Rate &amp; Vol Update'!$C$6:$C$127,MATCH(INDEX('Rate &amp; Vol Update'!$B$6:$B$127,MATCH(BL96,'Rate &amp; Vol Update'!$B$6:$B$127,1)+1),'Rate &amp; Vol Update'!$B$6:$B$127,0)+IF('Adjustment Surface'!$C$11='Data Validation'!$E$3,-1,0)),INDEX('Rate &amp; Vol Update'!$B$6:$B$127,MATCH(BL96,'Rate &amp; Vol Update'!$B$6:$B$127,1)):INDEX('Rate &amp; Vol Update'!$B$6:$B$127,MATCH(BL96,'Rate &amp; Vol Update'!$B$6:$B$127,1)+1))/100)</f>
        <v/>
      </c>
      <c r="BS96" s="16" t="str" cm="1">
        <f t="array" ref="BS96">IF(BK96="","",IF(BL96&lt;'Rate &amp; Vol Update'!$C$2,0.001%,(1/((INDEX('Rate &amp; Vol Update'!$E$6:$Z$6,1,MATCH(BQ96,'Rate &amp; Vol Update'!$E$6:$Z$6,1)+1)-INDEX('Rate &amp; Vol Update'!$E$6:$Z$6,1,MATCH(BQ96,'Rate &amp; Vol Update'!$E$6:$Z$6,1)))*(INDEX('Rate &amp; Vol Update'!$B$8:$B$127,MATCH(BL96,'Rate &amp; Vol Update'!$B$8:$B$127,1)+1)-INDEX('Rate &amp; Vol Update'!$B$8:$B$127,MATCH(BL96,'Rate &amp; Vol Update'!$B$8:$B$127,1))))*(INDEX('Rate &amp; Vol Update'!$E$8:$Z$127,MATCH(INDEX('Rate &amp; Vol Update'!$B$8:$B$127,MATCH(BL96,'Rate &amp; Vol Update'!$B$8:$B$127,1)),'Rate &amp; Vol Update'!$B$8:$B$127,0),MATCH(INDEX('Rate &amp; Vol Update'!$E$6:$Z$6,1,MATCH(BQ96,'Rate &amp; Vol Update'!$E$6:$Z$6,1)),'Rate &amp; Vol Update'!$E$6:$Z$6,0))*(INDEX('Rate &amp; Vol Update'!$E$6:$Z$6,1,MATCH(BQ96,'Rate &amp; Vol Update'!$E$6:$Z$6,1)+1)-BQ96)*(INDEX('Rate &amp; Vol Update'!$B$8:$B$127,MATCH(BL96,'Rate &amp; Vol Update'!$B$8:$B$127,1)+1)-BL96)+INDEX('Rate &amp; Vol Update'!$E$8:$Z$127,MATCH(INDEX('Rate &amp; Vol Update'!$B$8:$B$127,MATCH(BL96,'Rate &amp; Vol Update'!$B$8:$B$127,1)),'Rate &amp; Vol Update'!$B$8:$B$127,0),MATCH(INDEX('Rate &amp; Vol Update'!$E$6:$Z$6,1,MATCH(BQ96,'Rate &amp; Vol Update'!$E$6:$Z$6,1)+1),'Rate &amp; Vol Update'!$E$6:$Z$6,0))*(BQ96-INDEX('Rate &amp; Vol Update'!$E$6:$Z$6,1,MATCH(BQ96,'Rate &amp; Vol Update'!$E$6:$Z$6,1)))*(INDEX('Rate &amp; Vol Update'!$B$8:$B$127,MATCH(BL96,'Rate &amp; Vol Update'!$B$8:$B$127,1)+1)-BL96)+INDEX('Rate &amp; Vol Update'!$E$8:$Z$127,MATCH(INDEX('Rate &amp; Vol Update'!$B$8:$B$127,MATCH(BL96,'Rate &amp; Vol Update'!$B$8:$B$127,1)+1),'Rate &amp; Vol Update'!$B$8:$B$127,0),MATCH(INDEX('Rate &amp; Vol Update'!$E$6:$Z$6,1,MATCH(BQ96,'Rate &amp; Vol Update'!$E$6:$Z$6,1)),'Rate &amp; Vol Update'!$E$6:$Z$6,0))*(INDEX('Rate &amp; Vol Update'!$E$6:$Z$6,1,MATCH(BQ96,'Rate &amp; Vol Update'!$E$6:$Z$6,1)+1)-BQ96)*(BL96-INDEX('Rate &amp; Vol Update'!$B$8:$B$127,MATCH(BL96,'Rate &amp; Vol Update'!$B$8:$B$127,1)))+INDEX('Rate &amp; Vol Update'!$E$8:$Z$127,MATCH(INDEX('Rate &amp; Vol Update'!$B$8:$B$127,MATCH(BL96,'Rate &amp; Vol Update'!$B$8:$B$127,1)+1),'Rate &amp; Vol Update'!$B$8:$B$127,0),MATCH(INDEX('Rate &amp; Vol Update'!$E$6:$Z$6,1,MATCH(BQ96,'Rate &amp; Vol Update'!$E$6:$Z$6,1)+1),'Rate &amp; Vol Update'!$E$6:$Z$6,0))*(BQ96-INDEX('Rate &amp; Vol Update'!$E$6:$Z$6,1,MATCH(BQ96,'Rate &amp; Vol Update'!$E$6:$Z$6,1)))*(BL96-INDEX('Rate &amp; Vol Update'!$B$8:$B$127,MATCH(BL96,'Rate &amp; Vol Update'!$B$8:$B$127,1)))))*0.01%))</f>
        <v/>
      </c>
      <c r="BT96" s="5" t="str">
        <f>IF(BK96="","",1/((1+BR96)^((BM96-'Rate &amp; Vol Update'!$C$2)/360)))</f>
        <v/>
      </c>
      <c r="BV96" s="15" t="str">
        <f>IF(BK96="","",IF(BL96&lt;'Rate &amp; Vol Update'!$C$2,MAX(0,BR96-BQ96)*(BN96/360)*BP96,(((IF('Adjustment Surface'!$C$2='Data Validation'!$A$2,BR96,IF('Adjustment Surface'!$C$2='Data Validation'!$A$3,BQ96,"Unknown Option Type"))-IF('Adjustment Surface'!$C$2='Data Validation'!$A$2,BQ96,IF('Adjustment Surface'!$C$2='Data Validation'!$A$3,BR96,"Unknown Option Type")))*(NORMDIST((IF('Adjustment Surface'!$C$2='Data Validation'!$A$2,BR96,IF('Adjustment Surface'!$C$2='Data Validation'!$A$3,BQ96,"Unknown Option Type"))-IF('Adjustment Surface'!$C$2='Data Validation'!$A$2,BQ96,IF('Adjustment Surface'!$C$2='Data Validation'!$A$3,BR96,"Unknown Option Type")))/(BS96*SQRT(BO96)),0,1,TRUE)))+((BS96*SQRT(BO96))*(NORMDIST((IF('Adjustment Surface'!$C$2='Data Validation'!$A$2,BR96,IF('Adjustment Surface'!$C$2='Data Validation'!$A$3,BQ96,"Unknown Option Type"))-IF('Adjustment Surface'!$C$2='Data Validation'!$A$2,BQ96,IF('Adjustment Surface'!$C$2='Data Validation'!$A$3,BR96,"Unknown Option Type")))/(BS96*SQRT(BO96)),0,1,FALSE))))*BT96*(BN96/360)*BP96))</f>
        <v/>
      </c>
      <c r="BW96" s="15" t="str">
        <f>IF(BK96="","",SUM(BV$4:BV96))</f>
        <v/>
      </c>
      <c r="BY96" s="15" t="str">
        <f>IF(BK96="","",IF(BL96&lt;'Rate &amp; Vol Update'!$C$2,0,((((((IF('Adjustment Surface'!$C$2='Data Validation'!$A$2,BR96,IF('Adjustment Surface'!$C$2='Data Validation'!$A$3,BQ96,"Unknown Option Type"))-IF('Adjustment Surface'!$C$2='Data Validation'!$A$2,BQ96,IF('Adjustment Surface'!$C$2='Data Validation'!$A$3,BR96,"Unknown Option Type")))*(NORMDIST((IF('Adjustment Surface'!$C$2='Data Validation'!$A$2,BR96,IF('Adjustment Surface'!$C$2='Data Validation'!$A$3,BQ96,"Unknown Option Type"))-IF('Adjustment Surface'!$C$2='Data Validation'!$A$2,BQ96,IF('Adjustment Surface'!$C$2='Data Validation'!$A$3,BR96,"Unknown Option Type")))/((BS96+0.01%)*SQRT(BO96)),0,1,TRUE)))+(((BS96+0.01%)*SQRT(BO96))*(NORMDIST((IF('Adjustment Surface'!$C$2='Data Validation'!$A$2,BR96,IF('Adjustment Surface'!$C$2='Data Validation'!$A$3,BQ96,"Unknown Option Type"))-IF('Adjustment Surface'!$C$2='Data Validation'!$A$2,BQ96,IF('Adjustment Surface'!$C$2='Data Validation'!$A$3,BR96,"Unknown Option Type")))/((BS96+0.01%)*SQRT(BO96)),0,1,FALSE))))*BT96*(BN96/360))-(BV96/BP96))*BP96)*BT96))</f>
        <v/>
      </c>
      <c r="BZ96" s="15" t="str">
        <f>IF(BK96="","",SUM(BY$4:BY96))</f>
        <v/>
      </c>
      <c r="CA96" s="15"/>
      <c r="CB96" s="20"/>
      <c r="CD96" s="4" t="str">
        <f>IF(CE95=MAX('Adjustment Surface'!$C$14:$F$14),"",CE95)</f>
        <v/>
      </c>
      <c r="CE96" s="4" t="str">
        <f>IF(CD96="","",IF(CD96&lt;EDATE('Adjustment Surface'!$C$6,DATEDIF('Adjustment Surface'!$C$6,MAX('Adjustment Surface'!$C$14:$F$14),"M")),EDATE(CD$5,COUNT(CD$5:CD96)),IF(CD96=EDATE('Adjustment Surface'!$C$6,DATEDIF('Adjustment Surface'!$C$6,MAX('Adjustment Surface'!$C$14:$F$14),"M")),MAX('Adjustment Surface'!$C$14:$F$14),EDATE('Adjustment Surface'!$C$6,DATEDIF('Adjustment Surface'!$C$6,MAX('Adjustment Surface'!$C$14:$F$14),"M")))))</f>
        <v/>
      </c>
      <c r="CF96" s="3" t="str">
        <f t="shared" si="10"/>
        <v/>
      </c>
      <c r="CG96" s="5" t="str">
        <f>IF(CC96="","",(CE96-'Rate &amp; Vol Update'!$C$2)/360)</f>
        <v/>
      </c>
      <c r="CH96" s="15" t="str">
        <f>IF(CC96="","",IF('Adjustment Surface'!$C$3='Data Validation'!$C$2,'Adjustment Surface'!$C$4,_xlfn.IFNA(IF(INDEX(Schedules!$E$3:$E$123,MATCH('Bachelier Model'!CD96,Schedules!$B$3:$B$123,0))="",CH95,INDEX(Schedules!$E$3:$E$123,MATCH('Bachelier Model'!CD96,Schedules!$B$3:$B$123,0))),CH95)))</f>
        <v/>
      </c>
      <c r="CI96" s="16" t="str">
        <f>IF(CC96="","",'Adjustment Surface'!B$18)</f>
        <v/>
      </c>
      <c r="CJ96" s="16" t="str" cm="1">
        <f t="array" ref="CJ96">IF(CC96="","",FORECAST(CD96,INDEX('Rate &amp; Vol Update'!$C$6:$C$127,MATCH(INDEX('Rate &amp; Vol Update'!$B$6:$B$127,MATCH(CD96,'Rate &amp; Vol Update'!$B$6:$B$127,1)),'Rate &amp; Vol Update'!$B$6:$B$127,0)+IF('Adjustment Surface'!$C$11='Data Validation'!$E$3,-1,0)):INDEX('Rate &amp; Vol Update'!$C$6:$C$127,MATCH(INDEX('Rate &amp; Vol Update'!$B$6:$B$127,MATCH(CD96,'Rate &amp; Vol Update'!$B$6:$B$127,1)+1),'Rate &amp; Vol Update'!$B$6:$B$127,0)+IF('Adjustment Surface'!$C$11='Data Validation'!$E$3,-1,0)),INDEX('Rate &amp; Vol Update'!$B$6:$B$127,MATCH(CD96,'Rate &amp; Vol Update'!$B$6:$B$127,1)):INDEX('Rate &amp; Vol Update'!$B$6:$B$127,MATCH(CD96,'Rate &amp; Vol Update'!$B$6:$B$127,1)+1))/100)</f>
        <v/>
      </c>
      <c r="CK96" s="16" t="str" cm="1">
        <f t="array" ref="CK96">IF(CC96="","",IF(CD96&lt;'Rate &amp; Vol Update'!$C$2,0.001%,(1/((INDEX('Rate &amp; Vol Update'!$E$6:$Z$6,1,MATCH(CI96,'Rate &amp; Vol Update'!$E$6:$Z$6,1)+1)-INDEX('Rate &amp; Vol Update'!$E$6:$Z$6,1,MATCH(CI96,'Rate &amp; Vol Update'!$E$6:$Z$6,1)))*(INDEX('Rate &amp; Vol Update'!$B$8:$B$127,MATCH(CD96,'Rate &amp; Vol Update'!$B$8:$B$127,1)+1)-INDEX('Rate &amp; Vol Update'!$B$8:$B$127,MATCH(CD96,'Rate &amp; Vol Update'!$B$8:$B$127,1))))*(INDEX('Rate &amp; Vol Update'!$E$8:$Z$127,MATCH(INDEX('Rate &amp; Vol Update'!$B$8:$B$127,MATCH(CD96,'Rate &amp; Vol Update'!$B$8:$B$127,1)),'Rate &amp; Vol Update'!$B$8:$B$127,0),MATCH(INDEX('Rate &amp; Vol Update'!$E$6:$Z$6,1,MATCH(CI96,'Rate &amp; Vol Update'!$E$6:$Z$6,1)),'Rate &amp; Vol Update'!$E$6:$Z$6,0))*(INDEX('Rate &amp; Vol Update'!$E$6:$Z$6,1,MATCH(CI96,'Rate &amp; Vol Update'!$E$6:$Z$6,1)+1)-CI96)*(INDEX('Rate &amp; Vol Update'!$B$8:$B$127,MATCH(CD96,'Rate &amp; Vol Update'!$B$8:$B$127,1)+1)-CD96)+INDEX('Rate &amp; Vol Update'!$E$8:$Z$127,MATCH(INDEX('Rate &amp; Vol Update'!$B$8:$B$127,MATCH(CD96,'Rate &amp; Vol Update'!$B$8:$B$127,1)),'Rate &amp; Vol Update'!$B$8:$B$127,0),MATCH(INDEX('Rate &amp; Vol Update'!$E$6:$Z$6,1,MATCH(CI96,'Rate &amp; Vol Update'!$E$6:$Z$6,1)+1),'Rate &amp; Vol Update'!$E$6:$Z$6,0))*(CI96-INDEX('Rate &amp; Vol Update'!$E$6:$Z$6,1,MATCH(CI96,'Rate &amp; Vol Update'!$E$6:$Z$6,1)))*(INDEX('Rate &amp; Vol Update'!$B$8:$B$127,MATCH(CD96,'Rate &amp; Vol Update'!$B$8:$B$127,1)+1)-CD96)+INDEX('Rate &amp; Vol Update'!$E$8:$Z$127,MATCH(INDEX('Rate &amp; Vol Update'!$B$8:$B$127,MATCH(CD96,'Rate &amp; Vol Update'!$B$8:$B$127,1)+1),'Rate &amp; Vol Update'!$B$8:$B$127,0),MATCH(INDEX('Rate &amp; Vol Update'!$E$6:$Z$6,1,MATCH(CI96,'Rate &amp; Vol Update'!$E$6:$Z$6,1)),'Rate &amp; Vol Update'!$E$6:$Z$6,0))*(INDEX('Rate &amp; Vol Update'!$E$6:$Z$6,1,MATCH(CI96,'Rate &amp; Vol Update'!$E$6:$Z$6,1)+1)-CI96)*(CD96-INDEX('Rate &amp; Vol Update'!$B$8:$B$127,MATCH(CD96,'Rate &amp; Vol Update'!$B$8:$B$127,1)))+INDEX('Rate &amp; Vol Update'!$E$8:$Z$127,MATCH(INDEX('Rate &amp; Vol Update'!$B$8:$B$127,MATCH(CD96,'Rate &amp; Vol Update'!$B$8:$B$127,1)+1),'Rate &amp; Vol Update'!$B$8:$B$127,0),MATCH(INDEX('Rate &amp; Vol Update'!$E$6:$Z$6,1,MATCH(CI96,'Rate &amp; Vol Update'!$E$6:$Z$6,1)+1),'Rate &amp; Vol Update'!$E$6:$Z$6,0))*(CI96-INDEX('Rate &amp; Vol Update'!$E$6:$Z$6,1,MATCH(CI96,'Rate &amp; Vol Update'!$E$6:$Z$6,1)))*(CD96-INDEX('Rate &amp; Vol Update'!$B$8:$B$127,MATCH(CD96,'Rate &amp; Vol Update'!$B$8:$B$127,1)))))*0.01%))</f>
        <v/>
      </c>
      <c r="CL96" s="5" t="str">
        <f>IF(CC96="","",1/((1+CJ96)^((CE96-'Rate &amp; Vol Update'!$C$2)/360)))</f>
        <v/>
      </c>
      <c r="CN96" s="15" t="str">
        <f>IF(CC96="","",IF(CD96&lt;'Rate &amp; Vol Update'!$C$2,MAX(0,CJ96-CI96)*(CF96/360)*CH96,(((IF('Adjustment Surface'!$C$2='Data Validation'!$A$2,CJ96,IF('Adjustment Surface'!$C$2='Data Validation'!$A$3,CI96,"Unknown Option Type"))-IF('Adjustment Surface'!$C$2='Data Validation'!$A$2,CI96,IF('Adjustment Surface'!$C$2='Data Validation'!$A$3,CJ96,"Unknown Option Type")))*(NORMDIST((IF('Adjustment Surface'!$C$2='Data Validation'!$A$2,CJ96,IF('Adjustment Surface'!$C$2='Data Validation'!$A$3,CI96,"Unknown Option Type"))-IF('Adjustment Surface'!$C$2='Data Validation'!$A$2,CI96,IF('Adjustment Surface'!$C$2='Data Validation'!$A$3,CJ96,"Unknown Option Type")))/(CK96*SQRT(CG96)),0,1,TRUE)))+((CK96*SQRT(CG96))*(NORMDIST((IF('Adjustment Surface'!$C$2='Data Validation'!$A$2,CJ96,IF('Adjustment Surface'!$C$2='Data Validation'!$A$3,CI96,"Unknown Option Type"))-IF('Adjustment Surface'!$C$2='Data Validation'!$A$2,CI96,IF('Adjustment Surface'!$C$2='Data Validation'!$A$3,CJ96,"Unknown Option Type")))/(CK96*SQRT(CG96)),0,1,FALSE))))*CL96*(CF96/360)*CH96))</f>
        <v/>
      </c>
      <c r="CO96" s="15" t="str">
        <f>IF(CC96="","",SUM(CN$4:CN96))</f>
        <v/>
      </c>
      <c r="CQ96" s="15" t="str">
        <f>IF(CC96="","",IF(CD96&lt;'Rate &amp; Vol Update'!$C$2,0,((((((IF('Adjustment Surface'!$C$2='Data Validation'!$A$2,CJ96,IF('Adjustment Surface'!$C$2='Data Validation'!$A$3,CI96,"Unknown Option Type"))-IF('Adjustment Surface'!$C$2='Data Validation'!$A$2,CI96,IF('Adjustment Surface'!$C$2='Data Validation'!$A$3,CJ96,"Unknown Option Type")))*(NORMDIST((IF('Adjustment Surface'!$C$2='Data Validation'!$A$2,CJ96,IF('Adjustment Surface'!$C$2='Data Validation'!$A$3,CI96,"Unknown Option Type"))-IF('Adjustment Surface'!$C$2='Data Validation'!$A$2,CI96,IF('Adjustment Surface'!$C$2='Data Validation'!$A$3,CJ96,"Unknown Option Type")))/((CK96+0.01%)*SQRT(CG96)),0,1,TRUE)))+(((CK96+0.01%)*SQRT(CG96))*(NORMDIST((IF('Adjustment Surface'!$C$2='Data Validation'!$A$2,CJ96,IF('Adjustment Surface'!$C$2='Data Validation'!$A$3,CI96,"Unknown Option Type"))-IF('Adjustment Surface'!$C$2='Data Validation'!$A$2,CI96,IF('Adjustment Surface'!$C$2='Data Validation'!$A$3,CJ96,"Unknown Option Type")))/((CK96+0.01%)*SQRT(CG96)),0,1,FALSE))))*CL96*(CF96/360))-(CN96/CH96))*CH96)*CL96))</f>
        <v/>
      </c>
      <c r="CR96" s="15" t="str">
        <f>IF(CC96="","",SUM(CQ$4:CQ96))</f>
        <v/>
      </c>
    </row>
    <row r="97" spans="7:96" x14ac:dyDescent="0.25">
      <c r="G97" s="28"/>
      <c r="J97" s="4" t="str">
        <f>IF(K96='Adjustment Surface'!C$8,"",K96)</f>
        <v/>
      </c>
      <c r="K97" s="4" t="str">
        <f>IF(J97="","",IF(J97&lt;'Adjustment Surface'!C$7,EDATE(J$5,COUNT(J$5:J97)),IF(J97='Adjustment Surface'!C$7,'Adjustment Surface'!C$8,'Adjustment Surface'!C$7)))</f>
        <v/>
      </c>
      <c r="L97" s="3" t="str">
        <f t="shared" si="6"/>
        <v/>
      </c>
      <c r="M97" s="5" t="str">
        <f>IF(I97="","",(K97-'Rate &amp; Vol Update'!$C$2)/360)</f>
        <v/>
      </c>
      <c r="N97" s="15" t="str">
        <f>IF(I97="","",IF('Adjustment Surface'!C$3='Data Validation'!$C$2,'Adjustment Surface'!C$4,IF(INDEX(Schedules!$E$3:$E$123,MATCH('Bachelier Model'!J97,Schedules!$B$3:$B$123,0))="",N96,INDEX(Schedules!$E$3:$E$123,MATCH('Bachelier Model'!J97,Schedules!$B$3:$B$123,0)))))</f>
        <v/>
      </c>
      <c r="O97" s="16" t="str">
        <f>IF(I97="","",IF('Adjustment Surface'!C$9='Data Validation'!$D$2,'Adjustment Surface'!C$10,IF(INDEX(Schedules!$H$3:$H$123,MATCH('Bachelier Model'!J97,Schedules!$B$3:$B$123,0))="",O96,INDEX(Schedules!$H$3:$H$123,MATCH('Bachelier Model'!J97,Schedules!$B$3:$B$123,0)))))</f>
        <v/>
      </c>
      <c r="P97" s="16" t="str" cm="1">
        <f t="array" ref="P97">IF(I97="","",FORECAST(J97,INDEX('Rate &amp; Vol Update'!$C$6:$C$127,MATCH(INDEX('Rate &amp; Vol Update'!$B$6:$B$127,MATCH(J97,'Rate &amp; Vol Update'!$B$6:$B$127,1)),'Rate &amp; Vol Update'!$B$6:$B$127,0)+IF('Adjustment Surface'!C$11='Data Validation'!$E$3,-1,0)):INDEX('Rate &amp; Vol Update'!$C$6:$C$127,MATCH(INDEX('Rate &amp; Vol Update'!$B$6:$B$127,MATCH(J97,'Rate &amp; Vol Update'!$B$6:$B$127,1)+1),'Rate &amp; Vol Update'!$B$6:$B$127,0)+IF('Adjustment Surface'!C$11='Data Validation'!$E$3,-1,0)),INDEX('Rate &amp; Vol Update'!$B$6:$B$127,MATCH(J97,'Rate &amp; Vol Update'!$B$6:$B$127,1)):INDEX('Rate &amp; Vol Update'!$B$6:$B$127,MATCH(J97,'Rate &amp; Vol Update'!$B$6:$B$127,1)+1))/100)</f>
        <v/>
      </c>
      <c r="Q97" s="16" t="str" cm="1">
        <f t="array" ref="Q97">IF(I97="","",IF(J97&lt;'Rate &amp; Vol Update'!$C$2,0.001%,(1/((INDEX('Rate &amp; Vol Update'!$E$6:$Z$6,1,MATCH(O97,'Rate &amp; Vol Update'!$E$6:$Z$6,1)+1)-INDEX('Rate &amp; Vol Update'!$E$6:$Z$6,1,MATCH(O97,'Rate &amp; Vol Update'!$E$6:$Z$6,1)))*(INDEX('Rate &amp; Vol Update'!$B$8:$B$127,MATCH(J97,'Rate &amp; Vol Update'!$B$8:$B$127,1)+1)-INDEX('Rate &amp; Vol Update'!$B$8:$B$127,MATCH(J97,'Rate &amp; Vol Update'!$B$8:$B$127,1))))*(INDEX('Rate &amp; Vol Update'!$E$8:$Z$127,MATCH(INDEX('Rate &amp; Vol Update'!$B$8:$B$127,MATCH(J97,'Rate &amp; Vol Update'!$B$8:$B$127,1)),'Rate &amp; Vol Update'!$B$8:$B$127,0),MATCH(INDEX('Rate &amp; Vol Update'!$E$6:$Z$6,1,MATCH(O97,'Rate &amp; Vol Update'!$E$6:$Z$6,1)),'Rate &amp; Vol Update'!$E$6:$Z$6,0))*(INDEX('Rate &amp; Vol Update'!$E$6:$Z$6,1,MATCH(O97,'Rate &amp; Vol Update'!$E$6:$Z$6,1)+1)-O97)*(INDEX('Rate &amp; Vol Update'!$B$8:$B$127,MATCH(J97,'Rate &amp; Vol Update'!$B$8:$B$127,1)+1)-J97)+INDEX('Rate &amp; Vol Update'!$E$8:$Z$127,MATCH(INDEX('Rate &amp; Vol Update'!$B$8:$B$127,MATCH(J97,'Rate &amp; Vol Update'!$B$8:$B$127,1)),'Rate &amp; Vol Update'!$B$8:$B$127,0),MATCH(INDEX('Rate &amp; Vol Update'!$E$6:$Z$6,1,MATCH(O97,'Rate &amp; Vol Update'!$E$6:$Z$6,1)+1),'Rate &amp; Vol Update'!$E$6:$Z$6,0))*(O97-INDEX('Rate &amp; Vol Update'!$E$6:$Z$6,1,MATCH(O97,'Rate &amp; Vol Update'!$E$6:$Z$6,1)))*(INDEX('Rate &amp; Vol Update'!$B$8:$B$127,MATCH(J97,'Rate &amp; Vol Update'!$B$8:$B$127,1)+1)-J97)+INDEX('Rate &amp; Vol Update'!$E$8:$Z$127,MATCH(INDEX('Rate &amp; Vol Update'!$B$8:$B$127,MATCH(J97,'Rate &amp; Vol Update'!$B$8:$B$127,1)+1),'Rate &amp; Vol Update'!$B$8:$B$127,0),MATCH(INDEX('Rate &amp; Vol Update'!$E$6:$Z$6,1,MATCH(O97,'Rate &amp; Vol Update'!$E$6:$Z$6,1)),'Rate &amp; Vol Update'!$E$6:$Z$6,0))*(INDEX('Rate &amp; Vol Update'!$E$6:$Z$6,1,MATCH(O97,'Rate &amp; Vol Update'!$E$6:$Z$6,1)+1)-O97)*(J97-INDEX('Rate &amp; Vol Update'!$B$8:$B$127,MATCH(J97,'Rate &amp; Vol Update'!$B$8:$B$127,1)))+INDEX('Rate &amp; Vol Update'!$E$8:$Z$127,MATCH(INDEX('Rate &amp; Vol Update'!$B$8:$B$127,MATCH(J97,'Rate &amp; Vol Update'!$B$8:$B$127,1)+1),'Rate &amp; Vol Update'!$B$8:$B$127,0),MATCH(INDEX('Rate &amp; Vol Update'!$E$6:$Z$6,1,MATCH(O97,'Rate &amp; Vol Update'!$E$6:$Z$6,1)+1),'Rate &amp; Vol Update'!$E$6:$Z$6,0))*(O97-INDEX('Rate &amp; Vol Update'!$E$6:$Z$6,1,MATCH(O97,'Rate &amp; Vol Update'!$E$6:$Z$6,1)))*(J97-INDEX('Rate &amp; Vol Update'!$B$8:$B$127,MATCH(J97,'Rate &amp; Vol Update'!$B$8:$B$127,1)))))*0.01%))</f>
        <v/>
      </c>
      <c r="R97" s="5" t="str">
        <f>IF(I97="","",1/((1+P97)^((K97-'Rate &amp; Vol Update'!$C$2)/360)))</f>
        <v/>
      </c>
      <c r="T97" s="15" t="str">
        <f>IF(I97="","",IF(J97&lt;'Rate &amp; Vol Update'!$C$2,MAX(0,P97-O97)*(L97/360)*N97,(((IF('Adjustment Surface'!C$2='Data Validation'!$A$2,P97,IF('Adjustment Surface'!C$2='Data Validation'!$A$3,O97,"Unknown Option Type"))-IF('Adjustment Surface'!C$2='Data Validation'!$A$2,O97,IF('Adjustment Surface'!C$2='Data Validation'!$A$3,P97,"Unknown Option Type")))*(NORMDIST((IF('Adjustment Surface'!C$2='Data Validation'!$A$2,P97,IF('Adjustment Surface'!C$2='Data Validation'!$A$3,O97,"Unknown Option Type"))-IF('Adjustment Surface'!C$2='Data Validation'!$A$2,O97,IF('Adjustment Surface'!C$2='Data Validation'!$A$3,P97,"Unknown Option Type")))/(Q97*SQRT(M97)),0,1,TRUE)))+((Q97*SQRT(M97))*(NORMDIST((IF('Adjustment Surface'!C$2='Data Validation'!$A$2,P97,IF('Adjustment Surface'!C$2='Data Validation'!$A$3,O97,"Unknown Option Type"))-IF('Adjustment Surface'!C$2='Data Validation'!$A$2,O97,IF('Adjustment Surface'!C$2='Data Validation'!$A$3,P97,"Unknown Option Type")))/(Q97*SQRT(M97)),0,1,FALSE))))*R97*(L97/360)*N97))</f>
        <v/>
      </c>
      <c r="U97" s="15" t="str">
        <f>IF(I97="","",SUM(T$4:T97))</f>
        <v/>
      </c>
      <c r="W97" s="15" t="str">
        <f>IF(I97="","",IF(J97&lt;'Rate &amp; Vol Update'!$C$2,0,((((((IF('Adjustment Surface'!C$2='Data Validation'!$A$2,P97,IF('Adjustment Surface'!C$2='Data Validation'!$A$3,O97,"Unknown Option Type"))-IF('Adjustment Surface'!C$2='Data Validation'!$A$2,O97,IF('Adjustment Surface'!C$2='Data Validation'!$A$3,P97,"Unknown Option Type")))*(NORMDIST((IF('Adjustment Surface'!C$2='Data Validation'!$A$2,P97,IF('Adjustment Surface'!C$2='Data Validation'!$A$3,O97,"Unknown Option Type"))-IF('Adjustment Surface'!C$2='Data Validation'!$A$2,O97,IF('Adjustment Surface'!C$2='Data Validation'!$A$3,P97,"Unknown Option Type")))/((Q97+0.01%)*SQRT(M97)),0,1,TRUE)))+(((Q97+0.01%)*SQRT(M97))*(NORMDIST((IF('Adjustment Surface'!C$2='Data Validation'!$A$2,P97,IF('Adjustment Surface'!C$2='Data Validation'!$A$3,O97,"Unknown Option Type"))-IF('Adjustment Surface'!C$2='Data Validation'!$A$2,O97,IF('Adjustment Surface'!C$2='Data Validation'!$A$3,P97,"Unknown Option Type")))/((Q97+0.01%)*SQRT(M97)),0,1,FALSE))))*R97*(L97/360))-(T97/N97))*N97)*R97))</f>
        <v/>
      </c>
      <c r="X97" s="15" t="str">
        <f>IF(I97="","",SUM(W$4:W97))</f>
        <v/>
      </c>
      <c r="Y97" s="15"/>
      <c r="Z97" s="20"/>
      <c r="AB97" s="4" t="str">
        <f>IF(AC96=MAX('Adjustment Surface'!$C$14:$F$14),"",AC96)</f>
        <v/>
      </c>
      <c r="AC97" s="4" t="str">
        <f>IF(AB97="","",IF(AB97&lt;EDATE('Adjustment Surface'!$C$6,DATEDIF('Adjustment Surface'!$C$6,MAX('Adjustment Surface'!$C$14:$F$14),"M")),EDATE(AB$5,COUNT(AB$5:AB97)),IF(AB97=EDATE('Adjustment Surface'!$C$6,DATEDIF('Adjustment Surface'!$C$6,MAX('Adjustment Surface'!$C$14:$F$14),"M")),MAX('Adjustment Surface'!$C$14:$F$14),EDATE('Adjustment Surface'!$C$6,DATEDIF('Adjustment Surface'!$C$6,MAX('Adjustment Surface'!$C$14:$F$14),"M")))))</f>
        <v/>
      </c>
      <c r="AD97" s="3" t="str">
        <f t="shared" si="7"/>
        <v/>
      </c>
      <c r="AE97" s="5" t="str">
        <f>IF(AA97="","",(AC97-'Rate &amp; Vol Update'!$C$2)/360)</f>
        <v/>
      </c>
      <c r="AF97" s="15" t="str">
        <f>IF(AA97="","",IF('Adjustment Surface'!$C$3='Data Validation'!$C$2,'Adjustment Surface'!$C$4,_xlfn.IFNA(IF(INDEX(Schedules!$E$3:$E$123,MATCH('Bachelier Model'!AB97,Schedules!$B$3:$B$123,0))="",AF96,INDEX(Schedules!$E$3:$E$123,MATCH('Bachelier Model'!AB97,Schedules!$B$3:$B$123,0))),AF96)))</f>
        <v/>
      </c>
      <c r="AG97" s="16" t="str">
        <f>IF(AA97="","",'Adjustment Surface'!B$15)</f>
        <v/>
      </c>
      <c r="AH97" s="16" t="str" cm="1">
        <f t="array" ref="AH97">IF(AA97="","",FORECAST(AB97,INDEX('Rate &amp; Vol Update'!$C$6:$C$127,MATCH(INDEX('Rate &amp; Vol Update'!$B$6:$B$127,MATCH(AB97,'Rate &amp; Vol Update'!$B$6:$B$127,1)),'Rate &amp; Vol Update'!$B$6:$B$127,0)+IF('Adjustment Surface'!$C$11='Data Validation'!$E$3,-1,0)):INDEX('Rate &amp; Vol Update'!$C$6:$C$127,MATCH(INDEX('Rate &amp; Vol Update'!$B$6:$B$127,MATCH(AB97,'Rate &amp; Vol Update'!$B$6:$B$127,1)+1),'Rate &amp; Vol Update'!$B$6:$B$127,0)+IF('Adjustment Surface'!$C$11='Data Validation'!$E$3,-1,0)),INDEX('Rate &amp; Vol Update'!$B$6:$B$127,MATCH(AB97,'Rate &amp; Vol Update'!$B$6:$B$127,1)):INDEX('Rate &amp; Vol Update'!$B$6:$B$127,MATCH(AB97,'Rate &amp; Vol Update'!$B$6:$B$127,1)+1))/100)</f>
        <v/>
      </c>
      <c r="AI97" s="16" t="str" cm="1">
        <f t="array" ref="AI97">IF(AA97="","",IF(AB97&lt;'Rate &amp; Vol Update'!$C$2,0.001%,(1/((INDEX('Rate &amp; Vol Update'!$E$6:$Z$6,1,MATCH(AG97,'Rate &amp; Vol Update'!$E$6:$Z$6,1)+1)-INDEX('Rate &amp; Vol Update'!$E$6:$Z$6,1,MATCH(AG97,'Rate &amp; Vol Update'!$E$6:$Z$6,1)))*(INDEX('Rate &amp; Vol Update'!$B$8:$B$127,MATCH(AB97,'Rate &amp; Vol Update'!$B$8:$B$127,1)+1)-INDEX('Rate &amp; Vol Update'!$B$8:$B$127,MATCH(AB97,'Rate &amp; Vol Update'!$B$8:$B$127,1))))*(INDEX('Rate &amp; Vol Update'!$E$8:$Z$127,MATCH(INDEX('Rate &amp; Vol Update'!$B$8:$B$127,MATCH(AB97,'Rate &amp; Vol Update'!$B$8:$B$127,1)),'Rate &amp; Vol Update'!$B$8:$B$127,0),MATCH(INDEX('Rate &amp; Vol Update'!$E$6:$Z$6,1,MATCH(AG97,'Rate &amp; Vol Update'!$E$6:$Z$6,1)),'Rate &amp; Vol Update'!$E$6:$Z$6,0))*(INDEX('Rate &amp; Vol Update'!$E$6:$Z$6,1,MATCH(AG97,'Rate &amp; Vol Update'!$E$6:$Z$6,1)+1)-AG97)*(INDEX('Rate &amp; Vol Update'!$B$8:$B$127,MATCH(AB97,'Rate &amp; Vol Update'!$B$8:$B$127,1)+1)-AB97)+INDEX('Rate &amp; Vol Update'!$E$8:$Z$127,MATCH(INDEX('Rate &amp; Vol Update'!$B$8:$B$127,MATCH(AB97,'Rate &amp; Vol Update'!$B$8:$B$127,1)),'Rate &amp; Vol Update'!$B$8:$B$127,0),MATCH(INDEX('Rate &amp; Vol Update'!$E$6:$Z$6,1,MATCH(AG97,'Rate &amp; Vol Update'!$E$6:$Z$6,1)+1),'Rate &amp; Vol Update'!$E$6:$Z$6,0))*(AG97-INDEX('Rate &amp; Vol Update'!$E$6:$Z$6,1,MATCH(AG97,'Rate &amp; Vol Update'!$E$6:$Z$6,1)))*(INDEX('Rate &amp; Vol Update'!$B$8:$B$127,MATCH(AB97,'Rate &amp; Vol Update'!$B$8:$B$127,1)+1)-AB97)+INDEX('Rate &amp; Vol Update'!$E$8:$Z$127,MATCH(INDEX('Rate &amp; Vol Update'!$B$8:$B$127,MATCH(AB97,'Rate &amp; Vol Update'!$B$8:$B$127,1)+1),'Rate &amp; Vol Update'!$B$8:$B$127,0),MATCH(INDEX('Rate &amp; Vol Update'!$E$6:$Z$6,1,MATCH(AG97,'Rate &amp; Vol Update'!$E$6:$Z$6,1)),'Rate &amp; Vol Update'!$E$6:$Z$6,0))*(INDEX('Rate &amp; Vol Update'!$E$6:$Z$6,1,MATCH(AG97,'Rate &amp; Vol Update'!$E$6:$Z$6,1)+1)-AG97)*(AB97-INDEX('Rate &amp; Vol Update'!$B$8:$B$127,MATCH(AB97,'Rate &amp; Vol Update'!$B$8:$B$127,1)))+INDEX('Rate &amp; Vol Update'!$E$8:$Z$127,MATCH(INDEX('Rate &amp; Vol Update'!$B$8:$B$127,MATCH(AB97,'Rate &amp; Vol Update'!$B$8:$B$127,1)+1),'Rate &amp; Vol Update'!$B$8:$B$127,0),MATCH(INDEX('Rate &amp; Vol Update'!$E$6:$Z$6,1,MATCH(AG97,'Rate &amp; Vol Update'!$E$6:$Z$6,1)+1),'Rate &amp; Vol Update'!$E$6:$Z$6,0))*(AG97-INDEX('Rate &amp; Vol Update'!$E$6:$Z$6,1,MATCH(AG97,'Rate &amp; Vol Update'!$E$6:$Z$6,1)))*(AB97-INDEX('Rate &amp; Vol Update'!$B$8:$B$127,MATCH(AB97,'Rate &amp; Vol Update'!$B$8:$B$127,1)))))*0.01%))</f>
        <v/>
      </c>
      <c r="AJ97" s="5" t="str">
        <f>IF(AA97="","",1/((1+AH97)^((AC97-'Rate &amp; Vol Update'!$C$2)/360)))</f>
        <v/>
      </c>
      <c r="AL97" s="15" t="str">
        <f>IF(AA97="","",IF(AB97&lt;'Rate &amp; Vol Update'!$C$2,MAX(0,AH97-AG97)*(AD97/360)*AF97,(((IF('Adjustment Surface'!$C$2='Data Validation'!$A$2,AH97,IF('Adjustment Surface'!$C$2='Data Validation'!$A$3,AG97,"Unknown Option Type"))-IF('Adjustment Surface'!$C$2='Data Validation'!$A$2,AG97,IF('Adjustment Surface'!$C$2='Data Validation'!$A$3,AH97,"Unknown Option Type")))*(NORMDIST((IF('Adjustment Surface'!$C$2='Data Validation'!$A$2,AH97,IF('Adjustment Surface'!$C$2='Data Validation'!$A$3,AG97,"Unknown Option Type"))-IF('Adjustment Surface'!$C$2='Data Validation'!$A$2,AG97,IF('Adjustment Surface'!$C$2='Data Validation'!$A$3,AH97,"Unknown Option Type")))/(AI97*SQRT(AE97)),0,1,TRUE)))+((AI97*SQRT(AE97))*(NORMDIST((IF('Adjustment Surface'!$C$2='Data Validation'!$A$2,AH97,IF('Adjustment Surface'!$C$2='Data Validation'!$A$3,AG97,"Unknown Option Type"))-IF('Adjustment Surface'!$C$2='Data Validation'!$A$2,AG97,IF('Adjustment Surface'!$C$2='Data Validation'!$A$3,AH97,"Unknown Option Type")))/(AI97*SQRT(AE97)),0,1,FALSE))))*AJ97*(AD97/360)*AF97))</f>
        <v/>
      </c>
      <c r="AM97" s="15" t="str">
        <f>IF(AA97="","",SUM(AL$4:AL97))</f>
        <v/>
      </c>
      <c r="AO97" s="15" t="str">
        <f>IF(AA97="","",IF(AB97&lt;'Rate &amp; Vol Update'!$C$2,0,((((((IF('Adjustment Surface'!$C$2='Data Validation'!$A$2,AH97,IF('Adjustment Surface'!$C$2='Data Validation'!$A$3,AG97,"Unknown Option Type"))-IF('Adjustment Surface'!$C$2='Data Validation'!$A$2,AG97,IF('Adjustment Surface'!$C$2='Data Validation'!$A$3,AH97,"Unknown Option Type")))*(NORMDIST((IF('Adjustment Surface'!$C$2='Data Validation'!$A$2,AH97,IF('Adjustment Surface'!$C$2='Data Validation'!$A$3,AG97,"Unknown Option Type"))-IF('Adjustment Surface'!$C$2='Data Validation'!$A$2,AG97,IF('Adjustment Surface'!$C$2='Data Validation'!$A$3,AH97,"Unknown Option Type")))/((AI97+0.01%)*SQRT(AE97)),0,1,TRUE)))+(((AI97+0.01%)*SQRT(AE97))*(NORMDIST((IF('Adjustment Surface'!$C$2='Data Validation'!$A$2,AH97,IF('Adjustment Surface'!$C$2='Data Validation'!$A$3,AG97,"Unknown Option Type"))-IF('Adjustment Surface'!$C$2='Data Validation'!$A$2,AG97,IF('Adjustment Surface'!$C$2='Data Validation'!$A$3,AH97,"Unknown Option Type")))/((AI97+0.01%)*SQRT(AE97)),0,1,FALSE))))*AJ97*(AD97/360))-(AL97/AF97))*AF97)*AJ97))</f>
        <v/>
      </c>
      <c r="AP97" s="15" t="str">
        <f>IF(AA97="","",SUM(AO$4:AO97))</f>
        <v/>
      </c>
      <c r="AQ97" s="15"/>
      <c r="AR97" s="20"/>
      <c r="AT97" s="4" t="str">
        <f>IF(AU96=MAX('Adjustment Surface'!$C$14:$F$14),"",AU96)</f>
        <v/>
      </c>
      <c r="AU97" s="4" t="str">
        <f>IF(AT97="","",IF(AT97&lt;EDATE('Adjustment Surface'!$C$6,DATEDIF('Adjustment Surface'!$C$6,MAX('Adjustment Surface'!$C$14:$F$14),"M")),EDATE(AT$5,COUNT(AT$5:AT97)),IF(AT97=EDATE('Adjustment Surface'!$C$6,DATEDIF('Adjustment Surface'!$C$6,MAX('Adjustment Surface'!$C$14:$F$14),"M")),MAX('Adjustment Surface'!$C$14:$F$14),EDATE('Adjustment Surface'!$C$6,DATEDIF('Adjustment Surface'!$C$6,MAX('Adjustment Surface'!$C$14:$F$14),"M")))))</f>
        <v/>
      </c>
      <c r="AV97" s="3" t="str">
        <f t="shared" si="8"/>
        <v/>
      </c>
      <c r="AW97" s="5" t="str">
        <f>IF(AS97="","",(AU97-'Rate &amp; Vol Update'!$C$2)/360)</f>
        <v/>
      </c>
      <c r="AX97" s="15" t="str">
        <f>IF(AS97="","",IF('Adjustment Surface'!$C$3='Data Validation'!$C$2,'Adjustment Surface'!$C$4,_xlfn.IFNA(IF(INDEX(Schedules!$E$3:$E$123,MATCH('Bachelier Model'!AT97,Schedules!$B$3:$B$123,0))="",AX96,INDEX(Schedules!$E$3:$E$123,MATCH('Bachelier Model'!AT97,Schedules!$B$3:$B$123,0))),AX96)))</f>
        <v/>
      </c>
      <c r="AY97" s="16" t="str">
        <f>IF(AS97="","",'Adjustment Surface'!B$16)</f>
        <v/>
      </c>
      <c r="AZ97" s="16" t="str" cm="1">
        <f t="array" ref="AZ97">IF(AS97="","",FORECAST(AT97,INDEX('Rate &amp; Vol Update'!$C$6:$C$127,MATCH(INDEX('Rate &amp; Vol Update'!$B$6:$B$127,MATCH(AT97,'Rate &amp; Vol Update'!$B$6:$B$127,1)),'Rate &amp; Vol Update'!$B$6:$B$127,0)+IF('Adjustment Surface'!$C$11='Data Validation'!$E$3,-1,0)):INDEX('Rate &amp; Vol Update'!$C$6:$C$127,MATCH(INDEX('Rate &amp; Vol Update'!$B$6:$B$127,MATCH(AT97,'Rate &amp; Vol Update'!$B$6:$B$127,1)+1),'Rate &amp; Vol Update'!$B$6:$B$127,0)+IF('Adjustment Surface'!$C$11='Data Validation'!$E$3,-1,0)),INDEX('Rate &amp; Vol Update'!$B$6:$B$127,MATCH(AT97,'Rate &amp; Vol Update'!$B$6:$B$127,1)):INDEX('Rate &amp; Vol Update'!$B$6:$B$127,MATCH(AT97,'Rate &amp; Vol Update'!$B$6:$B$127,1)+1))/100)</f>
        <v/>
      </c>
      <c r="BA97" s="16" t="str" cm="1">
        <f t="array" ref="BA97">IF(AS97="","",IF(AT97&lt;'Rate &amp; Vol Update'!$C$2,0.001%,(1/((INDEX('Rate &amp; Vol Update'!$E$6:$Z$6,1,MATCH(AY97,'Rate &amp; Vol Update'!$E$6:$Z$6,1)+1)-INDEX('Rate &amp; Vol Update'!$E$6:$Z$6,1,MATCH(AY97,'Rate &amp; Vol Update'!$E$6:$Z$6,1)))*(INDEX('Rate &amp; Vol Update'!$B$8:$B$127,MATCH(AT97,'Rate &amp; Vol Update'!$B$8:$B$127,1)+1)-INDEX('Rate &amp; Vol Update'!$B$8:$B$127,MATCH(AT97,'Rate &amp; Vol Update'!$B$8:$B$127,1))))*(INDEX('Rate &amp; Vol Update'!$E$8:$Z$127,MATCH(INDEX('Rate &amp; Vol Update'!$B$8:$B$127,MATCH(AT97,'Rate &amp; Vol Update'!$B$8:$B$127,1)),'Rate &amp; Vol Update'!$B$8:$B$127,0),MATCH(INDEX('Rate &amp; Vol Update'!$E$6:$Z$6,1,MATCH(AY97,'Rate &amp; Vol Update'!$E$6:$Z$6,1)),'Rate &amp; Vol Update'!$E$6:$Z$6,0))*(INDEX('Rate &amp; Vol Update'!$E$6:$Z$6,1,MATCH(AY97,'Rate &amp; Vol Update'!$E$6:$Z$6,1)+1)-AY97)*(INDEX('Rate &amp; Vol Update'!$B$8:$B$127,MATCH(AT97,'Rate &amp; Vol Update'!$B$8:$B$127,1)+1)-AT97)+INDEX('Rate &amp; Vol Update'!$E$8:$Z$127,MATCH(INDEX('Rate &amp; Vol Update'!$B$8:$B$127,MATCH(AT97,'Rate &amp; Vol Update'!$B$8:$B$127,1)),'Rate &amp; Vol Update'!$B$8:$B$127,0),MATCH(INDEX('Rate &amp; Vol Update'!$E$6:$Z$6,1,MATCH(AY97,'Rate &amp; Vol Update'!$E$6:$Z$6,1)+1),'Rate &amp; Vol Update'!$E$6:$Z$6,0))*(AY97-INDEX('Rate &amp; Vol Update'!$E$6:$Z$6,1,MATCH(AY97,'Rate &amp; Vol Update'!$E$6:$Z$6,1)))*(INDEX('Rate &amp; Vol Update'!$B$8:$B$127,MATCH(AT97,'Rate &amp; Vol Update'!$B$8:$B$127,1)+1)-AT97)+INDEX('Rate &amp; Vol Update'!$E$8:$Z$127,MATCH(INDEX('Rate &amp; Vol Update'!$B$8:$B$127,MATCH(AT97,'Rate &amp; Vol Update'!$B$8:$B$127,1)+1),'Rate &amp; Vol Update'!$B$8:$B$127,0),MATCH(INDEX('Rate &amp; Vol Update'!$E$6:$Z$6,1,MATCH(AY97,'Rate &amp; Vol Update'!$E$6:$Z$6,1)),'Rate &amp; Vol Update'!$E$6:$Z$6,0))*(INDEX('Rate &amp; Vol Update'!$E$6:$Z$6,1,MATCH(AY97,'Rate &amp; Vol Update'!$E$6:$Z$6,1)+1)-AY97)*(AT97-INDEX('Rate &amp; Vol Update'!$B$8:$B$127,MATCH(AT97,'Rate &amp; Vol Update'!$B$8:$B$127,1)))+INDEX('Rate &amp; Vol Update'!$E$8:$Z$127,MATCH(INDEX('Rate &amp; Vol Update'!$B$8:$B$127,MATCH(AT97,'Rate &amp; Vol Update'!$B$8:$B$127,1)+1),'Rate &amp; Vol Update'!$B$8:$B$127,0),MATCH(INDEX('Rate &amp; Vol Update'!$E$6:$Z$6,1,MATCH(AY97,'Rate &amp; Vol Update'!$E$6:$Z$6,1)+1),'Rate &amp; Vol Update'!$E$6:$Z$6,0))*(AY97-INDEX('Rate &amp; Vol Update'!$E$6:$Z$6,1,MATCH(AY97,'Rate &amp; Vol Update'!$E$6:$Z$6,1)))*(AT97-INDEX('Rate &amp; Vol Update'!$B$8:$B$127,MATCH(AT97,'Rate &amp; Vol Update'!$B$8:$B$127,1)))))*0.01%))</f>
        <v/>
      </c>
      <c r="BB97" s="5" t="str">
        <f>IF(AS97="","",1/((1+AZ97)^((AU97-'Rate &amp; Vol Update'!$C$2)/360)))</f>
        <v/>
      </c>
      <c r="BD97" s="15" t="str">
        <f>IF(AS97="","",IF(AT97&lt;'Rate &amp; Vol Update'!$C$2,MAX(0,AZ97-AY97)*(AV97/360)*AX97,(((IF('Adjustment Surface'!$C$2='Data Validation'!$A$2,AZ97,IF('Adjustment Surface'!$C$2='Data Validation'!$A$3,AY97,"Unknown Option Type"))-IF('Adjustment Surface'!$C$2='Data Validation'!$A$2,AY97,IF('Adjustment Surface'!$C$2='Data Validation'!$A$3,AZ97,"Unknown Option Type")))*(NORMDIST((IF('Adjustment Surface'!$C$2='Data Validation'!$A$2,AZ97,IF('Adjustment Surface'!$C$2='Data Validation'!$A$3,AY97,"Unknown Option Type"))-IF('Adjustment Surface'!$C$2='Data Validation'!$A$2,AY97,IF('Adjustment Surface'!$C$2='Data Validation'!$A$3,AZ97,"Unknown Option Type")))/(BA97*SQRT(AW97)),0,1,TRUE)))+((BA97*SQRT(AW97))*(NORMDIST((IF('Adjustment Surface'!$C$2='Data Validation'!$A$2,AZ97,IF('Adjustment Surface'!$C$2='Data Validation'!$A$3,AY97,"Unknown Option Type"))-IF('Adjustment Surface'!$C$2='Data Validation'!$A$2,AY97,IF('Adjustment Surface'!$C$2='Data Validation'!$A$3,AZ97,"Unknown Option Type")))/(BA97*SQRT(AW97)),0,1,FALSE))))*BB97*(AV97/360)*AX97))</f>
        <v/>
      </c>
      <c r="BE97" s="15" t="str">
        <f>IF(AS97="","",SUM(BD$4:BD97))</f>
        <v/>
      </c>
      <c r="BG97" s="15" t="str">
        <f>IF(AS97="","",IF(AT97&lt;'Rate &amp; Vol Update'!$C$2,0,((((((IF('Adjustment Surface'!$C$2='Data Validation'!$A$2,AZ97,IF('Adjustment Surface'!$C$2='Data Validation'!$A$3,AY97,"Unknown Option Type"))-IF('Adjustment Surface'!$C$2='Data Validation'!$A$2,AY97,IF('Adjustment Surface'!$C$2='Data Validation'!$A$3,AZ97,"Unknown Option Type")))*(NORMDIST((IF('Adjustment Surface'!$C$2='Data Validation'!$A$2,AZ97,IF('Adjustment Surface'!$C$2='Data Validation'!$A$3,AY97,"Unknown Option Type"))-IF('Adjustment Surface'!$C$2='Data Validation'!$A$2,AY97,IF('Adjustment Surface'!$C$2='Data Validation'!$A$3,AZ97,"Unknown Option Type")))/((BA97+0.01%)*SQRT(AW97)),0,1,TRUE)))+(((BA97+0.01%)*SQRT(AW97))*(NORMDIST((IF('Adjustment Surface'!$C$2='Data Validation'!$A$2,AZ97,IF('Adjustment Surface'!$C$2='Data Validation'!$A$3,AY97,"Unknown Option Type"))-IF('Adjustment Surface'!$C$2='Data Validation'!$A$2,AY97,IF('Adjustment Surface'!$C$2='Data Validation'!$A$3,AZ97,"Unknown Option Type")))/((BA97+0.01%)*SQRT(AW97)),0,1,FALSE))))*BB97*(AV97/360))-(BD97/AX97))*AX97)*BB97))</f>
        <v/>
      </c>
      <c r="BH97" s="15" t="str">
        <f>IF(AS97="","",SUM(BG$4:BG97))</f>
        <v/>
      </c>
      <c r="BI97" s="15"/>
      <c r="BJ97" s="20"/>
      <c r="BL97" s="4" t="str">
        <f>IF(BM96=MAX('Adjustment Surface'!$C$14:$F$14),"",BM96)</f>
        <v/>
      </c>
      <c r="BM97" s="4" t="str">
        <f>IF(BL97="","",IF(BL97&lt;EDATE('Adjustment Surface'!$C$6,DATEDIF('Adjustment Surface'!$C$6,MAX('Adjustment Surface'!$C$14:$F$14),"M")),EDATE(BL$5,COUNT(BL$5:BL97)),IF(BL97=EDATE('Adjustment Surface'!$C$6,DATEDIF('Adjustment Surface'!$C$6,MAX('Adjustment Surface'!$C$14:$F$14),"M")),MAX('Adjustment Surface'!$C$14:$F$14),EDATE('Adjustment Surface'!$C$6,DATEDIF('Adjustment Surface'!$C$6,MAX('Adjustment Surface'!$C$14:$F$14),"M")))))</f>
        <v/>
      </c>
      <c r="BN97" s="3" t="str">
        <f t="shared" si="9"/>
        <v/>
      </c>
      <c r="BO97" s="5" t="str">
        <f>IF(BK97="","",(BM97-'Rate &amp; Vol Update'!$C$2)/360)</f>
        <v/>
      </c>
      <c r="BP97" s="15" t="str">
        <f>IF(BK97="","",IF('Adjustment Surface'!$C$3='Data Validation'!$C$2,'Adjustment Surface'!$C$4,_xlfn.IFNA(IF(INDEX(Schedules!$E$3:$E$123,MATCH('Bachelier Model'!BL97,Schedules!$B$3:$B$123,0))="",BP96,INDEX(Schedules!$E$3:$E$123,MATCH('Bachelier Model'!BL97,Schedules!$B$3:$B$123,0))),BP96)))</f>
        <v/>
      </c>
      <c r="BQ97" s="16" t="str">
        <f>IF(BK97="","",'Adjustment Surface'!B$17)</f>
        <v/>
      </c>
      <c r="BR97" s="16" t="str" cm="1">
        <f t="array" ref="BR97">IF(BK97="","",FORECAST(BL97,INDEX('Rate &amp; Vol Update'!$C$6:$C$127,MATCH(INDEX('Rate &amp; Vol Update'!$B$6:$B$127,MATCH(BL97,'Rate &amp; Vol Update'!$B$6:$B$127,1)),'Rate &amp; Vol Update'!$B$6:$B$127,0)+IF('Adjustment Surface'!$C$11='Data Validation'!$E$3,-1,0)):INDEX('Rate &amp; Vol Update'!$C$6:$C$127,MATCH(INDEX('Rate &amp; Vol Update'!$B$6:$B$127,MATCH(BL97,'Rate &amp; Vol Update'!$B$6:$B$127,1)+1),'Rate &amp; Vol Update'!$B$6:$B$127,0)+IF('Adjustment Surface'!$C$11='Data Validation'!$E$3,-1,0)),INDEX('Rate &amp; Vol Update'!$B$6:$B$127,MATCH(BL97,'Rate &amp; Vol Update'!$B$6:$B$127,1)):INDEX('Rate &amp; Vol Update'!$B$6:$B$127,MATCH(BL97,'Rate &amp; Vol Update'!$B$6:$B$127,1)+1))/100)</f>
        <v/>
      </c>
      <c r="BS97" s="16" t="str" cm="1">
        <f t="array" ref="BS97">IF(BK97="","",IF(BL97&lt;'Rate &amp; Vol Update'!$C$2,0.001%,(1/((INDEX('Rate &amp; Vol Update'!$E$6:$Z$6,1,MATCH(BQ97,'Rate &amp; Vol Update'!$E$6:$Z$6,1)+1)-INDEX('Rate &amp; Vol Update'!$E$6:$Z$6,1,MATCH(BQ97,'Rate &amp; Vol Update'!$E$6:$Z$6,1)))*(INDEX('Rate &amp; Vol Update'!$B$8:$B$127,MATCH(BL97,'Rate &amp; Vol Update'!$B$8:$B$127,1)+1)-INDEX('Rate &amp; Vol Update'!$B$8:$B$127,MATCH(BL97,'Rate &amp; Vol Update'!$B$8:$B$127,1))))*(INDEX('Rate &amp; Vol Update'!$E$8:$Z$127,MATCH(INDEX('Rate &amp; Vol Update'!$B$8:$B$127,MATCH(BL97,'Rate &amp; Vol Update'!$B$8:$B$127,1)),'Rate &amp; Vol Update'!$B$8:$B$127,0),MATCH(INDEX('Rate &amp; Vol Update'!$E$6:$Z$6,1,MATCH(BQ97,'Rate &amp; Vol Update'!$E$6:$Z$6,1)),'Rate &amp; Vol Update'!$E$6:$Z$6,0))*(INDEX('Rate &amp; Vol Update'!$E$6:$Z$6,1,MATCH(BQ97,'Rate &amp; Vol Update'!$E$6:$Z$6,1)+1)-BQ97)*(INDEX('Rate &amp; Vol Update'!$B$8:$B$127,MATCH(BL97,'Rate &amp; Vol Update'!$B$8:$B$127,1)+1)-BL97)+INDEX('Rate &amp; Vol Update'!$E$8:$Z$127,MATCH(INDEX('Rate &amp; Vol Update'!$B$8:$B$127,MATCH(BL97,'Rate &amp; Vol Update'!$B$8:$B$127,1)),'Rate &amp; Vol Update'!$B$8:$B$127,0),MATCH(INDEX('Rate &amp; Vol Update'!$E$6:$Z$6,1,MATCH(BQ97,'Rate &amp; Vol Update'!$E$6:$Z$6,1)+1),'Rate &amp; Vol Update'!$E$6:$Z$6,0))*(BQ97-INDEX('Rate &amp; Vol Update'!$E$6:$Z$6,1,MATCH(BQ97,'Rate &amp; Vol Update'!$E$6:$Z$6,1)))*(INDEX('Rate &amp; Vol Update'!$B$8:$B$127,MATCH(BL97,'Rate &amp; Vol Update'!$B$8:$B$127,1)+1)-BL97)+INDEX('Rate &amp; Vol Update'!$E$8:$Z$127,MATCH(INDEX('Rate &amp; Vol Update'!$B$8:$B$127,MATCH(BL97,'Rate &amp; Vol Update'!$B$8:$B$127,1)+1),'Rate &amp; Vol Update'!$B$8:$B$127,0),MATCH(INDEX('Rate &amp; Vol Update'!$E$6:$Z$6,1,MATCH(BQ97,'Rate &amp; Vol Update'!$E$6:$Z$6,1)),'Rate &amp; Vol Update'!$E$6:$Z$6,0))*(INDEX('Rate &amp; Vol Update'!$E$6:$Z$6,1,MATCH(BQ97,'Rate &amp; Vol Update'!$E$6:$Z$6,1)+1)-BQ97)*(BL97-INDEX('Rate &amp; Vol Update'!$B$8:$B$127,MATCH(BL97,'Rate &amp; Vol Update'!$B$8:$B$127,1)))+INDEX('Rate &amp; Vol Update'!$E$8:$Z$127,MATCH(INDEX('Rate &amp; Vol Update'!$B$8:$B$127,MATCH(BL97,'Rate &amp; Vol Update'!$B$8:$B$127,1)+1),'Rate &amp; Vol Update'!$B$8:$B$127,0),MATCH(INDEX('Rate &amp; Vol Update'!$E$6:$Z$6,1,MATCH(BQ97,'Rate &amp; Vol Update'!$E$6:$Z$6,1)+1),'Rate &amp; Vol Update'!$E$6:$Z$6,0))*(BQ97-INDEX('Rate &amp; Vol Update'!$E$6:$Z$6,1,MATCH(BQ97,'Rate &amp; Vol Update'!$E$6:$Z$6,1)))*(BL97-INDEX('Rate &amp; Vol Update'!$B$8:$B$127,MATCH(BL97,'Rate &amp; Vol Update'!$B$8:$B$127,1)))))*0.01%))</f>
        <v/>
      </c>
      <c r="BT97" s="5" t="str">
        <f>IF(BK97="","",1/((1+BR97)^((BM97-'Rate &amp; Vol Update'!$C$2)/360)))</f>
        <v/>
      </c>
      <c r="BV97" s="15" t="str">
        <f>IF(BK97="","",IF(BL97&lt;'Rate &amp; Vol Update'!$C$2,MAX(0,BR97-BQ97)*(BN97/360)*BP97,(((IF('Adjustment Surface'!$C$2='Data Validation'!$A$2,BR97,IF('Adjustment Surface'!$C$2='Data Validation'!$A$3,BQ97,"Unknown Option Type"))-IF('Adjustment Surface'!$C$2='Data Validation'!$A$2,BQ97,IF('Adjustment Surface'!$C$2='Data Validation'!$A$3,BR97,"Unknown Option Type")))*(NORMDIST((IF('Adjustment Surface'!$C$2='Data Validation'!$A$2,BR97,IF('Adjustment Surface'!$C$2='Data Validation'!$A$3,BQ97,"Unknown Option Type"))-IF('Adjustment Surface'!$C$2='Data Validation'!$A$2,BQ97,IF('Adjustment Surface'!$C$2='Data Validation'!$A$3,BR97,"Unknown Option Type")))/(BS97*SQRT(BO97)),0,1,TRUE)))+((BS97*SQRT(BO97))*(NORMDIST((IF('Adjustment Surface'!$C$2='Data Validation'!$A$2,BR97,IF('Adjustment Surface'!$C$2='Data Validation'!$A$3,BQ97,"Unknown Option Type"))-IF('Adjustment Surface'!$C$2='Data Validation'!$A$2,BQ97,IF('Adjustment Surface'!$C$2='Data Validation'!$A$3,BR97,"Unknown Option Type")))/(BS97*SQRT(BO97)),0,1,FALSE))))*BT97*(BN97/360)*BP97))</f>
        <v/>
      </c>
      <c r="BW97" s="15" t="str">
        <f>IF(BK97="","",SUM(BV$4:BV97))</f>
        <v/>
      </c>
      <c r="BY97" s="15" t="str">
        <f>IF(BK97="","",IF(BL97&lt;'Rate &amp; Vol Update'!$C$2,0,((((((IF('Adjustment Surface'!$C$2='Data Validation'!$A$2,BR97,IF('Adjustment Surface'!$C$2='Data Validation'!$A$3,BQ97,"Unknown Option Type"))-IF('Adjustment Surface'!$C$2='Data Validation'!$A$2,BQ97,IF('Adjustment Surface'!$C$2='Data Validation'!$A$3,BR97,"Unknown Option Type")))*(NORMDIST((IF('Adjustment Surface'!$C$2='Data Validation'!$A$2,BR97,IF('Adjustment Surface'!$C$2='Data Validation'!$A$3,BQ97,"Unknown Option Type"))-IF('Adjustment Surface'!$C$2='Data Validation'!$A$2,BQ97,IF('Adjustment Surface'!$C$2='Data Validation'!$A$3,BR97,"Unknown Option Type")))/((BS97+0.01%)*SQRT(BO97)),0,1,TRUE)))+(((BS97+0.01%)*SQRT(BO97))*(NORMDIST((IF('Adjustment Surface'!$C$2='Data Validation'!$A$2,BR97,IF('Adjustment Surface'!$C$2='Data Validation'!$A$3,BQ97,"Unknown Option Type"))-IF('Adjustment Surface'!$C$2='Data Validation'!$A$2,BQ97,IF('Adjustment Surface'!$C$2='Data Validation'!$A$3,BR97,"Unknown Option Type")))/((BS97+0.01%)*SQRT(BO97)),0,1,FALSE))))*BT97*(BN97/360))-(BV97/BP97))*BP97)*BT97))</f>
        <v/>
      </c>
      <c r="BZ97" s="15" t="str">
        <f>IF(BK97="","",SUM(BY$4:BY97))</f>
        <v/>
      </c>
      <c r="CA97" s="15"/>
      <c r="CB97" s="20"/>
      <c r="CD97" s="4" t="str">
        <f>IF(CE96=MAX('Adjustment Surface'!$C$14:$F$14),"",CE96)</f>
        <v/>
      </c>
      <c r="CE97" s="4" t="str">
        <f>IF(CD97="","",IF(CD97&lt;EDATE('Adjustment Surface'!$C$6,DATEDIF('Adjustment Surface'!$C$6,MAX('Adjustment Surface'!$C$14:$F$14),"M")),EDATE(CD$5,COUNT(CD$5:CD97)),IF(CD97=EDATE('Adjustment Surface'!$C$6,DATEDIF('Adjustment Surface'!$C$6,MAX('Adjustment Surface'!$C$14:$F$14),"M")),MAX('Adjustment Surface'!$C$14:$F$14),EDATE('Adjustment Surface'!$C$6,DATEDIF('Adjustment Surface'!$C$6,MAX('Adjustment Surface'!$C$14:$F$14),"M")))))</f>
        <v/>
      </c>
      <c r="CF97" s="3" t="str">
        <f t="shared" si="10"/>
        <v/>
      </c>
      <c r="CG97" s="5" t="str">
        <f>IF(CC97="","",(CE97-'Rate &amp; Vol Update'!$C$2)/360)</f>
        <v/>
      </c>
      <c r="CH97" s="15" t="str">
        <f>IF(CC97="","",IF('Adjustment Surface'!$C$3='Data Validation'!$C$2,'Adjustment Surface'!$C$4,_xlfn.IFNA(IF(INDEX(Schedules!$E$3:$E$123,MATCH('Bachelier Model'!CD97,Schedules!$B$3:$B$123,0))="",CH96,INDEX(Schedules!$E$3:$E$123,MATCH('Bachelier Model'!CD97,Schedules!$B$3:$B$123,0))),CH96)))</f>
        <v/>
      </c>
      <c r="CI97" s="16" t="str">
        <f>IF(CC97="","",'Adjustment Surface'!B$18)</f>
        <v/>
      </c>
      <c r="CJ97" s="16" t="str" cm="1">
        <f t="array" ref="CJ97">IF(CC97="","",FORECAST(CD97,INDEX('Rate &amp; Vol Update'!$C$6:$C$127,MATCH(INDEX('Rate &amp; Vol Update'!$B$6:$B$127,MATCH(CD97,'Rate &amp; Vol Update'!$B$6:$B$127,1)),'Rate &amp; Vol Update'!$B$6:$B$127,0)+IF('Adjustment Surface'!$C$11='Data Validation'!$E$3,-1,0)):INDEX('Rate &amp; Vol Update'!$C$6:$C$127,MATCH(INDEX('Rate &amp; Vol Update'!$B$6:$B$127,MATCH(CD97,'Rate &amp; Vol Update'!$B$6:$B$127,1)+1),'Rate &amp; Vol Update'!$B$6:$B$127,0)+IF('Adjustment Surface'!$C$11='Data Validation'!$E$3,-1,0)),INDEX('Rate &amp; Vol Update'!$B$6:$B$127,MATCH(CD97,'Rate &amp; Vol Update'!$B$6:$B$127,1)):INDEX('Rate &amp; Vol Update'!$B$6:$B$127,MATCH(CD97,'Rate &amp; Vol Update'!$B$6:$B$127,1)+1))/100)</f>
        <v/>
      </c>
      <c r="CK97" s="16" t="str" cm="1">
        <f t="array" ref="CK97">IF(CC97="","",IF(CD97&lt;'Rate &amp; Vol Update'!$C$2,0.001%,(1/((INDEX('Rate &amp; Vol Update'!$E$6:$Z$6,1,MATCH(CI97,'Rate &amp; Vol Update'!$E$6:$Z$6,1)+1)-INDEX('Rate &amp; Vol Update'!$E$6:$Z$6,1,MATCH(CI97,'Rate &amp; Vol Update'!$E$6:$Z$6,1)))*(INDEX('Rate &amp; Vol Update'!$B$8:$B$127,MATCH(CD97,'Rate &amp; Vol Update'!$B$8:$B$127,1)+1)-INDEX('Rate &amp; Vol Update'!$B$8:$B$127,MATCH(CD97,'Rate &amp; Vol Update'!$B$8:$B$127,1))))*(INDEX('Rate &amp; Vol Update'!$E$8:$Z$127,MATCH(INDEX('Rate &amp; Vol Update'!$B$8:$B$127,MATCH(CD97,'Rate &amp; Vol Update'!$B$8:$B$127,1)),'Rate &amp; Vol Update'!$B$8:$B$127,0),MATCH(INDEX('Rate &amp; Vol Update'!$E$6:$Z$6,1,MATCH(CI97,'Rate &amp; Vol Update'!$E$6:$Z$6,1)),'Rate &amp; Vol Update'!$E$6:$Z$6,0))*(INDEX('Rate &amp; Vol Update'!$E$6:$Z$6,1,MATCH(CI97,'Rate &amp; Vol Update'!$E$6:$Z$6,1)+1)-CI97)*(INDEX('Rate &amp; Vol Update'!$B$8:$B$127,MATCH(CD97,'Rate &amp; Vol Update'!$B$8:$B$127,1)+1)-CD97)+INDEX('Rate &amp; Vol Update'!$E$8:$Z$127,MATCH(INDEX('Rate &amp; Vol Update'!$B$8:$B$127,MATCH(CD97,'Rate &amp; Vol Update'!$B$8:$B$127,1)),'Rate &amp; Vol Update'!$B$8:$B$127,0),MATCH(INDEX('Rate &amp; Vol Update'!$E$6:$Z$6,1,MATCH(CI97,'Rate &amp; Vol Update'!$E$6:$Z$6,1)+1),'Rate &amp; Vol Update'!$E$6:$Z$6,0))*(CI97-INDEX('Rate &amp; Vol Update'!$E$6:$Z$6,1,MATCH(CI97,'Rate &amp; Vol Update'!$E$6:$Z$6,1)))*(INDEX('Rate &amp; Vol Update'!$B$8:$B$127,MATCH(CD97,'Rate &amp; Vol Update'!$B$8:$B$127,1)+1)-CD97)+INDEX('Rate &amp; Vol Update'!$E$8:$Z$127,MATCH(INDEX('Rate &amp; Vol Update'!$B$8:$B$127,MATCH(CD97,'Rate &amp; Vol Update'!$B$8:$B$127,1)+1),'Rate &amp; Vol Update'!$B$8:$B$127,0),MATCH(INDEX('Rate &amp; Vol Update'!$E$6:$Z$6,1,MATCH(CI97,'Rate &amp; Vol Update'!$E$6:$Z$6,1)),'Rate &amp; Vol Update'!$E$6:$Z$6,0))*(INDEX('Rate &amp; Vol Update'!$E$6:$Z$6,1,MATCH(CI97,'Rate &amp; Vol Update'!$E$6:$Z$6,1)+1)-CI97)*(CD97-INDEX('Rate &amp; Vol Update'!$B$8:$B$127,MATCH(CD97,'Rate &amp; Vol Update'!$B$8:$B$127,1)))+INDEX('Rate &amp; Vol Update'!$E$8:$Z$127,MATCH(INDEX('Rate &amp; Vol Update'!$B$8:$B$127,MATCH(CD97,'Rate &amp; Vol Update'!$B$8:$B$127,1)+1),'Rate &amp; Vol Update'!$B$8:$B$127,0),MATCH(INDEX('Rate &amp; Vol Update'!$E$6:$Z$6,1,MATCH(CI97,'Rate &amp; Vol Update'!$E$6:$Z$6,1)+1),'Rate &amp; Vol Update'!$E$6:$Z$6,0))*(CI97-INDEX('Rate &amp; Vol Update'!$E$6:$Z$6,1,MATCH(CI97,'Rate &amp; Vol Update'!$E$6:$Z$6,1)))*(CD97-INDEX('Rate &amp; Vol Update'!$B$8:$B$127,MATCH(CD97,'Rate &amp; Vol Update'!$B$8:$B$127,1)))))*0.01%))</f>
        <v/>
      </c>
      <c r="CL97" s="5" t="str">
        <f>IF(CC97="","",1/((1+CJ97)^((CE97-'Rate &amp; Vol Update'!$C$2)/360)))</f>
        <v/>
      </c>
      <c r="CN97" s="15" t="str">
        <f>IF(CC97="","",IF(CD97&lt;'Rate &amp; Vol Update'!$C$2,MAX(0,CJ97-CI97)*(CF97/360)*CH97,(((IF('Adjustment Surface'!$C$2='Data Validation'!$A$2,CJ97,IF('Adjustment Surface'!$C$2='Data Validation'!$A$3,CI97,"Unknown Option Type"))-IF('Adjustment Surface'!$C$2='Data Validation'!$A$2,CI97,IF('Adjustment Surface'!$C$2='Data Validation'!$A$3,CJ97,"Unknown Option Type")))*(NORMDIST((IF('Adjustment Surface'!$C$2='Data Validation'!$A$2,CJ97,IF('Adjustment Surface'!$C$2='Data Validation'!$A$3,CI97,"Unknown Option Type"))-IF('Adjustment Surface'!$C$2='Data Validation'!$A$2,CI97,IF('Adjustment Surface'!$C$2='Data Validation'!$A$3,CJ97,"Unknown Option Type")))/(CK97*SQRT(CG97)),0,1,TRUE)))+((CK97*SQRT(CG97))*(NORMDIST((IF('Adjustment Surface'!$C$2='Data Validation'!$A$2,CJ97,IF('Adjustment Surface'!$C$2='Data Validation'!$A$3,CI97,"Unknown Option Type"))-IF('Adjustment Surface'!$C$2='Data Validation'!$A$2,CI97,IF('Adjustment Surface'!$C$2='Data Validation'!$A$3,CJ97,"Unknown Option Type")))/(CK97*SQRT(CG97)),0,1,FALSE))))*CL97*(CF97/360)*CH97))</f>
        <v/>
      </c>
      <c r="CO97" s="15" t="str">
        <f>IF(CC97="","",SUM(CN$4:CN97))</f>
        <v/>
      </c>
      <c r="CQ97" s="15" t="str">
        <f>IF(CC97="","",IF(CD97&lt;'Rate &amp; Vol Update'!$C$2,0,((((((IF('Adjustment Surface'!$C$2='Data Validation'!$A$2,CJ97,IF('Adjustment Surface'!$C$2='Data Validation'!$A$3,CI97,"Unknown Option Type"))-IF('Adjustment Surface'!$C$2='Data Validation'!$A$2,CI97,IF('Adjustment Surface'!$C$2='Data Validation'!$A$3,CJ97,"Unknown Option Type")))*(NORMDIST((IF('Adjustment Surface'!$C$2='Data Validation'!$A$2,CJ97,IF('Adjustment Surface'!$C$2='Data Validation'!$A$3,CI97,"Unknown Option Type"))-IF('Adjustment Surface'!$C$2='Data Validation'!$A$2,CI97,IF('Adjustment Surface'!$C$2='Data Validation'!$A$3,CJ97,"Unknown Option Type")))/((CK97+0.01%)*SQRT(CG97)),0,1,TRUE)))+(((CK97+0.01%)*SQRT(CG97))*(NORMDIST((IF('Adjustment Surface'!$C$2='Data Validation'!$A$2,CJ97,IF('Adjustment Surface'!$C$2='Data Validation'!$A$3,CI97,"Unknown Option Type"))-IF('Adjustment Surface'!$C$2='Data Validation'!$A$2,CI97,IF('Adjustment Surface'!$C$2='Data Validation'!$A$3,CJ97,"Unknown Option Type")))/((CK97+0.01%)*SQRT(CG97)),0,1,FALSE))))*CL97*(CF97/360))-(CN97/CH97))*CH97)*CL97))</f>
        <v/>
      </c>
      <c r="CR97" s="15" t="str">
        <f>IF(CC97="","",SUM(CQ$4:CQ97))</f>
        <v/>
      </c>
    </row>
    <row r="98" spans="7:96" x14ac:dyDescent="0.25">
      <c r="G98" s="28"/>
      <c r="J98" s="4" t="str">
        <f>IF(K97='Adjustment Surface'!C$8,"",K97)</f>
        <v/>
      </c>
      <c r="K98" s="4" t="str">
        <f>IF(J98="","",IF(J98&lt;'Adjustment Surface'!C$7,EDATE(J$5,COUNT(J$5:J98)),IF(J98='Adjustment Surface'!C$7,'Adjustment Surface'!C$8,'Adjustment Surface'!C$7)))</f>
        <v/>
      </c>
      <c r="L98" s="3" t="str">
        <f t="shared" si="6"/>
        <v/>
      </c>
      <c r="M98" s="5" t="str">
        <f>IF(I98="","",(K98-'Rate &amp; Vol Update'!$C$2)/360)</f>
        <v/>
      </c>
      <c r="N98" s="15" t="str">
        <f>IF(I98="","",IF('Adjustment Surface'!C$3='Data Validation'!$C$2,'Adjustment Surface'!C$4,IF(INDEX(Schedules!$E$3:$E$123,MATCH('Bachelier Model'!J98,Schedules!$B$3:$B$123,0))="",N97,INDEX(Schedules!$E$3:$E$123,MATCH('Bachelier Model'!J98,Schedules!$B$3:$B$123,0)))))</f>
        <v/>
      </c>
      <c r="O98" s="16" t="str">
        <f>IF(I98="","",IF('Adjustment Surface'!C$9='Data Validation'!$D$2,'Adjustment Surface'!C$10,IF(INDEX(Schedules!$H$3:$H$123,MATCH('Bachelier Model'!J98,Schedules!$B$3:$B$123,0))="",O97,INDEX(Schedules!$H$3:$H$123,MATCH('Bachelier Model'!J98,Schedules!$B$3:$B$123,0)))))</f>
        <v/>
      </c>
      <c r="P98" s="16" t="str" cm="1">
        <f t="array" ref="P98">IF(I98="","",FORECAST(J98,INDEX('Rate &amp; Vol Update'!$C$6:$C$127,MATCH(INDEX('Rate &amp; Vol Update'!$B$6:$B$127,MATCH(J98,'Rate &amp; Vol Update'!$B$6:$B$127,1)),'Rate &amp; Vol Update'!$B$6:$B$127,0)+IF('Adjustment Surface'!C$11='Data Validation'!$E$3,-1,0)):INDEX('Rate &amp; Vol Update'!$C$6:$C$127,MATCH(INDEX('Rate &amp; Vol Update'!$B$6:$B$127,MATCH(J98,'Rate &amp; Vol Update'!$B$6:$B$127,1)+1),'Rate &amp; Vol Update'!$B$6:$B$127,0)+IF('Adjustment Surface'!C$11='Data Validation'!$E$3,-1,0)),INDEX('Rate &amp; Vol Update'!$B$6:$B$127,MATCH(J98,'Rate &amp; Vol Update'!$B$6:$B$127,1)):INDEX('Rate &amp; Vol Update'!$B$6:$B$127,MATCH(J98,'Rate &amp; Vol Update'!$B$6:$B$127,1)+1))/100)</f>
        <v/>
      </c>
      <c r="Q98" s="16" t="str" cm="1">
        <f t="array" ref="Q98">IF(I98="","",IF(J98&lt;'Rate &amp; Vol Update'!$C$2,0.001%,(1/((INDEX('Rate &amp; Vol Update'!$E$6:$Z$6,1,MATCH(O98,'Rate &amp; Vol Update'!$E$6:$Z$6,1)+1)-INDEX('Rate &amp; Vol Update'!$E$6:$Z$6,1,MATCH(O98,'Rate &amp; Vol Update'!$E$6:$Z$6,1)))*(INDEX('Rate &amp; Vol Update'!$B$8:$B$127,MATCH(J98,'Rate &amp; Vol Update'!$B$8:$B$127,1)+1)-INDEX('Rate &amp; Vol Update'!$B$8:$B$127,MATCH(J98,'Rate &amp; Vol Update'!$B$8:$B$127,1))))*(INDEX('Rate &amp; Vol Update'!$E$8:$Z$127,MATCH(INDEX('Rate &amp; Vol Update'!$B$8:$B$127,MATCH(J98,'Rate &amp; Vol Update'!$B$8:$B$127,1)),'Rate &amp; Vol Update'!$B$8:$B$127,0),MATCH(INDEX('Rate &amp; Vol Update'!$E$6:$Z$6,1,MATCH(O98,'Rate &amp; Vol Update'!$E$6:$Z$6,1)),'Rate &amp; Vol Update'!$E$6:$Z$6,0))*(INDEX('Rate &amp; Vol Update'!$E$6:$Z$6,1,MATCH(O98,'Rate &amp; Vol Update'!$E$6:$Z$6,1)+1)-O98)*(INDEX('Rate &amp; Vol Update'!$B$8:$B$127,MATCH(J98,'Rate &amp; Vol Update'!$B$8:$B$127,1)+1)-J98)+INDEX('Rate &amp; Vol Update'!$E$8:$Z$127,MATCH(INDEX('Rate &amp; Vol Update'!$B$8:$B$127,MATCH(J98,'Rate &amp; Vol Update'!$B$8:$B$127,1)),'Rate &amp; Vol Update'!$B$8:$B$127,0),MATCH(INDEX('Rate &amp; Vol Update'!$E$6:$Z$6,1,MATCH(O98,'Rate &amp; Vol Update'!$E$6:$Z$6,1)+1),'Rate &amp; Vol Update'!$E$6:$Z$6,0))*(O98-INDEX('Rate &amp; Vol Update'!$E$6:$Z$6,1,MATCH(O98,'Rate &amp; Vol Update'!$E$6:$Z$6,1)))*(INDEX('Rate &amp; Vol Update'!$B$8:$B$127,MATCH(J98,'Rate &amp; Vol Update'!$B$8:$B$127,1)+1)-J98)+INDEX('Rate &amp; Vol Update'!$E$8:$Z$127,MATCH(INDEX('Rate &amp; Vol Update'!$B$8:$B$127,MATCH(J98,'Rate &amp; Vol Update'!$B$8:$B$127,1)+1),'Rate &amp; Vol Update'!$B$8:$B$127,0),MATCH(INDEX('Rate &amp; Vol Update'!$E$6:$Z$6,1,MATCH(O98,'Rate &amp; Vol Update'!$E$6:$Z$6,1)),'Rate &amp; Vol Update'!$E$6:$Z$6,0))*(INDEX('Rate &amp; Vol Update'!$E$6:$Z$6,1,MATCH(O98,'Rate &amp; Vol Update'!$E$6:$Z$6,1)+1)-O98)*(J98-INDEX('Rate &amp; Vol Update'!$B$8:$B$127,MATCH(J98,'Rate &amp; Vol Update'!$B$8:$B$127,1)))+INDEX('Rate &amp; Vol Update'!$E$8:$Z$127,MATCH(INDEX('Rate &amp; Vol Update'!$B$8:$B$127,MATCH(J98,'Rate &amp; Vol Update'!$B$8:$B$127,1)+1),'Rate &amp; Vol Update'!$B$8:$B$127,0),MATCH(INDEX('Rate &amp; Vol Update'!$E$6:$Z$6,1,MATCH(O98,'Rate &amp; Vol Update'!$E$6:$Z$6,1)+1),'Rate &amp; Vol Update'!$E$6:$Z$6,0))*(O98-INDEX('Rate &amp; Vol Update'!$E$6:$Z$6,1,MATCH(O98,'Rate &amp; Vol Update'!$E$6:$Z$6,1)))*(J98-INDEX('Rate &amp; Vol Update'!$B$8:$B$127,MATCH(J98,'Rate &amp; Vol Update'!$B$8:$B$127,1)))))*0.01%))</f>
        <v/>
      </c>
      <c r="R98" s="5" t="str">
        <f>IF(I98="","",1/((1+P98)^((K98-'Rate &amp; Vol Update'!$C$2)/360)))</f>
        <v/>
      </c>
      <c r="T98" s="15" t="str">
        <f>IF(I98="","",IF(J98&lt;'Rate &amp; Vol Update'!$C$2,MAX(0,P98-O98)*(L98/360)*N98,(((IF('Adjustment Surface'!C$2='Data Validation'!$A$2,P98,IF('Adjustment Surface'!C$2='Data Validation'!$A$3,O98,"Unknown Option Type"))-IF('Adjustment Surface'!C$2='Data Validation'!$A$2,O98,IF('Adjustment Surface'!C$2='Data Validation'!$A$3,P98,"Unknown Option Type")))*(NORMDIST((IF('Adjustment Surface'!C$2='Data Validation'!$A$2,P98,IF('Adjustment Surface'!C$2='Data Validation'!$A$3,O98,"Unknown Option Type"))-IF('Adjustment Surface'!C$2='Data Validation'!$A$2,O98,IF('Adjustment Surface'!C$2='Data Validation'!$A$3,P98,"Unknown Option Type")))/(Q98*SQRT(M98)),0,1,TRUE)))+((Q98*SQRT(M98))*(NORMDIST((IF('Adjustment Surface'!C$2='Data Validation'!$A$2,P98,IF('Adjustment Surface'!C$2='Data Validation'!$A$3,O98,"Unknown Option Type"))-IF('Adjustment Surface'!C$2='Data Validation'!$A$2,O98,IF('Adjustment Surface'!C$2='Data Validation'!$A$3,P98,"Unknown Option Type")))/(Q98*SQRT(M98)),0,1,FALSE))))*R98*(L98/360)*N98))</f>
        <v/>
      </c>
      <c r="U98" s="15" t="str">
        <f>IF(I98="","",SUM(T$4:T98))</f>
        <v/>
      </c>
      <c r="W98" s="15" t="str">
        <f>IF(I98="","",IF(J98&lt;'Rate &amp; Vol Update'!$C$2,0,((((((IF('Adjustment Surface'!C$2='Data Validation'!$A$2,P98,IF('Adjustment Surface'!C$2='Data Validation'!$A$3,O98,"Unknown Option Type"))-IF('Adjustment Surface'!C$2='Data Validation'!$A$2,O98,IF('Adjustment Surface'!C$2='Data Validation'!$A$3,P98,"Unknown Option Type")))*(NORMDIST((IF('Adjustment Surface'!C$2='Data Validation'!$A$2,P98,IF('Adjustment Surface'!C$2='Data Validation'!$A$3,O98,"Unknown Option Type"))-IF('Adjustment Surface'!C$2='Data Validation'!$A$2,O98,IF('Adjustment Surface'!C$2='Data Validation'!$A$3,P98,"Unknown Option Type")))/((Q98+0.01%)*SQRT(M98)),0,1,TRUE)))+(((Q98+0.01%)*SQRT(M98))*(NORMDIST((IF('Adjustment Surface'!C$2='Data Validation'!$A$2,P98,IF('Adjustment Surface'!C$2='Data Validation'!$A$3,O98,"Unknown Option Type"))-IF('Adjustment Surface'!C$2='Data Validation'!$A$2,O98,IF('Adjustment Surface'!C$2='Data Validation'!$A$3,P98,"Unknown Option Type")))/((Q98+0.01%)*SQRT(M98)),0,1,FALSE))))*R98*(L98/360))-(T98/N98))*N98)*R98))</f>
        <v/>
      </c>
      <c r="X98" s="15" t="str">
        <f>IF(I98="","",SUM(W$4:W98))</f>
        <v/>
      </c>
      <c r="Y98" s="15"/>
      <c r="Z98" s="20"/>
      <c r="AB98" s="4" t="str">
        <f>IF(AC97=MAX('Adjustment Surface'!$C$14:$F$14),"",AC97)</f>
        <v/>
      </c>
      <c r="AC98" s="4" t="str">
        <f>IF(AB98="","",IF(AB98&lt;EDATE('Adjustment Surface'!$C$6,DATEDIF('Adjustment Surface'!$C$6,MAX('Adjustment Surface'!$C$14:$F$14),"M")),EDATE(AB$5,COUNT(AB$5:AB98)),IF(AB98=EDATE('Adjustment Surface'!$C$6,DATEDIF('Adjustment Surface'!$C$6,MAX('Adjustment Surface'!$C$14:$F$14),"M")),MAX('Adjustment Surface'!$C$14:$F$14),EDATE('Adjustment Surface'!$C$6,DATEDIF('Adjustment Surface'!$C$6,MAX('Adjustment Surface'!$C$14:$F$14),"M")))))</f>
        <v/>
      </c>
      <c r="AD98" s="3" t="str">
        <f t="shared" si="7"/>
        <v/>
      </c>
      <c r="AE98" s="5" t="str">
        <f>IF(AA98="","",(AC98-'Rate &amp; Vol Update'!$C$2)/360)</f>
        <v/>
      </c>
      <c r="AF98" s="15" t="str">
        <f>IF(AA98="","",IF('Adjustment Surface'!$C$3='Data Validation'!$C$2,'Adjustment Surface'!$C$4,_xlfn.IFNA(IF(INDEX(Schedules!$E$3:$E$123,MATCH('Bachelier Model'!AB98,Schedules!$B$3:$B$123,0))="",AF97,INDEX(Schedules!$E$3:$E$123,MATCH('Bachelier Model'!AB98,Schedules!$B$3:$B$123,0))),AF97)))</f>
        <v/>
      </c>
      <c r="AG98" s="16" t="str">
        <f>IF(AA98="","",'Adjustment Surface'!B$15)</f>
        <v/>
      </c>
      <c r="AH98" s="16" t="str" cm="1">
        <f t="array" ref="AH98">IF(AA98="","",FORECAST(AB98,INDEX('Rate &amp; Vol Update'!$C$6:$C$127,MATCH(INDEX('Rate &amp; Vol Update'!$B$6:$B$127,MATCH(AB98,'Rate &amp; Vol Update'!$B$6:$B$127,1)),'Rate &amp; Vol Update'!$B$6:$B$127,0)+IF('Adjustment Surface'!$C$11='Data Validation'!$E$3,-1,0)):INDEX('Rate &amp; Vol Update'!$C$6:$C$127,MATCH(INDEX('Rate &amp; Vol Update'!$B$6:$B$127,MATCH(AB98,'Rate &amp; Vol Update'!$B$6:$B$127,1)+1),'Rate &amp; Vol Update'!$B$6:$B$127,0)+IF('Adjustment Surface'!$C$11='Data Validation'!$E$3,-1,0)),INDEX('Rate &amp; Vol Update'!$B$6:$B$127,MATCH(AB98,'Rate &amp; Vol Update'!$B$6:$B$127,1)):INDEX('Rate &amp; Vol Update'!$B$6:$B$127,MATCH(AB98,'Rate &amp; Vol Update'!$B$6:$B$127,1)+1))/100)</f>
        <v/>
      </c>
      <c r="AI98" s="16" t="str" cm="1">
        <f t="array" ref="AI98">IF(AA98="","",IF(AB98&lt;'Rate &amp; Vol Update'!$C$2,0.001%,(1/((INDEX('Rate &amp; Vol Update'!$E$6:$Z$6,1,MATCH(AG98,'Rate &amp; Vol Update'!$E$6:$Z$6,1)+1)-INDEX('Rate &amp; Vol Update'!$E$6:$Z$6,1,MATCH(AG98,'Rate &amp; Vol Update'!$E$6:$Z$6,1)))*(INDEX('Rate &amp; Vol Update'!$B$8:$B$127,MATCH(AB98,'Rate &amp; Vol Update'!$B$8:$B$127,1)+1)-INDEX('Rate &amp; Vol Update'!$B$8:$B$127,MATCH(AB98,'Rate &amp; Vol Update'!$B$8:$B$127,1))))*(INDEX('Rate &amp; Vol Update'!$E$8:$Z$127,MATCH(INDEX('Rate &amp; Vol Update'!$B$8:$B$127,MATCH(AB98,'Rate &amp; Vol Update'!$B$8:$B$127,1)),'Rate &amp; Vol Update'!$B$8:$B$127,0),MATCH(INDEX('Rate &amp; Vol Update'!$E$6:$Z$6,1,MATCH(AG98,'Rate &amp; Vol Update'!$E$6:$Z$6,1)),'Rate &amp; Vol Update'!$E$6:$Z$6,0))*(INDEX('Rate &amp; Vol Update'!$E$6:$Z$6,1,MATCH(AG98,'Rate &amp; Vol Update'!$E$6:$Z$6,1)+1)-AG98)*(INDEX('Rate &amp; Vol Update'!$B$8:$B$127,MATCH(AB98,'Rate &amp; Vol Update'!$B$8:$B$127,1)+1)-AB98)+INDEX('Rate &amp; Vol Update'!$E$8:$Z$127,MATCH(INDEX('Rate &amp; Vol Update'!$B$8:$B$127,MATCH(AB98,'Rate &amp; Vol Update'!$B$8:$B$127,1)),'Rate &amp; Vol Update'!$B$8:$B$127,0),MATCH(INDEX('Rate &amp; Vol Update'!$E$6:$Z$6,1,MATCH(AG98,'Rate &amp; Vol Update'!$E$6:$Z$6,1)+1),'Rate &amp; Vol Update'!$E$6:$Z$6,0))*(AG98-INDEX('Rate &amp; Vol Update'!$E$6:$Z$6,1,MATCH(AG98,'Rate &amp; Vol Update'!$E$6:$Z$6,1)))*(INDEX('Rate &amp; Vol Update'!$B$8:$B$127,MATCH(AB98,'Rate &amp; Vol Update'!$B$8:$B$127,1)+1)-AB98)+INDEX('Rate &amp; Vol Update'!$E$8:$Z$127,MATCH(INDEX('Rate &amp; Vol Update'!$B$8:$B$127,MATCH(AB98,'Rate &amp; Vol Update'!$B$8:$B$127,1)+1),'Rate &amp; Vol Update'!$B$8:$B$127,0),MATCH(INDEX('Rate &amp; Vol Update'!$E$6:$Z$6,1,MATCH(AG98,'Rate &amp; Vol Update'!$E$6:$Z$6,1)),'Rate &amp; Vol Update'!$E$6:$Z$6,0))*(INDEX('Rate &amp; Vol Update'!$E$6:$Z$6,1,MATCH(AG98,'Rate &amp; Vol Update'!$E$6:$Z$6,1)+1)-AG98)*(AB98-INDEX('Rate &amp; Vol Update'!$B$8:$B$127,MATCH(AB98,'Rate &amp; Vol Update'!$B$8:$B$127,1)))+INDEX('Rate &amp; Vol Update'!$E$8:$Z$127,MATCH(INDEX('Rate &amp; Vol Update'!$B$8:$B$127,MATCH(AB98,'Rate &amp; Vol Update'!$B$8:$B$127,1)+1),'Rate &amp; Vol Update'!$B$8:$B$127,0),MATCH(INDEX('Rate &amp; Vol Update'!$E$6:$Z$6,1,MATCH(AG98,'Rate &amp; Vol Update'!$E$6:$Z$6,1)+1),'Rate &amp; Vol Update'!$E$6:$Z$6,0))*(AG98-INDEX('Rate &amp; Vol Update'!$E$6:$Z$6,1,MATCH(AG98,'Rate &amp; Vol Update'!$E$6:$Z$6,1)))*(AB98-INDEX('Rate &amp; Vol Update'!$B$8:$B$127,MATCH(AB98,'Rate &amp; Vol Update'!$B$8:$B$127,1)))))*0.01%))</f>
        <v/>
      </c>
      <c r="AJ98" s="5" t="str">
        <f>IF(AA98="","",1/((1+AH98)^((AC98-'Rate &amp; Vol Update'!$C$2)/360)))</f>
        <v/>
      </c>
      <c r="AL98" s="15" t="str">
        <f>IF(AA98="","",IF(AB98&lt;'Rate &amp; Vol Update'!$C$2,MAX(0,AH98-AG98)*(AD98/360)*AF98,(((IF('Adjustment Surface'!$C$2='Data Validation'!$A$2,AH98,IF('Adjustment Surface'!$C$2='Data Validation'!$A$3,AG98,"Unknown Option Type"))-IF('Adjustment Surface'!$C$2='Data Validation'!$A$2,AG98,IF('Adjustment Surface'!$C$2='Data Validation'!$A$3,AH98,"Unknown Option Type")))*(NORMDIST((IF('Adjustment Surface'!$C$2='Data Validation'!$A$2,AH98,IF('Adjustment Surface'!$C$2='Data Validation'!$A$3,AG98,"Unknown Option Type"))-IF('Adjustment Surface'!$C$2='Data Validation'!$A$2,AG98,IF('Adjustment Surface'!$C$2='Data Validation'!$A$3,AH98,"Unknown Option Type")))/(AI98*SQRT(AE98)),0,1,TRUE)))+((AI98*SQRT(AE98))*(NORMDIST((IF('Adjustment Surface'!$C$2='Data Validation'!$A$2,AH98,IF('Adjustment Surface'!$C$2='Data Validation'!$A$3,AG98,"Unknown Option Type"))-IF('Adjustment Surface'!$C$2='Data Validation'!$A$2,AG98,IF('Adjustment Surface'!$C$2='Data Validation'!$A$3,AH98,"Unknown Option Type")))/(AI98*SQRT(AE98)),0,1,FALSE))))*AJ98*(AD98/360)*AF98))</f>
        <v/>
      </c>
      <c r="AM98" s="15" t="str">
        <f>IF(AA98="","",SUM(AL$4:AL98))</f>
        <v/>
      </c>
      <c r="AO98" s="15" t="str">
        <f>IF(AA98="","",IF(AB98&lt;'Rate &amp; Vol Update'!$C$2,0,((((((IF('Adjustment Surface'!$C$2='Data Validation'!$A$2,AH98,IF('Adjustment Surface'!$C$2='Data Validation'!$A$3,AG98,"Unknown Option Type"))-IF('Adjustment Surface'!$C$2='Data Validation'!$A$2,AG98,IF('Adjustment Surface'!$C$2='Data Validation'!$A$3,AH98,"Unknown Option Type")))*(NORMDIST((IF('Adjustment Surface'!$C$2='Data Validation'!$A$2,AH98,IF('Adjustment Surface'!$C$2='Data Validation'!$A$3,AG98,"Unknown Option Type"))-IF('Adjustment Surface'!$C$2='Data Validation'!$A$2,AG98,IF('Adjustment Surface'!$C$2='Data Validation'!$A$3,AH98,"Unknown Option Type")))/((AI98+0.01%)*SQRT(AE98)),0,1,TRUE)))+(((AI98+0.01%)*SQRT(AE98))*(NORMDIST((IF('Adjustment Surface'!$C$2='Data Validation'!$A$2,AH98,IF('Adjustment Surface'!$C$2='Data Validation'!$A$3,AG98,"Unknown Option Type"))-IF('Adjustment Surface'!$C$2='Data Validation'!$A$2,AG98,IF('Adjustment Surface'!$C$2='Data Validation'!$A$3,AH98,"Unknown Option Type")))/((AI98+0.01%)*SQRT(AE98)),0,1,FALSE))))*AJ98*(AD98/360))-(AL98/AF98))*AF98)*AJ98))</f>
        <v/>
      </c>
      <c r="AP98" s="15" t="str">
        <f>IF(AA98="","",SUM(AO$4:AO98))</f>
        <v/>
      </c>
      <c r="AQ98" s="15"/>
      <c r="AR98" s="20"/>
      <c r="AT98" s="4" t="str">
        <f>IF(AU97=MAX('Adjustment Surface'!$C$14:$F$14),"",AU97)</f>
        <v/>
      </c>
      <c r="AU98" s="4" t="str">
        <f>IF(AT98="","",IF(AT98&lt;EDATE('Adjustment Surface'!$C$6,DATEDIF('Adjustment Surface'!$C$6,MAX('Adjustment Surface'!$C$14:$F$14),"M")),EDATE(AT$5,COUNT(AT$5:AT98)),IF(AT98=EDATE('Adjustment Surface'!$C$6,DATEDIF('Adjustment Surface'!$C$6,MAX('Adjustment Surface'!$C$14:$F$14),"M")),MAX('Adjustment Surface'!$C$14:$F$14),EDATE('Adjustment Surface'!$C$6,DATEDIF('Adjustment Surface'!$C$6,MAX('Adjustment Surface'!$C$14:$F$14),"M")))))</f>
        <v/>
      </c>
      <c r="AV98" s="3" t="str">
        <f t="shared" si="8"/>
        <v/>
      </c>
      <c r="AW98" s="5" t="str">
        <f>IF(AS98="","",(AU98-'Rate &amp; Vol Update'!$C$2)/360)</f>
        <v/>
      </c>
      <c r="AX98" s="15" t="str">
        <f>IF(AS98="","",IF('Adjustment Surface'!$C$3='Data Validation'!$C$2,'Adjustment Surface'!$C$4,_xlfn.IFNA(IF(INDEX(Schedules!$E$3:$E$123,MATCH('Bachelier Model'!AT98,Schedules!$B$3:$B$123,0))="",AX97,INDEX(Schedules!$E$3:$E$123,MATCH('Bachelier Model'!AT98,Schedules!$B$3:$B$123,0))),AX97)))</f>
        <v/>
      </c>
      <c r="AY98" s="16" t="str">
        <f>IF(AS98="","",'Adjustment Surface'!B$16)</f>
        <v/>
      </c>
      <c r="AZ98" s="16" t="str" cm="1">
        <f t="array" ref="AZ98">IF(AS98="","",FORECAST(AT98,INDEX('Rate &amp; Vol Update'!$C$6:$C$127,MATCH(INDEX('Rate &amp; Vol Update'!$B$6:$B$127,MATCH(AT98,'Rate &amp; Vol Update'!$B$6:$B$127,1)),'Rate &amp; Vol Update'!$B$6:$B$127,0)+IF('Adjustment Surface'!$C$11='Data Validation'!$E$3,-1,0)):INDEX('Rate &amp; Vol Update'!$C$6:$C$127,MATCH(INDEX('Rate &amp; Vol Update'!$B$6:$B$127,MATCH(AT98,'Rate &amp; Vol Update'!$B$6:$B$127,1)+1),'Rate &amp; Vol Update'!$B$6:$B$127,0)+IF('Adjustment Surface'!$C$11='Data Validation'!$E$3,-1,0)),INDEX('Rate &amp; Vol Update'!$B$6:$B$127,MATCH(AT98,'Rate &amp; Vol Update'!$B$6:$B$127,1)):INDEX('Rate &amp; Vol Update'!$B$6:$B$127,MATCH(AT98,'Rate &amp; Vol Update'!$B$6:$B$127,1)+1))/100)</f>
        <v/>
      </c>
      <c r="BA98" s="16" t="str" cm="1">
        <f t="array" ref="BA98">IF(AS98="","",IF(AT98&lt;'Rate &amp; Vol Update'!$C$2,0.001%,(1/((INDEX('Rate &amp; Vol Update'!$E$6:$Z$6,1,MATCH(AY98,'Rate &amp; Vol Update'!$E$6:$Z$6,1)+1)-INDEX('Rate &amp; Vol Update'!$E$6:$Z$6,1,MATCH(AY98,'Rate &amp; Vol Update'!$E$6:$Z$6,1)))*(INDEX('Rate &amp; Vol Update'!$B$8:$B$127,MATCH(AT98,'Rate &amp; Vol Update'!$B$8:$B$127,1)+1)-INDEX('Rate &amp; Vol Update'!$B$8:$B$127,MATCH(AT98,'Rate &amp; Vol Update'!$B$8:$B$127,1))))*(INDEX('Rate &amp; Vol Update'!$E$8:$Z$127,MATCH(INDEX('Rate &amp; Vol Update'!$B$8:$B$127,MATCH(AT98,'Rate &amp; Vol Update'!$B$8:$B$127,1)),'Rate &amp; Vol Update'!$B$8:$B$127,0),MATCH(INDEX('Rate &amp; Vol Update'!$E$6:$Z$6,1,MATCH(AY98,'Rate &amp; Vol Update'!$E$6:$Z$6,1)),'Rate &amp; Vol Update'!$E$6:$Z$6,0))*(INDEX('Rate &amp; Vol Update'!$E$6:$Z$6,1,MATCH(AY98,'Rate &amp; Vol Update'!$E$6:$Z$6,1)+1)-AY98)*(INDEX('Rate &amp; Vol Update'!$B$8:$B$127,MATCH(AT98,'Rate &amp; Vol Update'!$B$8:$B$127,1)+1)-AT98)+INDEX('Rate &amp; Vol Update'!$E$8:$Z$127,MATCH(INDEX('Rate &amp; Vol Update'!$B$8:$B$127,MATCH(AT98,'Rate &amp; Vol Update'!$B$8:$B$127,1)),'Rate &amp; Vol Update'!$B$8:$B$127,0),MATCH(INDEX('Rate &amp; Vol Update'!$E$6:$Z$6,1,MATCH(AY98,'Rate &amp; Vol Update'!$E$6:$Z$6,1)+1),'Rate &amp; Vol Update'!$E$6:$Z$6,0))*(AY98-INDEX('Rate &amp; Vol Update'!$E$6:$Z$6,1,MATCH(AY98,'Rate &amp; Vol Update'!$E$6:$Z$6,1)))*(INDEX('Rate &amp; Vol Update'!$B$8:$B$127,MATCH(AT98,'Rate &amp; Vol Update'!$B$8:$B$127,1)+1)-AT98)+INDEX('Rate &amp; Vol Update'!$E$8:$Z$127,MATCH(INDEX('Rate &amp; Vol Update'!$B$8:$B$127,MATCH(AT98,'Rate &amp; Vol Update'!$B$8:$B$127,1)+1),'Rate &amp; Vol Update'!$B$8:$B$127,0),MATCH(INDEX('Rate &amp; Vol Update'!$E$6:$Z$6,1,MATCH(AY98,'Rate &amp; Vol Update'!$E$6:$Z$6,1)),'Rate &amp; Vol Update'!$E$6:$Z$6,0))*(INDEX('Rate &amp; Vol Update'!$E$6:$Z$6,1,MATCH(AY98,'Rate &amp; Vol Update'!$E$6:$Z$6,1)+1)-AY98)*(AT98-INDEX('Rate &amp; Vol Update'!$B$8:$B$127,MATCH(AT98,'Rate &amp; Vol Update'!$B$8:$B$127,1)))+INDEX('Rate &amp; Vol Update'!$E$8:$Z$127,MATCH(INDEX('Rate &amp; Vol Update'!$B$8:$B$127,MATCH(AT98,'Rate &amp; Vol Update'!$B$8:$B$127,1)+1),'Rate &amp; Vol Update'!$B$8:$B$127,0),MATCH(INDEX('Rate &amp; Vol Update'!$E$6:$Z$6,1,MATCH(AY98,'Rate &amp; Vol Update'!$E$6:$Z$6,1)+1),'Rate &amp; Vol Update'!$E$6:$Z$6,0))*(AY98-INDEX('Rate &amp; Vol Update'!$E$6:$Z$6,1,MATCH(AY98,'Rate &amp; Vol Update'!$E$6:$Z$6,1)))*(AT98-INDEX('Rate &amp; Vol Update'!$B$8:$B$127,MATCH(AT98,'Rate &amp; Vol Update'!$B$8:$B$127,1)))))*0.01%))</f>
        <v/>
      </c>
      <c r="BB98" s="5" t="str">
        <f>IF(AS98="","",1/((1+AZ98)^((AU98-'Rate &amp; Vol Update'!$C$2)/360)))</f>
        <v/>
      </c>
      <c r="BD98" s="15" t="str">
        <f>IF(AS98="","",IF(AT98&lt;'Rate &amp; Vol Update'!$C$2,MAX(0,AZ98-AY98)*(AV98/360)*AX98,(((IF('Adjustment Surface'!$C$2='Data Validation'!$A$2,AZ98,IF('Adjustment Surface'!$C$2='Data Validation'!$A$3,AY98,"Unknown Option Type"))-IF('Adjustment Surface'!$C$2='Data Validation'!$A$2,AY98,IF('Adjustment Surface'!$C$2='Data Validation'!$A$3,AZ98,"Unknown Option Type")))*(NORMDIST((IF('Adjustment Surface'!$C$2='Data Validation'!$A$2,AZ98,IF('Adjustment Surface'!$C$2='Data Validation'!$A$3,AY98,"Unknown Option Type"))-IF('Adjustment Surface'!$C$2='Data Validation'!$A$2,AY98,IF('Adjustment Surface'!$C$2='Data Validation'!$A$3,AZ98,"Unknown Option Type")))/(BA98*SQRT(AW98)),0,1,TRUE)))+((BA98*SQRT(AW98))*(NORMDIST((IF('Adjustment Surface'!$C$2='Data Validation'!$A$2,AZ98,IF('Adjustment Surface'!$C$2='Data Validation'!$A$3,AY98,"Unknown Option Type"))-IF('Adjustment Surface'!$C$2='Data Validation'!$A$2,AY98,IF('Adjustment Surface'!$C$2='Data Validation'!$A$3,AZ98,"Unknown Option Type")))/(BA98*SQRT(AW98)),0,1,FALSE))))*BB98*(AV98/360)*AX98))</f>
        <v/>
      </c>
      <c r="BE98" s="15" t="str">
        <f>IF(AS98="","",SUM(BD$4:BD98))</f>
        <v/>
      </c>
      <c r="BG98" s="15" t="str">
        <f>IF(AS98="","",IF(AT98&lt;'Rate &amp; Vol Update'!$C$2,0,((((((IF('Adjustment Surface'!$C$2='Data Validation'!$A$2,AZ98,IF('Adjustment Surface'!$C$2='Data Validation'!$A$3,AY98,"Unknown Option Type"))-IF('Adjustment Surface'!$C$2='Data Validation'!$A$2,AY98,IF('Adjustment Surface'!$C$2='Data Validation'!$A$3,AZ98,"Unknown Option Type")))*(NORMDIST((IF('Adjustment Surface'!$C$2='Data Validation'!$A$2,AZ98,IF('Adjustment Surface'!$C$2='Data Validation'!$A$3,AY98,"Unknown Option Type"))-IF('Adjustment Surface'!$C$2='Data Validation'!$A$2,AY98,IF('Adjustment Surface'!$C$2='Data Validation'!$A$3,AZ98,"Unknown Option Type")))/((BA98+0.01%)*SQRT(AW98)),0,1,TRUE)))+(((BA98+0.01%)*SQRT(AW98))*(NORMDIST((IF('Adjustment Surface'!$C$2='Data Validation'!$A$2,AZ98,IF('Adjustment Surface'!$C$2='Data Validation'!$A$3,AY98,"Unknown Option Type"))-IF('Adjustment Surface'!$C$2='Data Validation'!$A$2,AY98,IF('Adjustment Surface'!$C$2='Data Validation'!$A$3,AZ98,"Unknown Option Type")))/((BA98+0.01%)*SQRT(AW98)),0,1,FALSE))))*BB98*(AV98/360))-(BD98/AX98))*AX98)*BB98))</f>
        <v/>
      </c>
      <c r="BH98" s="15" t="str">
        <f>IF(AS98="","",SUM(BG$4:BG98))</f>
        <v/>
      </c>
      <c r="BI98" s="15"/>
      <c r="BJ98" s="20"/>
      <c r="BL98" s="4" t="str">
        <f>IF(BM97=MAX('Adjustment Surface'!$C$14:$F$14),"",BM97)</f>
        <v/>
      </c>
      <c r="BM98" s="4" t="str">
        <f>IF(BL98="","",IF(BL98&lt;EDATE('Adjustment Surface'!$C$6,DATEDIF('Adjustment Surface'!$C$6,MAX('Adjustment Surface'!$C$14:$F$14),"M")),EDATE(BL$5,COUNT(BL$5:BL98)),IF(BL98=EDATE('Adjustment Surface'!$C$6,DATEDIF('Adjustment Surface'!$C$6,MAX('Adjustment Surface'!$C$14:$F$14),"M")),MAX('Adjustment Surface'!$C$14:$F$14),EDATE('Adjustment Surface'!$C$6,DATEDIF('Adjustment Surface'!$C$6,MAX('Adjustment Surface'!$C$14:$F$14),"M")))))</f>
        <v/>
      </c>
      <c r="BN98" s="3" t="str">
        <f t="shared" si="9"/>
        <v/>
      </c>
      <c r="BO98" s="5" t="str">
        <f>IF(BK98="","",(BM98-'Rate &amp; Vol Update'!$C$2)/360)</f>
        <v/>
      </c>
      <c r="BP98" s="15" t="str">
        <f>IF(BK98="","",IF('Adjustment Surface'!$C$3='Data Validation'!$C$2,'Adjustment Surface'!$C$4,_xlfn.IFNA(IF(INDEX(Schedules!$E$3:$E$123,MATCH('Bachelier Model'!BL98,Schedules!$B$3:$B$123,0))="",BP97,INDEX(Schedules!$E$3:$E$123,MATCH('Bachelier Model'!BL98,Schedules!$B$3:$B$123,0))),BP97)))</f>
        <v/>
      </c>
      <c r="BQ98" s="16" t="str">
        <f>IF(BK98="","",'Adjustment Surface'!B$17)</f>
        <v/>
      </c>
      <c r="BR98" s="16" t="str" cm="1">
        <f t="array" ref="BR98">IF(BK98="","",FORECAST(BL98,INDEX('Rate &amp; Vol Update'!$C$6:$C$127,MATCH(INDEX('Rate &amp; Vol Update'!$B$6:$B$127,MATCH(BL98,'Rate &amp; Vol Update'!$B$6:$B$127,1)),'Rate &amp; Vol Update'!$B$6:$B$127,0)+IF('Adjustment Surface'!$C$11='Data Validation'!$E$3,-1,0)):INDEX('Rate &amp; Vol Update'!$C$6:$C$127,MATCH(INDEX('Rate &amp; Vol Update'!$B$6:$B$127,MATCH(BL98,'Rate &amp; Vol Update'!$B$6:$B$127,1)+1),'Rate &amp; Vol Update'!$B$6:$B$127,0)+IF('Adjustment Surface'!$C$11='Data Validation'!$E$3,-1,0)),INDEX('Rate &amp; Vol Update'!$B$6:$B$127,MATCH(BL98,'Rate &amp; Vol Update'!$B$6:$B$127,1)):INDEX('Rate &amp; Vol Update'!$B$6:$B$127,MATCH(BL98,'Rate &amp; Vol Update'!$B$6:$B$127,1)+1))/100)</f>
        <v/>
      </c>
      <c r="BS98" s="16" t="str" cm="1">
        <f t="array" ref="BS98">IF(BK98="","",IF(BL98&lt;'Rate &amp; Vol Update'!$C$2,0.001%,(1/((INDEX('Rate &amp; Vol Update'!$E$6:$Z$6,1,MATCH(BQ98,'Rate &amp; Vol Update'!$E$6:$Z$6,1)+1)-INDEX('Rate &amp; Vol Update'!$E$6:$Z$6,1,MATCH(BQ98,'Rate &amp; Vol Update'!$E$6:$Z$6,1)))*(INDEX('Rate &amp; Vol Update'!$B$8:$B$127,MATCH(BL98,'Rate &amp; Vol Update'!$B$8:$B$127,1)+1)-INDEX('Rate &amp; Vol Update'!$B$8:$B$127,MATCH(BL98,'Rate &amp; Vol Update'!$B$8:$B$127,1))))*(INDEX('Rate &amp; Vol Update'!$E$8:$Z$127,MATCH(INDEX('Rate &amp; Vol Update'!$B$8:$B$127,MATCH(BL98,'Rate &amp; Vol Update'!$B$8:$B$127,1)),'Rate &amp; Vol Update'!$B$8:$B$127,0),MATCH(INDEX('Rate &amp; Vol Update'!$E$6:$Z$6,1,MATCH(BQ98,'Rate &amp; Vol Update'!$E$6:$Z$6,1)),'Rate &amp; Vol Update'!$E$6:$Z$6,0))*(INDEX('Rate &amp; Vol Update'!$E$6:$Z$6,1,MATCH(BQ98,'Rate &amp; Vol Update'!$E$6:$Z$6,1)+1)-BQ98)*(INDEX('Rate &amp; Vol Update'!$B$8:$B$127,MATCH(BL98,'Rate &amp; Vol Update'!$B$8:$B$127,1)+1)-BL98)+INDEX('Rate &amp; Vol Update'!$E$8:$Z$127,MATCH(INDEX('Rate &amp; Vol Update'!$B$8:$B$127,MATCH(BL98,'Rate &amp; Vol Update'!$B$8:$B$127,1)),'Rate &amp; Vol Update'!$B$8:$B$127,0),MATCH(INDEX('Rate &amp; Vol Update'!$E$6:$Z$6,1,MATCH(BQ98,'Rate &amp; Vol Update'!$E$6:$Z$6,1)+1),'Rate &amp; Vol Update'!$E$6:$Z$6,0))*(BQ98-INDEX('Rate &amp; Vol Update'!$E$6:$Z$6,1,MATCH(BQ98,'Rate &amp; Vol Update'!$E$6:$Z$6,1)))*(INDEX('Rate &amp; Vol Update'!$B$8:$B$127,MATCH(BL98,'Rate &amp; Vol Update'!$B$8:$B$127,1)+1)-BL98)+INDEX('Rate &amp; Vol Update'!$E$8:$Z$127,MATCH(INDEX('Rate &amp; Vol Update'!$B$8:$B$127,MATCH(BL98,'Rate &amp; Vol Update'!$B$8:$B$127,1)+1),'Rate &amp; Vol Update'!$B$8:$B$127,0),MATCH(INDEX('Rate &amp; Vol Update'!$E$6:$Z$6,1,MATCH(BQ98,'Rate &amp; Vol Update'!$E$6:$Z$6,1)),'Rate &amp; Vol Update'!$E$6:$Z$6,0))*(INDEX('Rate &amp; Vol Update'!$E$6:$Z$6,1,MATCH(BQ98,'Rate &amp; Vol Update'!$E$6:$Z$6,1)+1)-BQ98)*(BL98-INDEX('Rate &amp; Vol Update'!$B$8:$B$127,MATCH(BL98,'Rate &amp; Vol Update'!$B$8:$B$127,1)))+INDEX('Rate &amp; Vol Update'!$E$8:$Z$127,MATCH(INDEX('Rate &amp; Vol Update'!$B$8:$B$127,MATCH(BL98,'Rate &amp; Vol Update'!$B$8:$B$127,1)+1),'Rate &amp; Vol Update'!$B$8:$B$127,0),MATCH(INDEX('Rate &amp; Vol Update'!$E$6:$Z$6,1,MATCH(BQ98,'Rate &amp; Vol Update'!$E$6:$Z$6,1)+1),'Rate &amp; Vol Update'!$E$6:$Z$6,0))*(BQ98-INDEX('Rate &amp; Vol Update'!$E$6:$Z$6,1,MATCH(BQ98,'Rate &amp; Vol Update'!$E$6:$Z$6,1)))*(BL98-INDEX('Rate &amp; Vol Update'!$B$8:$B$127,MATCH(BL98,'Rate &amp; Vol Update'!$B$8:$B$127,1)))))*0.01%))</f>
        <v/>
      </c>
      <c r="BT98" s="5" t="str">
        <f>IF(BK98="","",1/((1+BR98)^((BM98-'Rate &amp; Vol Update'!$C$2)/360)))</f>
        <v/>
      </c>
      <c r="BV98" s="15" t="str">
        <f>IF(BK98="","",IF(BL98&lt;'Rate &amp; Vol Update'!$C$2,MAX(0,BR98-BQ98)*(BN98/360)*BP98,(((IF('Adjustment Surface'!$C$2='Data Validation'!$A$2,BR98,IF('Adjustment Surface'!$C$2='Data Validation'!$A$3,BQ98,"Unknown Option Type"))-IF('Adjustment Surface'!$C$2='Data Validation'!$A$2,BQ98,IF('Adjustment Surface'!$C$2='Data Validation'!$A$3,BR98,"Unknown Option Type")))*(NORMDIST((IF('Adjustment Surface'!$C$2='Data Validation'!$A$2,BR98,IF('Adjustment Surface'!$C$2='Data Validation'!$A$3,BQ98,"Unknown Option Type"))-IF('Adjustment Surface'!$C$2='Data Validation'!$A$2,BQ98,IF('Adjustment Surface'!$C$2='Data Validation'!$A$3,BR98,"Unknown Option Type")))/(BS98*SQRT(BO98)),0,1,TRUE)))+((BS98*SQRT(BO98))*(NORMDIST((IF('Adjustment Surface'!$C$2='Data Validation'!$A$2,BR98,IF('Adjustment Surface'!$C$2='Data Validation'!$A$3,BQ98,"Unknown Option Type"))-IF('Adjustment Surface'!$C$2='Data Validation'!$A$2,BQ98,IF('Adjustment Surface'!$C$2='Data Validation'!$A$3,BR98,"Unknown Option Type")))/(BS98*SQRT(BO98)),0,1,FALSE))))*BT98*(BN98/360)*BP98))</f>
        <v/>
      </c>
      <c r="BW98" s="15" t="str">
        <f>IF(BK98="","",SUM(BV$4:BV98))</f>
        <v/>
      </c>
      <c r="BY98" s="15" t="str">
        <f>IF(BK98="","",IF(BL98&lt;'Rate &amp; Vol Update'!$C$2,0,((((((IF('Adjustment Surface'!$C$2='Data Validation'!$A$2,BR98,IF('Adjustment Surface'!$C$2='Data Validation'!$A$3,BQ98,"Unknown Option Type"))-IF('Adjustment Surface'!$C$2='Data Validation'!$A$2,BQ98,IF('Adjustment Surface'!$C$2='Data Validation'!$A$3,BR98,"Unknown Option Type")))*(NORMDIST((IF('Adjustment Surface'!$C$2='Data Validation'!$A$2,BR98,IF('Adjustment Surface'!$C$2='Data Validation'!$A$3,BQ98,"Unknown Option Type"))-IF('Adjustment Surface'!$C$2='Data Validation'!$A$2,BQ98,IF('Adjustment Surface'!$C$2='Data Validation'!$A$3,BR98,"Unknown Option Type")))/((BS98+0.01%)*SQRT(BO98)),0,1,TRUE)))+(((BS98+0.01%)*SQRT(BO98))*(NORMDIST((IF('Adjustment Surface'!$C$2='Data Validation'!$A$2,BR98,IF('Adjustment Surface'!$C$2='Data Validation'!$A$3,BQ98,"Unknown Option Type"))-IF('Adjustment Surface'!$C$2='Data Validation'!$A$2,BQ98,IF('Adjustment Surface'!$C$2='Data Validation'!$A$3,BR98,"Unknown Option Type")))/((BS98+0.01%)*SQRT(BO98)),0,1,FALSE))))*BT98*(BN98/360))-(BV98/BP98))*BP98)*BT98))</f>
        <v/>
      </c>
      <c r="BZ98" s="15" t="str">
        <f>IF(BK98="","",SUM(BY$4:BY98))</f>
        <v/>
      </c>
      <c r="CA98" s="15"/>
      <c r="CB98" s="20"/>
      <c r="CD98" s="4" t="str">
        <f>IF(CE97=MAX('Adjustment Surface'!$C$14:$F$14),"",CE97)</f>
        <v/>
      </c>
      <c r="CE98" s="4" t="str">
        <f>IF(CD98="","",IF(CD98&lt;EDATE('Adjustment Surface'!$C$6,DATEDIF('Adjustment Surface'!$C$6,MAX('Adjustment Surface'!$C$14:$F$14),"M")),EDATE(CD$5,COUNT(CD$5:CD98)),IF(CD98=EDATE('Adjustment Surface'!$C$6,DATEDIF('Adjustment Surface'!$C$6,MAX('Adjustment Surface'!$C$14:$F$14),"M")),MAX('Adjustment Surface'!$C$14:$F$14),EDATE('Adjustment Surface'!$C$6,DATEDIF('Adjustment Surface'!$C$6,MAX('Adjustment Surface'!$C$14:$F$14),"M")))))</f>
        <v/>
      </c>
      <c r="CF98" s="3" t="str">
        <f t="shared" si="10"/>
        <v/>
      </c>
      <c r="CG98" s="5" t="str">
        <f>IF(CC98="","",(CE98-'Rate &amp; Vol Update'!$C$2)/360)</f>
        <v/>
      </c>
      <c r="CH98" s="15" t="str">
        <f>IF(CC98="","",IF('Adjustment Surface'!$C$3='Data Validation'!$C$2,'Adjustment Surface'!$C$4,_xlfn.IFNA(IF(INDEX(Schedules!$E$3:$E$123,MATCH('Bachelier Model'!CD98,Schedules!$B$3:$B$123,0))="",CH97,INDEX(Schedules!$E$3:$E$123,MATCH('Bachelier Model'!CD98,Schedules!$B$3:$B$123,0))),CH97)))</f>
        <v/>
      </c>
      <c r="CI98" s="16" t="str">
        <f>IF(CC98="","",'Adjustment Surface'!B$18)</f>
        <v/>
      </c>
      <c r="CJ98" s="16" t="str" cm="1">
        <f t="array" ref="CJ98">IF(CC98="","",FORECAST(CD98,INDEX('Rate &amp; Vol Update'!$C$6:$C$127,MATCH(INDEX('Rate &amp; Vol Update'!$B$6:$B$127,MATCH(CD98,'Rate &amp; Vol Update'!$B$6:$B$127,1)),'Rate &amp; Vol Update'!$B$6:$B$127,0)+IF('Adjustment Surface'!$C$11='Data Validation'!$E$3,-1,0)):INDEX('Rate &amp; Vol Update'!$C$6:$C$127,MATCH(INDEX('Rate &amp; Vol Update'!$B$6:$B$127,MATCH(CD98,'Rate &amp; Vol Update'!$B$6:$B$127,1)+1),'Rate &amp; Vol Update'!$B$6:$B$127,0)+IF('Adjustment Surface'!$C$11='Data Validation'!$E$3,-1,0)),INDEX('Rate &amp; Vol Update'!$B$6:$B$127,MATCH(CD98,'Rate &amp; Vol Update'!$B$6:$B$127,1)):INDEX('Rate &amp; Vol Update'!$B$6:$B$127,MATCH(CD98,'Rate &amp; Vol Update'!$B$6:$B$127,1)+1))/100)</f>
        <v/>
      </c>
      <c r="CK98" s="16" t="str" cm="1">
        <f t="array" ref="CK98">IF(CC98="","",IF(CD98&lt;'Rate &amp; Vol Update'!$C$2,0.001%,(1/((INDEX('Rate &amp; Vol Update'!$E$6:$Z$6,1,MATCH(CI98,'Rate &amp; Vol Update'!$E$6:$Z$6,1)+1)-INDEX('Rate &amp; Vol Update'!$E$6:$Z$6,1,MATCH(CI98,'Rate &amp; Vol Update'!$E$6:$Z$6,1)))*(INDEX('Rate &amp; Vol Update'!$B$8:$B$127,MATCH(CD98,'Rate &amp; Vol Update'!$B$8:$B$127,1)+1)-INDEX('Rate &amp; Vol Update'!$B$8:$B$127,MATCH(CD98,'Rate &amp; Vol Update'!$B$8:$B$127,1))))*(INDEX('Rate &amp; Vol Update'!$E$8:$Z$127,MATCH(INDEX('Rate &amp; Vol Update'!$B$8:$B$127,MATCH(CD98,'Rate &amp; Vol Update'!$B$8:$B$127,1)),'Rate &amp; Vol Update'!$B$8:$B$127,0),MATCH(INDEX('Rate &amp; Vol Update'!$E$6:$Z$6,1,MATCH(CI98,'Rate &amp; Vol Update'!$E$6:$Z$6,1)),'Rate &amp; Vol Update'!$E$6:$Z$6,0))*(INDEX('Rate &amp; Vol Update'!$E$6:$Z$6,1,MATCH(CI98,'Rate &amp; Vol Update'!$E$6:$Z$6,1)+1)-CI98)*(INDEX('Rate &amp; Vol Update'!$B$8:$B$127,MATCH(CD98,'Rate &amp; Vol Update'!$B$8:$B$127,1)+1)-CD98)+INDEX('Rate &amp; Vol Update'!$E$8:$Z$127,MATCH(INDEX('Rate &amp; Vol Update'!$B$8:$B$127,MATCH(CD98,'Rate &amp; Vol Update'!$B$8:$B$127,1)),'Rate &amp; Vol Update'!$B$8:$B$127,0),MATCH(INDEX('Rate &amp; Vol Update'!$E$6:$Z$6,1,MATCH(CI98,'Rate &amp; Vol Update'!$E$6:$Z$6,1)+1),'Rate &amp; Vol Update'!$E$6:$Z$6,0))*(CI98-INDEX('Rate &amp; Vol Update'!$E$6:$Z$6,1,MATCH(CI98,'Rate &amp; Vol Update'!$E$6:$Z$6,1)))*(INDEX('Rate &amp; Vol Update'!$B$8:$B$127,MATCH(CD98,'Rate &amp; Vol Update'!$B$8:$B$127,1)+1)-CD98)+INDEX('Rate &amp; Vol Update'!$E$8:$Z$127,MATCH(INDEX('Rate &amp; Vol Update'!$B$8:$B$127,MATCH(CD98,'Rate &amp; Vol Update'!$B$8:$B$127,1)+1),'Rate &amp; Vol Update'!$B$8:$B$127,0),MATCH(INDEX('Rate &amp; Vol Update'!$E$6:$Z$6,1,MATCH(CI98,'Rate &amp; Vol Update'!$E$6:$Z$6,1)),'Rate &amp; Vol Update'!$E$6:$Z$6,0))*(INDEX('Rate &amp; Vol Update'!$E$6:$Z$6,1,MATCH(CI98,'Rate &amp; Vol Update'!$E$6:$Z$6,1)+1)-CI98)*(CD98-INDEX('Rate &amp; Vol Update'!$B$8:$B$127,MATCH(CD98,'Rate &amp; Vol Update'!$B$8:$B$127,1)))+INDEX('Rate &amp; Vol Update'!$E$8:$Z$127,MATCH(INDEX('Rate &amp; Vol Update'!$B$8:$B$127,MATCH(CD98,'Rate &amp; Vol Update'!$B$8:$B$127,1)+1),'Rate &amp; Vol Update'!$B$8:$B$127,0),MATCH(INDEX('Rate &amp; Vol Update'!$E$6:$Z$6,1,MATCH(CI98,'Rate &amp; Vol Update'!$E$6:$Z$6,1)+1),'Rate &amp; Vol Update'!$E$6:$Z$6,0))*(CI98-INDEX('Rate &amp; Vol Update'!$E$6:$Z$6,1,MATCH(CI98,'Rate &amp; Vol Update'!$E$6:$Z$6,1)))*(CD98-INDEX('Rate &amp; Vol Update'!$B$8:$B$127,MATCH(CD98,'Rate &amp; Vol Update'!$B$8:$B$127,1)))))*0.01%))</f>
        <v/>
      </c>
      <c r="CL98" s="5" t="str">
        <f>IF(CC98="","",1/((1+CJ98)^((CE98-'Rate &amp; Vol Update'!$C$2)/360)))</f>
        <v/>
      </c>
      <c r="CN98" s="15" t="str">
        <f>IF(CC98="","",IF(CD98&lt;'Rate &amp; Vol Update'!$C$2,MAX(0,CJ98-CI98)*(CF98/360)*CH98,(((IF('Adjustment Surface'!$C$2='Data Validation'!$A$2,CJ98,IF('Adjustment Surface'!$C$2='Data Validation'!$A$3,CI98,"Unknown Option Type"))-IF('Adjustment Surface'!$C$2='Data Validation'!$A$2,CI98,IF('Adjustment Surface'!$C$2='Data Validation'!$A$3,CJ98,"Unknown Option Type")))*(NORMDIST((IF('Adjustment Surface'!$C$2='Data Validation'!$A$2,CJ98,IF('Adjustment Surface'!$C$2='Data Validation'!$A$3,CI98,"Unknown Option Type"))-IF('Adjustment Surface'!$C$2='Data Validation'!$A$2,CI98,IF('Adjustment Surface'!$C$2='Data Validation'!$A$3,CJ98,"Unknown Option Type")))/(CK98*SQRT(CG98)),0,1,TRUE)))+((CK98*SQRT(CG98))*(NORMDIST((IF('Adjustment Surface'!$C$2='Data Validation'!$A$2,CJ98,IF('Adjustment Surface'!$C$2='Data Validation'!$A$3,CI98,"Unknown Option Type"))-IF('Adjustment Surface'!$C$2='Data Validation'!$A$2,CI98,IF('Adjustment Surface'!$C$2='Data Validation'!$A$3,CJ98,"Unknown Option Type")))/(CK98*SQRT(CG98)),0,1,FALSE))))*CL98*(CF98/360)*CH98))</f>
        <v/>
      </c>
      <c r="CO98" s="15" t="str">
        <f>IF(CC98="","",SUM(CN$4:CN98))</f>
        <v/>
      </c>
      <c r="CQ98" s="15" t="str">
        <f>IF(CC98="","",IF(CD98&lt;'Rate &amp; Vol Update'!$C$2,0,((((((IF('Adjustment Surface'!$C$2='Data Validation'!$A$2,CJ98,IF('Adjustment Surface'!$C$2='Data Validation'!$A$3,CI98,"Unknown Option Type"))-IF('Adjustment Surface'!$C$2='Data Validation'!$A$2,CI98,IF('Adjustment Surface'!$C$2='Data Validation'!$A$3,CJ98,"Unknown Option Type")))*(NORMDIST((IF('Adjustment Surface'!$C$2='Data Validation'!$A$2,CJ98,IF('Adjustment Surface'!$C$2='Data Validation'!$A$3,CI98,"Unknown Option Type"))-IF('Adjustment Surface'!$C$2='Data Validation'!$A$2,CI98,IF('Adjustment Surface'!$C$2='Data Validation'!$A$3,CJ98,"Unknown Option Type")))/((CK98+0.01%)*SQRT(CG98)),0,1,TRUE)))+(((CK98+0.01%)*SQRT(CG98))*(NORMDIST((IF('Adjustment Surface'!$C$2='Data Validation'!$A$2,CJ98,IF('Adjustment Surface'!$C$2='Data Validation'!$A$3,CI98,"Unknown Option Type"))-IF('Adjustment Surface'!$C$2='Data Validation'!$A$2,CI98,IF('Adjustment Surface'!$C$2='Data Validation'!$A$3,CJ98,"Unknown Option Type")))/((CK98+0.01%)*SQRT(CG98)),0,1,FALSE))))*CL98*(CF98/360))-(CN98/CH98))*CH98)*CL98))</f>
        <v/>
      </c>
      <c r="CR98" s="15" t="str">
        <f>IF(CC98="","",SUM(CQ$4:CQ98))</f>
        <v/>
      </c>
    </row>
    <row r="99" spans="7:96" x14ac:dyDescent="0.25">
      <c r="G99" s="28"/>
      <c r="J99" s="4" t="str">
        <f>IF(K98='Adjustment Surface'!C$8,"",K98)</f>
        <v/>
      </c>
      <c r="K99" s="4" t="str">
        <f>IF(J99="","",IF(J99&lt;'Adjustment Surface'!C$7,EDATE(J$5,COUNT(J$5:J99)),IF(J99='Adjustment Surface'!C$7,'Adjustment Surface'!C$8,'Adjustment Surface'!C$7)))</f>
        <v/>
      </c>
      <c r="L99" s="3" t="str">
        <f t="shared" si="6"/>
        <v/>
      </c>
      <c r="M99" s="5" t="str">
        <f>IF(I99="","",(K99-'Rate &amp; Vol Update'!$C$2)/360)</f>
        <v/>
      </c>
      <c r="N99" s="15" t="str">
        <f>IF(I99="","",IF('Adjustment Surface'!C$3='Data Validation'!$C$2,'Adjustment Surface'!C$4,IF(INDEX(Schedules!$E$3:$E$123,MATCH('Bachelier Model'!J99,Schedules!$B$3:$B$123,0))="",N98,INDEX(Schedules!$E$3:$E$123,MATCH('Bachelier Model'!J99,Schedules!$B$3:$B$123,0)))))</f>
        <v/>
      </c>
      <c r="O99" s="16" t="str">
        <f>IF(I99="","",IF('Adjustment Surface'!C$9='Data Validation'!$D$2,'Adjustment Surface'!C$10,IF(INDEX(Schedules!$H$3:$H$123,MATCH('Bachelier Model'!J99,Schedules!$B$3:$B$123,0))="",O98,INDEX(Schedules!$H$3:$H$123,MATCH('Bachelier Model'!J99,Schedules!$B$3:$B$123,0)))))</f>
        <v/>
      </c>
      <c r="P99" s="16" t="str" cm="1">
        <f t="array" ref="P99">IF(I99="","",FORECAST(J99,INDEX('Rate &amp; Vol Update'!$C$6:$C$127,MATCH(INDEX('Rate &amp; Vol Update'!$B$6:$B$127,MATCH(J99,'Rate &amp; Vol Update'!$B$6:$B$127,1)),'Rate &amp; Vol Update'!$B$6:$B$127,0)+IF('Adjustment Surface'!C$11='Data Validation'!$E$3,-1,0)):INDEX('Rate &amp; Vol Update'!$C$6:$C$127,MATCH(INDEX('Rate &amp; Vol Update'!$B$6:$B$127,MATCH(J99,'Rate &amp; Vol Update'!$B$6:$B$127,1)+1),'Rate &amp; Vol Update'!$B$6:$B$127,0)+IF('Adjustment Surface'!C$11='Data Validation'!$E$3,-1,0)),INDEX('Rate &amp; Vol Update'!$B$6:$B$127,MATCH(J99,'Rate &amp; Vol Update'!$B$6:$B$127,1)):INDEX('Rate &amp; Vol Update'!$B$6:$B$127,MATCH(J99,'Rate &amp; Vol Update'!$B$6:$B$127,1)+1))/100)</f>
        <v/>
      </c>
      <c r="Q99" s="16" t="str" cm="1">
        <f t="array" ref="Q99">IF(I99="","",IF(J99&lt;'Rate &amp; Vol Update'!$C$2,0.001%,(1/((INDEX('Rate &amp; Vol Update'!$E$6:$Z$6,1,MATCH(O99,'Rate &amp; Vol Update'!$E$6:$Z$6,1)+1)-INDEX('Rate &amp; Vol Update'!$E$6:$Z$6,1,MATCH(O99,'Rate &amp; Vol Update'!$E$6:$Z$6,1)))*(INDEX('Rate &amp; Vol Update'!$B$8:$B$127,MATCH(J99,'Rate &amp; Vol Update'!$B$8:$B$127,1)+1)-INDEX('Rate &amp; Vol Update'!$B$8:$B$127,MATCH(J99,'Rate &amp; Vol Update'!$B$8:$B$127,1))))*(INDEX('Rate &amp; Vol Update'!$E$8:$Z$127,MATCH(INDEX('Rate &amp; Vol Update'!$B$8:$B$127,MATCH(J99,'Rate &amp; Vol Update'!$B$8:$B$127,1)),'Rate &amp; Vol Update'!$B$8:$B$127,0),MATCH(INDEX('Rate &amp; Vol Update'!$E$6:$Z$6,1,MATCH(O99,'Rate &amp; Vol Update'!$E$6:$Z$6,1)),'Rate &amp; Vol Update'!$E$6:$Z$6,0))*(INDEX('Rate &amp; Vol Update'!$E$6:$Z$6,1,MATCH(O99,'Rate &amp; Vol Update'!$E$6:$Z$6,1)+1)-O99)*(INDEX('Rate &amp; Vol Update'!$B$8:$B$127,MATCH(J99,'Rate &amp; Vol Update'!$B$8:$B$127,1)+1)-J99)+INDEX('Rate &amp; Vol Update'!$E$8:$Z$127,MATCH(INDEX('Rate &amp; Vol Update'!$B$8:$B$127,MATCH(J99,'Rate &amp; Vol Update'!$B$8:$B$127,1)),'Rate &amp; Vol Update'!$B$8:$B$127,0),MATCH(INDEX('Rate &amp; Vol Update'!$E$6:$Z$6,1,MATCH(O99,'Rate &amp; Vol Update'!$E$6:$Z$6,1)+1),'Rate &amp; Vol Update'!$E$6:$Z$6,0))*(O99-INDEX('Rate &amp; Vol Update'!$E$6:$Z$6,1,MATCH(O99,'Rate &amp; Vol Update'!$E$6:$Z$6,1)))*(INDEX('Rate &amp; Vol Update'!$B$8:$B$127,MATCH(J99,'Rate &amp; Vol Update'!$B$8:$B$127,1)+1)-J99)+INDEX('Rate &amp; Vol Update'!$E$8:$Z$127,MATCH(INDEX('Rate &amp; Vol Update'!$B$8:$B$127,MATCH(J99,'Rate &amp; Vol Update'!$B$8:$B$127,1)+1),'Rate &amp; Vol Update'!$B$8:$B$127,0),MATCH(INDEX('Rate &amp; Vol Update'!$E$6:$Z$6,1,MATCH(O99,'Rate &amp; Vol Update'!$E$6:$Z$6,1)),'Rate &amp; Vol Update'!$E$6:$Z$6,0))*(INDEX('Rate &amp; Vol Update'!$E$6:$Z$6,1,MATCH(O99,'Rate &amp; Vol Update'!$E$6:$Z$6,1)+1)-O99)*(J99-INDEX('Rate &amp; Vol Update'!$B$8:$B$127,MATCH(J99,'Rate &amp; Vol Update'!$B$8:$B$127,1)))+INDEX('Rate &amp; Vol Update'!$E$8:$Z$127,MATCH(INDEX('Rate &amp; Vol Update'!$B$8:$B$127,MATCH(J99,'Rate &amp; Vol Update'!$B$8:$B$127,1)+1),'Rate &amp; Vol Update'!$B$8:$B$127,0),MATCH(INDEX('Rate &amp; Vol Update'!$E$6:$Z$6,1,MATCH(O99,'Rate &amp; Vol Update'!$E$6:$Z$6,1)+1),'Rate &amp; Vol Update'!$E$6:$Z$6,0))*(O99-INDEX('Rate &amp; Vol Update'!$E$6:$Z$6,1,MATCH(O99,'Rate &amp; Vol Update'!$E$6:$Z$6,1)))*(J99-INDEX('Rate &amp; Vol Update'!$B$8:$B$127,MATCH(J99,'Rate &amp; Vol Update'!$B$8:$B$127,1)))))*0.01%))</f>
        <v/>
      </c>
      <c r="R99" s="5" t="str">
        <f>IF(I99="","",1/((1+P99)^((K99-'Rate &amp; Vol Update'!$C$2)/360)))</f>
        <v/>
      </c>
      <c r="T99" s="15" t="str">
        <f>IF(I99="","",IF(J99&lt;'Rate &amp; Vol Update'!$C$2,MAX(0,P99-O99)*(L99/360)*N99,(((IF('Adjustment Surface'!C$2='Data Validation'!$A$2,P99,IF('Adjustment Surface'!C$2='Data Validation'!$A$3,O99,"Unknown Option Type"))-IF('Adjustment Surface'!C$2='Data Validation'!$A$2,O99,IF('Adjustment Surface'!C$2='Data Validation'!$A$3,P99,"Unknown Option Type")))*(NORMDIST((IF('Adjustment Surface'!C$2='Data Validation'!$A$2,P99,IF('Adjustment Surface'!C$2='Data Validation'!$A$3,O99,"Unknown Option Type"))-IF('Adjustment Surface'!C$2='Data Validation'!$A$2,O99,IF('Adjustment Surface'!C$2='Data Validation'!$A$3,P99,"Unknown Option Type")))/(Q99*SQRT(M99)),0,1,TRUE)))+((Q99*SQRT(M99))*(NORMDIST((IF('Adjustment Surface'!C$2='Data Validation'!$A$2,P99,IF('Adjustment Surface'!C$2='Data Validation'!$A$3,O99,"Unknown Option Type"))-IF('Adjustment Surface'!C$2='Data Validation'!$A$2,O99,IF('Adjustment Surface'!C$2='Data Validation'!$A$3,P99,"Unknown Option Type")))/(Q99*SQRT(M99)),0,1,FALSE))))*R99*(L99/360)*N99))</f>
        <v/>
      </c>
      <c r="U99" s="15" t="str">
        <f>IF(I99="","",SUM(T$4:T99))</f>
        <v/>
      </c>
      <c r="W99" s="15" t="str">
        <f>IF(I99="","",IF(J99&lt;'Rate &amp; Vol Update'!$C$2,0,((((((IF('Adjustment Surface'!C$2='Data Validation'!$A$2,P99,IF('Adjustment Surface'!C$2='Data Validation'!$A$3,O99,"Unknown Option Type"))-IF('Adjustment Surface'!C$2='Data Validation'!$A$2,O99,IF('Adjustment Surface'!C$2='Data Validation'!$A$3,P99,"Unknown Option Type")))*(NORMDIST((IF('Adjustment Surface'!C$2='Data Validation'!$A$2,P99,IF('Adjustment Surface'!C$2='Data Validation'!$A$3,O99,"Unknown Option Type"))-IF('Adjustment Surface'!C$2='Data Validation'!$A$2,O99,IF('Adjustment Surface'!C$2='Data Validation'!$A$3,P99,"Unknown Option Type")))/((Q99+0.01%)*SQRT(M99)),0,1,TRUE)))+(((Q99+0.01%)*SQRT(M99))*(NORMDIST((IF('Adjustment Surface'!C$2='Data Validation'!$A$2,P99,IF('Adjustment Surface'!C$2='Data Validation'!$A$3,O99,"Unknown Option Type"))-IF('Adjustment Surface'!C$2='Data Validation'!$A$2,O99,IF('Adjustment Surface'!C$2='Data Validation'!$A$3,P99,"Unknown Option Type")))/((Q99+0.01%)*SQRT(M99)),0,1,FALSE))))*R99*(L99/360))-(T99/N99))*N99)*R99))</f>
        <v/>
      </c>
      <c r="X99" s="15" t="str">
        <f>IF(I99="","",SUM(W$4:W99))</f>
        <v/>
      </c>
      <c r="Y99" s="15"/>
      <c r="Z99" s="20"/>
      <c r="AB99" s="4" t="str">
        <f>IF(AC98=MAX('Adjustment Surface'!$C$14:$F$14),"",AC98)</f>
        <v/>
      </c>
      <c r="AC99" s="4" t="str">
        <f>IF(AB99="","",IF(AB99&lt;EDATE('Adjustment Surface'!$C$6,DATEDIF('Adjustment Surface'!$C$6,MAX('Adjustment Surface'!$C$14:$F$14),"M")),EDATE(AB$5,COUNT(AB$5:AB99)),IF(AB99=EDATE('Adjustment Surface'!$C$6,DATEDIF('Adjustment Surface'!$C$6,MAX('Adjustment Surface'!$C$14:$F$14),"M")),MAX('Adjustment Surface'!$C$14:$F$14),EDATE('Adjustment Surface'!$C$6,DATEDIF('Adjustment Surface'!$C$6,MAX('Adjustment Surface'!$C$14:$F$14),"M")))))</f>
        <v/>
      </c>
      <c r="AD99" s="3" t="str">
        <f t="shared" si="7"/>
        <v/>
      </c>
      <c r="AE99" s="5" t="str">
        <f>IF(AA99="","",(AC99-'Rate &amp; Vol Update'!$C$2)/360)</f>
        <v/>
      </c>
      <c r="AF99" s="15" t="str">
        <f>IF(AA99="","",IF('Adjustment Surface'!$C$3='Data Validation'!$C$2,'Adjustment Surface'!$C$4,_xlfn.IFNA(IF(INDEX(Schedules!$E$3:$E$123,MATCH('Bachelier Model'!AB99,Schedules!$B$3:$B$123,0))="",AF98,INDEX(Schedules!$E$3:$E$123,MATCH('Bachelier Model'!AB99,Schedules!$B$3:$B$123,0))),AF98)))</f>
        <v/>
      </c>
      <c r="AG99" s="16" t="str">
        <f>IF(AA99="","",'Adjustment Surface'!B$15)</f>
        <v/>
      </c>
      <c r="AH99" s="16" t="str" cm="1">
        <f t="array" ref="AH99">IF(AA99="","",FORECAST(AB99,INDEX('Rate &amp; Vol Update'!$C$6:$C$127,MATCH(INDEX('Rate &amp; Vol Update'!$B$6:$B$127,MATCH(AB99,'Rate &amp; Vol Update'!$B$6:$B$127,1)),'Rate &amp; Vol Update'!$B$6:$B$127,0)+IF('Adjustment Surface'!$C$11='Data Validation'!$E$3,-1,0)):INDEX('Rate &amp; Vol Update'!$C$6:$C$127,MATCH(INDEX('Rate &amp; Vol Update'!$B$6:$B$127,MATCH(AB99,'Rate &amp; Vol Update'!$B$6:$B$127,1)+1),'Rate &amp; Vol Update'!$B$6:$B$127,0)+IF('Adjustment Surface'!$C$11='Data Validation'!$E$3,-1,0)),INDEX('Rate &amp; Vol Update'!$B$6:$B$127,MATCH(AB99,'Rate &amp; Vol Update'!$B$6:$B$127,1)):INDEX('Rate &amp; Vol Update'!$B$6:$B$127,MATCH(AB99,'Rate &amp; Vol Update'!$B$6:$B$127,1)+1))/100)</f>
        <v/>
      </c>
      <c r="AI99" s="16" t="str" cm="1">
        <f t="array" ref="AI99">IF(AA99="","",IF(AB99&lt;'Rate &amp; Vol Update'!$C$2,0.001%,(1/((INDEX('Rate &amp; Vol Update'!$E$6:$Z$6,1,MATCH(AG99,'Rate &amp; Vol Update'!$E$6:$Z$6,1)+1)-INDEX('Rate &amp; Vol Update'!$E$6:$Z$6,1,MATCH(AG99,'Rate &amp; Vol Update'!$E$6:$Z$6,1)))*(INDEX('Rate &amp; Vol Update'!$B$8:$B$127,MATCH(AB99,'Rate &amp; Vol Update'!$B$8:$B$127,1)+1)-INDEX('Rate &amp; Vol Update'!$B$8:$B$127,MATCH(AB99,'Rate &amp; Vol Update'!$B$8:$B$127,1))))*(INDEX('Rate &amp; Vol Update'!$E$8:$Z$127,MATCH(INDEX('Rate &amp; Vol Update'!$B$8:$B$127,MATCH(AB99,'Rate &amp; Vol Update'!$B$8:$B$127,1)),'Rate &amp; Vol Update'!$B$8:$B$127,0),MATCH(INDEX('Rate &amp; Vol Update'!$E$6:$Z$6,1,MATCH(AG99,'Rate &amp; Vol Update'!$E$6:$Z$6,1)),'Rate &amp; Vol Update'!$E$6:$Z$6,0))*(INDEX('Rate &amp; Vol Update'!$E$6:$Z$6,1,MATCH(AG99,'Rate &amp; Vol Update'!$E$6:$Z$6,1)+1)-AG99)*(INDEX('Rate &amp; Vol Update'!$B$8:$B$127,MATCH(AB99,'Rate &amp; Vol Update'!$B$8:$B$127,1)+1)-AB99)+INDEX('Rate &amp; Vol Update'!$E$8:$Z$127,MATCH(INDEX('Rate &amp; Vol Update'!$B$8:$B$127,MATCH(AB99,'Rate &amp; Vol Update'!$B$8:$B$127,1)),'Rate &amp; Vol Update'!$B$8:$B$127,0),MATCH(INDEX('Rate &amp; Vol Update'!$E$6:$Z$6,1,MATCH(AG99,'Rate &amp; Vol Update'!$E$6:$Z$6,1)+1),'Rate &amp; Vol Update'!$E$6:$Z$6,0))*(AG99-INDEX('Rate &amp; Vol Update'!$E$6:$Z$6,1,MATCH(AG99,'Rate &amp; Vol Update'!$E$6:$Z$6,1)))*(INDEX('Rate &amp; Vol Update'!$B$8:$B$127,MATCH(AB99,'Rate &amp; Vol Update'!$B$8:$B$127,1)+1)-AB99)+INDEX('Rate &amp; Vol Update'!$E$8:$Z$127,MATCH(INDEX('Rate &amp; Vol Update'!$B$8:$B$127,MATCH(AB99,'Rate &amp; Vol Update'!$B$8:$B$127,1)+1),'Rate &amp; Vol Update'!$B$8:$B$127,0),MATCH(INDEX('Rate &amp; Vol Update'!$E$6:$Z$6,1,MATCH(AG99,'Rate &amp; Vol Update'!$E$6:$Z$6,1)),'Rate &amp; Vol Update'!$E$6:$Z$6,0))*(INDEX('Rate &amp; Vol Update'!$E$6:$Z$6,1,MATCH(AG99,'Rate &amp; Vol Update'!$E$6:$Z$6,1)+1)-AG99)*(AB99-INDEX('Rate &amp; Vol Update'!$B$8:$B$127,MATCH(AB99,'Rate &amp; Vol Update'!$B$8:$B$127,1)))+INDEX('Rate &amp; Vol Update'!$E$8:$Z$127,MATCH(INDEX('Rate &amp; Vol Update'!$B$8:$B$127,MATCH(AB99,'Rate &amp; Vol Update'!$B$8:$B$127,1)+1),'Rate &amp; Vol Update'!$B$8:$B$127,0),MATCH(INDEX('Rate &amp; Vol Update'!$E$6:$Z$6,1,MATCH(AG99,'Rate &amp; Vol Update'!$E$6:$Z$6,1)+1),'Rate &amp; Vol Update'!$E$6:$Z$6,0))*(AG99-INDEX('Rate &amp; Vol Update'!$E$6:$Z$6,1,MATCH(AG99,'Rate &amp; Vol Update'!$E$6:$Z$6,1)))*(AB99-INDEX('Rate &amp; Vol Update'!$B$8:$B$127,MATCH(AB99,'Rate &amp; Vol Update'!$B$8:$B$127,1)))))*0.01%))</f>
        <v/>
      </c>
      <c r="AJ99" s="5" t="str">
        <f>IF(AA99="","",1/((1+AH99)^((AC99-'Rate &amp; Vol Update'!$C$2)/360)))</f>
        <v/>
      </c>
      <c r="AL99" s="15" t="str">
        <f>IF(AA99="","",IF(AB99&lt;'Rate &amp; Vol Update'!$C$2,MAX(0,AH99-AG99)*(AD99/360)*AF99,(((IF('Adjustment Surface'!$C$2='Data Validation'!$A$2,AH99,IF('Adjustment Surface'!$C$2='Data Validation'!$A$3,AG99,"Unknown Option Type"))-IF('Adjustment Surface'!$C$2='Data Validation'!$A$2,AG99,IF('Adjustment Surface'!$C$2='Data Validation'!$A$3,AH99,"Unknown Option Type")))*(NORMDIST((IF('Adjustment Surface'!$C$2='Data Validation'!$A$2,AH99,IF('Adjustment Surface'!$C$2='Data Validation'!$A$3,AG99,"Unknown Option Type"))-IF('Adjustment Surface'!$C$2='Data Validation'!$A$2,AG99,IF('Adjustment Surface'!$C$2='Data Validation'!$A$3,AH99,"Unknown Option Type")))/(AI99*SQRT(AE99)),0,1,TRUE)))+((AI99*SQRT(AE99))*(NORMDIST((IF('Adjustment Surface'!$C$2='Data Validation'!$A$2,AH99,IF('Adjustment Surface'!$C$2='Data Validation'!$A$3,AG99,"Unknown Option Type"))-IF('Adjustment Surface'!$C$2='Data Validation'!$A$2,AG99,IF('Adjustment Surface'!$C$2='Data Validation'!$A$3,AH99,"Unknown Option Type")))/(AI99*SQRT(AE99)),0,1,FALSE))))*AJ99*(AD99/360)*AF99))</f>
        <v/>
      </c>
      <c r="AM99" s="15" t="str">
        <f>IF(AA99="","",SUM(AL$4:AL99))</f>
        <v/>
      </c>
      <c r="AO99" s="15" t="str">
        <f>IF(AA99="","",IF(AB99&lt;'Rate &amp; Vol Update'!$C$2,0,((((((IF('Adjustment Surface'!$C$2='Data Validation'!$A$2,AH99,IF('Adjustment Surface'!$C$2='Data Validation'!$A$3,AG99,"Unknown Option Type"))-IF('Adjustment Surface'!$C$2='Data Validation'!$A$2,AG99,IF('Adjustment Surface'!$C$2='Data Validation'!$A$3,AH99,"Unknown Option Type")))*(NORMDIST((IF('Adjustment Surface'!$C$2='Data Validation'!$A$2,AH99,IF('Adjustment Surface'!$C$2='Data Validation'!$A$3,AG99,"Unknown Option Type"))-IF('Adjustment Surface'!$C$2='Data Validation'!$A$2,AG99,IF('Adjustment Surface'!$C$2='Data Validation'!$A$3,AH99,"Unknown Option Type")))/((AI99+0.01%)*SQRT(AE99)),0,1,TRUE)))+(((AI99+0.01%)*SQRT(AE99))*(NORMDIST((IF('Adjustment Surface'!$C$2='Data Validation'!$A$2,AH99,IF('Adjustment Surface'!$C$2='Data Validation'!$A$3,AG99,"Unknown Option Type"))-IF('Adjustment Surface'!$C$2='Data Validation'!$A$2,AG99,IF('Adjustment Surface'!$C$2='Data Validation'!$A$3,AH99,"Unknown Option Type")))/((AI99+0.01%)*SQRT(AE99)),0,1,FALSE))))*AJ99*(AD99/360))-(AL99/AF99))*AF99)*AJ99))</f>
        <v/>
      </c>
      <c r="AP99" s="15" t="str">
        <f>IF(AA99="","",SUM(AO$4:AO99))</f>
        <v/>
      </c>
      <c r="AQ99" s="15"/>
      <c r="AR99" s="20"/>
      <c r="AT99" s="4" t="str">
        <f>IF(AU98=MAX('Adjustment Surface'!$C$14:$F$14),"",AU98)</f>
        <v/>
      </c>
      <c r="AU99" s="4" t="str">
        <f>IF(AT99="","",IF(AT99&lt;EDATE('Adjustment Surface'!$C$6,DATEDIF('Adjustment Surface'!$C$6,MAX('Adjustment Surface'!$C$14:$F$14),"M")),EDATE(AT$5,COUNT(AT$5:AT99)),IF(AT99=EDATE('Adjustment Surface'!$C$6,DATEDIF('Adjustment Surface'!$C$6,MAX('Adjustment Surface'!$C$14:$F$14),"M")),MAX('Adjustment Surface'!$C$14:$F$14),EDATE('Adjustment Surface'!$C$6,DATEDIF('Adjustment Surface'!$C$6,MAX('Adjustment Surface'!$C$14:$F$14),"M")))))</f>
        <v/>
      </c>
      <c r="AV99" s="3" t="str">
        <f t="shared" si="8"/>
        <v/>
      </c>
      <c r="AW99" s="5" t="str">
        <f>IF(AS99="","",(AU99-'Rate &amp; Vol Update'!$C$2)/360)</f>
        <v/>
      </c>
      <c r="AX99" s="15" t="str">
        <f>IF(AS99="","",IF('Adjustment Surface'!$C$3='Data Validation'!$C$2,'Adjustment Surface'!$C$4,_xlfn.IFNA(IF(INDEX(Schedules!$E$3:$E$123,MATCH('Bachelier Model'!AT99,Schedules!$B$3:$B$123,0))="",AX98,INDEX(Schedules!$E$3:$E$123,MATCH('Bachelier Model'!AT99,Schedules!$B$3:$B$123,0))),AX98)))</f>
        <v/>
      </c>
      <c r="AY99" s="16" t="str">
        <f>IF(AS99="","",'Adjustment Surface'!B$16)</f>
        <v/>
      </c>
      <c r="AZ99" s="16" t="str" cm="1">
        <f t="array" ref="AZ99">IF(AS99="","",FORECAST(AT99,INDEX('Rate &amp; Vol Update'!$C$6:$C$127,MATCH(INDEX('Rate &amp; Vol Update'!$B$6:$B$127,MATCH(AT99,'Rate &amp; Vol Update'!$B$6:$B$127,1)),'Rate &amp; Vol Update'!$B$6:$B$127,0)+IF('Adjustment Surface'!$C$11='Data Validation'!$E$3,-1,0)):INDEX('Rate &amp; Vol Update'!$C$6:$C$127,MATCH(INDEX('Rate &amp; Vol Update'!$B$6:$B$127,MATCH(AT99,'Rate &amp; Vol Update'!$B$6:$B$127,1)+1),'Rate &amp; Vol Update'!$B$6:$B$127,0)+IF('Adjustment Surface'!$C$11='Data Validation'!$E$3,-1,0)),INDEX('Rate &amp; Vol Update'!$B$6:$B$127,MATCH(AT99,'Rate &amp; Vol Update'!$B$6:$B$127,1)):INDEX('Rate &amp; Vol Update'!$B$6:$B$127,MATCH(AT99,'Rate &amp; Vol Update'!$B$6:$B$127,1)+1))/100)</f>
        <v/>
      </c>
      <c r="BA99" s="16" t="str" cm="1">
        <f t="array" ref="BA99">IF(AS99="","",IF(AT99&lt;'Rate &amp; Vol Update'!$C$2,0.001%,(1/((INDEX('Rate &amp; Vol Update'!$E$6:$Z$6,1,MATCH(AY99,'Rate &amp; Vol Update'!$E$6:$Z$6,1)+1)-INDEX('Rate &amp; Vol Update'!$E$6:$Z$6,1,MATCH(AY99,'Rate &amp; Vol Update'!$E$6:$Z$6,1)))*(INDEX('Rate &amp; Vol Update'!$B$8:$B$127,MATCH(AT99,'Rate &amp; Vol Update'!$B$8:$B$127,1)+1)-INDEX('Rate &amp; Vol Update'!$B$8:$B$127,MATCH(AT99,'Rate &amp; Vol Update'!$B$8:$B$127,1))))*(INDEX('Rate &amp; Vol Update'!$E$8:$Z$127,MATCH(INDEX('Rate &amp; Vol Update'!$B$8:$B$127,MATCH(AT99,'Rate &amp; Vol Update'!$B$8:$B$127,1)),'Rate &amp; Vol Update'!$B$8:$B$127,0),MATCH(INDEX('Rate &amp; Vol Update'!$E$6:$Z$6,1,MATCH(AY99,'Rate &amp; Vol Update'!$E$6:$Z$6,1)),'Rate &amp; Vol Update'!$E$6:$Z$6,0))*(INDEX('Rate &amp; Vol Update'!$E$6:$Z$6,1,MATCH(AY99,'Rate &amp; Vol Update'!$E$6:$Z$6,1)+1)-AY99)*(INDEX('Rate &amp; Vol Update'!$B$8:$B$127,MATCH(AT99,'Rate &amp; Vol Update'!$B$8:$B$127,1)+1)-AT99)+INDEX('Rate &amp; Vol Update'!$E$8:$Z$127,MATCH(INDEX('Rate &amp; Vol Update'!$B$8:$B$127,MATCH(AT99,'Rate &amp; Vol Update'!$B$8:$B$127,1)),'Rate &amp; Vol Update'!$B$8:$B$127,0),MATCH(INDEX('Rate &amp; Vol Update'!$E$6:$Z$6,1,MATCH(AY99,'Rate &amp; Vol Update'!$E$6:$Z$6,1)+1),'Rate &amp; Vol Update'!$E$6:$Z$6,0))*(AY99-INDEX('Rate &amp; Vol Update'!$E$6:$Z$6,1,MATCH(AY99,'Rate &amp; Vol Update'!$E$6:$Z$6,1)))*(INDEX('Rate &amp; Vol Update'!$B$8:$B$127,MATCH(AT99,'Rate &amp; Vol Update'!$B$8:$B$127,1)+1)-AT99)+INDEX('Rate &amp; Vol Update'!$E$8:$Z$127,MATCH(INDEX('Rate &amp; Vol Update'!$B$8:$B$127,MATCH(AT99,'Rate &amp; Vol Update'!$B$8:$B$127,1)+1),'Rate &amp; Vol Update'!$B$8:$B$127,0),MATCH(INDEX('Rate &amp; Vol Update'!$E$6:$Z$6,1,MATCH(AY99,'Rate &amp; Vol Update'!$E$6:$Z$6,1)),'Rate &amp; Vol Update'!$E$6:$Z$6,0))*(INDEX('Rate &amp; Vol Update'!$E$6:$Z$6,1,MATCH(AY99,'Rate &amp; Vol Update'!$E$6:$Z$6,1)+1)-AY99)*(AT99-INDEX('Rate &amp; Vol Update'!$B$8:$B$127,MATCH(AT99,'Rate &amp; Vol Update'!$B$8:$B$127,1)))+INDEX('Rate &amp; Vol Update'!$E$8:$Z$127,MATCH(INDEX('Rate &amp; Vol Update'!$B$8:$B$127,MATCH(AT99,'Rate &amp; Vol Update'!$B$8:$B$127,1)+1),'Rate &amp; Vol Update'!$B$8:$B$127,0),MATCH(INDEX('Rate &amp; Vol Update'!$E$6:$Z$6,1,MATCH(AY99,'Rate &amp; Vol Update'!$E$6:$Z$6,1)+1),'Rate &amp; Vol Update'!$E$6:$Z$6,0))*(AY99-INDEX('Rate &amp; Vol Update'!$E$6:$Z$6,1,MATCH(AY99,'Rate &amp; Vol Update'!$E$6:$Z$6,1)))*(AT99-INDEX('Rate &amp; Vol Update'!$B$8:$B$127,MATCH(AT99,'Rate &amp; Vol Update'!$B$8:$B$127,1)))))*0.01%))</f>
        <v/>
      </c>
      <c r="BB99" s="5" t="str">
        <f>IF(AS99="","",1/((1+AZ99)^((AU99-'Rate &amp; Vol Update'!$C$2)/360)))</f>
        <v/>
      </c>
      <c r="BD99" s="15" t="str">
        <f>IF(AS99="","",IF(AT99&lt;'Rate &amp; Vol Update'!$C$2,MAX(0,AZ99-AY99)*(AV99/360)*AX99,(((IF('Adjustment Surface'!$C$2='Data Validation'!$A$2,AZ99,IF('Adjustment Surface'!$C$2='Data Validation'!$A$3,AY99,"Unknown Option Type"))-IF('Adjustment Surface'!$C$2='Data Validation'!$A$2,AY99,IF('Adjustment Surface'!$C$2='Data Validation'!$A$3,AZ99,"Unknown Option Type")))*(NORMDIST((IF('Adjustment Surface'!$C$2='Data Validation'!$A$2,AZ99,IF('Adjustment Surface'!$C$2='Data Validation'!$A$3,AY99,"Unknown Option Type"))-IF('Adjustment Surface'!$C$2='Data Validation'!$A$2,AY99,IF('Adjustment Surface'!$C$2='Data Validation'!$A$3,AZ99,"Unknown Option Type")))/(BA99*SQRT(AW99)),0,1,TRUE)))+((BA99*SQRT(AW99))*(NORMDIST((IF('Adjustment Surface'!$C$2='Data Validation'!$A$2,AZ99,IF('Adjustment Surface'!$C$2='Data Validation'!$A$3,AY99,"Unknown Option Type"))-IF('Adjustment Surface'!$C$2='Data Validation'!$A$2,AY99,IF('Adjustment Surface'!$C$2='Data Validation'!$A$3,AZ99,"Unknown Option Type")))/(BA99*SQRT(AW99)),0,1,FALSE))))*BB99*(AV99/360)*AX99))</f>
        <v/>
      </c>
      <c r="BE99" s="15" t="str">
        <f>IF(AS99="","",SUM(BD$4:BD99))</f>
        <v/>
      </c>
      <c r="BG99" s="15" t="str">
        <f>IF(AS99="","",IF(AT99&lt;'Rate &amp; Vol Update'!$C$2,0,((((((IF('Adjustment Surface'!$C$2='Data Validation'!$A$2,AZ99,IF('Adjustment Surface'!$C$2='Data Validation'!$A$3,AY99,"Unknown Option Type"))-IF('Adjustment Surface'!$C$2='Data Validation'!$A$2,AY99,IF('Adjustment Surface'!$C$2='Data Validation'!$A$3,AZ99,"Unknown Option Type")))*(NORMDIST((IF('Adjustment Surface'!$C$2='Data Validation'!$A$2,AZ99,IF('Adjustment Surface'!$C$2='Data Validation'!$A$3,AY99,"Unknown Option Type"))-IF('Adjustment Surface'!$C$2='Data Validation'!$A$2,AY99,IF('Adjustment Surface'!$C$2='Data Validation'!$A$3,AZ99,"Unknown Option Type")))/((BA99+0.01%)*SQRT(AW99)),0,1,TRUE)))+(((BA99+0.01%)*SQRT(AW99))*(NORMDIST((IF('Adjustment Surface'!$C$2='Data Validation'!$A$2,AZ99,IF('Adjustment Surface'!$C$2='Data Validation'!$A$3,AY99,"Unknown Option Type"))-IF('Adjustment Surface'!$C$2='Data Validation'!$A$2,AY99,IF('Adjustment Surface'!$C$2='Data Validation'!$A$3,AZ99,"Unknown Option Type")))/((BA99+0.01%)*SQRT(AW99)),0,1,FALSE))))*BB99*(AV99/360))-(BD99/AX99))*AX99)*BB99))</f>
        <v/>
      </c>
      <c r="BH99" s="15" t="str">
        <f>IF(AS99="","",SUM(BG$4:BG99))</f>
        <v/>
      </c>
      <c r="BI99" s="15"/>
      <c r="BJ99" s="20"/>
      <c r="BL99" s="4" t="str">
        <f>IF(BM98=MAX('Adjustment Surface'!$C$14:$F$14),"",BM98)</f>
        <v/>
      </c>
      <c r="BM99" s="4" t="str">
        <f>IF(BL99="","",IF(BL99&lt;EDATE('Adjustment Surface'!$C$6,DATEDIF('Adjustment Surface'!$C$6,MAX('Adjustment Surface'!$C$14:$F$14),"M")),EDATE(BL$5,COUNT(BL$5:BL99)),IF(BL99=EDATE('Adjustment Surface'!$C$6,DATEDIF('Adjustment Surface'!$C$6,MAX('Adjustment Surface'!$C$14:$F$14),"M")),MAX('Adjustment Surface'!$C$14:$F$14),EDATE('Adjustment Surface'!$C$6,DATEDIF('Adjustment Surface'!$C$6,MAX('Adjustment Surface'!$C$14:$F$14),"M")))))</f>
        <v/>
      </c>
      <c r="BN99" s="3" t="str">
        <f t="shared" si="9"/>
        <v/>
      </c>
      <c r="BO99" s="5" t="str">
        <f>IF(BK99="","",(BM99-'Rate &amp; Vol Update'!$C$2)/360)</f>
        <v/>
      </c>
      <c r="BP99" s="15" t="str">
        <f>IF(BK99="","",IF('Adjustment Surface'!$C$3='Data Validation'!$C$2,'Adjustment Surface'!$C$4,_xlfn.IFNA(IF(INDEX(Schedules!$E$3:$E$123,MATCH('Bachelier Model'!BL99,Schedules!$B$3:$B$123,0))="",BP98,INDEX(Schedules!$E$3:$E$123,MATCH('Bachelier Model'!BL99,Schedules!$B$3:$B$123,0))),BP98)))</f>
        <v/>
      </c>
      <c r="BQ99" s="16" t="str">
        <f>IF(BK99="","",'Adjustment Surface'!B$17)</f>
        <v/>
      </c>
      <c r="BR99" s="16" t="str" cm="1">
        <f t="array" ref="BR99">IF(BK99="","",FORECAST(BL99,INDEX('Rate &amp; Vol Update'!$C$6:$C$127,MATCH(INDEX('Rate &amp; Vol Update'!$B$6:$B$127,MATCH(BL99,'Rate &amp; Vol Update'!$B$6:$B$127,1)),'Rate &amp; Vol Update'!$B$6:$B$127,0)+IF('Adjustment Surface'!$C$11='Data Validation'!$E$3,-1,0)):INDEX('Rate &amp; Vol Update'!$C$6:$C$127,MATCH(INDEX('Rate &amp; Vol Update'!$B$6:$B$127,MATCH(BL99,'Rate &amp; Vol Update'!$B$6:$B$127,1)+1),'Rate &amp; Vol Update'!$B$6:$B$127,0)+IF('Adjustment Surface'!$C$11='Data Validation'!$E$3,-1,0)),INDEX('Rate &amp; Vol Update'!$B$6:$B$127,MATCH(BL99,'Rate &amp; Vol Update'!$B$6:$B$127,1)):INDEX('Rate &amp; Vol Update'!$B$6:$B$127,MATCH(BL99,'Rate &amp; Vol Update'!$B$6:$B$127,1)+1))/100)</f>
        <v/>
      </c>
      <c r="BS99" s="16" t="str" cm="1">
        <f t="array" ref="BS99">IF(BK99="","",IF(BL99&lt;'Rate &amp; Vol Update'!$C$2,0.001%,(1/((INDEX('Rate &amp; Vol Update'!$E$6:$Z$6,1,MATCH(BQ99,'Rate &amp; Vol Update'!$E$6:$Z$6,1)+1)-INDEX('Rate &amp; Vol Update'!$E$6:$Z$6,1,MATCH(BQ99,'Rate &amp; Vol Update'!$E$6:$Z$6,1)))*(INDEX('Rate &amp; Vol Update'!$B$8:$B$127,MATCH(BL99,'Rate &amp; Vol Update'!$B$8:$B$127,1)+1)-INDEX('Rate &amp; Vol Update'!$B$8:$B$127,MATCH(BL99,'Rate &amp; Vol Update'!$B$8:$B$127,1))))*(INDEX('Rate &amp; Vol Update'!$E$8:$Z$127,MATCH(INDEX('Rate &amp; Vol Update'!$B$8:$B$127,MATCH(BL99,'Rate &amp; Vol Update'!$B$8:$B$127,1)),'Rate &amp; Vol Update'!$B$8:$B$127,0),MATCH(INDEX('Rate &amp; Vol Update'!$E$6:$Z$6,1,MATCH(BQ99,'Rate &amp; Vol Update'!$E$6:$Z$6,1)),'Rate &amp; Vol Update'!$E$6:$Z$6,0))*(INDEX('Rate &amp; Vol Update'!$E$6:$Z$6,1,MATCH(BQ99,'Rate &amp; Vol Update'!$E$6:$Z$6,1)+1)-BQ99)*(INDEX('Rate &amp; Vol Update'!$B$8:$B$127,MATCH(BL99,'Rate &amp; Vol Update'!$B$8:$B$127,1)+1)-BL99)+INDEX('Rate &amp; Vol Update'!$E$8:$Z$127,MATCH(INDEX('Rate &amp; Vol Update'!$B$8:$B$127,MATCH(BL99,'Rate &amp; Vol Update'!$B$8:$B$127,1)),'Rate &amp; Vol Update'!$B$8:$B$127,0),MATCH(INDEX('Rate &amp; Vol Update'!$E$6:$Z$6,1,MATCH(BQ99,'Rate &amp; Vol Update'!$E$6:$Z$6,1)+1),'Rate &amp; Vol Update'!$E$6:$Z$6,0))*(BQ99-INDEX('Rate &amp; Vol Update'!$E$6:$Z$6,1,MATCH(BQ99,'Rate &amp; Vol Update'!$E$6:$Z$6,1)))*(INDEX('Rate &amp; Vol Update'!$B$8:$B$127,MATCH(BL99,'Rate &amp; Vol Update'!$B$8:$B$127,1)+1)-BL99)+INDEX('Rate &amp; Vol Update'!$E$8:$Z$127,MATCH(INDEX('Rate &amp; Vol Update'!$B$8:$B$127,MATCH(BL99,'Rate &amp; Vol Update'!$B$8:$B$127,1)+1),'Rate &amp; Vol Update'!$B$8:$B$127,0),MATCH(INDEX('Rate &amp; Vol Update'!$E$6:$Z$6,1,MATCH(BQ99,'Rate &amp; Vol Update'!$E$6:$Z$6,1)),'Rate &amp; Vol Update'!$E$6:$Z$6,0))*(INDEX('Rate &amp; Vol Update'!$E$6:$Z$6,1,MATCH(BQ99,'Rate &amp; Vol Update'!$E$6:$Z$6,1)+1)-BQ99)*(BL99-INDEX('Rate &amp; Vol Update'!$B$8:$B$127,MATCH(BL99,'Rate &amp; Vol Update'!$B$8:$B$127,1)))+INDEX('Rate &amp; Vol Update'!$E$8:$Z$127,MATCH(INDEX('Rate &amp; Vol Update'!$B$8:$B$127,MATCH(BL99,'Rate &amp; Vol Update'!$B$8:$B$127,1)+1),'Rate &amp; Vol Update'!$B$8:$B$127,0),MATCH(INDEX('Rate &amp; Vol Update'!$E$6:$Z$6,1,MATCH(BQ99,'Rate &amp; Vol Update'!$E$6:$Z$6,1)+1),'Rate &amp; Vol Update'!$E$6:$Z$6,0))*(BQ99-INDEX('Rate &amp; Vol Update'!$E$6:$Z$6,1,MATCH(BQ99,'Rate &amp; Vol Update'!$E$6:$Z$6,1)))*(BL99-INDEX('Rate &amp; Vol Update'!$B$8:$B$127,MATCH(BL99,'Rate &amp; Vol Update'!$B$8:$B$127,1)))))*0.01%))</f>
        <v/>
      </c>
      <c r="BT99" s="5" t="str">
        <f>IF(BK99="","",1/((1+BR99)^((BM99-'Rate &amp; Vol Update'!$C$2)/360)))</f>
        <v/>
      </c>
      <c r="BV99" s="15" t="str">
        <f>IF(BK99="","",IF(BL99&lt;'Rate &amp; Vol Update'!$C$2,MAX(0,BR99-BQ99)*(BN99/360)*BP99,(((IF('Adjustment Surface'!$C$2='Data Validation'!$A$2,BR99,IF('Adjustment Surface'!$C$2='Data Validation'!$A$3,BQ99,"Unknown Option Type"))-IF('Adjustment Surface'!$C$2='Data Validation'!$A$2,BQ99,IF('Adjustment Surface'!$C$2='Data Validation'!$A$3,BR99,"Unknown Option Type")))*(NORMDIST((IF('Adjustment Surface'!$C$2='Data Validation'!$A$2,BR99,IF('Adjustment Surface'!$C$2='Data Validation'!$A$3,BQ99,"Unknown Option Type"))-IF('Adjustment Surface'!$C$2='Data Validation'!$A$2,BQ99,IF('Adjustment Surface'!$C$2='Data Validation'!$A$3,BR99,"Unknown Option Type")))/(BS99*SQRT(BO99)),0,1,TRUE)))+((BS99*SQRT(BO99))*(NORMDIST((IF('Adjustment Surface'!$C$2='Data Validation'!$A$2,BR99,IF('Adjustment Surface'!$C$2='Data Validation'!$A$3,BQ99,"Unknown Option Type"))-IF('Adjustment Surface'!$C$2='Data Validation'!$A$2,BQ99,IF('Adjustment Surface'!$C$2='Data Validation'!$A$3,BR99,"Unknown Option Type")))/(BS99*SQRT(BO99)),0,1,FALSE))))*BT99*(BN99/360)*BP99))</f>
        <v/>
      </c>
      <c r="BW99" s="15" t="str">
        <f>IF(BK99="","",SUM(BV$4:BV99))</f>
        <v/>
      </c>
      <c r="BY99" s="15" t="str">
        <f>IF(BK99="","",IF(BL99&lt;'Rate &amp; Vol Update'!$C$2,0,((((((IF('Adjustment Surface'!$C$2='Data Validation'!$A$2,BR99,IF('Adjustment Surface'!$C$2='Data Validation'!$A$3,BQ99,"Unknown Option Type"))-IF('Adjustment Surface'!$C$2='Data Validation'!$A$2,BQ99,IF('Adjustment Surface'!$C$2='Data Validation'!$A$3,BR99,"Unknown Option Type")))*(NORMDIST((IF('Adjustment Surface'!$C$2='Data Validation'!$A$2,BR99,IF('Adjustment Surface'!$C$2='Data Validation'!$A$3,BQ99,"Unknown Option Type"))-IF('Adjustment Surface'!$C$2='Data Validation'!$A$2,BQ99,IF('Adjustment Surface'!$C$2='Data Validation'!$A$3,BR99,"Unknown Option Type")))/((BS99+0.01%)*SQRT(BO99)),0,1,TRUE)))+(((BS99+0.01%)*SQRT(BO99))*(NORMDIST((IF('Adjustment Surface'!$C$2='Data Validation'!$A$2,BR99,IF('Adjustment Surface'!$C$2='Data Validation'!$A$3,BQ99,"Unknown Option Type"))-IF('Adjustment Surface'!$C$2='Data Validation'!$A$2,BQ99,IF('Adjustment Surface'!$C$2='Data Validation'!$A$3,BR99,"Unknown Option Type")))/((BS99+0.01%)*SQRT(BO99)),0,1,FALSE))))*BT99*(BN99/360))-(BV99/BP99))*BP99)*BT99))</f>
        <v/>
      </c>
      <c r="BZ99" s="15" t="str">
        <f>IF(BK99="","",SUM(BY$4:BY99))</f>
        <v/>
      </c>
      <c r="CA99" s="15"/>
      <c r="CB99" s="20"/>
      <c r="CD99" s="4" t="str">
        <f>IF(CE98=MAX('Adjustment Surface'!$C$14:$F$14),"",CE98)</f>
        <v/>
      </c>
      <c r="CE99" s="4" t="str">
        <f>IF(CD99="","",IF(CD99&lt;EDATE('Adjustment Surface'!$C$6,DATEDIF('Adjustment Surface'!$C$6,MAX('Adjustment Surface'!$C$14:$F$14),"M")),EDATE(CD$5,COUNT(CD$5:CD99)),IF(CD99=EDATE('Adjustment Surface'!$C$6,DATEDIF('Adjustment Surface'!$C$6,MAX('Adjustment Surface'!$C$14:$F$14),"M")),MAX('Adjustment Surface'!$C$14:$F$14),EDATE('Adjustment Surface'!$C$6,DATEDIF('Adjustment Surface'!$C$6,MAX('Adjustment Surface'!$C$14:$F$14),"M")))))</f>
        <v/>
      </c>
      <c r="CF99" s="3" t="str">
        <f t="shared" si="10"/>
        <v/>
      </c>
      <c r="CG99" s="5" t="str">
        <f>IF(CC99="","",(CE99-'Rate &amp; Vol Update'!$C$2)/360)</f>
        <v/>
      </c>
      <c r="CH99" s="15" t="str">
        <f>IF(CC99="","",IF('Adjustment Surface'!$C$3='Data Validation'!$C$2,'Adjustment Surface'!$C$4,_xlfn.IFNA(IF(INDEX(Schedules!$E$3:$E$123,MATCH('Bachelier Model'!CD99,Schedules!$B$3:$B$123,0))="",CH98,INDEX(Schedules!$E$3:$E$123,MATCH('Bachelier Model'!CD99,Schedules!$B$3:$B$123,0))),CH98)))</f>
        <v/>
      </c>
      <c r="CI99" s="16" t="str">
        <f>IF(CC99="","",'Adjustment Surface'!B$18)</f>
        <v/>
      </c>
      <c r="CJ99" s="16" t="str" cm="1">
        <f t="array" ref="CJ99">IF(CC99="","",FORECAST(CD99,INDEX('Rate &amp; Vol Update'!$C$6:$C$127,MATCH(INDEX('Rate &amp; Vol Update'!$B$6:$B$127,MATCH(CD99,'Rate &amp; Vol Update'!$B$6:$B$127,1)),'Rate &amp; Vol Update'!$B$6:$B$127,0)+IF('Adjustment Surface'!$C$11='Data Validation'!$E$3,-1,0)):INDEX('Rate &amp; Vol Update'!$C$6:$C$127,MATCH(INDEX('Rate &amp; Vol Update'!$B$6:$B$127,MATCH(CD99,'Rate &amp; Vol Update'!$B$6:$B$127,1)+1),'Rate &amp; Vol Update'!$B$6:$B$127,0)+IF('Adjustment Surface'!$C$11='Data Validation'!$E$3,-1,0)),INDEX('Rate &amp; Vol Update'!$B$6:$B$127,MATCH(CD99,'Rate &amp; Vol Update'!$B$6:$B$127,1)):INDEX('Rate &amp; Vol Update'!$B$6:$B$127,MATCH(CD99,'Rate &amp; Vol Update'!$B$6:$B$127,1)+1))/100)</f>
        <v/>
      </c>
      <c r="CK99" s="16" t="str" cm="1">
        <f t="array" ref="CK99">IF(CC99="","",IF(CD99&lt;'Rate &amp; Vol Update'!$C$2,0.001%,(1/((INDEX('Rate &amp; Vol Update'!$E$6:$Z$6,1,MATCH(CI99,'Rate &amp; Vol Update'!$E$6:$Z$6,1)+1)-INDEX('Rate &amp; Vol Update'!$E$6:$Z$6,1,MATCH(CI99,'Rate &amp; Vol Update'!$E$6:$Z$6,1)))*(INDEX('Rate &amp; Vol Update'!$B$8:$B$127,MATCH(CD99,'Rate &amp; Vol Update'!$B$8:$B$127,1)+1)-INDEX('Rate &amp; Vol Update'!$B$8:$B$127,MATCH(CD99,'Rate &amp; Vol Update'!$B$8:$B$127,1))))*(INDEX('Rate &amp; Vol Update'!$E$8:$Z$127,MATCH(INDEX('Rate &amp; Vol Update'!$B$8:$B$127,MATCH(CD99,'Rate &amp; Vol Update'!$B$8:$B$127,1)),'Rate &amp; Vol Update'!$B$8:$B$127,0),MATCH(INDEX('Rate &amp; Vol Update'!$E$6:$Z$6,1,MATCH(CI99,'Rate &amp; Vol Update'!$E$6:$Z$6,1)),'Rate &amp; Vol Update'!$E$6:$Z$6,0))*(INDEX('Rate &amp; Vol Update'!$E$6:$Z$6,1,MATCH(CI99,'Rate &amp; Vol Update'!$E$6:$Z$6,1)+1)-CI99)*(INDEX('Rate &amp; Vol Update'!$B$8:$B$127,MATCH(CD99,'Rate &amp; Vol Update'!$B$8:$B$127,1)+1)-CD99)+INDEX('Rate &amp; Vol Update'!$E$8:$Z$127,MATCH(INDEX('Rate &amp; Vol Update'!$B$8:$B$127,MATCH(CD99,'Rate &amp; Vol Update'!$B$8:$B$127,1)),'Rate &amp; Vol Update'!$B$8:$B$127,0),MATCH(INDEX('Rate &amp; Vol Update'!$E$6:$Z$6,1,MATCH(CI99,'Rate &amp; Vol Update'!$E$6:$Z$6,1)+1),'Rate &amp; Vol Update'!$E$6:$Z$6,0))*(CI99-INDEX('Rate &amp; Vol Update'!$E$6:$Z$6,1,MATCH(CI99,'Rate &amp; Vol Update'!$E$6:$Z$6,1)))*(INDEX('Rate &amp; Vol Update'!$B$8:$B$127,MATCH(CD99,'Rate &amp; Vol Update'!$B$8:$B$127,1)+1)-CD99)+INDEX('Rate &amp; Vol Update'!$E$8:$Z$127,MATCH(INDEX('Rate &amp; Vol Update'!$B$8:$B$127,MATCH(CD99,'Rate &amp; Vol Update'!$B$8:$B$127,1)+1),'Rate &amp; Vol Update'!$B$8:$B$127,0),MATCH(INDEX('Rate &amp; Vol Update'!$E$6:$Z$6,1,MATCH(CI99,'Rate &amp; Vol Update'!$E$6:$Z$6,1)),'Rate &amp; Vol Update'!$E$6:$Z$6,0))*(INDEX('Rate &amp; Vol Update'!$E$6:$Z$6,1,MATCH(CI99,'Rate &amp; Vol Update'!$E$6:$Z$6,1)+1)-CI99)*(CD99-INDEX('Rate &amp; Vol Update'!$B$8:$B$127,MATCH(CD99,'Rate &amp; Vol Update'!$B$8:$B$127,1)))+INDEX('Rate &amp; Vol Update'!$E$8:$Z$127,MATCH(INDEX('Rate &amp; Vol Update'!$B$8:$B$127,MATCH(CD99,'Rate &amp; Vol Update'!$B$8:$B$127,1)+1),'Rate &amp; Vol Update'!$B$8:$B$127,0),MATCH(INDEX('Rate &amp; Vol Update'!$E$6:$Z$6,1,MATCH(CI99,'Rate &amp; Vol Update'!$E$6:$Z$6,1)+1),'Rate &amp; Vol Update'!$E$6:$Z$6,0))*(CI99-INDEX('Rate &amp; Vol Update'!$E$6:$Z$6,1,MATCH(CI99,'Rate &amp; Vol Update'!$E$6:$Z$6,1)))*(CD99-INDEX('Rate &amp; Vol Update'!$B$8:$B$127,MATCH(CD99,'Rate &amp; Vol Update'!$B$8:$B$127,1)))))*0.01%))</f>
        <v/>
      </c>
      <c r="CL99" s="5" t="str">
        <f>IF(CC99="","",1/((1+CJ99)^((CE99-'Rate &amp; Vol Update'!$C$2)/360)))</f>
        <v/>
      </c>
      <c r="CN99" s="15" t="str">
        <f>IF(CC99="","",IF(CD99&lt;'Rate &amp; Vol Update'!$C$2,MAX(0,CJ99-CI99)*(CF99/360)*CH99,(((IF('Adjustment Surface'!$C$2='Data Validation'!$A$2,CJ99,IF('Adjustment Surface'!$C$2='Data Validation'!$A$3,CI99,"Unknown Option Type"))-IF('Adjustment Surface'!$C$2='Data Validation'!$A$2,CI99,IF('Adjustment Surface'!$C$2='Data Validation'!$A$3,CJ99,"Unknown Option Type")))*(NORMDIST((IF('Adjustment Surface'!$C$2='Data Validation'!$A$2,CJ99,IF('Adjustment Surface'!$C$2='Data Validation'!$A$3,CI99,"Unknown Option Type"))-IF('Adjustment Surface'!$C$2='Data Validation'!$A$2,CI99,IF('Adjustment Surface'!$C$2='Data Validation'!$A$3,CJ99,"Unknown Option Type")))/(CK99*SQRT(CG99)),0,1,TRUE)))+((CK99*SQRT(CG99))*(NORMDIST((IF('Adjustment Surface'!$C$2='Data Validation'!$A$2,CJ99,IF('Adjustment Surface'!$C$2='Data Validation'!$A$3,CI99,"Unknown Option Type"))-IF('Adjustment Surface'!$C$2='Data Validation'!$A$2,CI99,IF('Adjustment Surface'!$C$2='Data Validation'!$A$3,CJ99,"Unknown Option Type")))/(CK99*SQRT(CG99)),0,1,FALSE))))*CL99*(CF99/360)*CH99))</f>
        <v/>
      </c>
      <c r="CO99" s="15" t="str">
        <f>IF(CC99="","",SUM(CN$4:CN99))</f>
        <v/>
      </c>
      <c r="CQ99" s="15" t="str">
        <f>IF(CC99="","",IF(CD99&lt;'Rate &amp; Vol Update'!$C$2,0,((((((IF('Adjustment Surface'!$C$2='Data Validation'!$A$2,CJ99,IF('Adjustment Surface'!$C$2='Data Validation'!$A$3,CI99,"Unknown Option Type"))-IF('Adjustment Surface'!$C$2='Data Validation'!$A$2,CI99,IF('Adjustment Surface'!$C$2='Data Validation'!$A$3,CJ99,"Unknown Option Type")))*(NORMDIST((IF('Adjustment Surface'!$C$2='Data Validation'!$A$2,CJ99,IF('Adjustment Surface'!$C$2='Data Validation'!$A$3,CI99,"Unknown Option Type"))-IF('Adjustment Surface'!$C$2='Data Validation'!$A$2,CI99,IF('Adjustment Surface'!$C$2='Data Validation'!$A$3,CJ99,"Unknown Option Type")))/((CK99+0.01%)*SQRT(CG99)),0,1,TRUE)))+(((CK99+0.01%)*SQRT(CG99))*(NORMDIST((IF('Adjustment Surface'!$C$2='Data Validation'!$A$2,CJ99,IF('Adjustment Surface'!$C$2='Data Validation'!$A$3,CI99,"Unknown Option Type"))-IF('Adjustment Surface'!$C$2='Data Validation'!$A$2,CI99,IF('Adjustment Surface'!$C$2='Data Validation'!$A$3,CJ99,"Unknown Option Type")))/((CK99+0.01%)*SQRT(CG99)),0,1,FALSE))))*CL99*(CF99/360))-(CN99/CH99))*CH99)*CL99))</f>
        <v/>
      </c>
      <c r="CR99" s="15" t="str">
        <f>IF(CC99="","",SUM(CQ$4:CQ99))</f>
        <v/>
      </c>
    </row>
    <row r="100" spans="7:96" x14ac:dyDescent="0.25">
      <c r="G100" s="28"/>
      <c r="J100" s="4" t="str">
        <f>IF(K99='Adjustment Surface'!C$8,"",K99)</f>
        <v/>
      </c>
      <c r="K100" s="4" t="str">
        <f>IF(J100="","",IF(J100&lt;'Adjustment Surface'!C$7,EDATE(J$5,COUNT(J$5:J100)),IF(J100='Adjustment Surface'!C$7,'Adjustment Surface'!C$8,'Adjustment Surface'!C$7)))</f>
        <v/>
      </c>
      <c r="L100" s="3" t="str">
        <f t="shared" si="6"/>
        <v/>
      </c>
      <c r="M100" s="5" t="str">
        <f>IF(I100="","",(K100-'Rate &amp; Vol Update'!$C$2)/360)</f>
        <v/>
      </c>
      <c r="N100" s="15" t="str">
        <f>IF(I100="","",IF('Adjustment Surface'!C$3='Data Validation'!$C$2,'Adjustment Surface'!C$4,IF(INDEX(Schedules!$E$3:$E$123,MATCH('Bachelier Model'!J100,Schedules!$B$3:$B$123,0))="",N99,INDEX(Schedules!$E$3:$E$123,MATCH('Bachelier Model'!J100,Schedules!$B$3:$B$123,0)))))</f>
        <v/>
      </c>
      <c r="O100" s="16" t="str">
        <f>IF(I100="","",IF('Adjustment Surface'!C$9='Data Validation'!$D$2,'Adjustment Surface'!C$10,IF(INDEX(Schedules!$H$3:$H$123,MATCH('Bachelier Model'!J100,Schedules!$B$3:$B$123,0))="",O99,INDEX(Schedules!$H$3:$H$123,MATCH('Bachelier Model'!J100,Schedules!$B$3:$B$123,0)))))</f>
        <v/>
      </c>
      <c r="P100" s="16" t="str" cm="1">
        <f t="array" ref="P100">IF(I100="","",FORECAST(J100,INDEX('Rate &amp; Vol Update'!$C$6:$C$127,MATCH(INDEX('Rate &amp; Vol Update'!$B$6:$B$127,MATCH(J100,'Rate &amp; Vol Update'!$B$6:$B$127,1)),'Rate &amp; Vol Update'!$B$6:$B$127,0)+IF('Adjustment Surface'!C$11='Data Validation'!$E$3,-1,0)):INDEX('Rate &amp; Vol Update'!$C$6:$C$127,MATCH(INDEX('Rate &amp; Vol Update'!$B$6:$B$127,MATCH(J100,'Rate &amp; Vol Update'!$B$6:$B$127,1)+1),'Rate &amp; Vol Update'!$B$6:$B$127,0)+IF('Adjustment Surface'!C$11='Data Validation'!$E$3,-1,0)),INDEX('Rate &amp; Vol Update'!$B$6:$B$127,MATCH(J100,'Rate &amp; Vol Update'!$B$6:$B$127,1)):INDEX('Rate &amp; Vol Update'!$B$6:$B$127,MATCH(J100,'Rate &amp; Vol Update'!$B$6:$B$127,1)+1))/100)</f>
        <v/>
      </c>
      <c r="Q100" s="16" t="str" cm="1">
        <f t="array" ref="Q100">IF(I100="","",IF(J100&lt;'Rate &amp; Vol Update'!$C$2,0.001%,(1/((INDEX('Rate &amp; Vol Update'!$E$6:$Z$6,1,MATCH(O100,'Rate &amp; Vol Update'!$E$6:$Z$6,1)+1)-INDEX('Rate &amp; Vol Update'!$E$6:$Z$6,1,MATCH(O100,'Rate &amp; Vol Update'!$E$6:$Z$6,1)))*(INDEX('Rate &amp; Vol Update'!$B$8:$B$127,MATCH(J100,'Rate &amp; Vol Update'!$B$8:$B$127,1)+1)-INDEX('Rate &amp; Vol Update'!$B$8:$B$127,MATCH(J100,'Rate &amp; Vol Update'!$B$8:$B$127,1))))*(INDEX('Rate &amp; Vol Update'!$E$8:$Z$127,MATCH(INDEX('Rate &amp; Vol Update'!$B$8:$B$127,MATCH(J100,'Rate &amp; Vol Update'!$B$8:$B$127,1)),'Rate &amp; Vol Update'!$B$8:$B$127,0),MATCH(INDEX('Rate &amp; Vol Update'!$E$6:$Z$6,1,MATCH(O100,'Rate &amp; Vol Update'!$E$6:$Z$6,1)),'Rate &amp; Vol Update'!$E$6:$Z$6,0))*(INDEX('Rate &amp; Vol Update'!$E$6:$Z$6,1,MATCH(O100,'Rate &amp; Vol Update'!$E$6:$Z$6,1)+1)-O100)*(INDEX('Rate &amp; Vol Update'!$B$8:$B$127,MATCH(J100,'Rate &amp; Vol Update'!$B$8:$B$127,1)+1)-J100)+INDEX('Rate &amp; Vol Update'!$E$8:$Z$127,MATCH(INDEX('Rate &amp; Vol Update'!$B$8:$B$127,MATCH(J100,'Rate &amp; Vol Update'!$B$8:$B$127,1)),'Rate &amp; Vol Update'!$B$8:$B$127,0),MATCH(INDEX('Rate &amp; Vol Update'!$E$6:$Z$6,1,MATCH(O100,'Rate &amp; Vol Update'!$E$6:$Z$6,1)+1),'Rate &amp; Vol Update'!$E$6:$Z$6,0))*(O100-INDEX('Rate &amp; Vol Update'!$E$6:$Z$6,1,MATCH(O100,'Rate &amp; Vol Update'!$E$6:$Z$6,1)))*(INDEX('Rate &amp; Vol Update'!$B$8:$B$127,MATCH(J100,'Rate &amp; Vol Update'!$B$8:$B$127,1)+1)-J100)+INDEX('Rate &amp; Vol Update'!$E$8:$Z$127,MATCH(INDEX('Rate &amp; Vol Update'!$B$8:$B$127,MATCH(J100,'Rate &amp; Vol Update'!$B$8:$B$127,1)+1),'Rate &amp; Vol Update'!$B$8:$B$127,0),MATCH(INDEX('Rate &amp; Vol Update'!$E$6:$Z$6,1,MATCH(O100,'Rate &amp; Vol Update'!$E$6:$Z$6,1)),'Rate &amp; Vol Update'!$E$6:$Z$6,0))*(INDEX('Rate &amp; Vol Update'!$E$6:$Z$6,1,MATCH(O100,'Rate &amp; Vol Update'!$E$6:$Z$6,1)+1)-O100)*(J100-INDEX('Rate &amp; Vol Update'!$B$8:$B$127,MATCH(J100,'Rate &amp; Vol Update'!$B$8:$B$127,1)))+INDEX('Rate &amp; Vol Update'!$E$8:$Z$127,MATCH(INDEX('Rate &amp; Vol Update'!$B$8:$B$127,MATCH(J100,'Rate &amp; Vol Update'!$B$8:$B$127,1)+1),'Rate &amp; Vol Update'!$B$8:$B$127,0),MATCH(INDEX('Rate &amp; Vol Update'!$E$6:$Z$6,1,MATCH(O100,'Rate &amp; Vol Update'!$E$6:$Z$6,1)+1),'Rate &amp; Vol Update'!$E$6:$Z$6,0))*(O100-INDEX('Rate &amp; Vol Update'!$E$6:$Z$6,1,MATCH(O100,'Rate &amp; Vol Update'!$E$6:$Z$6,1)))*(J100-INDEX('Rate &amp; Vol Update'!$B$8:$B$127,MATCH(J100,'Rate &amp; Vol Update'!$B$8:$B$127,1)))))*0.01%))</f>
        <v/>
      </c>
      <c r="R100" s="5" t="str">
        <f>IF(I100="","",1/((1+P100)^((K100-'Rate &amp; Vol Update'!$C$2)/360)))</f>
        <v/>
      </c>
      <c r="T100" s="15" t="str">
        <f>IF(I100="","",IF(J100&lt;'Rate &amp; Vol Update'!$C$2,MAX(0,P100-O100)*(L100/360)*N100,(((IF('Adjustment Surface'!C$2='Data Validation'!$A$2,P100,IF('Adjustment Surface'!C$2='Data Validation'!$A$3,O100,"Unknown Option Type"))-IF('Adjustment Surface'!C$2='Data Validation'!$A$2,O100,IF('Adjustment Surface'!C$2='Data Validation'!$A$3,P100,"Unknown Option Type")))*(NORMDIST((IF('Adjustment Surface'!C$2='Data Validation'!$A$2,P100,IF('Adjustment Surface'!C$2='Data Validation'!$A$3,O100,"Unknown Option Type"))-IF('Adjustment Surface'!C$2='Data Validation'!$A$2,O100,IF('Adjustment Surface'!C$2='Data Validation'!$A$3,P100,"Unknown Option Type")))/(Q100*SQRT(M100)),0,1,TRUE)))+((Q100*SQRT(M100))*(NORMDIST((IF('Adjustment Surface'!C$2='Data Validation'!$A$2,P100,IF('Adjustment Surface'!C$2='Data Validation'!$A$3,O100,"Unknown Option Type"))-IF('Adjustment Surface'!C$2='Data Validation'!$A$2,O100,IF('Adjustment Surface'!C$2='Data Validation'!$A$3,P100,"Unknown Option Type")))/(Q100*SQRT(M100)),0,1,FALSE))))*R100*(L100/360)*N100))</f>
        <v/>
      </c>
      <c r="U100" s="15" t="str">
        <f>IF(I100="","",SUM(T$4:T100))</f>
        <v/>
      </c>
      <c r="W100" s="15" t="str">
        <f>IF(I100="","",IF(J100&lt;'Rate &amp; Vol Update'!$C$2,0,((((((IF('Adjustment Surface'!C$2='Data Validation'!$A$2,P100,IF('Adjustment Surface'!C$2='Data Validation'!$A$3,O100,"Unknown Option Type"))-IF('Adjustment Surface'!C$2='Data Validation'!$A$2,O100,IF('Adjustment Surface'!C$2='Data Validation'!$A$3,P100,"Unknown Option Type")))*(NORMDIST((IF('Adjustment Surface'!C$2='Data Validation'!$A$2,P100,IF('Adjustment Surface'!C$2='Data Validation'!$A$3,O100,"Unknown Option Type"))-IF('Adjustment Surface'!C$2='Data Validation'!$A$2,O100,IF('Adjustment Surface'!C$2='Data Validation'!$A$3,P100,"Unknown Option Type")))/((Q100+0.01%)*SQRT(M100)),0,1,TRUE)))+(((Q100+0.01%)*SQRT(M100))*(NORMDIST((IF('Adjustment Surface'!C$2='Data Validation'!$A$2,P100,IF('Adjustment Surface'!C$2='Data Validation'!$A$3,O100,"Unknown Option Type"))-IF('Adjustment Surface'!C$2='Data Validation'!$A$2,O100,IF('Adjustment Surface'!C$2='Data Validation'!$A$3,P100,"Unknown Option Type")))/((Q100+0.01%)*SQRT(M100)),0,1,FALSE))))*R100*(L100/360))-(T100/N100))*N100)*R100))</f>
        <v/>
      </c>
      <c r="X100" s="15" t="str">
        <f>IF(I100="","",SUM(W$4:W100))</f>
        <v/>
      </c>
      <c r="Y100" s="15"/>
      <c r="Z100" s="20"/>
      <c r="AB100" s="4" t="str">
        <f>IF(AC99=MAX('Adjustment Surface'!$C$14:$F$14),"",AC99)</f>
        <v/>
      </c>
      <c r="AC100" s="4" t="str">
        <f>IF(AB100="","",IF(AB100&lt;EDATE('Adjustment Surface'!$C$6,DATEDIF('Adjustment Surface'!$C$6,MAX('Adjustment Surface'!$C$14:$F$14),"M")),EDATE(AB$5,COUNT(AB$5:AB100)),IF(AB100=EDATE('Adjustment Surface'!$C$6,DATEDIF('Adjustment Surface'!$C$6,MAX('Adjustment Surface'!$C$14:$F$14),"M")),MAX('Adjustment Surface'!$C$14:$F$14),EDATE('Adjustment Surface'!$C$6,DATEDIF('Adjustment Surface'!$C$6,MAX('Adjustment Surface'!$C$14:$F$14),"M")))))</f>
        <v/>
      </c>
      <c r="AD100" s="3" t="str">
        <f t="shared" si="7"/>
        <v/>
      </c>
      <c r="AE100" s="5" t="str">
        <f>IF(AA100="","",(AC100-'Rate &amp; Vol Update'!$C$2)/360)</f>
        <v/>
      </c>
      <c r="AF100" s="15" t="str">
        <f>IF(AA100="","",IF('Adjustment Surface'!$C$3='Data Validation'!$C$2,'Adjustment Surface'!$C$4,_xlfn.IFNA(IF(INDEX(Schedules!$E$3:$E$123,MATCH('Bachelier Model'!AB100,Schedules!$B$3:$B$123,0))="",AF99,INDEX(Schedules!$E$3:$E$123,MATCH('Bachelier Model'!AB100,Schedules!$B$3:$B$123,0))),AF99)))</f>
        <v/>
      </c>
      <c r="AG100" s="16" t="str">
        <f>IF(AA100="","",'Adjustment Surface'!B$15)</f>
        <v/>
      </c>
      <c r="AH100" s="16" t="str" cm="1">
        <f t="array" ref="AH100">IF(AA100="","",FORECAST(AB100,INDEX('Rate &amp; Vol Update'!$C$6:$C$127,MATCH(INDEX('Rate &amp; Vol Update'!$B$6:$B$127,MATCH(AB100,'Rate &amp; Vol Update'!$B$6:$B$127,1)),'Rate &amp; Vol Update'!$B$6:$B$127,0)+IF('Adjustment Surface'!$C$11='Data Validation'!$E$3,-1,0)):INDEX('Rate &amp; Vol Update'!$C$6:$C$127,MATCH(INDEX('Rate &amp; Vol Update'!$B$6:$B$127,MATCH(AB100,'Rate &amp; Vol Update'!$B$6:$B$127,1)+1),'Rate &amp; Vol Update'!$B$6:$B$127,0)+IF('Adjustment Surface'!$C$11='Data Validation'!$E$3,-1,0)),INDEX('Rate &amp; Vol Update'!$B$6:$B$127,MATCH(AB100,'Rate &amp; Vol Update'!$B$6:$B$127,1)):INDEX('Rate &amp; Vol Update'!$B$6:$B$127,MATCH(AB100,'Rate &amp; Vol Update'!$B$6:$B$127,1)+1))/100)</f>
        <v/>
      </c>
      <c r="AI100" s="16" t="str" cm="1">
        <f t="array" ref="AI100">IF(AA100="","",IF(AB100&lt;'Rate &amp; Vol Update'!$C$2,0.001%,(1/((INDEX('Rate &amp; Vol Update'!$E$6:$Z$6,1,MATCH(AG100,'Rate &amp; Vol Update'!$E$6:$Z$6,1)+1)-INDEX('Rate &amp; Vol Update'!$E$6:$Z$6,1,MATCH(AG100,'Rate &amp; Vol Update'!$E$6:$Z$6,1)))*(INDEX('Rate &amp; Vol Update'!$B$8:$B$127,MATCH(AB100,'Rate &amp; Vol Update'!$B$8:$B$127,1)+1)-INDEX('Rate &amp; Vol Update'!$B$8:$B$127,MATCH(AB100,'Rate &amp; Vol Update'!$B$8:$B$127,1))))*(INDEX('Rate &amp; Vol Update'!$E$8:$Z$127,MATCH(INDEX('Rate &amp; Vol Update'!$B$8:$B$127,MATCH(AB100,'Rate &amp; Vol Update'!$B$8:$B$127,1)),'Rate &amp; Vol Update'!$B$8:$B$127,0),MATCH(INDEX('Rate &amp; Vol Update'!$E$6:$Z$6,1,MATCH(AG100,'Rate &amp; Vol Update'!$E$6:$Z$6,1)),'Rate &amp; Vol Update'!$E$6:$Z$6,0))*(INDEX('Rate &amp; Vol Update'!$E$6:$Z$6,1,MATCH(AG100,'Rate &amp; Vol Update'!$E$6:$Z$6,1)+1)-AG100)*(INDEX('Rate &amp; Vol Update'!$B$8:$B$127,MATCH(AB100,'Rate &amp; Vol Update'!$B$8:$B$127,1)+1)-AB100)+INDEX('Rate &amp; Vol Update'!$E$8:$Z$127,MATCH(INDEX('Rate &amp; Vol Update'!$B$8:$B$127,MATCH(AB100,'Rate &amp; Vol Update'!$B$8:$B$127,1)),'Rate &amp; Vol Update'!$B$8:$B$127,0),MATCH(INDEX('Rate &amp; Vol Update'!$E$6:$Z$6,1,MATCH(AG100,'Rate &amp; Vol Update'!$E$6:$Z$6,1)+1),'Rate &amp; Vol Update'!$E$6:$Z$6,0))*(AG100-INDEX('Rate &amp; Vol Update'!$E$6:$Z$6,1,MATCH(AG100,'Rate &amp; Vol Update'!$E$6:$Z$6,1)))*(INDEX('Rate &amp; Vol Update'!$B$8:$B$127,MATCH(AB100,'Rate &amp; Vol Update'!$B$8:$B$127,1)+1)-AB100)+INDEX('Rate &amp; Vol Update'!$E$8:$Z$127,MATCH(INDEX('Rate &amp; Vol Update'!$B$8:$B$127,MATCH(AB100,'Rate &amp; Vol Update'!$B$8:$B$127,1)+1),'Rate &amp; Vol Update'!$B$8:$B$127,0),MATCH(INDEX('Rate &amp; Vol Update'!$E$6:$Z$6,1,MATCH(AG100,'Rate &amp; Vol Update'!$E$6:$Z$6,1)),'Rate &amp; Vol Update'!$E$6:$Z$6,0))*(INDEX('Rate &amp; Vol Update'!$E$6:$Z$6,1,MATCH(AG100,'Rate &amp; Vol Update'!$E$6:$Z$6,1)+1)-AG100)*(AB100-INDEX('Rate &amp; Vol Update'!$B$8:$B$127,MATCH(AB100,'Rate &amp; Vol Update'!$B$8:$B$127,1)))+INDEX('Rate &amp; Vol Update'!$E$8:$Z$127,MATCH(INDEX('Rate &amp; Vol Update'!$B$8:$B$127,MATCH(AB100,'Rate &amp; Vol Update'!$B$8:$B$127,1)+1),'Rate &amp; Vol Update'!$B$8:$B$127,0),MATCH(INDEX('Rate &amp; Vol Update'!$E$6:$Z$6,1,MATCH(AG100,'Rate &amp; Vol Update'!$E$6:$Z$6,1)+1),'Rate &amp; Vol Update'!$E$6:$Z$6,0))*(AG100-INDEX('Rate &amp; Vol Update'!$E$6:$Z$6,1,MATCH(AG100,'Rate &amp; Vol Update'!$E$6:$Z$6,1)))*(AB100-INDEX('Rate &amp; Vol Update'!$B$8:$B$127,MATCH(AB100,'Rate &amp; Vol Update'!$B$8:$B$127,1)))))*0.01%))</f>
        <v/>
      </c>
      <c r="AJ100" s="5" t="str">
        <f>IF(AA100="","",1/((1+AH100)^((AC100-'Rate &amp; Vol Update'!$C$2)/360)))</f>
        <v/>
      </c>
      <c r="AL100" s="15" t="str">
        <f>IF(AA100="","",IF(AB100&lt;'Rate &amp; Vol Update'!$C$2,MAX(0,AH100-AG100)*(AD100/360)*AF100,(((IF('Adjustment Surface'!$C$2='Data Validation'!$A$2,AH100,IF('Adjustment Surface'!$C$2='Data Validation'!$A$3,AG100,"Unknown Option Type"))-IF('Adjustment Surface'!$C$2='Data Validation'!$A$2,AG100,IF('Adjustment Surface'!$C$2='Data Validation'!$A$3,AH100,"Unknown Option Type")))*(NORMDIST((IF('Adjustment Surface'!$C$2='Data Validation'!$A$2,AH100,IF('Adjustment Surface'!$C$2='Data Validation'!$A$3,AG100,"Unknown Option Type"))-IF('Adjustment Surface'!$C$2='Data Validation'!$A$2,AG100,IF('Adjustment Surface'!$C$2='Data Validation'!$A$3,AH100,"Unknown Option Type")))/(AI100*SQRT(AE100)),0,1,TRUE)))+((AI100*SQRT(AE100))*(NORMDIST((IF('Adjustment Surface'!$C$2='Data Validation'!$A$2,AH100,IF('Adjustment Surface'!$C$2='Data Validation'!$A$3,AG100,"Unknown Option Type"))-IF('Adjustment Surface'!$C$2='Data Validation'!$A$2,AG100,IF('Adjustment Surface'!$C$2='Data Validation'!$A$3,AH100,"Unknown Option Type")))/(AI100*SQRT(AE100)),0,1,FALSE))))*AJ100*(AD100/360)*AF100))</f>
        <v/>
      </c>
      <c r="AM100" s="15" t="str">
        <f>IF(AA100="","",SUM(AL$4:AL100))</f>
        <v/>
      </c>
      <c r="AO100" s="15" t="str">
        <f>IF(AA100="","",IF(AB100&lt;'Rate &amp; Vol Update'!$C$2,0,((((((IF('Adjustment Surface'!$C$2='Data Validation'!$A$2,AH100,IF('Adjustment Surface'!$C$2='Data Validation'!$A$3,AG100,"Unknown Option Type"))-IF('Adjustment Surface'!$C$2='Data Validation'!$A$2,AG100,IF('Adjustment Surface'!$C$2='Data Validation'!$A$3,AH100,"Unknown Option Type")))*(NORMDIST((IF('Adjustment Surface'!$C$2='Data Validation'!$A$2,AH100,IF('Adjustment Surface'!$C$2='Data Validation'!$A$3,AG100,"Unknown Option Type"))-IF('Adjustment Surface'!$C$2='Data Validation'!$A$2,AG100,IF('Adjustment Surface'!$C$2='Data Validation'!$A$3,AH100,"Unknown Option Type")))/((AI100+0.01%)*SQRT(AE100)),0,1,TRUE)))+(((AI100+0.01%)*SQRT(AE100))*(NORMDIST((IF('Adjustment Surface'!$C$2='Data Validation'!$A$2,AH100,IF('Adjustment Surface'!$C$2='Data Validation'!$A$3,AG100,"Unknown Option Type"))-IF('Adjustment Surface'!$C$2='Data Validation'!$A$2,AG100,IF('Adjustment Surface'!$C$2='Data Validation'!$A$3,AH100,"Unknown Option Type")))/((AI100+0.01%)*SQRT(AE100)),0,1,FALSE))))*AJ100*(AD100/360))-(AL100/AF100))*AF100)*AJ100))</f>
        <v/>
      </c>
      <c r="AP100" s="15" t="str">
        <f>IF(AA100="","",SUM(AO$4:AO100))</f>
        <v/>
      </c>
      <c r="AQ100" s="15"/>
      <c r="AR100" s="20"/>
      <c r="AT100" s="4" t="str">
        <f>IF(AU99=MAX('Adjustment Surface'!$C$14:$F$14),"",AU99)</f>
        <v/>
      </c>
      <c r="AU100" s="4" t="str">
        <f>IF(AT100="","",IF(AT100&lt;EDATE('Adjustment Surface'!$C$6,DATEDIF('Adjustment Surface'!$C$6,MAX('Adjustment Surface'!$C$14:$F$14),"M")),EDATE(AT$5,COUNT(AT$5:AT100)),IF(AT100=EDATE('Adjustment Surface'!$C$6,DATEDIF('Adjustment Surface'!$C$6,MAX('Adjustment Surface'!$C$14:$F$14),"M")),MAX('Adjustment Surface'!$C$14:$F$14),EDATE('Adjustment Surface'!$C$6,DATEDIF('Adjustment Surface'!$C$6,MAX('Adjustment Surface'!$C$14:$F$14),"M")))))</f>
        <v/>
      </c>
      <c r="AV100" s="3" t="str">
        <f t="shared" si="8"/>
        <v/>
      </c>
      <c r="AW100" s="5" t="str">
        <f>IF(AS100="","",(AU100-'Rate &amp; Vol Update'!$C$2)/360)</f>
        <v/>
      </c>
      <c r="AX100" s="15" t="str">
        <f>IF(AS100="","",IF('Adjustment Surface'!$C$3='Data Validation'!$C$2,'Adjustment Surface'!$C$4,_xlfn.IFNA(IF(INDEX(Schedules!$E$3:$E$123,MATCH('Bachelier Model'!AT100,Schedules!$B$3:$B$123,0))="",AX99,INDEX(Schedules!$E$3:$E$123,MATCH('Bachelier Model'!AT100,Schedules!$B$3:$B$123,0))),AX99)))</f>
        <v/>
      </c>
      <c r="AY100" s="16" t="str">
        <f>IF(AS100="","",'Adjustment Surface'!B$16)</f>
        <v/>
      </c>
      <c r="AZ100" s="16" t="str" cm="1">
        <f t="array" ref="AZ100">IF(AS100="","",FORECAST(AT100,INDEX('Rate &amp; Vol Update'!$C$6:$C$127,MATCH(INDEX('Rate &amp; Vol Update'!$B$6:$B$127,MATCH(AT100,'Rate &amp; Vol Update'!$B$6:$B$127,1)),'Rate &amp; Vol Update'!$B$6:$B$127,0)+IF('Adjustment Surface'!$C$11='Data Validation'!$E$3,-1,0)):INDEX('Rate &amp; Vol Update'!$C$6:$C$127,MATCH(INDEX('Rate &amp; Vol Update'!$B$6:$B$127,MATCH(AT100,'Rate &amp; Vol Update'!$B$6:$B$127,1)+1),'Rate &amp; Vol Update'!$B$6:$B$127,0)+IF('Adjustment Surface'!$C$11='Data Validation'!$E$3,-1,0)),INDEX('Rate &amp; Vol Update'!$B$6:$B$127,MATCH(AT100,'Rate &amp; Vol Update'!$B$6:$B$127,1)):INDEX('Rate &amp; Vol Update'!$B$6:$B$127,MATCH(AT100,'Rate &amp; Vol Update'!$B$6:$B$127,1)+1))/100)</f>
        <v/>
      </c>
      <c r="BA100" s="16" t="str" cm="1">
        <f t="array" ref="BA100">IF(AS100="","",IF(AT100&lt;'Rate &amp; Vol Update'!$C$2,0.001%,(1/((INDEX('Rate &amp; Vol Update'!$E$6:$Z$6,1,MATCH(AY100,'Rate &amp; Vol Update'!$E$6:$Z$6,1)+1)-INDEX('Rate &amp; Vol Update'!$E$6:$Z$6,1,MATCH(AY100,'Rate &amp; Vol Update'!$E$6:$Z$6,1)))*(INDEX('Rate &amp; Vol Update'!$B$8:$B$127,MATCH(AT100,'Rate &amp; Vol Update'!$B$8:$B$127,1)+1)-INDEX('Rate &amp; Vol Update'!$B$8:$B$127,MATCH(AT100,'Rate &amp; Vol Update'!$B$8:$B$127,1))))*(INDEX('Rate &amp; Vol Update'!$E$8:$Z$127,MATCH(INDEX('Rate &amp; Vol Update'!$B$8:$B$127,MATCH(AT100,'Rate &amp; Vol Update'!$B$8:$B$127,1)),'Rate &amp; Vol Update'!$B$8:$B$127,0),MATCH(INDEX('Rate &amp; Vol Update'!$E$6:$Z$6,1,MATCH(AY100,'Rate &amp; Vol Update'!$E$6:$Z$6,1)),'Rate &amp; Vol Update'!$E$6:$Z$6,0))*(INDEX('Rate &amp; Vol Update'!$E$6:$Z$6,1,MATCH(AY100,'Rate &amp; Vol Update'!$E$6:$Z$6,1)+1)-AY100)*(INDEX('Rate &amp; Vol Update'!$B$8:$B$127,MATCH(AT100,'Rate &amp; Vol Update'!$B$8:$B$127,1)+1)-AT100)+INDEX('Rate &amp; Vol Update'!$E$8:$Z$127,MATCH(INDEX('Rate &amp; Vol Update'!$B$8:$B$127,MATCH(AT100,'Rate &amp; Vol Update'!$B$8:$B$127,1)),'Rate &amp; Vol Update'!$B$8:$B$127,0),MATCH(INDEX('Rate &amp; Vol Update'!$E$6:$Z$6,1,MATCH(AY100,'Rate &amp; Vol Update'!$E$6:$Z$6,1)+1),'Rate &amp; Vol Update'!$E$6:$Z$6,0))*(AY100-INDEX('Rate &amp; Vol Update'!$E$6:$Z$6,1,MATCH(AY100,'Rate &amp; Vol Update'!$E$6:$Z$6,1)))*(INDEX('Rate &amp; Vol Update'!$B$8:$B$127,MATCH(AT100,'Rate &amp; Vol Update'!$B$8:$B$127,1)+1)-AT100)+INDEX('Rate &amp; Vol Update'!$E$8:$Z$127,MATCH(INDEX('Rate &amp; Vol Update'!$B$8:$B$127,MATCH(AT100,'Rate &amp; Vol Update'!$B$8:$B$127,1)+1),'Rate &amp; Vol Update'!$B$8:$B$127,0),MATCH(INDEX('Rate &amp; Vol Update'!$E$6:$Z$6,1,MATCH(AY100,'Rate &amp; Vol Update'!$E$6:$Z$6,1)),'Rate &amp; Vol Update'!$E$6:$Z$6,0))*(INDEX('Rate &amp; Vol Update'!$E$6:$Z$6,1,MATCH(AY100,'Rate &amp; Vol Update'!$E$6:$Z$6,1)+1)-AY100)*(AT100-INDEX('Rate &amp; Vol Update'!$B$8:$B$127,MATCH(AT100,'Rate &amp; Vol Update'!$B$8:$B$127,1)))+INDEX('Rate &amp; Vol Update'!$E$8:$Z$127,MATCH(INDEX('Rate &amp; Vol Update'!$B$8:$B$127,MATCH(AT100,'Rate &amp; Vol Update'!$B$8:$B$127,1)+1),'Rate &amp; Vol Update'!$B$8:$B$127,0),MATCH(INDEX('Rate &amp; Vol Update'!$E$6:$Z$6,1,MATCH(AY100,'Rate &amp; Vol Update'!$E$6:$Z$6,1)+1),'Rate &amp; Vol Update'!$E$6:$Z$6,0))*(AY100-INDEX('Rate &amp; Vol Update'!$E$6:$Z$6,1,MATCH(AY100,'Rate &amp; Vol Update'!$E$6:$Z$6,1)))*(AT100-INDEX('Rate &amp; Vol Update'!$B$8:$B$127,MATCH(AT100,'Rate &amp; Vol Update'!$B$8:$B$127,1)))))*0.01%))</f>
        <v/>
      </c>
      <c r="BB100" s="5" t="str">
        <f>IF(AS100="","",1/((1+AZ100)^((AU100-'Rate &amp; Vol Update'!$C$2)/360)))</f>
        <v/>
      </c>
      <c r="BD100" s="15" t="str">
        <f>IF(AS100="","",IF(AT100&lt;'Rate &amp; Vol Update'!$C$2,MAX(0,AZ100-AY100)*(AV100/360)*AX100,(((IF('Adjustment Surface'!$C$2='Data Validation'!$A$2,AZ100,IF('Adjustment Surface'!$C$2='Data Validation'!$A$3,AY100,"Unknown Option Type"))-IF('Adjustment Surface'!$C$2='Data Validation'!$A$2,AY100,IF('Adjustment Surface'!$C$2='Data Validation'!$A$3,AZ100,"Unknown Option Type")))*(NORMDIST((IF('Adjustment Surface'!$C$2='Data Validation'!$A$2,AZ100,IF('Adjustment Surface'!$C$2='Data Validation'!$A$3,AY100,"Unknown Option Type"))-IF('Adjustment Surface'!$C$2='Data Validation'!$A$2,AY100,IF('Adjustment Surface'!$C$2='Data Validation'!$A$3,AZ100,"Unknown Option Type")))/(BA100*SQRT(AW100)),0,1,TRUE)))+((BA100*SQRT(AW100))*(NORMDIST((IF('Adjustment Surface'!$C$2='Data Validation'!$A$2,AZ100,IF('Adjustment Surface'!$C$2='Data Validation'!$A$3,AY100,"Unknown Option Type"))-IF('Adjustment Surface'!$C$2='Data Validation'!$A$2,AY100,IF('Adjustment Surface'!$C$2='Data Validation'!$A$3,AZ100,"Unknown Option Type")))/(BA100*SQRT(AW100)),0,1,FALSE))))*BB100*(AV100/360)*AX100))</f>
        <v/>
      </c>
      <c r="BE100" s="15" t="str">
        <f>IF(AS100="","",SUM(BD$4:BD100))</f>
        <v/>
      </c>
      <c r="BG100" s="15" t="str">
        <f>IF(AS100="","",IF(AT100&lt;'Rate &amp; Vol Update'!$C$2,0,((((((IF('Adjustment Surface'!$C$2='Data Validation'!$A$2,AZ100,IF('Adjustment Surface'!$C$2='Data Validation'!$A$3,AY100,"Unknown Option Type"))-IF('Adjustment Surface'!$C$2='Data Validation'!$A$2,AY100,IF('Adjustment Surface'!$C$2='Data Validation'!$A$3,AZ100,"Unknown Option Type")))*(NORMDIST((IF('Adjustment Surface'!$C$2='Data Validation'!$A$2,AZ100,IF('Adjustment Surface'!$C$2='Data Validation'!$A$3,AY100,"Unknown Option Type"))-IF('Adjustment Surface'!$C$2='Data Validation'!$A$2,AY100,IF('Adjustment Surface'!$C$2='Data Validation'!$A$3,AZ100,"Unknown Option Type")))/((BA100+0.01%)*SQRT(AW100)),0,1,TRUE)))+(((BA100+0.01%)*SQRT(AW100))*(NORMDIST((IF('Adjustment Surface'!$C$2='Data Validation'!$A$2,AZ100,IF('Adjustment Surface'!$C$2='Data Validation'!$A$3,AY100,"Unknown Option Type"))-IF('Adjustment Surface'!$C$2='Data Validation'!$A$2,AY100,IF('Adjustment Surface'!$C$2='Data Validation'!$A$3,AZ100,"Unknown Option Type")))/((BA100+0.01%)*SQRT(AW100)),0,1,FALSE))))*BB100*(AV100/360))-(BD100/AX100))*AX100)*BB100))</f>
        <v/>
      </c>
      <c r="BH100" s="15" t="str">
        <f>IF(AS100="","",SUM(BG$4:BG100))</f>
        <v/>
      </c>
      <c r="BI100" s="15"/>
      <c r="BJ100" s="20"/>
      <c r="BL100" s="4" t="str">
        <f>IF(BM99=MAX('Adjustment Surface'!$C$14:$F$14),"",BM99)</f>
        <v/>
      </c>
      <c r="BM100" s="4" t="str">
        <f>IF(BL100="","",IF(BL100&lt;EDATE('Adjustment Surface'!$C$6,DATEDIF('Adjustment Surface'!$C$6,MAX('Adjustment Surface'!$C$14:$F$14),"M")),EDATE(BL$5,COUNT(BL$5:BL100)),IF(BL100=EDATE('Adjustment Surface'!$C$6,DATEDIF('Adjustment Surface'!$C$6,MAX('Adjustment Surface'!$C$14:$F$14),"M")),MAX('Adjustment Surface'!$C$14:$F$14),EDATE('Adjustment Surface'!$C$6,DATEDIF('Adjustment Surface'!$C$6,MAX('Adjustment Surface'!$C$14:$F$14),"M")))))</f>
        <v/>
      </c>
      <c r="BN100" s="3" t="str">
        <f t="shared" si="9"/>
        <v/>
      </c>
      <c r="BO100" s="5" t="str">
        <f>IF(BK100="","",(BM100-'Rate &amp; Vol Update'!$C$2)/360)</f>
        <v/>
      </c>
      <c r="BP100" s="15" t="str">
        <f>IF(BK100="","",IF('Adjustment Surface'!$C$3='Data Validation'!$C$2,'Adjustment Surface'!$C$4,_xlfn.IFNA(IF(INDEX(Schedules!$E$3:$E$123,MATCH('Bachelier Model'!BL100,Schedules!$B$3:$B$123,0))="",BP99,INDEX(Schedules!$E$3:$E$123,MATCH('Bachelier Model'!BL100,Schedules!$B$3:$B$123,0))),BP99)))</f>
        <v/>
      </c>
      <c r="BQ100" s="16" t="str">
        <f>IF(BK100="","",'Adjustment Surface'!B$17)</f>
        <v/>
      </c>
      <c r="BR100" s="16" t="str" cm="1">
        <f t="array" ref="BR100">IF(BK100="","",FORECAST(BL100,INDEX('Rate &amp; Vol Update'!$C$6:$C$127,MATCH(INDEX('Rate &amp; Vol Update'!$B$6:$B$127,MATCH(BL100,'Rate &amp; Vol Update'!$B$6:$B$127,1)),'Rate &amp; Vol Update'!$B$6:$B$127,0)+IF('Adjustment Surface'!$C$11='Data Validation'!$E$3,-1,0)):INDEX('Rate &amp; Vol Update'!$C$6:$C$127,MATCH(INDEX('Rate &amp; Vol Update'!$B$6:$B$127,MATCH(BL100,'Rate &amp; Vol Update'!$B$6:$B$127,1)+1),'Rate &amp; Vol Update'!$B$6:$B$127,0)+IF('Adjustment Surface'!$C$11='Data Validation'!$E$3,-1,0)),INDEX('Rate &amp; Vol Update'!$B$6:$B$127,MATCH(BL100,'Rate &amp; Vol Update'!$B$6:$B$127,1)):INDEX('Rate &amp; Vol Update'!$B$6:$B$127,MATCH(BL100,'Rate &amp; Vol Update'!$B$6:$B$127,1)+1))/100)</f>
        <v/>
      </c>
      <c r="BS100" s="16" t="str" cm="1">
        <f t="array" ref="BS100">IF(BK100="","",IF(BL100&lt;'Rate &amp; Vol Update'!$C$2,0.001%,(1/((INDEX('Rate &amp; Vol Update'!$E$6:$Z$6,1,MATCH(BQ100,'Rate &amp; Vol Update'!$E$6:$Z$6,1)+1)-INDEX('Rate &amp; Vol Update'!$E$6:$Z$6,1,MATCH(BQ100,'Rate &amp; Vol Update'!$E$6:$Z$6,1)))*(INDEX('Rate &amp; Vol Update'!$B$8:$B$127,MATCH(BL100,'Rate &amp; Vol Update'!$B$8:$B$127,1)+1)-INDEX('Rate &amp; Vol Update'!$B$8:$B$127,MATCH(BL100,'Rate &amp; Vol Update'!$B$8:$B$127,1))))*(INDEX('Rate &amp; Vol Update'!$E$8:$Z$127,MATCH(INDEX('Rate &amp; Vol Update'!$B$8:$B$127,MATCH(BL100,'Rate &amp; Vol Update'!$B$8:$B$127,1)),'Rate &amp; Vol Update'!$B$8:$B$127,0),MATCH(INDEX('Rate &amp; Vol Update'!$E$6:$Z$6,1,MATCH(BQ100,'Rate &amp; Vol Update'!$E$6:$Z$6,1)),'Rate &amp; Vol Update'!$E$6:$Z$6,0))*(INDEX('Rate &amp; Vol Update'!$E$6:$Z$6,1,MATCH(BQ100,'Rate &amp; Vol Update'!$E$6:$Z$6,1)+1)-BQ100)*(INDEX('Rate &amp; Vol Update'!$B$8:$B$127,MATCH(BL100,'Rate &amp; Vol Update'!$B$8:$B$127,1)+1)-BL100)+INDEX('Rate &amp; Vol Update'!$E$8:$Z$127,MATCH(INDEX('Rate &amp; Vol Update'!$B$8:$B$127,MATCH(BL100,'Rate &amp; Vol Update'!$B$8:$B$127,1)),'Rate &amp; Vol Update'!$B$8:$B$127,0),MATCH(INDEX('Rate &amp; Vol Update'!$E$6:$Z$6,1,MATCH(BQ100,'Rate &amp; Vol Update'!$E$6:$Z$6,1)+1),'Rate &amp; Vol Update'!$E$6:$Z$6,0))*(BQ100-INDEX('Rate &amp; Vol Update'!$E$6:$Z$6,1,MATCH(BQ100,'Rate &amp; Vol Update'!$E$6:$Z$6,1)))*(INDEX('Rate &amp; Vol Update'!$B$8:$B$127,MATCH(BL100,'Rate &amp; Vol Update'!$B$8:$B$127,1)+1)-BL100)+INDEX('Rate &amp; Vol Update'!$E$8:$Z$127,MATCH(INDEX('Rate &amp; Vol Update'!$B$8:$B$127,MATCH(BL100,'Rate &amp; Vol Update'!$B$8:$B$127,1)+1),'Rate &amp; Vol Update'!$B$8:$B$127,0),MATCH(INDEX('Rate &amp; Vol Update'!$E$6:$Z$6,1,MATCH(BQ100,'Rate &amp; Vol Update'!$E$6:$Z$6,1)),'Rate &amp; Vol Update'!$E$6:$Z$6,0))*(INDEX('Rate &amp; Vol Update'!$E$6:$Z$6,1,MATCH(BQ100,'Rate &amp; Vol Update'!$E$6:$Z$6,1)+1)-BQ100)*(BL100-INDEX('Rate &amp; Vol Update'!$B$8:$B$127,MATCH(BL100,'Rate &amp; Vol Update'!$B$8:$B$127,1)))+INDEX('Rate &amp; Vol Update'!$E$8:$Z$127,MATCH(INDEX('Rate &amp; Vol Update'!$B$8:$B$127,MATCH(BL100,'Rate &amp; Vol Update'!$B$8:$B$127,1)+1),'Rate &amp; Vol Update'!$B$8:$B$127,0),MATCH(INDEX('Rate &amp; Vol Update'!$E$6:$Z$6,1,MATCH(BQ100,'Rate &amp; Vol Update'!$E$6:$Z$6,1)+1),'Rate &amp; Vol Update'!$E$6:$Z$6,0))*(BQ100-INDEX('Rate &amp; Vol Update'!$E$6:$Z$6,1,MATCH(BQ100,'Rate &amp; Vol Update'!$E$6:$Z$6,1)))*(BL100-INDEX('Rate &amp; Vol Update'!$B$8:$B$127,MATCH(BL100,'Rate &amp; Vol Update'!$B$8:$B$127,1)))))*0.01%))</f>
        <v/>
      </c>
      <c r="BT100" s="5" t="str">
        <f>IF(BK100="","",1/((1+BR100)^((BM100-'Rate &amp; Vol Update'!$C$2)/360)))</f>
        <v/>
      </c>
      <c r="BV100" s="15" t="str">
        <f>IF(BK100="","",IF(BL100&lt;'Rate &amp; Vol Update'!$C$2,MAX(0,BR100-BQ100)*(BN100/360)*BP100,(((IF('Adjustment Surface'!$C$2='Data Validation'!$A$2,BR100,IF('Adjustment Surface'!$C$2='Data Validation'!$A$3,BQ100,"Unknown Option Type"))-IF('Adjustment Surface'!$C$2='Data Validation'!$A$2,BQ100,IF('Adjustment Surface'!$C$2='Data Validation'!$A$3,BR100,"Unknown Option Type")))*(NORMDIST((IF('Adjustment Surface'!$C$2='Data Validation'!$A$2,BR100,IF('Adjustment Surface'!$C$2='Data Validation'!$A$3,BQ100,"Unknown Option Type"))-IF('Adjustment Surface'!$C$2='Data Validation'!$A$2,BQ100,IF('Adjustment Surface'!$C$2='Data Validation'!$A$3,BR100,"Unknown Option Type")))/(BS100*SQRT(BO100)),0,1,TRUE)))+((BS100*SQRT(BO100))*(NORMDIST((IF('Adjustment Surface'!$C$2='Data Validation'!$A$2,BR100,IF('Adjustment Surface'!$C$2='Data Validation'!$A$3,BQ100,"Unknown Option Type"))-IF('Adjustment Surface'!$C$2='Data Validation'!$A$2,BQ100,IF('Adjustment Surface'!$C$2='Data Validation'!$A$3,BR100,"Unknown Option Type")))/(BS100*SQRT(BO100)),0,1,FALSE))))*BT100*(BN100/360)*BP100))</f>
        <v/>
      </c>
      <c r="BW100" s="15" t="str">
        <f>IF(BK100="","",SUM(BV$4:BV100))</f>
        <v/>
      </c>
      <c r="BY100" s="15" t="str">
        <f>IF(BK100="","",IF(BL100&lt;'Rate &amp; Vol Update'!$C$2,0,((((((IF('Adjustment Surface'!$C$2='Data Validation'!$A$2,BR100,IF('Adjustment Surface'!$C$2='Data Validation'!$A$3,BQ100,"Unknown Option Type"))-IF('Adjustment Surface'!$C$2='Data Validation'!$A$2,BQ100,IF('Adjustment Surface'!$C$2='Data Validation'!$A$3,BR100,"Unknown Option Type")))*(NORMDIST((IF('Adjustment Surface'!$C$2='Data Validation'!$A$2,BR100,IF('Adjustment Surface'!$C$2='Data Validation'!$A$3,BQ100,"Unknown Option Type"))-IF('Adjustment Surface'!$C$2='Data Validation'!$A$2,BQ100,IF('Adjustment Surface'!$C$2='Data Validation'!$A$3,BR100,"Unknown Option Type")))/((BS100+0.01%)*SQRT(BO100)),0,1,TRUE)))+(((BS100+0.01%)*SQRT(BO100))*(NORMDIST((IF('Adjustment Surface'!$C$2='Data Validation'!$A$2,BR100,IF('Adjustment Surface'!$C$2='Data Validation'!$A$3,BQ100,"Unknown Option Type"))-IF('Adjustment Surface'!$C$2='Data Validation'!$A$2,BQ100,IF('Adjustment Surface'!$C$2='Data Validation'!$A$3,BR100,"Unknown Option Type")))/((BS100+0.01%)*SQRT(BO100)),0,1,FALSE))))*BT100*(BN100/360))-(BV100/BP100))*BP100)*BT100))</f>
        <v/>
      </c>
      <c r="BZ100" s="15" t="str">
        <f>IF(BK100="","",SUM(BY$4:BY100))</f>
        <v/>
      </c>
      <c r="CA100" s="15"/>
      <c r="CB100" s="20"/>
      <c r="CD100" s="4" t="str">
        <f>IF(CE99=MAX('Adjustment Surface'!$C$14:$F$14),"",CE99)</f>
        <v/>
      </c>
      <c r="CE100" s="4" t="str">
        <f>IF(CD100="","",IF(CD100&lt;EDATE('Adjustment Surface'!$C$6,DATEDIF('Adjustment Surface'!$C$6,MAX('Adjustment Surface'!$C$14:$F$14),"M")),EDATE(CD$5,COUNT(CD$5:CD100)),IF(CD100=EDATE('Adjustment Surface'!$C$6,DATEDIF('Adjustment Surface'!$C$6,MAX('Adjustment Surface'!$C$14:$F$14),"M")),MAX('Adjustment Surface'!$C$14:$F$14),EDATE('Adjustment Surface'!$C$6,DATEDIF('Adjustment Surface'!$C$6,MAX('Adjustment Surface'!$C$14:$F$14),"M")))))</f>
        <v/>
      </c>
      <c r="CF100" s="3" t="str">
        <f t="shared" si="10"/>
        <v/>
      </c>
      <c r="CG100" s="5" t="str">
        <f>IF(CC100="","",(CE100-'Rate &amp; Vol Update'!$C$2)/360)</f>
        <v/>
      </c>
      <c r="CH100" s="15" t="str">
        <f>IF(CC100="","",IF('Adjustment Surface'!$C$3='Data Validation'!$C$2,'Adjustment Surface'!$C$4,_xlfn.IFNA(IF(INDEX(Schedules!$E$3:$E$123,MATCH('Bachelier Model'!CD100,Schedules!$B$3:$B$123,0))="",CH99,INDEX(Schedules!$E$3:$E$123,MATCH('Bachelier Model'!CD100,Schedules!$B$3:$B$123,0))),CH99)))</f>
        <v/>
      </c>
      <c r="CI100" s="16" t="str">
        <f>IF(CC100="","",'Adjustment Surface'!B$18)</f>
        <v/>
      </c>
      <c r="CJ100" s="16" t="str" cm="1">
        <f t="array" ref="CJ100">IF(CC100="","",FORECAST(CD100,INDEX('Rate &amp; Vol Update'!$C$6:$C$127,MATCH(INDEX('Rate &amp; Vol Update'!$B$6:$B$127,MATCH(CD100,'Rate &amp; Vol Update'!$B$6:$B$127,1)),'Rate &amp; Vol Update'!$B$6:$B$127,0)+IF('Adjustment Surface'!$C$11='Data Validation'!$E$3,-1,0)):INDEX('Rate &amp; Vol Update'!$C$6:$C$127,MATCH(INDEX('Rate &amp; Vol Update'!$B$6:$B$127,MATCH(CD100,'Rate &amp; Vol Update'!$B$6:$B$127,1)+1),'Rate &amp; Vol Update'!$B$6:$B$127,0)+IF('Adjustment Surface'!$C$11='Data Validation'!$E$3,-1,0)),INDEX('Rate &amp; Vol Update'!$B$6:$B$127,MATCH(CD100,'Rate &amp; Vol Update'!$B$6:$B$127,1)):INDEX('Rate &amp; Vol Update'!$B$6:$B$127,MATCH(CD100,'Rate &amp; Vol Update'!$B$6:$B$127,1)+1))/100)</f>
        <v/>
      </c>
      <c r="CK100" s="16" t="str" cm="1">
        <f t="array" ref="CK100">IF(CC100="","",IF(CD100&lt;'Rate &amp; Vol Update'!$C$2,0.001%,(1/((INDEX('Rate &amp; Vol Update'!$E$6:$Z$6,1,MATCH(CI100,'Rate &amp; Vol Update'!$E$6:$Z$6,1)+1)-INDEX('Rate &amp; Vol Update'!$E$6:$Z$6,1,MATCH(CI100,'Rate &amp; Vol Update'!$E$6:$Z$6,1)))*(INDEX('Rate &amp; Vol Update'!$B$8:$B$127,MATCH(CD100,'Rate &amp; Vol Update'!$B$8:$B$127,1)+1)-INDEX('Rate &amp; Vol Update'!$B$8:$B$127,MATCH(CD100,'Rate &amp; Vol Update'!$B$8:$B$127,1))))*(INDEX('Rate &amp; Vol Update'!$E$8:$Z$127,MATCH(INDEX('Rate &amp; Vol Update'!$B$8:$B$127,MATCH(CD100,'Rate &amp; Vol Update'!$B$8:$B$127,1)),'Rate &amp; Vol Update'!$B$8:$B$127,0),MATCH(INDEX('Rate &amp; Vol Update'!$E$6:$Z$6,1,MATCH(CI100,'Rate &amp; Vol Update'!$E$6:$Z$6,1)),'Rate &amp; Vol Update'!$E$6:$Z$6,0))*(INDEX('Rate &amp; Vol Update'!$E$6:$Z$6,1,MATCH(CI100,'Rate &amp; Vol Update'!$E$6:$Z$6,1)+1)-CI100)*(INDEX('Rate &amp; Vol Update'!$B$8:$B$127,MATCH(CD100,'Rate &amp; Vol Update'!$B$8:$B$127,1)+1)-CD100)+INDEX('Rate &amp; Vol Update'!$E$8:$Z$127,MATCH(INDEX('Rate &amp; Vol Update'!$B$8:$B$127,MATCH(CD100,'Rate &amp; Vol Update'!$B$8:$B$127,1)),'Rate &amp; Vol Update'!$B$8:$B$127,0),MATCH(INDEX('Rate &amp; Vol Update'!$E$6:$Z$6,1,MATCH(CI100,'Rate &amp; Vol Update'!$E$6:$Z$6,1)+1),'Rate &amp; Vol Update'!$E$6:$Z$6,0))*(CI100-INDEX('Rate &amp; Vol Update'!$E$6:$Z$6,1,MATCH(CI100,'Rate &amp; Vol Update'!$E$6:$Z$6,1)))*(INDEX('Rate &amp; Vol Update'!$B$8:$B$127,MATCH(CD100,'Rate &amp; Vol Update'!$B$8:$B$127,1)+1)-CD100)+INDEX('Rate &amp; Vol Update'!$E$8:$Z$127,MATCH(INDEX('Rate &amp; Vol Update'!$B$8:$B$127,MATCH(CD100,'Rate &amp; Vol Update'!$B$8:$B$127,1)+1),'Rate &amp; Vol Update'!$B$8:$B$127,0),MATCH(INDEX('Rate &amp; Vol Update'!$E$6:$Z$6,1,MATCH(CI100,'Rate &amp; Vol Update'!$E$6:$Z$6,1)),'Rate &amp; Vol Update'!$E$6:$Z$6,0))*(INDEX('Rate &amp; Vol Update'!$E$6:$Z$6,1,MATCH(CI100,'Rate &amp; Vol Update'!$E$6:$Z$6,1)+1)-CI100)*(CD100-INDEX('Rate &amp; Vol Update'!$B$8:$B$127,MATCH(CD100,'Rate &amp; Vol Update'!$B$8:$B$127,1)))+INDEX('Rate &amp; Vol Update'!$E$8:$Z$127,MATCH(INDEX('Rate &amp; Vol Update'!$B$8:$B$127,MATCH(CD100,'Rate &amp; Vol Update'!$B$8:$B$127,1)+1),'Rate &amp; Vol Update'!$B$8:$B$127,0),MATCH(INDEX('Rate &amp; Vol Update'!$E$6:$Z$6,1,MATCH(CI100,'Rate &amp; Vol Update'!$E$6:$Z$6,1)+1),'Rate &amp; Vol Update'!$E$6:$Z$6,0))*(CI100-INDEX('Rate &amp; Vol Update'!$E$6:$Z$6,1,MATCH(CI100,'Rate &amp; Vol Update'!$E$6:$Z$6,1)))*(CD100-INDEX('Rate &amp; Vol Update'!$B$8:$B$127,MATCH(CD100,'Rate &amp; Vol Update'!$B$8:$B$127,1)))))*0.01%))</f>
        <v/>
      </c>
      <c r="CL100" s="5" t="str">
        <f>IF(CC100="","",1/((1+CJ100)^((CE100-'Rate &amp; Vol Update'!$C$2)/360)))</f>
        <v/>
      </c>
      <c r="CN100" s="15" t="str">
        <f>IF(CC100="","",IF(CD100&lt;'Rate &amp; Vol Update'!$C$2,MAX(0,CJ100-CI100)*(CF100/360)*CH100,(((IF('Adjustment Surface'!$C$2='Data Validation'!$A$2,CJ100,IF('Adjustment Surface'!$C$2='Data Validation'!$A$3,CI100,"Unknown Option Type"))-IF('Adjustment Surface'!$C$2='Data Validation'!$A$2,CI100,IF('Adjustment Surface'!$C$2='Data Validation'!$A$3,CJ100,"Unknown Option Type")))*(NORMDIST((IF('Adjustment Surface'!$C$2='Data Validation'!$A$2,CJ100,IF('Adjustment Surface'!$C$2='Data Validation'!$A$3,CI100,"Unknown Option Type"))-IF('Adjustment Surface'!$C$2='Data Validation'!$A$2,CI100,IF('Adjustment Surface'!$C$2='Data Validation'!$A$3,CJ100,"Unknown Option Type")))/(CK100*SQRT(CG100)),0,1,TRUE)))+((CK100*SQRT(CG100))*(NORMDIST((IF('Adjustment Surface'!$C$2='Data Validation'!$A$2,CJ100,IF('Adjustment Surface'!$C$2='Data Validation'!$A$3,CI100,"Unknown Option Type"))-IF('Adjustment Surface'!$C$2='Data Validation'!$A$2,CI100,IF('Adjustment Surface'!$C$2='Data Validation'!$A$3,CJ100,"Unknown Option Type")))/(CK100*SQRT(CG100)),0,1,FALSE))))*CL100*(CF100/360)*CH100))</f>
        <v/>
      </c>
      <c r="CO100" s="15" t="str">
        <f>IF(CC100="","",SUM(CN$4:CN100))</f>
        <v/>
      </c>
      <c r="CQ100" s="15" t="str">
        <f>IF(CC100="","",IF(CD100&lt;'Rate &amp; Vol Update'!$C$2,0,((((((IF('Adjustment Surface'!$C$2='Data Validation'!$A$2,CJ100,IF('Adjustment Surface'!$C$2='Data Validation'!$A$3,CI100,"Unknown Option Type"))-IF('Adjustment Surface'!$C$2='Data Validation'!$A$2,CI100,IF('Adjustment Surface'!$C$2='Data Validation'!$A$3,CJ100,"Unknown Option Type")))*(NORMDIST((IF('Adjustment Surface'!$C$2='Data Validation'!$A$2,CJ100,IF('Adjustment Surface'!$C$2='Data Validation'!$A$3,CI100,"Unknown Option Type"))-IF('Adjustment Surface'!$C$2='Data Validation'!$A$2,CI100,IF('Adjustment Surface'!$C$2='Data Validation'!$A$3,CJ100,"Unknown Option Type")))/((CK100+0.01%)*SQRT(CG100)),0,1,TRUE)))+(((CK100+0.01%)*SQRT(CG100))*(NORMDIST((IF('Adjustment Surface'!$C$2='Data Validation'!$A$2,CJ100,IF('Adjustment Surface'!$C$2='Data Validation'!$A$3,CI100,"Unknown Option Type"))-IF('Adjustment Surface'!$C$2='Data Validation'!$A$2,CI100,IF('Adjustment Surface'!$C$2='Data Validation'!$A$3,CJ100,"Unknown Option Type")))/((CK100+0.01%)*SQRT(CG100)),0,1,FALSE))))*CL100*(CF100/360))-(CN100/CH100))*CH100)*CL100))</f>
        <v/>
      </c>
      <c r="CR100" s="15" t="str">
        <f>IF(CC100="","",SUM(CQ$4:CQ100))</f>
        <v/>
      </c>
    </row>
    <row r="101" spans="7:96" x14ac:dyDescent="0.25">
      <c r="G101" s="28"/>
      <c r="J101" s="4" t="str">
        <f>IF(K100='Adjustment Surface'!C$8,"",K100)</f>
        <v/>
      </c>
      <c r="K101" s="4" t="str">
        <f>IF(J101="","",IF(J101&lt;'Adjustment Surface'!C$7,EDATE(J$5,COUNT(J$5:J101)),IF(J101='Adjustment Surface'!C$7,'Adjustment Surface'!C$8,'Adjustment Surface'!C$7)))</f>
        <v/>
      </c>
      <c r="L101" s="3" t="str">
        <f t="shared" si="6"/>
        <v/>
      </c>
      <c r="M101" s="5" t="str">
        <f>IF(I101="","",(K101-'Rate &amp; Vol Update'!$C$2)/360)</f>
        <v/>
      </c>
      <c r="N101" s="15" t="str">
        <f>IF(I101="","",IF('Adjustment Surface'!C$3='Data Validation'!$C$2,'Adjustment Surface'!C$4,IF(INDEX(Schedules!$E$3:$E$123,MATCH('Bachelier Model'!J101,Schedules!$B$3:$B$123,0))="",N100,INDEX(Schedules!$E$3:$E$123,MATCH('Bachelier Model'!J101,Schedules!$B$3:$B$123,0)))))</f>
        <v/>
      </c>
      <c r="O101" s="16" t="str">
        <f>IF(I101="","",IF('Adjustment Surface'!C$9='Data Validation'!$D$2,'Adjustment Surface'!C$10,IF(INDEX(Schedules!$H$3:$H$123,MATCH('Bachelier Model'!J101,Schedules!$B$3:$B$123,0))="",O100,INDEX(Schedules!$H$3:$H$123,MATCH('Bachelier Model'!J101,Schedules!$B$3:$B$123,0)))))</f>
        <v/>
      </c>
      <c r="P101" s="16" t="str" cm="1">
        <f t="array" ref="P101">IF(I101="","",FORECAST(J101,INDEX('Rate &amp; Vol Update'!$C$6:$C$127,MATCH(INDEX('Rate &amp; Vol Update'!$B$6:$B$127,MATCH(J101,'Rate &amp; Vol Update'!$B$6:$B$127,1)),'Rate &amp; Vol Update'!$B$6:$B$127,0)+IF('Adjustment Surface'!C$11='Data Validation'!$E$3,-1,0)):INDEX('Rate &amp; Vol Update'!$C$6:$C$127,MATCH(INDEX('Rate &amp; Vol Update'!$B$6:$B$127,MATCH(J101,'Rate &amp; Vol Update'!$B$6:$B$127,1)+1),'Rate &amp; Vol Update'!$B$6:$B$127,0)+IF('Adjustment Surface'!C$11='Data Validation'!$E$3,-1,0)),INDEX('Rate &amp; Vol Update'!$B$6:$B$127,MATCH(J101,'Rate &amp; Vol Update'!$B$6:$B$127,1)):INDEX('Rate &amp; Vol Update'!$B$6:$B$127,MATCH(J101,'Rate &amp; Vol Update'!$B$6:$B$127,1)+1))/100)</f>
        <v/>
      </c>
      <c r="Q101" s="16" t="str" cm="1">
        <f t="array" ref="Q101">IF(I101="","",IF(J101&lt;'Rate &amp; Vol Update'!$C$2,0.001%,(1/((INDEX('Rate &amp; Vol Update'!$E$6:$Z$6,1,MATCH(O101,'Rate &amp; Vol Update'!$E$6:$Z$6,1)+1)-INDEX('Rate &amp; Vol Update'!$E$6:$Z$6,1,MATCH(O101,'Rate &amp; Vol Update'!$E$6:$Z$6,1)))*(INDEX('Rate &amp; Vol Update'!$B$8:$B$127,MATCH(J101,'Rate &amp; Vol Update'!$B$8:$B$127,1)+1)-INDEX('Rate &amp; Vol Update'!$B$8:$B$127,MATCH(J101,'Rate &amp; Vol Update'!$B$8:$B$127,1))))*(INDEX('Rate &amp; Vol Update'!$E$8:$Z$127,MATCH(INDEX('Rate &amp; Vol Update'!$B$8:$B$127,MATCH(J101,'Rate &amp; Vol Update'!$B$8:$B$127,1)),'Rate &amp; Vol Update'!$B$8:$B$127,0),MATCH(INDEX('Rate &amp; Vol Update'!$E$6:$Z$6,1,MATCH(O101,'Rate &amp; Vol Update'!$E$6:$Z$6,1)),'Rate &amp; Vol Update'!$E$6:$Z$6,0))*(INDEX('Rate &amp; Vol Update'!$E$6:$Z$6,1,MATCH(O101,'Rate &amp; Vol Update'!$E$6:$Z$6,1)+1)-O101)*(INDEX('Rate &amp; Vol Update'!$B$8:$B$127,MATCH(J101,'Rate &amp; Vol Update'!$B$8:$B$127,1)+1)-J101)+INDEX('Rate &amp; Vol Update'!$E$8:$Z$127,MATCH(INDEX('Rate &amp; Vol Update'!$B$8:$B$127,MATCH(J101,'Rate &amp; Vol Update'!$B$8:$B$127,1)),'Rate &amp; Vol Update'!$B$8:$B$127,0),MATCH(INDEX('Rate &amp; Vol Update'!$E$6:$Z$6,1,MATCH(O101,'Rate &amp; Vol Update'!$E$6:$Z$6,1)+1),'Rate &amp; Vol Update'!$E$6:$Z$6,0))*(O101-INDEX('Rate &amp; Vol Update'!$E$6:$Z$6,1,MATCH(O101,'Rate &amp; Vol Update'!$E$6:$Z$6,1)))*(INDEX('Rate &amp; Vol Update'!$B$8:$B$127,MATCH(J101,'Rate &amp; Vol Update'!$B$8:$B$127,1)+1)-J101)+INDEX('Rate &amp; Vol Update'!$E$8:$Z$127,MATCH(INDEX('Rate &amp; Vol Update'!$B$8:$B$127,MATCH(J101,'Rate &amp; Vol Update'!$B$8:$B$127,1)+1),'Rate &amp; Vol Update'!$B$8:$B$127,0),MATCH(INDEX('Rate &amp; Vol Update'!$E$6:$Z$6,1,MATCH(O101,'Rate &amp; Vol Update'!$E$6:$Z$6,1)),'Rate &amp; Vol Update'!$E$6:$Z$6,0))*(INDEX('Rate &amp; Vol Update'!$E$6:$Z$6,1,MATCH(O101,'Rate &amp; Vol Update'!$E$6:$Z$6,1)+1)-O101)*(J101-INDEX('Rate &amp; Vol Update'!$B$8:$B$127,MATCH(J101,'Rate &amp; Vol Update'!$B$8:$B$127,1)))+INDEX('Rate &amp; Vol Update'!$E$8:$Z$127,MATCH(INDEX('Rate &amp; Vol Update'!$B$8:$B$127,MATCH(J101,'Rate &amp; Vol Update'!$B$8:$B$127,1)+1),'Rate &amp; Vol Update'!$B$8:$B$127,0),MATCH(INDEX('Rate &amp; Vol Update'!$E$6:$Z$6,1,MATCH(O101,'Rate &amp; Vol Update'!$E$6:$Z$6,1)+1),'Rate &amp; Vol Update'!$E$6:$Z$6,0))*(O101-INDEX('Rate &amp; Vol Update'!$E$6:$Z$6,1,MATCH(O101,'Rate &amp; Vol Update'!$E$6:$Z$6,1)))*(J101-INDEX('Rate &amp; Vol Update'!$B$8:$B$127,MATCH(J101,'Rate &amp; Vol Update'!$B$8:$B$127,1)))))*0.01%))</f>
        <v/>
      </c>
      <c r="R101" s="5" t="str">
        <f>IF(I101="","",1/((1+P101)^((K101-'Rate &amp; Vol Update'!$C$2)/360)))</f>
        <v/>
      </c>
      <c r="T101" s="15" t="str">
        <f>IF(I101="","",IF(J101&lt;'Rate &amp; Vol Update'!$C$2,MAX(0,P101-O101)*(L101/360)*N101,(((IF('Adjustment Surface'!C$2='Data Validation'!$A$2,P101,IF('Adjustment Surface'!C$2='Data Validation'!$A$3,O101,"Unknown Option Type"))-IF('Adjustment Surface'!C$2='Data Validation'!$A$2,O101,IF('Adjustment Surface'!C$2='Data Validation'!$A$3,P101,"Unknown Option Type")))*(NORMDIST((IF('Adjustment Surface'!C$2='Data Validation'!$A$2,P101,IF('Adjustment Surface'!C$2='Data Validation'!$A$3,O101,"Unknown Option Type"))-IF('Adjustment Surface'!C$2='Data Validation'!$A$2,O101,IF('Adjustment Surface'!C$2='Data Validation'!$A$3,P101,"Unknown Option Type")))/(Q101*SQRT(M101)),0,1,TRUE)))+((Q101*SQRT(M101))*(NORMDIST((IF('Adjustment Surface'!C$2='Data Validation'!$A$2,P101,IF('Adjustment Surface'!C$2='Data Validation'!$A$3,O101,"Unknown Option Type"))-IF('Adjustment Surface'!C$2='Data Validation'!$A$2,O101,IF('Adjustment Surface'!C$2='Data Validation'!$A$3,P101,"Unknown Option Type")))/(Q101*SQRT(M101)),0,1,FALSE))))*R101*(L101/360)*N101))</f>
        <v/>
      </c>
      <c r="U101" s="15" t="str">
        <f>IF(I101="","",SUM(T$4:T101))</f>
        <v/>
      </c>
      <c r="W101" s="15" t="str">
        <f>IF(I101="","",IF(J101&lt;'Rate &amp; Vol Update'!$C$2,0,((((((IF('Adjustment Surface'!C$2='Data Validation'!$A$2,P101,IF('Adjustment Surface'!C$2='Data Validation'!$A$3,O101,"Unknown Option Type"))-IF('Adjustment Surface'!C$2='Data Validation'!$A$2,O101,IF('Adjustment Surface'!C$2='Data Validation'!$A$3,P101,"Unknown Option Type")))*(NORMDIST((IF('Adjustment Surface'!C$2='Data Validation'!$A$2,P101,IF('Adjustment Surface'!C$2='Data Validation'!$A$3,O101,"Unknown Option Type"))-IF('Adjustment Surface'!C$2='Data Validation'!$A$2,O101,IF('Adjustment Surface'!C$2='Data Validation'!$A$3,P101,"Unknown Option Type")))/((Q101+0.01%)*SQRT(M101)),0,1,TRUE)))+(((Q101+0.01%)*SQRT(M101))*(NORMDIST((IF('Adjustment Surface'!C$2='Data Validation'!$A$2,P101,IF('Adjustment Surface'!C$2='Data Validation'!$A$3,O101,"Unknown Option Type"))-IF('Adjustment Surface'!C$2='Data Validation'!$A$2,O101,IF('Adjustment Surface'!C$2='Data Validation'!$A$3,P101,"Unknown Option Type")))/((Q101+0.01%)*SQRT(M101)),0,1,FALSE))))*R101*(L101/360))-(T101/N101))*N101)*R101))</f>
        <v/>
      </c>
      <c r="X101" s="15" t="str">
        <f>IF(I101="","",SUM(W$4:W101))</f>
        <v/>
      </c>
      <c r="Y101" s="15"/>
      <c r="Z101" s="20"/>
      <c r="AB101" s="4" t="str">
        <f>IF(AC100=MAX('Adjustment Surface'!$C$14:$F$14),"",AC100)</f>
        <v/>
      </c>
      <c r="AC101" s="4" t="str">
        <f>IF(AB101="","",IF(AB101&lt;EDATE('Adjustment Surface'!$C$6,DATEDIF('Adjustment Surface'!$C$6,MAX('Adjustment Surface'!$C$14:$F$14),"M")),EDATE(AB$5,COUNT(AB$5:AB101)),IF(AB101=EDATE('Adjustment Surface'!$C$6,DATEDIF('Adjustment Surface'!$C$6,MAX('Adjustment Surface'!$C$14:$F$14),"M")),MAX('Adjustment Surface'!$C$14:$F$14),EDATE('Adjustment Surface'!$C$6,DATEDIF('Adjustment Surface'!$C$6,MAX('Adjustment Surface'!$C$14:$F$14),"M")))))</f>
        <v/>
      </c>
      <c r="AD101" s="3" t="str">
        <f t="shared" si="7"/>
        <v/>
      </c>
      <c r="AE101" s="5" t="str">
        <f>IF(AA101="","",(AC101-'Rate &amp; Vol Update'!$C$2)/360)</f>
        <v/>
      </c>
      <c r="AF101" s="15" t="str">
        <f>IF(AA101="","",IF('Adjustment Surface'!$C$3='Data Validation'!$C$2,'Adjustment Surface'!$C$4,_xlfn.IFNA(IF(INDEX(Schedules!$E$3:$E$123,MATCH('Bachelier Model'!AB101,Schedules!$B$3:$B$123,0))="",AF100,INDEX(Schedules!$E$3:$E$123,MATCH('Bachelier Model'!AB101,Schedules!$B$3:$B$123,0))),AF100)))</f>
        <v/>
      </c>
      <c r="AG101" s="16" t="str">
        <f>IF(AA101="","",'Adjustment Surface'!B$15)</f>
        <v/>
      </c>
      <c r="AH101" s="16" t="str" cm="1">
        <f t="array" ref="AH101">IF(AA101="","",FORECAST(AB101,INDEX('Rate &amp; Vol Update'!$C$6:$C$127,MATCH(INDEX('Rate &amp; Vol Update'!$B$6:$B$127,MATCH(AB101,'Rate &amp; Vol Update'!$B$6:$B$127,1)),'Rate &amp; Vol Update'!$B$6:$B$127,0)+IF('Adjustment Surface'!$C$11='Data Validation'!$E$3,-1,0)):INDEX('Rate &amp; Vol Update'!$C$6:$C$127,MATCH(INDEX('Rate &amp; Vol Update'!$B$6:$B$127,MATCH(AB101,'Rate &amp; Vol Update'!$B$6:$B$127,1)+1),'Rate &amp; Vol Update'!$B$6:$B$127,0)+IF('Adjustment Surface'!$C$11='Data Validation'!$E$3,-1,0)),INDEX('Rate &amp; Vol Update'!$B$6:$B$127,MATCH(AB101,'Rate &amp; Vol Update'!$B$6:$B$127,1)):INDEX('Rate &amp; Vol Update'!$B$6:$B$127,MATCH(AB101,'Rate &amp; Vol Update'!$B$6:$B$127,1)+1))/100)</f>
        <v/>
      </c>
      <c r="AI101" s="16" t="str" cm="1">
        <f t="array" ref="AI101">IF(AA101="","",IF(AB101&lt;'Rate &amp; Vol Update'!$C$2,0.001%,(1/((INDEX('Rate &amp; Vol Update'!$E$6:$Z$6,1,MATCH(AG101,'Rate &amp; Vol Update'!$E$6:$Z$6,1)+1)-INDEX('Rate &amp; Vol Update'!$E$6:$Z$6,1,MATCH(AG101,'Rate &amp; Vol Update'!$E$6:$Z$6,1)))*(INDEX('Rate &amp; Vol Update'!$B$8:$B$127,MATCH(AB101,'Rate &amp; Vol Update'!$B$8:$B$127,1)+1)-INDEX('Rate &amp; Vol Update'!$B$8:$B$127,MATCH(AB101,'Rate &amp; Vol Update'!$B$8:$B$127,1))))*(INDEX('Rate &amp; Vol Update'!$E$8:$Z$127,MATCH(INDEX('Rate &amp; Vol Update'!$B$8:$B$127,MATCH(AB101,'Rate &amp; Vol Update'!$B$8:$B$127,1)),'Rate &amp; Vol Update'!$B$8:$B$127,0),MATCH(INDEX('Rate &amp; Vol Update'!$E$6:$Z$6,1,MATCH(AG101,'Rate &amp; Vol Update'!$E$6:$Z$6,1)),'Rate &amp; Vol Update'!$E$6:$Z$6,0))*(INDEX('Rate &amp; Vol Update'!$E$6:$Z$6,1,MATCH(AG101,'Rate &amp; Vol Update'!$E$6:$Z$6,1)+1)-AG101)*(INDEX('Rate &amp; Vol Update'!$B$8:$B$127,MATCH(AB101,'Rate &amp; Vol Update'!$B$8:$B$127,1)+1)-AB101)+INDEX('Rate &amp; Vol Update'!$E$8:$Z$127,MATCH(INDEX('Rate &amp; Vol Update'!$B$8:$B$127,MATCH(AB101,'Rate &amp; Vol Update'!$B$8:$B$127,1)),'Rate &amp; Vol Update'!$B$8:$B$127,0),MATCH(INDEX('Rate &amp; Vol Update'!$E$6:$Z$6,1,MATCH(AG101,'Rate &amp; Vol Update'!$E$6:$Z$6,1)+1),'Rate &amp; Vol Update'!$E$6:$Z$6,0))*(AG101-INDEX('Rate &amp; Vol Update'!$E$6:$Z$6,1,MATCH(AG101,'Rate &amp; Vol Update'!$E$6:$Z$6,1)))*(INDEX('Rate &amp; Vol Update'!$B$8:$B$127,MATCH(AB101,'Rate &amp; Vol Update'!$B$8:$B$127,1)+1)-AB101)+INDEX('Rate &amp; Vol Update'!$E$8:$Z$127,MATCH(INDEX('Rate &amp; Vol Update'!$B$8:$B$127,MATCH(AB101,'Rate &amp; Vol Update'!$B$8:$B$127,1)+1),'Rate &amp; Vol Update'!$B$8:$B$127,0),MATCH(INDEX('Rate &amp; Vol Update'!$E$6:$Z$6,1,MATCH(AG101,'Rate &amp; Vol Update'!$E$6:$Z$6,1)),'Rate &amp; Vol Update'!$E$6:$Z$6,0))*(INDEX('Rate &amp; Vol Update'!$E$6:$Z$6,1,MATCH(AG101,'Rate &amp; Vol Update'!$E$6:$Z$6,1)+1)-AG101)*(AB101-INDEX('Rate &amp; Vol Update'!$B$8:$B$127,MATCH(AB101,'Rate &amp; Vol Update'!$B$8:$B$127,1)))+INDEX('Rate &amp; Vol Update'!$E$8:$Z$127,MATCH(INDEX('Rate &amp; Vol Update'!$B$8:$B$127,MATCH(AB101,'Rate &amp; Vol Update'!$B$8:$B$127,1)+1),'Rate &amp; Vol Update'!$B$8:$B$127,0),MATCH(INDEX('Rate &amp; Vol Update'!$E$6:$Z$6,1,MATCH(AG101,'Rate &amp; Vol Update'!$E$6:$Z$6,1)+1),'Rate &amp; Vol Update'!$E$6:$Z$6,0))*(AG101-INDEX('Rate &amp; Vol Update'!$E$6:$Z$6,1,MATCH(AG101,'Rate &amp; Vol Update'!$E$6:$Z$6,1)))*(AB101-INDEX('Rate &amp; Vol Update'!$B$8:$B$127,MATCH(AB101,'Rate &amp; Vol Update'!$B$8:$B$127,1)))))*0.01%))</f>
        <v/>
      </c>
      <c r="AJ101" s="5" t="str">
        <f>IF(AA101="","",1/((1+AH101)^((AC101-'Rate &amp; Vol Update'!$C$2)/360)))</f>
        <v/>
      </c>
      <c r="AL101" s="15" t="str">
        <f>IF(AA101="","",IF(AB101&lt;'Rate &amp; Vol Update'!$C$2,MAX(0,AH101-AG101)*(AD101/360)*AF101,(((IF('Adjustment Surface'!$C$2='Data Validation'!$A$2,AH101,IF('Adjustment Surface'!$C$2='Data Validation'!$A$3,AG101,"Unknown Option Type"))-IF('Adjustment Surface'!$C$2='Data Validation'!$A$2,AG101,IF('Adjustment Surface'!$C$2='Data Validation'!$A$3,AH101,"Unknown Option Type")))*(NORMDIST((IF('Adjustment Surface'!$C$2='Data Validation'!$A$2,AH101,IF('Adjustment Surface'!$C$2='Data Validation'!$A$3,AG101,"Unknown Option Type"))-IF('Adjustment Surface'!$C$2='Data Validation'!$A$2,AG101,IF('Adjustment Surface'!$C$2='Data Validation'!$A$3,AH101,"Unknown Option Type")))/(AI101*SQRT(AE101)),0,1,TRUE)))+((AI101*SQRT(AE101))*(NORMDIST((IF('Adjustment Surface'!$C$2='Data Validation'!$A$2,AH101,IF('Adjustment Surface'!$C$2='Data Validation'!$A$3,AG101,"Unknown Option Type"))-IF('Adjustment Surface'!$C$2='Data Validation'!$A$2,AG101,IF('Adjustment Surface'!$C$2='Data Validation'!$A$3,AH101,"Unknown Option Type")))/(AI101*SQRT(AE101)),0,1,FALSE))))*AJ101*(AD101/360)*AF101))</f>
        <v/>
      </c>
      <c r="AM101" s="15" t="str">
        <f>IF(AA101="","",SUM(AL$4:AL101))</f>
        <v/>
      </c>
      <c r="AO101" s="15" t="str">
        <f>IF(AA101="","",IF(AB101&lt;'Rate &amp; Vol Update'!$C$2,0,((((((IF('Adjustment Surface'!$C$2='Data Validation'!$A$2,AH101,IF('Adjustment Surface'!$C$2='Data Validation'!$A$3,AG101,"Unknown Option Type"))-IF('Adjustment Surface'!$C$2='Data Validation'!$A$2,AG101,IF('Adjustment Surface'!$C$2='Data Validation'!$A$3,AH101,"Unknown Option Type")))*(NORMDIST((IF('Adjustment Surface'!$C$2='Data Validation'!$A$2,AH101,IF('Adjustment Surface'!$C$2='Data Validation'!$A$3,AG101,"Unknown Option Type"))-IF('Adjustment Surface'!$C$2='Data Validation'!$A$2,AG101,IF('Adjustment Surface'!$C$2='Data Validation'!$A$3,AH101,"Unknown Option Type")))/((AI101+0.01%)*SQRT(AE101)),0,1,TRUE)))+(((AI101+0.01%)*SQRT(AE101))*(NORMDIST((IF('Adjustment Surface'!$C$2='Data Validation'!$A$2,AH101,IF('Adjustment Surface'!$C$2='Data Validation'!$A$3,AG101,"Unknown Option Type"))-IF('Adjustment Surface'!$C$2='Data Validation'!$A$2,AG101,IF('Adjustment Surface'!$C$2='Data Validation'!$A$3,AH101,"Unknown Option Type")))/((AI101+0.01%)*SQRT(AE101)),0,1,FALSE))))*AJ101*(AD101/360))-(AL101/AF101))*AF101)*AJ101))</f>
        <v/>
      </c>
      <c r="AP101" s="15" t="str">
        <f>IF(AA101="","",SUM(AO$4:AO101))</f>
        <v/>
      </c>
      <c r="AQ101" s="15"/>
      <c r="AR101" s="20"/>
      <c r="AT101" s="4" t="str">
        <f>IF(AU100=MAX('Adjustment Surface'!$C$14:$F$14),"",AU100)</f>
        <v/>
      </c>
      <c r="AU101" s="4" t="str">
        <f>IF(AT101="","",IF(AT101&lt;EDATE('Adjustment Surface'!$C$6,DATEDIF('Adjustment Surface'!$C$6,MAX('Adjustment Surface'!$C$14:$F$14),"M")),EDATE(AT$5,COUNT(AT$5:AT101)),IF(AT101=EDATE('Adjustment Surface'!$C$6,DATEDIF('Adjustment Surface'!$C$6,MAX('Adjustment Surface'!$C$14:$F$14),"M")),MAX('Adjustment Surface'!$C$14:$F$14),EDATE('Adjustment Surface'!$C$6,DATEDIF('Adjustment Surface'!$C$6,MAX('Adjustment Surface'!$C$14:$F$14),"M")))))</f>
        <v/>
      </c>
      <c r="AV101" s="3" t="str">
        <f t="shared" si="8"/>
        <v/>
      </c>
      <c r="AW101" s="5" t="str">
        <f>IF(AS101="","",(AU101-'Rate &amp; Vol Update'!$C$2)/360)</f>
        <v/>
      </c>
      <c r="AX101" s="15" t="str">
        <f>IF(AS101="","",IF('Adjustment Surface'!$C$3='Data Validation'!$C$2,'Adjustment Surface'!$C$4,_xlfn.IFNA(IF(INDEX(Schedules!$E$3:$E$123,MATCH('Bachelier Model'!AT101,Schedules!$B$3:$B$123,0))="",AX100,INDEX(Schedules!$E$3:$E$123,MATCH('Bachelier Model'!AT101,Schedules!$B$3:$B$123,0))),AX100)))</f>
        <v/>
      </c>
      <c r="AY101" s="16" t="str">
        <f>IF(AS101="","",'Adjustment Surface'!B$16)</f>
        <v/>
      </c>
      <c r="AZ101" s="16" t="str" cm="1">
        <f t="array" ref="AZ101">IF(AS101="","",FORECAST(AT101,INDEX('Rate &amp; Vol Update'!$C$6:$C$127,MATCH(INDEX('Rate &amp; Vol Update'!$B$6:$B$127,MATCH(AT101,'Rate &amp; Vol Update'!$B$6:$B$127,1)),'Rate &amp; Vol Update'!$B$6:$B$127,0)+IF('Adjustment Surface'!$C$11='Data Validation'!$E$3,-1,0)):INDEX('Rate &amp; Vol Update'!$C$6:$C$127,MATCH(INDEX('Rate &amp; Vol Update'!$B$6:$B$127,MATCH(AT101,'Rate &amp; Vol Update'!$B$6:$B$127,1)+1),'Rate &amp; Vol Update'!$B$6:$B$127,0)+IF('Adjustment Surface'!$C$11='Data Validation'!$E$3,-1,0)),INDEX('Rate &amp; Vol Update'!$B$6:$B$127,MATCH(AT101,'Rate &amp; Vol Update'!$B$6:$B$127,1)):INDEX('Rate &amp; Vol Update'!$B$6:$B$127,MATCH(AT101,'Rate &amp; Vol Update'!$B$6:$B$127,1)+1))/100)</f>
        <v/>
      </c>
      <c r="BA101" s="16" t="str" cm="1">
        <f t="array" ref="BA101">IF(AS101="","",IF(AT101&lt;'Rate &amp; Vol Update'!$C$2,0.001%,(1/((INDEX('Rate &amp; Vol Update'!$E$6:$Z$6,1,MATCH(AY101,'Rate &amp; Vol Update'!$E$6:$Z$6,1)+1)-INDEX('Rate &amp; Vol Update'!$E$6:$Z$6,1,MATCH(AY101,'Rate &amp; Vol Update'!$E$6:$Z$6,1)))*(INDEX('Rate &amp; Vol Update'!$B$8:$B$127,MATCH(AT101,'Rate &amp; Vol Update'!$B$8:$B$127,1)+1)-INDEX('Rate &amp; Vol Update'!$B$8:$B$127,MATCH(AT101,'Rate &amp; Vol Update'!$B$8:$B$127,1))))*(INDEX('Rate &amp; Vol Update'!$E$8:$Z$127,MATCH(INDEX('Rate &amp; Vol Update'!$B$8:$B$127,MATCH(AT101,'Rate &amp; Vol Update'!$B$8:$B$127,1)),'Rate &amp; Vol Update'!$B$8:$B$127,0),MATCH(INDEX('Rate &amp; Vol Update'!$E$6:$Z$6,1,MATCH(AY101,'Rate &amp; Vol Update'!$E$6:$Z$6,1)),'Rate &amp; Vol Update'!$E$6:$Z$6,0))*(INDEX('Rate &amp; Vol Update'!$E$6:$Z$6,1,MATCH(AY101,'Rate &amp; Vol Update'!$E$6:$Z$6,1)+1)-AY101)*(INDEX('Rate &amp; Vol Update'!$B$8:$B$127,MATCH(AT101,'Rate &amp; Vol Update'!$B$8:$B$127,1)+1)-AT101)+INDEX('Rate &amp; Vol Update'!$E$8:$Z$127,MATCH(INDEX('Rate &amp; Vol Update'!$B$8:$B$127,MATCH(AT101,'Rate &amp; Vol Update'!$B$8:$B$127,1)),'Rate &amp; Vol Update'!$B$8:$B$127,0),MATCH(INDEX('Rate &amp; Vol Update'!$E$6:$Z$6,1,MATCH(AY101,'Rate &amp; Vol Update'!$E$6:$Z$6,1)+1),'Rate &amp; Vol Update'!$E$6:$Z$6,0))*(AY101-INDEX('Rate &amp; Vol Update'!$E$6:$Z$6,1,MATCH(AY101,'Rate &amp; Vol Update'!$E$6:$Z$6,1)))*(INDEX('Rate &amp; Vol Update'!$B$8:$B$127,MATCH(AT101,'Rate &amp; Vol Update'!$B$8:$B$127,1)+1)-AT101)+INDEX('Rate &amp; Vol Update'!$E$8:$Z$127,MATCH(INDEX('Rate &amp; Vol Update'!$B$8:$B$127,MATCH(AT101,'Rate &amp; Vol Update'!$B$8:$B$127,1)+1),'Rate &amp; Vol Update'!$B$8:$B$127,0),MATCH(INDEX('Rate &amp; Vol Update'!$E$6:$Z$6,1,MATCH(AY101,'Rate &amp; Vol Update'!$E$6:$Z$6,1)),'Rate &amp; Vol Update'!$E$6:$Z$6,0))*(INDEX('Rate &amp; Vol Update'!$E$6:$Z$6,1,MATCH(AY101,'Rate &amp; Vol Update'!$E$6:$Z$6,1)+1)-AY101)*(AT101-INDEX('Rate &amp; Vol Update'!$B$8:$B$127,MATCH(AT101,'Rate &amp; Vol Update'!$B$8:$B$127,1)))+INDEX('Rate &amp; Vol Update'!$E$8:$Z$127,MATCH(INDEX('Rate &amp; Vol Update'!$B$8:$B$127,MATCH(AT101,'Rate &amp; Vol Update'!$B$8:$B$127,1)+1),'Rate &amp; Vol Update'!$B$8:$B$127,0),MATCH(INDEX('Rate &amp; Vol Update'!$E$6:$Z$6,1,MATCH(AY101,'Rate &amp; Vol Update'!$E$6:$Z$6,1)+1),'Rate &amp; Vol Update'!$E$6:$Z$6,0))*(AY101-INDEX('Rate &amp; Vol Update'!$E$6:$Z$6,1,MATCH(AY101,'Rate &amp; Vol Update'!$E$6:$Z$6,1)))*(AT101-INDEX('Rate &amp; Vol Update'!$B$8:$B$127,MATCH(AT101,'Rate &amp; Vol Update'!$B$8:$B$127,1)))))*0.01%))</f>
        <v/>
      </c>
      <c r="BB101" s="5" t="str">
        <f>IF(AS101="","",1/((1+AZ101)^((AU101-'Rate &amp; Vol Update'!$C$2)/360)))</f>
        <v/>
      </c>
      <c r="BD101" s="15" t="str">
        <f>IF(AS101="","",IF(AT101&lt;'Rate &amp; Vol Update'!$C$2,MAX(0,AZ101-AY101)*(AV101/360)*AX101,(((IF('Adjustment Surface'!$C$2='Data Validation'!$A$2,AZ101,IF('Adjustment Surface'!$C$2='Data Validation'!$A$3,AY101,"Unknown Option Type"))-IF('Adjustment Surface'!$C$2='Data Validation'!$A$2,AY101,IF('Adjustment Surface'!$C$2='Data Validation'!$A$3,AZ101,"Unknown Option Type")))*(NORMDIST((IF('Adjustment Surface'!$C$2='Data Validation'!$A$2,AZ101,IF('Adjustment Surface'!$C$2='Data Validation'!$A$3,AY101,"Unknown Option Type"))-IF('Adjustment Surface'!$C$2='Data Validation'!$A$2,AY101,IF('Adjustment Surface'!$C$2='Data Validation'!$A$3,AZ101,"Unknown Option Type")))/(BA101*SQRT(AW101)),0,1,TRUE)))+((BA101*SQRT(AW101))*(NORMDIST((IF('Adjustment Surface'!$C$2='Data Validation'!$A$2,AZ101,IF('Adjustment Surface'!$C$2='Data Validation'!$A$3,AY101,"Unknown Option Type"))-IF('Adjustment Surface'!$C$2='Data Validation'!$A$2,AY101,IF('Adjustment Surface'!$C$2='Data Validation'!$A$3,AZ101,"Unknown Option Type")))/(BA101*SQRT(AW101)),0,1,FALSE))))*BB101*(AV101/360)*AX101))</f>
        <v/>
      </c>
      <c r="BE101" s="15" t="str">
        <f>IF(AS101="","",SUM(BD$4:BD101))</f>
        <v/>
      </c>
      <c r="BG101" s="15" t="str">
        <f>IF(AS101="","",IF(AT101&lt;'Rate &amp; Vol Update'!$C$2,0,((((((IF('Adjustment Surface'!$C$2='Data Validation'!$A$2,AZ101,IF('Adjustment Surface'!$C$2='Data Validation'!$A$3,AY101,"Unknown Option Type"))-IF('Adjustment Surface'!$C$2='Data Validation'!$A$2,AY101,IF('Adjustment Surface'!$C$2='Data Validation'!$A$3,AZ101,"Unknown Option Type")))*(NORMDIST((IF('Adjustment Surface'!$C$2='Data Validation'!$A$2,AZ101,IF('Adjustment Surface'!$C$2='Data Validation'!$A$3,AY101,"Unknown Option Type"))-IF('Adjustment Surface'!$C$2='Data Validation'!$A$2,AY101,IF('Adjustment Surface'!$C$2='Data Validation'!$A$3,AZ101,"Unknown Option Type")))/((BA101+0.01%)*SQRT(AW101)),0,1,TRUE)))+(((BA101+0.01%)*SQRT(AW101))*(NORMDIST((IF('Adjustment Surface'!$C$2='Data Validation'!$A$2,AZ101,IF('Adjustment Surface'!$C$2='Data Validation'!$A$3,AY101,"Unknown Option Type"))-IF('Adjustment Surface'!$C$2='Data Validation'!$A$2,AY101,IF('Adjustment Surface'!$C$2='Data Validation'!$A$3,AZ101,"Unknown Option Type")))/((BA101+0.01%)*SQRT(AW101)),0,1,FALSE))))*BB101*(AV101/360))-(BD101/AX101))*AX101)*BB101))</f>
        <v/>
      </c>
      <c r="BH101" s="15" t="str">
        <f>IF(AS101="","",SUM(BG$4:BG101))</f>
        <v/>
      </c>
      <c r="BI101" s="15"/>
      <c r="BJ101" s="20"/>
      <c r="BL101" s="4" t="str">
        <f>IF(BM100=MAX('Adjustment Surface'!$C$14:$F$14),"",BM100)</f>
        <v/>
      </c>
      <c r="BM101" s="4" t="str">
        <f>IF(BL101="","",IF(BL101&lt;EDATE('Adjustment Surface'!$C$6,DATEDIF('Adjustment Surface'!$C$6,MAX('Adjustment Surface'!$C$14:$F$14),"M")),EDATE(BL$5,COUNT(BL$5:BL101)),IF(BL101=EDATE('Adjustment Surface'!$C$6,DATEDIF('Adjustment Surface'!$C$6,MAX('Adjustment Surface'!$C$14:$F$14),"M")),MAX('Adjustment Surface'!$C$14:$F$14),EDATE('Adjustment Surface'!$C$6,DATEDIF('Adjustment Surface'!$C$6,MAX('Adjustment Surface'!$C$14:$F$14),"M")))))</f>
        <v/>
      </c>
      <c r="BN101" s="3" t="str">
        <f t="shared" si="9"/>
        <v/>
      </c>
      <c r="BO101" s="5" t="str">
        <f>IF(BK101="","",(BM101-'Rate &amp; Vol Update'!$C$2)/360)</f>
        <v/>
      </c>
      <c r="BP101" s="15" t="str">
        <f>IF(BK101="","",IF('Adjustment Surface'!$C$3='Data Validation'!$C$2,'Adjustment Surface'!$C$4,_xlfn.IFNA(IF(INDEX(Schedules!$E$3:$E$123,MATCH('Bachelier Model'!BL101,Schedules!$B$3:$B$123,0))="",BP100,INDEX(Schedules!$E$3:$E$123,MATCH('Bachelier Model'!BL101,Schedules!$B$3:$B$123,0))),BP100)))</f>
        <v/>
      </c>
      <c r="BQ101" s="16" t="str">
        <f>IF(BK101="","",'Adjustment Surface'!B$17)</f>
        <v/>
      </c>
      <c r="BR101" s="16" t="str" cm="1">
        <f t="array" ref="BR101">IF(BK101="","",FORECAST(BL101,INDEX('Rate &amp; Vol Update'!$C$6:$C$127,MATCH(INDEX('Rate &amp; Vol Update'!$B$6:$B$127,MATCH(BL101,'Rate &amp; Vol Update'!$B$6:$B$127,1)),'Rate &amp; Vol Update'!$B$6:$B$127,0)+IF('Adjustment Surface'!$C$11='Data Validation'!$E$3,-1,0)):INDEX('Rate &amp; Vol Update'!$C$6:$C$127,MATCH(INDEX('Rate &amp; Vol Update'!$B$6:$B$127,MATCH(BL101,'Rate &amp; Vol Update'!$B$6:$B$127,1)+1),'Rate &amp; Vol Update'!$B$6:$B$127,0)+IF('Adjustment Surface'!$C$11='Data Validation'!$E$3,-1,0)),INDEX('Rate &amp; Vol Update'!$B$6:$B$127,MATCH(BL101,'Rate &amp; Vol Update'!$B$6:$B$127,1)):INDEX('Rate &amp; Vol Update'!$B$6:$B$127,MATCH(BL101,'Rate &amp; Vol Update'!$B$6:$B$127,1)+1))/100)</f>
        <v/>
      </c>
      <c r="BS101" s="16" t="str" cm="1">
        <f t="array" ref="BS101">IF(BK101="","",IF(BL101&lt;'Rate &amp; Vol Update'!$C$2,0.001%,(1/((INDEX('Rate &amp; Vol Update'!$E$6:$Z$6,1,MATCH(BQ101,'Rate &amp; Vol Update'!$E$6:$Z$6,1)+1)-INDEX('Rate &amp; Vol Update'!$E$6:$Z$6,1,MATCH(BQ101,'Rate &amp; Vol Update'!$E$6:$Z$6,1)))*(INDEX('Rate &amp; Vol Update'!$B$8:$B$127,MATCH(BL101,'Rate &amp; Vol Update'!$B$8:$B$127,1)+1)-INDEX('Rate &amp; Vol Update'!$B$8:$B$127,MATCH(BL101,'Rate &amp; Vol Update'!$B$8:$B$127,1))))*(INDEX('Rate &amp; Vol Update'!$E$8:$Z$127,MATCH(INDEX('Rate &amp; Vol Update'!$B$8:$B$127,MATCH(BL101,'Rate &amp; Vol Update'!$B$8:$B$127,1)),'Rate &amp; Vol Update'!$B$8:$B$127,0),MATCH(INDEX('Rate &amp; Vol Update'!$E$6:$Z$6,1,MATCH(BQ101,'Rate &amp; Vol Update'!$E$6:$Z$6,1)),'Rate &amp; Vol Update'!$E$6:$Z$6,0))*(INDEX('Rate &amp; Vol Update'!$E$6:$Z$6,1,MATCH(BQ101,'Rate &amp; Vol Update'!$E$6:$Z$6,1)+1)-BQ101)*(INDEX('Rate &amp; Vol Update'!$B$8:$B$127,MATCH(BL101,'Rate &amp; Vol Update'!$B$8:$B$127,1)+1)-BL101)+INDEX('Rate &amp; Vol Update'!$E$8:$Z$127,MATCH(INDEX('Rate &amp; Vol Update'!$B$8:$B$127,MATCH(BL101,'Rate &amp; Vol Update'!$B$8:$B$127,1)),'Rate &amp; Vol Update'!$B$8:$B$127,0),MATCH(INDEX('Rate &amp; Vol Update'!$E$6:$Z$6,1,MATCH(BQ101,'Rate &amp; Vol Update'!$E$6:$Z$6,1)+1),'Rate &amp; Vol Update'!$E$6:$Z$6,0))*(BQ101-INDEX('Rate &amp; Vol Update'!$E$6:$Z$6,1,MATCH(BQ101,'Rate &amp; Vol Update'!$E$6:$Z$6,1)))*(INDEX('Rate &amp; Vol Update'!$B$8:$B$127,MATCH(BL101,'Rate &amp; Vol Update'!$B$8:$B$127,1)+1)-BL101)+INDEX('Rate &amp; Vol Update'!$E$8:$Z$127,MATCH(INDEX('Rate &amp; Vol Update'!$B$8:$B$127,MATCH(BL101,'Rate &amp; Vol Update'!$B$8:$B$127,1)+1),'Rate &amp; Vol Update'!$B$8:$B$127,0),MATCH(INDEX('Rate &amp; Vol Update'!$E$6:$Z$6,1,MATCH(BQ101,'Rate &amp; Vol Update'!$E$6:$Z$6,1)),'Rate &amp; Vol Update'!$E$6:$Z$6,0))*(INDEX('Rate &amp; Vol Update'!$E$6:$Z$6,1,MATCH(BQ101,'Rate &amp; Vol Update'!$E$6:$Z$6,1)+1)-BQ101)*(BL101-INDEX('Rate &amp; Vol Update'!$B$8:$B$127,MATCH(BL101,'Rate &amp; Vol Update'!$B$8:$B$127,1)))+INDEX('Rate &amp; Vol Update'!$E$8:$Z$127,MATCH(INDEX('Rate &amp; Vol Update'!$B$8:$B$127,MATCH(BL101,'Rate &amp; Vol Update'!$B$8:$B$127,1)+1),'Rate &amp; Vol Update'!$B$8:$B$127,0),MATCH(INDEX('Rate &amp; Vol Update'!$E$6:$Z$6,1,MATCH(BQ101,'Rate &amp; Vol Update'!$E$6:$Z$6,1)+1),'Rate &amp; Vol Update'!$E$6:$Z$6,0))*(BQ101-INDEX('Rate &amp; Vol Update'!$E$6:$Z$6,1,MATCH(BQ101,'Rate &amp; Vol Update'!$E$6:$Z$6,1)))*(BL101-INDEX('Rate &amp; Vol Update'!$B$8:$B$127,MATCH(BL101,'Rate &amp; Vol Update'!$B$8:$B$127,1)))))*0.01%))</f>
        <v/>
      </c>
      <c r="BT101" s="5" t="str">
        <f>IF(BK101="","",1/((1+BR101)^((BM101-'Rate &amp; Vol Update'!$C$2)/360)))</f>
        <v/>
      </c>
      <c r="BV101" s="15" t="str">
        <f>IF(BK101="","",IF(BL101&lt;'Rate &amp; Vol Update'!$C$2,MAX(0,BR101-BQ101)*(BN101/360)*BP101,(((IF('Adjustment Surface'!$C$2='Data Validation'!$A$2,BR101,IF('Adjustment Surface'!$C$2='Data Validation'!$A$3,BQ101,"Unknown Option Type"))-IF('Adjustment Surface'!$C$2='Data Validation'!$A$2,BQ101,IF('Adjustment Surface'!$C$2='Data Validation'!$A$3,BR101,"Unknown Option Type")))*(NORMDIST((IF('Adjustment Surface'!$C$2='Data Validation'!$A$2,BR101,IF('Adjustment Surface'!$C$2='Data Validation'!$A$3,BQ101,"Unknown Option Type"))-IF('Adjustment Surface'!$C$2='Data Validation'!$A$2,BQ101,IF('Adjustment Surface'!$C$2='Data Validation'!$A$3,BR101,"Unknown Option Type")))/(BS101*SQRT(BO101)),0,1,TRUE)))+((BS101*SQRT(BO101))*(NORMDIST((IF('Adjustment Surface'!$C$2='Data Validation'!$A$2,BR101,IF('Adjustment Surface'!$C$2='Data Validation'!$A$3,BQ101,"Unknown Option Type"))-IF('Adjustment Surface'!$C$2='Data Validation'!$A$2,BQ101,IF('Adjustment Surface'!$C$2='Data Validation'!$A$3,BR101,"Unknown Option Type")))/(BS101*SQRT(BO101)),0,1,FALSE))))*BT101*(BN101/360)*BP101))</f>
        <v/>
      </c>
      <c r="BW101" s="15" t="str">
        <f>IF(BK101="","",SUM(BV$4:BV101))</f>
        <v/>
      </c>
      <c r="BY101" s="15" t="str">
        <f>IF(BK101="","",IF(BL101&lt;'Rate &amp; Vol Update'!$C$2,0,((((((IF('Adjustment Surface'!$C$2='Data Validation'!$A$2,BR101,IF('Adjustment Surface'!$C$2='Data Validation'!$A$3,BQ101,"Unknown Option Type"))-IF('Adjustment Surface'!$C$2='Data Validation'!$A$2,BQ101,IF('Adjustment Surface'!$C$2='Data Validation'!$A$3,BR101,"Unknown Option Type")))*(NORMDIST((IF('Adjustment Surface'!$C$2='Data Validation'!$A$2,BR101,IF('Adjustment Surface'!$C$2='Data Validation'!$A$3,BQ101,"Unknown Option Type"))-IF('Adjustment Surface'!$C$2='Data Validation'!$A$2,BQ101,IF('Adjustment Surface'!$C$2='Data Validation'!$A$3,BR101,"Unknown Option Type")))/((BS101+0.01%)*SQRT(BO101)),0,1,TRUE)))+(((BS101+0.01%)*SQRT(BO101))*(NORMDIST((IF('Adjustment Surface'!$C$2='Data Validation'!$A$2,BR101,IF('Adjustment Surface'!$C$2='Data Validation'!$A$3,BQ101,"Unknown Option Type"))-IF('Adjustment Surface'!$C$2='Data Validation'!$A$2,BQ101,IF('Adjustment Surface'!$C$2='Data Validation'!$A$3,BR101,"Unknown Option Type")))/((BS101+0.01%)*SQRT(BO101)),0,1,FALSE))))*BT101*(BN101/360))-(BV101/BP101))*BP101)*BT101))</f>
        <v/>
      </c>
      <c r="BZ101" s="15" t="str">
        <f>IF(BK101="","",SUM(BY$4:BY101))</f>
        <v/>
      </c>
      <c r="CA101" s="15"/>
      <c r="CB101" s="20"/>
      <c r="CD101" s="4" t="str">
        <f>IF(CE100=MAX('Adjustment Surface'!$C$14:$F$14),"",CE100)</f>
        <v/>
      </c>
      <c r="CE101" s="4" t="str">
        <f>IF(CD101="","",IF(CD101&lt;EDATE('Adjustment Surface'!$C$6,DATEDIF('Adjustment Surface'!$C$6,MAX('Adjustment Surface'!$C$14:$F$14),"M")),EDATE(CD$5,COUNT(CD$5:CD101)),IF(CD101=EDATE('Adjustment Surface'!$C$6,DATEDIF('Adjustment Surface'!$C$6,MAX('Adjustment Surface'!$C$14:$F$14),"M")),MAX('Adjustment Surface'!$C$14:$F$14),EDATE('Adjustment Surface'!$C$6,DATEDIF('Adjustment Surface'!$C$6,MAX('Adjustment Surface'!$C$14:$F$14),"M")))))</f>
        <v/>
      </c>
      <c r="CF101" s="3" t="str">
        <f t="shared" si="10"/>
        <v/>
      </c>
      <c r="CG101" s="5" t="str">
        <f>IF(CC101="","",(CE101-'Rate &amp; Vol Update'!$C$2)/360)</f>
        <v/>
      </c>
      <c r="CH101" s="15" t="str">
        <f>IF(CC101="","",IF('Adjustment Surface'!$C$3='Data Validation'!$C$2,'Adjustment Surface'!$C$4,_xlfn.IFNA(IF(INDEX(Schedules!$E$3:$E$123,MATCH('Bachelier Model'!CD101,Schedules!$B$3:$B$123,0))="",CH100,INDEX(Schedules!$E$3:$E$123,MATCH('Bachelier Model'!CD101,Schedules!$B$3:$B$123,0))),CH100)))</f>
        <v/>
      </c>
      <c r="CI101" s="16" t="str">
        <f>IF(CC101="","",'Adjustment Surface'!B$18)</f>
        <v/>
      </c>
      <c r="CJ101" s="16" t="str" cm="1">
        <f t="array" ref="CJ101">IF(CC101="","",FORECAST(CD101,INDEX('Rate &amp; Vol Update'!$C$6:$C$127,MATCH(INDEX('Rate &amp; Vol Update'!$B$6:$B$127,MATCH(CD101,'Rate &amp; Vol Update'!$B$6:$B$127,1)),'Rate &amp; Vol Update'!$B$6:$B$127,0)+IF('Adjustment Surface'!$C$11='Data Validation'!$E$3,-1,0)):INDEX('Rate &amp; Vol Update'!$C$6:$C$127,MATCH(INDEX('Rate &amp; Vol Update'!$B$6:$B$127,MATCH(CD101,'Rate &amp; Vol Update'!$B$6:$B$127,1)+1),'Rate &amp; Vol Update'!$B$6:$B$127,0)+IF('Adjustment Surface'!$C$11='Data Validation'!$E$3,-1,0)),INDEX('Rate &amp; Vol Update'!$B$6:$B$127,MATCH(CD101,'Rate &amp; Vol Update'!$B$6:$B$127,1)):INDEX('Rate &amp; Vol Update'!$B$6:$B$127,MATCH(CD101,'Rate &amp; Vol Update'!$B$6:$B$127,1)+1))/100)</f>
        <v/>
      </c>
      <c r="CK101" s="16" t="str" cm="1">
        <f t="array" ref="CK101">IF(CC101="","",IF(CD101&lt;'Rate &amp; Vol Update'!$C$2,0.001%,(1/((INDEX('Rate &amp; Vol Update'!$E$6:$Z$6,1,MATCH(CI101,'Rate &amp; Vol Update'!$E$6:$Z$6,1)+1)-INDEX('Rate &amp; Vol Update'!$E$6:$Z$6,1,MATCH(CI101,'Rate &amp; Vol Update'!$E$6:$Z$6,1)))*(INDEX('Rate &amp; Vol Update'!$B$8:$B$127,MATCH(CD101,'Rate &amp; Vol Update'!$B$8:$B$127,1)+1)-INDEX('Rate &amp; Vol Update'!$B$8:$B$127,MATCH(CD101,'Rate &amp; Vol Update'!$B$8:$B$127,1))))*(INDEX('Rate &amp; Vol Update'!$E$8:$Z$127,MATCH(INDEX('Rate &amp; Vol Update'!$B$8:$B$127,MATCH(CD101,'Rate &amp; Vol Update'!$B$8:$B$127,1)),'Rate &amp; Vol Update'!$B$8:$B$127,0),MATCH(INDEX('Rate &amp; Vol Update'!$E$6:$Z$6,1,MATCH(CI101,'Rate &amp; Vol Update'!$E$6:$Z$6,1)),'Rate &amp; Vol Update'!$E$6:$Z$6,0))*(INDEX('Rate &amp; Vol Update'!$E$6:$Z$6,1,MATCH(CI101,'Rate &amp; Vol Update'!$E$6:$Z$6,1)+1)-CI101)*(INDEX('Rate &amp; Vol Update'!$B$8:$B$127,MATCH(CD101,'Rate &amp; Vol Update'!$B$8:$B$127,1)+1)-CD101)+INDEX('Rate &amp; Vol Update'!$E$8:$Z$127,MATCH(INDEX('Rate &amp; Vol Update'!$B$8:$B$127,MATCH(CD101,'Rate &amp; Vol Update'!$B$8:$B$127,1)),'Rate &amp; Vol Update'!$B$8:$B$127,0),MATCH(INDEX('Rate &amp; Vol Update'!$E$6:$Z$6,1,MATCH(CI101,'Rate &amp; Vol Update'!$E$6:$Z$6,1)+1),'Rate &amp; Vol Update'!$E$6:$Z$6,0))*(CI101-INDEX('Rate &amp; Vol Update'!$E$6:$Z$6,1,MATCH(CI101,'Rate &amp; Vol Update'!$E$6:$Z$6,1)))*(INDEX('Rate &amp; Vol Update'!$B$8:$B$127,MATCH(CD101,'Rate &amp; Vol Update'!$B$8:$B$127,1)+1)-CD101)+INDEX('Rate &amp; Vol Update'!$E$8:$Z$127,MATCH(INDEX('Rate &amp; Vol Update'!$B$8:$B$127,MATCH(CD101,'Rate &amp; Vol Update'!$B$8:$B$127,1)+1),'Rate &amp; Vol Update'!$B$8:$B$127,0),MATCH(INDEX('Rate &amp; Vol Update'!$E$6:$Z$6,1,MATCH(CI101,'Rate &amp; Vol Update'!$E$6:$Z$6,1)),'Rate &amp; Vol Update'!$E$6:$Z$6,0))*(INDEX('Rate &amp; Vol Update'!$E$6:$Z$6,1,MATCH(CI101,'Rate &amp; Vol Update'!$E$6:$Z$6,1)+1)-CI101)*(CD101-INDEX('Rate &amp; Vol Update'!$B$8:$B$127,MATCH(CD101,'Rate &amp; Vol Update'!$B$8:$B$127,1)))+INDEX('Rate &amp; Vol Update'!$E$8:$Z$127,MATCH(INDEX('Rate &amp; Vol Update'!$B$8:$B$127,MATCH(CD101,'Rate &amp; Vol Update'!$B$8:$B$127,1)+1),'Rate &amp; Vol Update'!$B$8:$B$127,0),MATCH(INDEX('Rate &amp; Vol Update'!$E$6:$Z$6,1,MATCH(CI101,'Rate &amp; Vol Update'!$E$6:$Z$6,1)+1),'Rate &amp; Vol Update'!$E$6:$Z$6,0))*(CI101-INDEX('Rate &amp; Vol Update'!$E$6:$Z$6,1,MATCH(CI101,'Rate &amp; Vol Update'!$E$6:$Z$6,1)))*(CD101-INDEX('Rate &amp; Vol Update'!$B$8:$B$127,MATCH(CD101,'Rate &amp; Vol Update'!$B$8:$B$127,1)))))*0.01%))</f>
        <v/>
      </c>
      <c r="CL101" s="5" t="str">
        <f>IF(CC101="","",1/((1+CJ101)^((CE101-'Rate &amp; Vol Update'!$C$2)/360)))</f>
        <v/>
      </c>
      <c r="CN101" s="15" t="str">
        <f>IF(CC101="","",IF(CD101&lt;'Rate &amp; Vol Update'!$C$2,MAX(0,CJ101-CI101)*(CF101/360)*CH101,(((IF('Adjustment Surface'!$C$2='Data Validation'!$A$2,CJ101,IF('Adjustment Surface'!$C$2='Data Validation'!$A$3,CI101,"Unknown Option Type"))-IF('Adjustment Surface'!$C$2='Data Validation'!$A$2,CI101,IF('Adjustment Surface'!$C$2='Data Validation'!$A$3,CJ101,"Unknown Option Type")))*(NORMDIST((IF('Adjustment Surface'!$C$2='Data Validation'!$A$2,CJ101,IF('Adjustment Surface'!$C$2='Data Validation'!$A$3,CI101,"Unknown Option Type"))-IF('Adjustment Surface'!$C$2='Data Validation'!$A$2,CI101,IF('Adjustment Surface'!$C$2='Data Validation'!$A$3,CJ101,"Unknown Option Type")))/(CK101*SQRT(CG101)),0,1,TRUE)))+((CK101*SQRT(CG101))*(NORMDIST((IF('Adjustment Surface'!$C$2='Data Validation'!$A$2,CJ101,IF('Adjustment Surface'!$C$2='Data Validation'!$A$3,CI101,"Unknown Option Type"))-IF('Adjustment Surface'!$C$2='Data Validation'!$A$2,CI101,IF('Adjustment Surface'!$C$2='Data Validation'!$A$3,CJ101,"Unknown Option Type")))/(CK101*SQRT(CG101)),0,1,FALSE))))*CL101*(CF101/360)*CH101))</f>
        <v/>
      </c>
      <c r="CO101" s="15" t="str">
        <f>IF(CC101="","",SUM(CN$4:CN101))</f>
        <v/>
      </c>
      <c r="CQ101" s="15" t="str">
        <f>IF(CC101="","",IF(CD101&lt;'Rate &amp; Vol Update'!$C$2,0,((((((IF('Adjustment Surface'!$C$2='Data Validation'!$A$2,CJ101,IF('Adjustment Surface'!$C$2='Data Validation'!$A$3,CI101,"Unknown Option Type"))-IF('Adjustment Surface'!$C$2='Data Validation'!$A$2,CI101,IF('Adjustment Surface'!$C$2='Data Validation'!$A$3,CJ101,"Unknown Option Type")))*(NORMDIST((IF('Adjustment Surface'!$C$2='Data Validation'!$A$2,CJ101,IF('Adjustment Surface'!$C$2='Data Validation'!$A$3,CI101,"Unknown Option Type"))-IF('Adjustment Surface'!$C$2='Data Validation'!$A$2,CI101,IF('Adjustment Surface'!$C$2='Data Validation'!$A$3,CJ101,"Unknown Option Type")))/((CK101+0.01%)*SQRT(CG101)),0,1,TRUE)))+(((CK101+0.01%)*SQRT(CG101))*(NORMDIST((IF('Adjustment Surface'!$C$2='Data Validation'!$A$2,CJ101,IF('Adjustment Surface'!$C$2='Data Validation'!$A$3,CI101,"Unknown Option Type"))-IF('Adjustment Surface'!$C$2='Data Validation'!$A$2,CI101,IF('Adjustment Surface'!$C$2='Data Validation'!$A$3,CJ101,"Unknown Option Type")))/((CK101+0.01%)*SQRT(CG101)),0,1,FALSE))))*CL101*(CF101/360))-(CN101/CH101))*CH101)*CL101))</f>
        <v/>
      </c>
      <c r="CR101" s="15" t="str">
        <f>IF(CC101="","",SUM(CQ$4:CQ101))</f>
        <v/>
      </c>
    </row>
    <row r="102" spans="7:96" x14ac:dyDescent="0.25">
      <c r="G102" s="28"/>
      <c r="J102" s="4" t="str">
        <f>IF(K101='Adjustment Surface'!C$8,"",K101)</f>
        <v/>
      </c>
      <c r="K102" s="4" t="str">
        <f>IF(J102="","",IF(J102&lt;'Adjustment Surface'!C$7,EDATE(J$5,COUNT(J$5:J102)),IF(J102='Adjustment Surface'!C$7,'Adjustment Surface'!C$8,'Adjustment Surface'!C$7)))</f>
        <v/>
      </c>
      <c r="L102" s="3" t="str">
        <f t="shared" si="6"/>
        <v/>
      </c>
      <c r="M102" s="5" t="str">
        <f>IF(I102="","",(K102-'Rate &amp; Vol Update'!$C$2)/360)</f>
        <v/>
      </c>
      <c r="N102" s="15" t="str">
        <f>IF(I102="","",IF('Adjustment Surface'!C$3='Data Validation'!$C$2,'Adjustment Surface'!C$4,IF(INDEX(Schedules!$E$3:$E$123,MATCH('Bachelier Model'!J102,Schedules!$B$3:$B$123,0))="",N101,INDEX(Schedules!$E$3:$E$123,MATCH('Bachelier Model'!J102,Schedules!$B$3:$B$123,0)))))</f>
        <v/>
      </c>
      <c r="O102" s="16" t="str">
        <f>IF(I102="","",IF('Adjustment Surface'!C$9='Data Validation'!$D$2,'Adjustment Surface'!C$10,IF(INDEX(Schedules!$H$3:$H$123,MATCH('Bachelier Model'!J102,Schedules!$B$3:$B$123,0))="",O101,INDEX(Schedules!$H$3:$H$123,MATCH('Bachelier Model'!J102,Schedules!$B$3:$B$123,0)))))</f>
        <v/>
      </c>
      <c r="P102" s="16" t="str" cm="1">
        <f t="array" ref="P102">IF(I102="","",FORECAST(J102,INDEX('Rate &amp; Vol Update'!$C$6:$C$127,MATCH(INDEX('Rate &amp; Vol Update'!$B$6:$B$127,MATCH(J102,'Rate &amp; Vol Update'!$B$6:$B$127,1)),'Rate &amp; Vol Update'!$B$6:$B$127,0)+IF('Adjustment Surface'!C$11='Data Validation'!$E$3,-1,0)):INDEX('Rate &amp; Vol Update'!$C$6:$C$127,MATCH(INDEX('Rate &amp; Vol Update'!$B$6:$B$127,MATCH(J102,'Rate &amp; Vol Update'!$B$6:$B$127,1)+1),'Rate &amp; Vol Update'!$B$6:$B$127,0)+IF('Adjustment Surface'!C$11='Data Validation'!$E$3,-1,0)),INDEX('Rate &amp; Vol Update'!$B$6:$B$127,MATCH(J102,'Rate &amp; Vol Update'!$B$6:$B$127,1)):INDEX('Rate &amp; Vol Update'!$B$6:$B$127,MATCH(J102,'Rate &amp; Vol Update'!$B$6:$B$127,1)+1))/100)</f>
        <v/>
      </c>
      <c r="Q102" s="16" t="str" cm="1">
        <f t="array" ref="Q102">IF(I102="","",IF(J102&lt;'Rate &amp; Vol Update'!$C$2,0.001%,(1/((INDEX('Rate &amp; Vol Update'!$E$6:$Z$6,1,MATCH(O102,'Rate &amp; Vol Update'!$E$6:$Z$6,1)+1)-INDEX('Rate &amp; Vol Update'!$E$6:$Z$6,1,MATCH(O102,'Rate &amp; Vol Update'!$E$6:$Z$6,1)))*(INDEX('Rate &amp; Vol Update'!$B$8:$B$127,MATCH(J102,'Rate &amp; Vol Update'!$B$8:$B$127,1)+1)-INDEX('Rate &amp; Vol Update'!$B$8:$B$127,MATCH(J102,'Rate &amp; Vol Update'!$B$8:$B$127,1))))*(INDEX('Rate &amp; Vol Update'!$E$8:$Z$127,MATCH(INDEX('Rate &amp; Vol Update'!$B$8:$B$127,MATCH(J102,'Rate &amp; Vol Update'!$B$8:$B$127,1)),'Rate &amp; Vol Update'!$B$8:$B$127,0),MATCH(INDEX('Rate &amp; Vol Update'!$E$6:$Z$6,1,MATCH(O102,'Rate &amp; Vol Update'!$E$6:$Z$6,1)),'Rate &amp; Vol Update'!$E$6:$Z$6,0))*(INDEX('Rate &amp; Vol Update'!$E$6:$Z$6,1,MATCH(O102,'Rate &amp; Vol Update'!$E$6:$Z$6,1)+1)-O102)*(INDEX('Rate &amp; Vol Update'!$B$8:$B$127,MATCH(J102,'Rate &amp; Vol Update'!$B$8:$B$127,1)+1)-J102)+INDEX('Rate &amp; Vol Update'!$E$8:$Z$127,MATCH(INDEX('Rate &amp; Vol Update'!$B$8:$B$127,MATCH(J102,'Rate &amp; Vol Update'!$B$8:$B$127,1)),'Rate &amp; Vol Update'!$B$8:$B$127,0),MATCH(INDEX('Rate &amp; Vol Update'!$E$6:$Z$6,1,MATCH(O102,'Rate &amp; Vol Update'!$E$6:$Z$6,1)+1),'Rate &amp; Vol Update'!$E$6:$Z$6,0))*(O102-INDEX('Rate &amp; Vol Update'!$E$6:$Z$6,1,MATCH(O102,'Rate &amp; Vol Update'!$E$6:$Z$6,1)))*(INDEX('Rate &amp; Vol Update'!$B$8:$B$127,MATCH(J102,'Rate &amp; Vol Update'!$B$8:$B$127,1)+1)-J102)+INDEX('Rate &amp; Vol Update'!$E$8:$Z$127,MATCH(INDEX('Rate &amp; Vol Update'!$B$8:$B$127,MATCH(J102,'Rate &amp; Vol Update'!$B$8:$B$127,1)+1),'Rate &amp; Vol Update'!$B$8:$B$127,0),MATCH(INDEX('Rate &amp; Vol Update'!$E$6:$Z$6,1,MATCH(O102,'Rate &amp; Vol Update'!$E$6:$Z$6,1)),'Rate &amp; Vol Update'!$E$6:$Z$6,0))*(INDEX('Rate &amp; Vol Update'!$E$6:$Z$6,1,MATCH(O102,'Rate &amp; Vol Update'!$E$6:$Z$6,1)+1)-O102)*(J102-INDEX('Rate &amp; Vol Update'!$B$8:$B$127,MATCH(J102,'Rate &amp; Vol Update'!$B$8:$B$127,1)))+INDEX('Rate &amp; Vol Update'!$E$8:$Z$127,MATCH(INDEX('Rate &amp; Vol Update'!$B$8:$B$127,MATCH(J102,'Rate &amp; Vol Update'!$B$8:$B$127,1)+1),'Rate &amp; Vol Update'!$B$8:$B$127,0),MATCH(INDEX('Rate &amp; Vol Update'!$E$6:$Z$6,1,MATCH(O102,'Rate &amp; Vol Update'!$E$6:$Z$6,1)+1),'Rate &amp; Vol Update'!$E$6:$Z$6,0))*(O102-INDEX('Rate &amp; Vol Update'!$E$6:$Z$6,1,MATCH(O102,'Rate &amp; Vol Update'!$E$6:$Z$6,1)))*(J102-INDEX('Rate &amp; Vol Update'!$B$8:$B$127,MATCH(J102,'Rate &amp; Vol Update'!$B$8:$B$127,1)))))*0.01%))</f>
        <v/>
      </c>
      <c r="R102" s="5" t="str">
        <f>IF(I102="","",1/((1+P102)^((K102-'Rate &amp; Vol Update'!$C$2)/360)))</f>
        <v/>
      </c>
      <c r="T102" s="15" t="str">
        <f>IF(I102="","",IF(J102&lt;'Rate &amp; Vol Update'!$C$2,MAX(0,P102-O102)*(L102/360)*N102,(((IF('Adjustment Surface'!C$2='Data Validation'!$A$2,P102,IF('Adjustment Surface'!C$2='Data Validation'!$A$3,O102,"Unknown Option Type"))-IF('Adjustment Surface'!C$2='Data Validation'!$A$2,O102,IF('Adjustment Surface'!C$2='Data Validation'!$A$3,P102,"Unknown Option Type")))*(NORMDIST((IF('Adjustment Surface'!C$2='Data Validation'!$A$2,P102,IF('Adjustment Surface'!C$2='Data Validation'!$A$3,O102,"Unknown Option Type"))-IF('Adjustment Surface'!C$2='Data Validation'!$A$2,O102,IF('Adjustment Surface'!C$2='Data Validation'!$A$3,P102,"Unknown Option Type")))/(Q102*SQRT(M102)),0,1,TRUE)))+((Q102*SQRT(M102))*(NORMDIST((IF('Adjustment Surface'!C$2='Data Validation'!$A$2,P102,IF('Adjustment Surface'!C$2='Data Validation'!$A$3,O102,"Unknown Option Type"))-IF('Adjustment Surface'!C$2='Data Validation'!$A$2,O102,IF('Adjustment Surface'!C$2='Data Validation'!$A$3,P102,"Unknown Option Type")))/(Q102*SQRT(M102)),0,1,FALSE))))*R102*(L102/360)*N102))</f>
        <v/>
      </c>
      <c r="U102" s="15" t="str">
        <f>IF(I102="","",SUM(T$4:T102))</f>
        <v/>
      </c>
      <c r="W102" s="15" t="str">
        <f>IF(I102="","",IF(J102&lt;'Rate &amp; Vol Update'!$C$2,0,((((((IF('Adjustment Surface'!C$2='Data Validation'!$A$2,P102,IF('Adjustment Surface'!C$2='Data Validation'!$A$3,O102,"Unknown Option Type"))-IF('Adjustment Surface'!C$2='Data Validation'!$A$2,O102,IF('Adjustment Surface'!C$2='Data Validation'!$A$3,P102,"Unknown Option Type")))*(NORMDIST((IF('Adjustment Surface'!C$2='Data Validation'!$A$2,P102,IF('Adjustment Surface'!C$2='Data Validation'!$A$3,O102,"Unknown Option Type"))-IF('Adjustment Surface'!C$2='Data Validation'!$A$2,O102,IF('Adjustment Surface'!C$2='Data Validation'!$A$3,P102,"Unknown Option Type")))/((Q102+0.01%)*SQRT(M102)),0,1,TRUE)))+(((Q102+0.01%)*SQRT(M102))*(NORMDIST((IF('Adjustment Surface'!C$2='Data Validation'!$A$2,P102,IF('Adjustment Surface'!C$2='Data Validation'!$A$3,O102,"Unknown Option Type"))-IF('Adjustment Surface'!C$2='Data Validation'!$A$2,O102,IF('Adjustment Surface'!C$2='Data Validation'!$A$3,P102,"Unknown Option Type")))/((Q102+0.01%)*SQRT(M102)),0,1,FALSE))))*R102*(L102/360))-(T102/N102))*N102)*R102))</f>
        <v/>
      </c>
      <c r="X102" s="15" t="str">
        <f>IF(I102="","",SUM(W$4:W102))</f>
        <v/>
      </c>
      <c r="Y102" s="15"/>
      <c r="Z102" s="20"/>
      <c r="AB102" s="4" t="str">
        <f>IF(AC101=MAX('Adjustment Surface'!$C$14:$F$14),"",AC101)</f>
        <v/>
      </c>
      <c r="AC102" s="4" t="str">
        <f>IF(AB102="","",IF(AB102&lt;EDATE('Adjustment Surface'!$C$6,DATEDIF('Adjustment Surface'!$C$6,MAX('Adjustment Surface'!$C$14:$F$14),"M")),EDATE(AB$5,COUNT(AB$5:AB102)),IF(AB102=EDATE('Adjustment Surface'!$C$6,DATEDIF('Adjustment Surface'!$C$6,MAX('Adjustment Surface'!$C$14:$F$14),"M")),MAX('Adjustment Surface'!$C$14:$F$14),EDATE('Adjustment Surface'!$C$6,DATEDIF('Adjustment Surface'!$C$6,MAX('Adjustment Surface'!$C$14:$F$14),"M")))))</f>
        <v/>
      </c>
      <c r="AD102" s="3" t="str">
        <f t="shared" si="7"/>
        <v/>
      </c>
      <c r="AE102" s="5" t="str">
        <f>IF(AA102="","",(AC102-'Rate &amp; Vol Update'!$C$2)/360)</f>
        <v/>
      </c>
      <c r="AF102" s="15" t="str">
        <f>IF(AA102="","",IF('Adjustment Surface'!$C$3='Data Validation'!$C$2,'Adjustment Surface'!$C$4,_xlfn.IFNA(IF(INDEX(Schedules!$E$3:$E$123,MATCH('Bachelier Model'!AB102,Schedules!$B$3:$B$123,0))="",AF101,INDEX(Schedules!$E$3:$E$123,MATCH('Bachelier Model'!AB102,Schedules!$B$3:$B$123,0))),AF101)))</f>
        <v/>
      </c>
      <c r="AG102" s="16" t="str">
        <f>IF(AA102="","",'Adjustment Surface'!B$15)</f>
        <v/>
      </c>
      <c r="AH102" s="16" t="str" cm="1">
        <f t="array" ref="AH102">IF(AA102="","",FORECAST(AB102,INDEX('Rate &amp; Vol Update'!$C$6:$C$127,MATCH(INDEX('Rate &amp; Vol Update'!$B$6:$B$127,MATCH(AB102,'Rate &amp; Vol Update'!$B$6:$B$127,1)),'Rate &amp; Vol Update'!$B$6:$B$127,0)+IF('Adjustment Surface'!$C$11='Data Validation'!$E$3,-1,0)):INDEX('Rate &amp; Vol Update'!$C$6:$C$127,MATCH(INDEX('Rate &amp; Vol Update'!$B$6:$B$127,MATCH(AB102,'Rate &amp; Vol Update'!$B$6:$B$127,1)+1),'Rate &amp; Vol Update'!$B$6:$B$127,0)+IF('Adjustment Surface'!$C$11='Data Validation'!$E$3,-1,0)),INDEX('Rate &amp; Vol Update'!$B$6:$B$127,MATCH(AB102,'Rate &amp; Vol Update'!$B$6:$B$127,1)):INDEX('Rate &amp; Vol Update'!$B$6:$B$127,MATCH(AB102,'Rate &amp; Vol Update'!$B$6:$B$127,1)+1))/100)</f>
        <v/>
      </c>
      <c r="AI102" s="16" t="str" cm="1">
        <f t="array" ref="AI102">IF(AA102="","",IF(AB102&lt;'Rate &amp; Vol Update'!$C$2,0.001%,(1/((INDEX('Rate &amp; Vol Update'!$E$6:$Z$6,1,MATCH(AG102,'Rate &amp; Vol Update'!$E$6:$Z$6,1)+1)-INDEX('Rate &amp; Vol Update'!$E$6:$Z$6,1,MATCH(AG102,'Rate &amp; Vol Update'!$E$6:$Z$6,1)))*(INDEX('Rate &amp; Vol Update'!$B$8:$B$127,MATCH(AB102,'Rate &amp; Vol Update'!$B$8:$B$127,1)+1)-INDEX('Rate &amp; Vol Update'!$B$8:$B$127,MATCH(AB102,'Rate &amp; Vol Update'!$B$8:$B$127,1))))*(INDEX('Rate &amp; Vol Update'!$E$8:$Z$127,MATCH(INDEX('Rate &amp; Vol Update'!$B$8:$B$127,MATCH(AB102,'Rate &amp; Vol Update'!$B$8:$B$127,1)),'Rate &amp; Vol Update'!$B$8:$B$127,0),MATCH(INDEX('Rate &amp; Vol Update'!$E$6:$Z$6,1,MATCH(AG102,'Rate &amp; Vol Update'!$E$6:$Z$6,1)),'Rate &amp; Vol Update'!$E$6:$Z$6,0))*(INDEX('Rate &amp; Vol Update'!$E$6:$Z$6,1,MATCH(AG102,'Rate &amp; Vol Update'!$E$6:$Z$6,1)+1)-AG102)*(INDEX('Rate &amp; Vol Update'!$B$8:$B$127,MATCH(AB102,'Rate &amp; Vol Update'!$B$8:$B$127,1)+1)-AB102)+INDEX('Rate &amp; Vol Update'!$E$8:$Z$127,MATCH(INDEX('Rate &amp; Vol Update'!$B$8:$B$127,MATCH(AB102,'Rate &amp; Vol Update'!$B$8:$B$127,1)),'Rate &amp; Vol Update'!$B$8:$B$127,0),MATCH(INDEX('Rate &amp; Vol Update'!$E$6:$Z$6,1,MATCH(AG102,'Rate &amp; Vol Update'!$E$6:$Z$6,1)+1),'Rate &amp; Vol Update'!$E$6:$Z$6,0))*(AG102-INDEX('Rate &amp; Vol Update'!$E$6:$Z$6,1,MATCH(AG102,'Rate &amp; Vol Update'!$E$6:$Z$6,1)))*(INDEX('Rate &amp; Vol Update'!$B$8:$B$127,MATCH(AB102,'Rate &amp; Vol Update'!$B$8:$B$127,1)+1)-AB102)+INDEX('Rate &amp; Vol Update'!$E$8:$Z$127,MATCH(INDEX('Rate &amp; Vol Update'!$B$8:$B$127,MATCH(AB102,'Rate &amp; Vol Update'!$B$8:$B$127,1)+1),'Rate &amp; Vol Update'!$B$8:$B$127,0),MATCH(INDEX('Rate &amp; Vol Update'!$E$6:$Z$6,1,MATCH(AG102,'Rate &amp; Vol Update'!$E$6:$Z$6,1)),'Rate &amp; Vol Update'!$E$6:$Z$6,0))*(INDEX('Rate &amp; Vol Update'!$E$6:$Z$6,1,MATCH(AG102,'Rate &amp; Vol Update'!$E$6:$Z$6,1)+1)-AG102)*(AB102-INDEX('Rate &amp; Vol Update'!$B$8:$B$127,MATCH(AB102,'Rate &amp; Vol Update'!$B$8:$B$127,1)))+INDEX('Rate &amp; Vol Update'!$E$8:$Z$127,MATCH(INDEX('Rate &amp; Vol Update'!$B$8:$B$127,MATCH(AB102,'Rate &amp; Vol Update'!$B$8:$B$127,1)+1),'Rate &amp; Vol Update'!$B$8:$B$127,0),MATCH(INDEX('Rate &amp; Vol Update'!$E$6:$Z$6,1,MATCH(AG102,'Rate &amp; Vol Update'!$E$6:$Z$6,1)+1),'Rate &amp; Vol Update'!$E$6:$Z$6,0))*(AG102-INDEX('Rate &amp; Vol Update'!$E$6:$Z$6,1,MATCH(AG102,'Rate &amp; Vol Update'!$E$6:$Z$6,1)))*(AB102-INDEX('Rate &amp; Vol Update'!$B$8:$B$127,MATCH(AB102,'Rate &amp; Vol Update'!$B$8:$B$127,1)))))*0.01%))</f>
        <v/>
      </c>
      <c r="AJ102" s="5" t="str">
        <f>IF(AA102="","",1/((1+AH102)^((AC102-'Rate &amp; Vol Update'!$C$2)/360)))</f>
        <v/>
      </c>
      <c r="AL102" s="15" t="str">
        <f>IF(AA102="","",IF(AB102&lt;'Rate &amp; Vol Update'!$C$2,MAX(0,AH102-AG102)*(AD102/360)*AF102,(((IF('Adjustment Surface'!$C$2='Data Validation'!$A$2,AH102,IF('Adjustment Surface'!$C$2='Data Validation'!$A$3,AG102,"Unknown Option Type"))-IF('Adjustment Surface'!$C$2='Data Validation'!$A$2,AG102,IF('Adjustment Surface'!$C$2='Data Validation'!$A$3,AH102,"Unknown Option Type")))*(NORMDIST((IF('Adjustment Surface'!$C$2='Data Validation'!$A$2,AH102,IF('Adjustment Surface'!$C$2='Data Validation'!$A$3,AG102,"Unknown Option Type"))-IF('Adjustment Surface'!$C$2='Data Validation'!$A$2,AG102,IF('Adjustment Surface'!$C$2='Data Validation'!$A$3,AH102,"Unknown Option Type")))/(AI102*SQRT(AE102)),0,1,TRUE)))+((AI102*SQRT(AE102))*(NORMDIST((IF('Adjustment Surface'!$C$2='Data Validation'!$A$2,AH102,IF('Adjustment Surface'!$C$2='Data Validation'!$A$3,AG102,"Unknown Option Type"))-IF('Adjustment Surface'!$C$2='Data Validation'!$A$2,AG102,IF('Adjustment Surface'!$C$2='Data Validation'!$A$3,AH102,"Unknown Option Type")))/(AI102*SQRT(AE102)),0,1,FALSE))))*AJ102*(AD102/360)*AF102))</f>
        <v/>
      </c>
      <c r="AM102" s="15" t="str">
        <f>IF(AA102="","",SUM(AL$4:AL102))</f>
        <v/>
      </c>
      <c r="AO102" s="15" t="str">
        <f>IF(AA102="","",IF(AB102&lt;'Rate &amp; Vol Update'!$C$2,0,((((((IF('Adjustment Surface'!$C$2='Data Validation'!$A$2,AH102,IF('Adjustment Surface'!$C$2='Data Validation'!$A$3,AG102,"Unknown Option Type"))-IF('Adjustment Surface'!$C$2='Data Validation'!$A$2,AG102,IF('Adjustment Surface'!$C$2='Data Validation'!$A$3,AH102,"Unknown Option Type")))*(NORMDIST((IF('Adjustment Surface'!$C$2='Data Validation'!$A$2,AH102,IF('Adjustment Surface'!$C$2='Data Validation'!$A$3,AG102,"Unknown Option Type"))-IF('Adjustment Surface'!$C$2='Data Validation'!$A$2,AG102,IF('Adjustment Surface'!$C$2='Data Validation'!$A$3,AH102,"Unknown Option Type")))/((AI102+0.01%)*SQRT(AE102)),0,1,TRUE)))+(((AI102+0.01%)*SQRT(AE102))*(NORMDIST((IF('Adjustment Surface'!$C$2='Data Validation'!$A$2,AH102,IF('Adjustment Surface'!$C$2='Data Validation'!$A$3,AG102,"Unknown Option Type"))-IF('Adjustment Surface'!$C$2='Data Validation'!$A$2,AG102,IF('Adjustment Surface'!$C$2='Data Validation'!$A$3,AH102,"Unknown Option Type")))/((AI102+0.01%)*SQRT(AE102)),0,1,FALSE))))*AJ102*(AD102/360))-(AL102/AF102))*AF102)*AJ102))</f>
        <v/>
      </c>
      <c r="AP102" s="15" t="str">
        <f>IF(AA102="","",SUM(AO$4:AO102))</f>
        <v/>
      </c>
      <c r="AQ102" s="15"/>
      <c r="AR102" s="20"/>
      <c r="AT102" s="4" t="str">
        <f>IF(AU101=MAX('Adjustment Surface'!$C$14:$F$14),"",AU101)</f>
        <v/>
      </c>
      <c r="AU102" s="4" t="str">
        <f>IF(AT102="","",IF(AT102&lt;EDATE('Adjustment Surface'!$C$6,DATEDIF('Adjustment Surface'!$C$6,MAX('Adjustment Surface'!$C$14:$F$14),"M")),EDATE(AT$5,COUNT(AT$5:AT102)),IF(AT102=EDATE('Adjustment Surface'!$C$6,DATEDIF('Adjustment Surface'!$C$6,MAX('Adjustment Surface'!$C$14:$F$14),"M")),MAX('Adjustment Surface'!$C$14:$F$14),EDATE('Adjustment Surface'!$C$6,DATEDIF('Adjustment Surface'!$C$6,MAX('Adjustment Surface'!$C$14:$F$14),"M")))))</f>
        <v/>
      </c>
      <c r="AV102" s="3" t="str">
        <f t="shared" si="8"/>
        <v/>
      </c>
      <c r="AW102" s="5" t="str">
        <f>IF(AS102="","",(AU102-'Rate &amp; Vol Update'!$C$2)/360)</f>
        <v/>
      </c>
      <c r="AX102" s="15" t="str">
        <f>IF(AS102="","",IF('Adjustment Surface'!$C$3='Data Validation'!$C$2,'Adjustment Surface'!$C$4,_xlfn.IFNA(IF(INDEX(Schedules!$E$3:$E$123,MATCH('Bachelier Model'!AT102,Schedules!$B$3:$B$123,0))="",AX101,INDEX(Schedules!$E$3:$E$123,MATCH('Bachelier Model'!AT102,Schedules!$B$3:$B$123,0))),AX101)))</f>
        <v/>
      </c>
      <c r="AY102" s="16" t="str">
        <f>IF(AS102="","",'Adjustment Surface'!B$16)</f>
        <v/>
      </c>
      <c r="AZ102" s="16" t="str" cm="1">
        <f t="array" ref="AZ102">IF(AS102="","",FORECAST(AT102,INDEX('Rate &amp; Vol Update'!$C$6:$C$127,MATCH(INDEX('Rate &amp; Vol Update'!$B$6:$B$127,MATCH(AT102,'Rate &amp; Vol Update'!$B$6:$B$127,1)),'Rate &amp; Vol Update'!$B$6:$B$127,0)+IF('Adjustment Surface'!$C$11='Data Validation'!$E$3,-1,0)):INDEX('Rate &amp; Vol Update'!$C$6:$C$127,MATCH(INDEX('Rate &amp; Vol Update'!$B$6:$B$127,MATCH(AT102,'Rate &amp; Vol Update'!$B$6:$B$127,1)+1),'Rate &amp; Vol Update'!$B$6:$B$127,0)+IF('Adjustment Surface'!$C$11='Data Validation'!$E$3,-1,0)),INDEX('Rate &amp; Vol Update'!$B$6:$B$127,MATCH(AT102,'Rate &amp; Vol Update'!$B$6:$B$127,1)):INDEX('Rate &amp; Vol Update'!$B$6:$B$127,MATCH(AT102,'Rate &amp; Vol Update'!$B$6:$B$127,1)+1))/100)</f>
        <v/>
      </c>
      <c r="BA102" s="16" t="str" cm="1">
        <f t="array" ref="BA102">IF(AS102="","",IF(AT102&lt;'Rate &amp; Vol Update'!$C$2,0.001%,(1/((INDEX('Rate &amp; Vol Update'!$E$6:$Z$6,1,MATCH(AY102,'Rate &amp; Vol Update'!$E$6:$Z$6,1)+1)-INDEX('Rate &amp; Vol Update'!$E$6:$Z$6,1,MATCH(AY102,'Rate &amp; Vol Update'!$E$6:$Z$6,1)))*(INDEX('Rate &amp; Vol Update'!$B$8:$B$127,MATCH(AT102,'Rate &amp; Vol Update'!$B$8:$B$127,1)+1)-INDEX('Rate &amp; Vol Update'!$B$8:$B$127,MATCH(AT102,'Rate &amp; Vol Update'!$B$8:$B$127,1))))*(INDEX('Rate &amp; Vol Update'!$E$8:$Z$127,MATCH(INDEX('Rate &amp; Vol Update'!$B$8:$B$127,MATCH(AT102,'Rate &amp; Vol Update'!$B$8:$B$127,1)),'Rate &amp; Vol Update'!$B$8:$B$127,0),MATCH(INDEX('Rate &amp; Vol Update'!$E$6:$Z$6,1,MATCH(AY102,'Rate &amp; Vol Update'!$E$6:$Z$6,1)),'Rate &amp; Vol Update'!$E$6:$Z$6,0))*(INDEX('Rate &amp; Vol Update'!$E$6:$Z$6,1,MATCH(AY102,'Rate &amp; Vol Update'!$E$6:$Z$6,1)+1)-AY102)*(INDEX('Rate &amp; Vol Update'!$B$8:$B$127,MATCH(AT102,'Rate &amp; Vol Update'!$B$8:$B$127,1)+1)-AT102)+INDEX('Rate &amp; Vol Update'!$E$8:$Z$127,MATCH(INDEX('Rate &amp; Vol Update'!$B$8:$B$127,MATCH(AT102,'Rate &amp; Vol Update'!$B$8:$B$127,1)),'Rate &amp; Vol Update'!$B$8:$B$127,0),MATCH(INDEX('Rate &amp; Vol Update'!$E$6:$Z$6,1,MATCH(AY102,'Rate &amp; Vol Update'!$E$6:$Z$6,1)+1),'Rate &amp; Vol Update'!$E$6:$Z$6,0))*(AY102-INDEX('Rate &amp; Vol Update'!$E$6:$Z$6,1,MATCH(AY102,'Rate &amp; Vol Update'!$E$6:$Z$6,1)))*(INDEX('Rate &amp; Vol Update'!$B$8:$B$127,MATCH(AT102,'Rate &amp; Vol Update'!$B$8:$B$127,1)+1)-AT102)+INDEX('Rate &amp; Vol Update'!$E$8:$Z$127,MATCH(INDEX('Rate &amp; Vol Update'!$B$8:$B$127,MATCH(AT102,'Rate &amp; Vol Update'!$B$8:$B$127,1)+1),'Rate &amp; Vol Update'!$B$8:$B$127,0),MATCH(INDEX('Rate &amp; Vol Update'!$E$6:$Z$6,1,MATCH(AY102,'Rate &amp; Vol Update'!$E$6:$Z$6,1)),'Rate &amp; Vol Update'!$E$6:$Z$6,0))*(INDEX('Rate &amp; Vol Update'!$E$6:$Z$6,1,MATCH(AY102,'Rate &amp; Vol Update'!$E$6:$Z$6,1)+1)-AY102)*(AT102-INDEX('Rate &amp; Vol Update'!$B$8:$B$127,MATCH(AT102,'Rate &amp; Vol Update'!$B$8:$B$127,1)))+INDEX('Rate &amp; Vol Update'!$E$8:$Z$127,MATCH(INDEX('Rate &amp; Vol Update'!$B$8:$B$127,MATCH(AT102,'Rate &amp; Vol Update'!$B$8:$B$127,1)+1),'Rate &amp; Vol Update'!$B$8:$B$127,0),MATCH(INDEX('Rate &amp; Vol Update'!$E$6:$Z$6,1,MATCH(AY102,'Rate &amp; Vol Update'!$E$6:$Z$6,1)+1),'Rate &amp; Vol Update'!$E$6:$Z$6,0))*(AY102-INDEX('Rate &amp; Vol Update'!$E$6:$Z$6,1,MATCH(AY102,'Rate &amp; Vol Update'!$E$6:$Z$6,1)))*(AT102-INDEX('Rate &amp; Vol Update'!$B$8:$B$127,MATCH(AT102,'Rate &amp; Vol Update'!$B$8:$B$127,1)))))*0.01%))</f>
        <v/>
      </c>
      <c r="BB102" s="5" t="str">
        <f>IF(AS102="","",1/((1+AZ102)^((AU102-'Rate &amp; Vol Update'!$C$2)/360)))</f>
        <v/>
      </c>
      <c r="BD102" s="15" t="str">
        <f>IF(AS102="","",IF(AT102&lt;'Rate &amp; Vol Update'!$C$2,MAX(0,AZ102-AY102)*(AV102/360)*AX102,(((IF('Adjustment Surface'!$C$2='Data Validation'!$A$2,AZ102,IF('Adjustment Surface'!$C$2='Data Validation'!$A$3,AY102,"Unknown Option Type"))-IF('Adjustment Surface'!$C$2='Data Validation'!$A$2,AY102,IF('Adjustment Surface'!$C$2='Data Validation'!$A$3,AZ102,"Unknown Option Type")))*(NORMDIST((IF('Adjustment Surface'!$C$2='Data Validation'!$A$2,AZ102,IF('Adjustment Surface'!$C$2='Data Validation'!$A$3,AY102,"Unknown Option Type"))-IF('Adjustment Surface'!$C$2='Data Validation'!$A$2,AY102,IF('Adjustment Surface'!$C$2='Data Validation'!$A$3,AZ102,"Unknown Option Type")))/(BA102*SQRT(AW102)),0,1,TRUE)))+((BA102*SQRT(AW102))*(NORMDIST((IF('Adjustment Surface'!$C$2='Data Validation'!$A$2,AZ102,IF('Adjustment Surface'!$C$2='Data Validation'!$A$3,AY102,"Unknown Option Type"))-IF('Adjustment Surface'!$C$2='Data Validation'!$A$2,AY102,IF('Adjustment Surface'!$C$2='Data Validation'!$A$3,AZ102,"Unknown Option Type")))/(BA102*SQRT(AW102)),0,1,FALSE))))*BB102*(AV102/360)*AX102))</f>
        <v/>
      </c>
      <c r="BE102" s="15" t="str">
        <f>IF(AS102="","",SUM(BD$4:BD102))</f>
        <v/>
      </c>
      <c r="BG102" s="15" t="str">
        <f>IF(AS102="","",IF(AT102&lt;'Rate &amp; Vol Update'!$C$2,0,((((((IF('Adjustment Surface'!$C$2='Data Validation'!$A$2,AZ102,IF('Adjustment Surface'!$C$2='Data Validation'!$A$3,AY102,"Unknown Option Type"))-IF('Adjustment Surface'!$C$2='Data Validation'!$A$2,AY102,IF('Adjustment Surface'!$C$2='Data Validation'!$A$3,AZ102,"Unknown Option Type")))*(NORMDIST((IF('Adjustment Surface'!$C$2='Data Validation'!$A$2,AZ102,IF('Adjustment Surface'!$C$2='Data Validation'!$A$3,AY102,"Unknown Option Type"))-IF('Adjustment Surface'!$C$2='Data Validation'!$A$2,AY102,IF('Adjustment Surface'!$C$2='Data Validation'!$A$3,AZ102,"Unknown Option Type")))/((BA102+0.01%)*SQRT(AW102)),0,1,TRUE)))+(((BA102+0.01%)*SQRT(AW102))*(NORMDIST((IF('Adjustment Surface'!$C$2='Data Validation'!$A$2,AZ102,IF('Adjustment Surface'!$C$2='Data Validation'!$A$3,AY102,"Unknown Option Type"))-IF('Adjustment Surface'!$C$2='Data Validation'!$A$2,AY102,IF('Adjustment Surface'!$C$2='Data Validation'!$A$3,AZ102,"Unknown Option Type")))/((BA102+0.01%)*SQRT(AW102)),0,1,FALSE))))*BB102*(AV102/360))-(BD102/AX102))*AX102)*BB102))</f>
        <v/>
      </c>
      <c r="BH102" s="15" t="str">
        <f>IF(AS102="","",SUM(BG$4:BG102))</f>
        <v/>
      </c>
      <c r="BI102" s="15"/>
      <c r="BJ102" s="20"/>
      <c r="BL102" s="4" t="str">
        <f>IF(BM101=MAX('Adjustment Surface'!$C$14:$F$14),"",BM101)</f>
        <v/>
      </c>
      <c r="BM102" s="4" t="str">
        <f>IF(BL102="","",IF(BL102&lt;EDATE('Adjustment Surface'!$C$6,DATEDIF('Adjustment Surface'!$C$6,MAX('Adjustment Surface'!$C$14:$F$14),"M")),EDATE(BL$5,COUNT(BL$5:BL102)),IF(BL102=EDATE('Adjustment Surface'!$C$6,DATEDIF('Adjustment Surface'!$C$6,MAX('Adjustment Surface'!$C$14:$F$14),"M")),MAX('Adjustment Surface'!$C$14:$F$14),EDATE('Adjustment Surface'!$C$6,DATEDIF('Adjustment Surface'!$C$6,MAX('Adjustment Surface'!$C$14:$F$14),"M")))))</f>
        <v/>
      </c>
      <c r="BN102" s="3" t="str">
        <f t="shared" si="9"/>
        <v/>
      </c>
      <c r="BO102" s="5" t="str">
        <f>IF(BK102="","",(BM102-'Rate &amp; Vol Update'!$C$2)/360)</f>
        <v/>
      </c>
      <c r="BP102" s="15" t="str">
        <f>IF(BK102="","",IF('Adjustment Surface'!$C$3='Data Validation'!$C$2,'Adjustment Surface'!$C$4,_xlfn.IFNA(IF(INDEX(Schedules!$E$3:$E$123,MATCH('Bachelier Model'!BL102,Schedules!$B$3:$B$123,0))="",BP101,INDEX(Schedules!$E$3:$E$123,MATCH('Bachelier Model'!BL102,Schedules!$B$3:$B$123,0))),BP101)))</f>
        <v/>
      </c>
      <c r="BQ102" s="16" t="str">
        <f>IF(BK102="","",'Adjustment Surface'!B$17)</f>
        <v/>
      </c>
      <c r="BR102" s="16" t="str" cm="1">
        <f t="array" ref="BR102">IF(BK102="","",FORECAST(BL102,INDEX('Rate &amp; Vol Update'!$C$6:$C$127,MATCH(INDEX('Rate &amp; Vol Update'!$B$6:$B$127,MATCH(BL102,'Rate &amp; Vol Update'!$B$6:$B$127,1)),'Rate &amp; Vol Update'!$B$6:$B$127,0)+IF('Adjustment Surface'!$C$11='Data Validation'!$E$3,-1,0)):INDEX('Rate &amp; Vol Update'!$C$6:$C$127,MATCH(INDEX('Rate &amp; Vol Update'!$B$6:$B$127,MATCH(BL102,'Rate &amp; Vol Update'!$B$6:$B$127,1)+1),'Rate &amp; Vol Update'!$B$6:$B$127,0)+IF('Adjustment Surface'!$C$11='Data Validation'!$E$3,-1,0)),INDEX('Rate &amp; Vol Update'!$B$6:$B$127,MATCH(BL102,'Rate &amp; Vol Update'!$B$6:$B$127,1)):INDEX('Rate &amp; Vol Update'!$B$6:$B$127,MATCH(BL102,'Rate &amp; Vol Update'!$B$6:$B$127,1)+1))/100)</f>
        <v/>
      </c>
      <c r="BS102" s="16" t="str" cm="1">
        <f t="array" ref="BS102">IF(BK102="","",IF(BL102&lt;'Rate &amp; Vol Update'!$C$2,0.001%,(1/((INDEX('Rate &amp; Vol Update'!$E$6:$Z$6,1,MATCH(BQ102,'Rate &amp; Vol Update'!$E$6:$Z$6,1)+1)-INDEX('Rate &amp; Vol Update'!$E$6:$Z$6,1,MATCH(BQ102,'Rate &amp; Vol Update'!$E$6:$Z$6,1)))*(INDEX('Rate &amp; Vol Update'!$B$8:$B$127,MATCH(BL102,'Rate &amp; Vol Update'!$B$8:$B$127,1)+1)-INDEX('Rate &amp; Vol Update'!$B$8:$B$127,MATCH(BL102,'Rate &amp; Vol Update'!$B$8:$B$127,1))))*(INDEX('Rate &amp; Vol Update'!$E$8:$Z$127,MATCH(INDEX('Rate &amp; Vol Update'!$B$8:$B$127,MATCH(BL102,'Rate &amp; Vol Update'!$B$8:$B$127,1)),'Rate &amp; Vol Update'!$B$8:$B$127,0),MATCH(INDEX('Rate &amp; Vol Update'!$E$6:$Z$6,1,MATCH(BQ102,'Rate &amp; Vol Update'!$E$6:$Z$6,1)),'Rate &amp; Vol Update'!$E$6:$Z$6,0))*(INDEX('Rate &amp; Vol Update'!$E$6:$Z$6,1,MATCH(BQ102,'Rate &amp; Vol Update'!$E$6:$Z$6,1)+1)-BQ102)*(INDEX('Rate &amp; Vol Update'!$B$8:$B$127,MATCH(BL102,'Rate &amp; Vol Update'!$B$8:$B$127,1)+1)-BL102)+INDEX('Rate &amp; Vol Update'!$E$8:$Z$127,MATCH(INDEX('Rate &amp; Vol Update'!$B$8:$B$127,MATCH(BL102,'Rate &amp; Vol Update'!$B$8:$B$127,1)),'Rate &amp; Vol Update'!$B$8:$B$127,0),MATCH(INDEX('Rate &amp; Vol Update'!$E$6:$Z$6,1,MATCH(BQ102,'Rate &amp; Vol Update'!$E$6:$Z$6,1)+1),'Rate &amp; Vol Update'!$E$6:$Z$6,0))*(BQ102-INDEX('Rate &amp; Vol Update'!$E$6:$Z$6,1,MATCH(BQ102,'Rate &amp; Vol Update'!$E$6:$Z$6,1)))*(INDEX('Rate &amp; Vol Update'!$B$8:$B$127,MATCH(BL102,'Rate &amp; Vol Update'!$B$8:$B$127,1)+1)-BL102)+INDEX('Rate &amp; Vol Update'!$E$8:$Z$127,MATCH(INDEX('Rate &amp; Vol Update'!$B$8:$B$127,MATCH(BL102,'Rate &amp; Vol Update'!$B$8:$B$127,1)+1),'Rate &amp; Vol Update'!$B$8:$B$127,0),MATCH(INDEX('Rate &amp; Vol Update'!$E$6:$Z$6,1,MATCH(BQ102,'Rate &amp; Vol Update'!$E$6:$Z$6,1)),'Rate &amp; Vol Update'!$E$6:$Z$6,0))*(INDEX('Rate &amp; Vol Update'!$E$6:$Z$6,1,MATCH(BQ102,'Rate &amp; Vol Update'!$E$6:$Z$6,1)+1)-BQ102)*(BL102-INDEX('Rate &amp; Vol Update'!$B$8:$B$127,MATCH(BL102,'Rate &amp; Vol Update'!$B$8:$B$127,1)))+INDEX('Rate &amp; Vol Update'!$E$8:$Z$127,MATCH(INDEX('Rate &amp; Vol Update'!$B$8:$B$127,MATCH(BL102,'Rate &amp; Vol Update'!$B$8:$B$127,1)+1),'Rate &amp; Vol Update'!$B$8:$B$127,0),MATCH(INDEX('Rate &amp; Vol Update'!$E$6:$Z$6,1,MATCH(BQ102,'Rate &amp; Vol Update'!$E$6:$Z$6,1)+1),'Rate &amp; Vol Update'!$E$6:$Z$6,0))*(BQ102-INDEX('Rate &amp; Vol Update'!$E$6:$Z$6,1,MATCH(BQ102,'Rate &amp; Vol Update'!$E$6:$Z$6,1)))*(BL102-INDEX('Rate &amp; Vol Update'!$B$8:$B$127,MATCH(BL102,'Rate &amp; Vol Update'!$B$8:$B$127,1)))))*0.01%))</f>
        <v/>
      </c>
      <c r="BT102" s="5" t="str">
        <f>IF(BK102="","",1/((1+BR102)^((BM102-'Rate &amp; Vol Update'!$C$2)/360)))</f>
        <v/>
      </c>
      <c r="BV102" s="15" t="str">
        <f>IF(BK102="","",IF(BL102&lt;'Rate &amp; Vol Update'!$C$2,MAX(0,BR102-BQ102)*(BN102/360)*BP102,(((IF('Adjustment Surface'!$C$2='Data Validation'!$A$2,BR102,IF('Adjustment Surface'!$C$2='Data Validation'!$A$3,BQ102,"Unknown Option Type"))-IF('Adjustment Surface'!$C$2='Data Validation'!$A$2,BQ102,IF('Adjustment Surface'!$C$2='Data Validation'!$A$3,BR102,"Unknown Option Type")))*(NORMDIST((IF('Adjustment Surface'!$C$2='Data Validation'!$A$2,BR102,IF('Adjustment Surface'!$C$2='Data Validation'!$A$3,BQ102,"Unknown Option Type"))-IF('Adjustment Surface'!$C$2='Data Validation'!$A$2,BQ102,IF('Adjustment Surface'!$C$2='Data Validation'!$A$3,BR102,"Unknown Option Type")))/(BS102*SQRT(BO102)),0,1,TRUE)))+((BS102*SQRT(BO102))*(NORMDIST((IF('Adjustment Surface'!$C$2='Data Validation'!$A$2,BR102,IF('Adjustment Surface'!$C$2='Data Validation'!$A$3,BQ102,"Unknown Option Type"))-IF('Adjustment Surface'!$C$2='Data Validation'!$A$2,BQ102,IF('Adjustment Surface'!$C$2='Data Validation'!$A$3,BR102,"Unknown Option Type")))/(BS102*SQRT(BO102)),0,1,FALSE))))*BT102*(BN102/360)*BP102))</f>
        <v/>
      </c>
      <c r="BW102" s="15" t="str">
        <f>IF(BK102="","",SUM(BV$4:BV102))</f>
        <v/>
      </c>
      <c r="BY102" s="15" t="str">
        <f>IF(BK102="","",IF(BL102&lt;'Rate &amp; Vol Update'!$C$2,0,((((((IF('Adjustment Surface'!$C$2='Data Validation'!$A$2,BR102,IF('Adjustment Surface'!$C$2='Data Validation'!$A$3,BQ102,"Unknown Option Type"))-IF('Adjustment Surface'!$C$2='Data Validation'!$A$2,BQ102,IF('Adjustment Surface'!$C$2='Data Validation'!$A$3,BR102,"Unknown Option Type")))*(NORMDIST((IF('Adjustment Surface'!$C$2='Data Validation'!$A$2,BR102,IF('Adjustment Surface'!$C$2='Data Validation'!$A$3,BQ102,"Unknown Option Type"))-IF('Adjustment Surface'!$C$2='Data Validation'!$A$2,BQ102,IF('Adjustment Surface'!$C$2='Data Validation'!$A$3,BR102,"Unknown Option Type")))/((BS102+0.01%)*SQRT(BO102)),0,1,TRUE)))+(((BS102+0.01%)*SQRT(BO102))*(NORMDIST((IF('Adjustment Surface'!$C$2='Data Validation'!$A$2,BR102,IF('Adjustment Surface'!$C$2='Data Validation'!$A$3,BQ102,"Unknown Option Type"))-IF('Adjustment Surface'!$C$2='Data Validation'!$A$2,BQ102,IF('Adjustment Surface'!$C$2='Data Validation'!$A$3,BR102,"Unknown Option Type")))/((BS102+0.01%)*SQRT(BO102)),0,1,FALSE))))*BT102*(BN102/360))-(BV102/BP102))*BP102)*BT102))</f>
        <v/>
      </c>
      <c r="BZ102" s="15" t="str">
        <f>IF(BK102="","",SUM(BY$4:BY102))</f>
        <v/>
      </c>
      <c r="CA102" s="15"/>
      <c r="CB102" s="20"/>
      <c r="CD102" s="4" t="str">
        <f>IF(CE101=MAX('Adjustment Surface'!$C$14:$F$14),"",CE101)</f>
        <v/>
      </c>
      <c r="CE102" s="4" t="str">
        <f>IF(CD102="","",IF(CD102&lt;EDATE('Adjustment Surface'!$C$6,DATEDIF('Adjustment Surface'!$C$6,MAX('Adjustment Surface'!$C$14:$F$14),"M")),EDATE(CD$5,COUNT(CD$5:CD102)),IF(CD102=EDATE('Adjustment Surface'!$C$6,DATEDIF('Adjustment Surface'!$C$6,MAX('Adjustment Surface'!$C$14:$F$14),"M")),MAX('Adjustment Surface'!$C$14:$F$14),EDATE('Adjustment Surface'!$C$6,DATEDIF('Adjustment Surface'!$C$6,MAX('Adjustment Surface'!$C$14:$F$14),"M")))))</f>
        <v/>
      </c>
      <c r="CF102" s="3" t="str">
        <f t="shared" si="10"/>
        <v/>
      </c>
      <c r="CG102" s="5" t="str">
        <f>IF(CC102="","",(CE102-'Rate &amp; Vol Update'!$C$2)/360)</f>
        <v/>
      </c>
      <c r="CH102" s="15" t="str">
        <f>IF(CC102="","",IF('Adjustment Surface'!$C$3='Data Validation'!$C$2,'Adjustment Surface'!$C$4,_xlfn.IFNA(IF(INDEX(Schedules!$E$3:$E$123,MATCH('Bachelier Model'!CD102,Schedules!$B$3:$B$123,0))="",CH101,INDEX(Schedules!$E$3:$E$123,MATCH('Bachelier Model'!CD102,Schedules!$B$3:$B$123,0))),CH101)))</f>
        <v/>
      </c>
      <c r="CI102" s="16" t="str">
        <f>IF(CC102="","",'Adjustment Surface'!B$18)</f>
        <v/>
      </c>
      <c r="CJ102" s="16" t="str" cm="1">
        <f t="array" ref="CJ102">IF(CC102="","",FORECAST(CD102,INDEX('Rate &amp; Vol Update'!$C$6:$C$127,MATCH(INDEX('Rate &amp; Vol Update'!$B$6:$B$127,MATCH(CD102,'Rate &amp; Vol Update'!$B$6:$B$127,1)),'Rate &amp; Vol Update'!$B$6:$B$127,0)+IF('Adjustment Surface'!$C$11='Data Validation'!$E$3,-1,0)):INDEX('Rate &amp; Vol Update'!$C$6:$C$127,MATCH(INDEX('Rate &amp; Vol Update'!$B$6:$B$127,MATCH(CD102,'Rate &amp; Vol Update'!$B$6:$B$127,1)+1),'Rate &amp; Vol Update'!$B$6:$B$127,0)+IF('Adjustment Surface'!$C$11='Data Validation'!$E$3,-1,0)),INDEX('Rate &amp; Vol Update'!$B$6:$B$127,MATCH(CD102,'Rate &amp; Vol Update'!$B$6:$B$127,1)):INDEX('Rate &amp; Vol Update'!$B$6:$B$127,MATCH(CD102,'Rate &amp; Vol Update'!$B$6:$B$127,1)+1))/100)</f>
        <v/>
      </c>
      <c r="CK102" s="16" t="str" cm="1">
        <f t="array" ref="CK102">IF(CC102="","",IF(CD102&lt;'Rate &amp; Vol Update'!$C$2,0.001%,(1/((INDEX('Rate &amp; Vol Update'!$E$6:$Z$6,1,MATCH(CI102,'Rate &amp; Vol Update'!$E$6:$Z$6,1)+1)-INDEX('Rate &amp; Vol Update'!$E$6:$Z$6,1,MATCH(CI102,'Rate &amp; Vol Update'!$E$6:$Z$6,1)))*(INDEX('Rate &amp; Vol Update'!$B$8:$B$127,MATCH(CD102,'Rate &amp; Vol Update'!$B$8:$B$127,1)+1)-INDEX('Rate &amp; Vol Update'!$B$8:$B$127,MATCH(CD102,'Rate &amp; Vol Update'!$B$8:$B$127,1))))*(INDEX('Rate &amp; Vol Update'!$E$8:$Z$127,MATCH(INDEX('Rate &amp; Vol Update'!$B$8:$B$127,MATCH(CD102,'Rate &amp; Vol Update'!$B$8:$B$127,1)),'Rate &amp; Vol Update'!$B$8:$B$127,0),MATCH(INDEX('Rate &amp; Vol Update'!$E$6:$Z$6,1,MATCH(CI102,'Rate &amp; Vol Update'!$E$6:$Z$6,1)),'Rate &amp; Vol Update'!$E$6:$Z$6,0))*(INDEX('Rate &amp; Vol Update'!$E$6:$Z$6,1,MATCH(CI102,'Rate &amp; Vol Update'!$E$6:$Z$6,1)+1)-CI102)*(INDEX('Rate &amp; Vol Update'!$B$8:$B$127,MATCH(CD102,'Rate &amp; Vol Update'!$B$8:$B$127,1)+1)-CD102)+INDEX('Rate &amp; Vol Update'!$E$8:$Z$127,MATCH(INDEX('Rate &amp; Vol Update'!$B$8:$B$127,MATCH(CD102,'Rate &amp; Vol Update'!$B$8:$B$127,1)),'Rate &amp; Vol Update'!$B$8:$B$127,0),MATCH(INDEX('Rate &amp; Vol Update'!$E$6:$Z$6,1,MATCH(CI102,'Rate &amp; Vol Update'!$E$6:$Z$6,1)+1),'Rate &amp; Vol Update'!$E$6:$Z$6,0))*(CI102-INDEX('Rate &amp; Vol Update'!$E$6:$Z$6,1,MATCH(CI102,'Rate &amp; Vol Update'!$E$6:$Z$6,1)))*(INDEX('Rate &amp; Vol Update'!$B$8:$B$127,MATCH(CD102,'Rate &amp; Vol Update'!$B$8:$B$127,1)+1)-CD102)+INDEX('Rate &amp; Vol Update'!$E$8:$Z$127,MATCH(INDEX('Rate &amp; Vol Update'!$B$8:$B$127,MATCH(CD102,'Rate &amp; Vol Update'!$B$8:$B$127,1)+1),'Rate &amp; Vol Update'!$B$8:$B$127,0),MATCH(INDEX('Rate &amp; Vol Update'!$E$6:$Z$6,1,MATCH(CI102,'Rate &amp; Vol Update'!$E$6:$Z$6,1)),'Rate &amp; Vol Update'!$E$6:$Z$6,0))*(INDEX('Rate &amp; Vol Update'!$E$6:$Z$6,1,MATCH(CI102,'Rate &amp; Vol Update'!$E$6:$Z$6,1)+1)-CI102)*(CD102-INDEX('Rate &amp; Vol Update'!$B$8:$B$127,MATCH(CD102,'Rate &amp; Vol Update'!$B$8:$B$127,1)))+INDEX('Rate &amp; Vol Update'!$E$8:$Z$127,MATCH(INDEX('Rate &amp; Vol Update'!$B$8:$B$127,MATCH(CD102,'Rate &amp; Vol Update'!$B$8:$B$127,1)+1),'Rate &amp; Vol Update'!$B$8:$B$127,0),MATCH(INDEX('Rate &amp; Vol Update'!$E$6:$Z$6,1,MATCH(CI102,'Rate &amp; Vol Update'!$E$6:$Z$6,1)+1),'Rate &amp; Vol Update'!$E$6:$Z$6,0))*(CI102-INDEX('Rate &amp; Vol Update'!$E$6:$Z$6,1,MATCH(CI102,'Rate &amp; Vol Update'!$E$6:$Z$6,1)))*(CD102-INDEX('Rate &amp; Vol Update'!$B$8:$B$127,MATCH(CD102,'Rate &amp; Vol Update'!$B$8:$B$127,1)))))*0.01%))</f>
        <v/>
      </c>
      <c r="CL102" s="5" t="str">
        <f>IF(CC102="","",1/((1+CJ102)^((CE102-'Rate &amp; Vol Update'!$C$2)/360)))</f>
        <v/>
      </c>
      <c r="CN102" s="15" t="str">
        <f>IF(CC102="","",IF(CD102&lt;'Rate &amp; Vol Update'!$C$2,MAX(0,CJ102-CI102)*(CF102/360)*CH102,(((IF('Adjustment Surface'!$C$2='Data Validation'!$A$2,CJ102,IF('Adjustment Surface'!$C$2='Data Validation'!$A$3,CI102,"Unknown Option Type"))-IF('Adjustment Surface'!$C$2='Data Validation'!$A$2,CI102,IF('Adjustment Surface'!$C$2='Data Validation'!$A$3,CJ102,"Unknown Option Type")))*(NORMDIST((IF('Adjustment Surface'!$C$2='Data Validation'!$A$2,CJ102,IF('Adjustment Surface'!$C$2='Data Validation'!$A$3,CI102,"Unknown Option Type"))-IF('Adjustment Surface'!$C$2='Data Validation'!$A$2,CI102,IF('Adjustment Surface'!$C$2='Data Validation'!$A$3,CJ102,"Unknown Option Type")))/(CK102*SQRT(CG102)),0,1,TRUE)))+((CK102*SQRT(CG102))*(NORMDIST((IF('Adjustment Surface'!$C$2='Data Validation'!$A$2,CJ102,IF('Adjustment Surface'!$C$2='Data Validation'!$A$3,CI102,"Unknown Option Type"))-IF('Adjustment Surface'!$C$2='Data Validation'!$A$2,CI102,IF('Adjustment Surface'!$C$2='Data Validation'!$A$3,CJ102,"Unknown Option Type")))/(CK102*SQRT(CG102)),0,1,FALSE))))*CL102*(CF102/360)*CH102))</f>
        <v/>
      </c>
      <c r="CO102" s="15" t="str">
        <f>IF(CC102="","",SUM(CN$4:CN102))</f>
        <v/>
      </c>
      <c r="CQ102" s="15" t="str">
        <f>IF(CC102="","",IF(CD102&lt;'Rate &amp; Vol Update'!$C$2,0,((((((IF('Adjustment Surface'!$C$2='Data Validation'!$A$2,CJ102,IF('Adjustment Surface'!$C$2='Data Validation'!$A$3,CI102,"Unknown Option Type"))-IF('Adjustment Surface'!$C$2='Data Validation'!$A$2,CI102,IF('Adjustment Surface'!$C$2='Data Validation'!$A$3,CJ102,"Unknown Option Type")))*(NORMDIST((IF('Adjustment Surface'!$C$2='Data Validation'!$A$2,CJ102,IF('Adjustment Surface'!$C$2='Data Validation'!$A$3,CI102,"Unknown Option Type"))-IF('Adjustment Surface'!$C$2='Data Validation'!$A$2,CI102,IF('Adjustment Surface'!$C$2='Data Validation'!$A$3,CJ102,"Unknown Option Type")))/((CK102+0.01%)*SQRT(CG102)),0,1,TRUE)))+(((CK102+0.01%)*SQRT(CG102))*(NORMDIST((IF('Adjustment Surface'!$C$2='Data Validation'!$A$2,CJ102,IF('Adjustment Surface'!$C$2='Data Validation'!$A$3,CI102,"Unknown Option Type"))-IF('Adjustment Surface'!$C$2='Data Validation'!$A$2,CI102,IF('Adjustment Surface'!$C$2='Data Validation'!$A$3,CJ102,"Unknown Option Type")))/((CK102+0.01%)*SQRT(CG102)),0,1,FALSE))))*CL102*(CF102/360))-(CN102/CH102))*CH102)*CL102))</f>
        <v/>
      </c>
      <c r="CR102" s="15" t="str">
        <f>IF(CC102="","",SUM(CQ$4:CQ102))</f>
        <v/>
      </c>
    </row>
    <row r="103" spans="7:96" x14ac:dyDescent="0.25">
      <c r="G103" s="28"/>
      <c r="J103" s="4" t="str">
        <f>IF(K102='Adjustment Surface'!C$8,"",K102)</f>
        <v/>
      </c>
      <c r="K103" s="4" t="str">
        <f>IF(J103="","",IF(J103&lt;'Adjustment Surface'!C$7,EDATE(J$5,COUNT(J$5:J103)),IF(J103='Adjustment Surface'!C$7,'Adjustment Surface'!C$8,'Adjustment Surface'!C$7)))</f>
        <v/>
      </c>
      <c r="L103" s="3" t="str">
        <f t="shared" si="6"/>
        <v/>
      </c>
      <c r="M103" s="5" t="str">
        <f>IF(I103="","",(K103-'Rate &amp; Vol Update'!$C$2)/360)</f>
        <v/>
      </c>
      <c r="N103" s="15" t="str">
        <f>IF(I103="","",IF('Adjustment Surface'!C$3='Data Validation'!$C$2,'Adjustment Surface'!C$4,IF(INDEX(Schedules!$E$3:$E$123,MATCH('Bachelier Model'!J103,Schedules!$B$3:$B$123,0))="",N102,INDEX(Schedules!$E$3:$E$123,MATCH('Bachelier Model'!J103,Schedules!$B$3:$B$123,0)))))</f>
        <v/>
      </c>
      <c r="O103" s="16" t="str">
        <f>IF(I103="","",IF('Adjustment Surface'!C$9='Data Validation'!$D$2,'Adjustment Surface'!C$10,IF(INDEX(Schedules!$H$3:$H$123,MATCH('Bachelier Model'!J103,Schedules!$B$3:$B$123,0))="",O102,INDEX(Schedules!$H$3:$H$123,MATCH('Bachelier Model'!J103,Schedules!$B$3:$B$123,0)))))</f>
        <v/>
      </c>
      <c r="P103" s="16" t="str" cm="1">
        <f t="array" ref="P103">IF(I103="","",FORECAST(J103,INDEX('Rate &amp; Vol Update'!$C$6:$C$127,MATCH(INDEX('Rate &amp; Vol Update'!$B$6:$B$127,MATCH(J103,'Rate &amp; Vol Update'!$B$6:$B$127,1)),'Rate &amp; Vol Update'!$B$6:$B$127,0)+IF('Adjustment Surface'!C$11='Data Validation'!$E$3,-1,0)):INDEX('Rate &amp; Vol Update'!$C$6:$C$127,MATCH(INDEX('Rate &amp; Vol Update'!$B$6:$B$127,MATCH(J103,'Rate &amp; Vol Update'!$B$6:$B$127,1)+1),'Rate &amp; Vol Update'!$B$6:$B$127,0)+IF('Adjustment Surface'!C$11='Data Validation'!$E$3,-1,0)),INDEX('Rate &amp; Vol Update'!$B$6:$B$127,MATCH(J103,'Rate &amp; Vol Update'!$B$6:$B$127,1)):INDEX('Rate &amp; Vol Update'!$B$6:$B$127,MATCH(J103,'Rate &amp; Vol Update'!$B$6:$B$127,1)+1))/100)</f>
        <v/>
      </c>
      <c r="Q103" s="16" t="str" cm="1">
        <f t="array" ref="Q103">IF(I103="","",IF(J103&lt;'Rate &amp; Vol Update'!$C$2,0.001%,(1/((INDEX('Rate &amp; Vol Update'!$E$6:$Z$6,1,MATCH(O103,'Rate &amp; Vol Update'!$E$6:$Z$6,1)+1)-INDEX('Rate &amp; Vol Update'!$E$6:$Z$6,1,MATCH(O103,'Rate &amp; Vol Update'!$E$6:$Z$6,1)))*(INDEX('Rate &amp; Vol Update'!$B$8:$B$127,MATCH(J103,'Rate &amp; Vol Update'!$B$8:$B$127,1)+1)-INDEX('Rate &amp; Vol Update'!$B$8:$B$127,MATCH(J103,'Rate &amp; Vol Update'!$B$8:$B$127,1))))*(INDEX('Rate &amp; Vol Update'!$E$8:$Z$127,MATCH(INDEX('Rate &amp; Vol Update'!$B$8:$B$127,MATCH(J103,'Rate &amp; Vol Update'!$B$8:$B$127,1)),'Rate &amp; Vol Update'!$B$8:$B$127,0),MATCH(INDEX('Rate &amp; Vol Update'!$E$6:$Z$6,1,MATCH(O103,'Rate &amp; Vol Update'!$E$6:$Z$6,1)),'Rate &amp; Vol Update'!$E$6:$Z$6,0))*(INDEX('Rate &amp; Vol Update'!$E$6:$Z$6,1,MATCH(O103,'Rate &amp; Vol Update'!$E$6:$Z$6,1)+1)-O103)*(INDEX('Rate &amp; Vol Update'!$B$8:$B$127,MATCH(J103,'Rate &amp; Vol Update'!$B$8:$B$127,1)+1)-J103)+INDEX('Rate &amp; Vol Update'!$E$8:$Z$127,MATCH(INDEX('Rate &amp; Vol Update'!$B$8:$B$127,MATCH(J103,'Rate &amp; Vol Update'!$B$8:$B$127,1)),'Rate &amp; Vol Update'!$B$8:$B$127,0),MATCH(INDEX('Rate &amp; Vol Update'!$E$6:$Z$6,1,MATCH(O103,'Rate &amp; Vol Update'!$E$6:$Z$6,1)+1),'Rate &amp; Vol Update'!$E$6:$Z$6,0))*(O103-INDEX('Rate &amp; Vol Update'!$E$6:$Z$6,1,MATCH(O103,'Rate &amp; Vol Update'!$E$6:$Z$6,1)))*(INDEX('Rate &amp; Vol Update'!$B$8:$B$127,MATCH(J103,'Rate &amp; Vol Update'!$B$8:$B$127,1)+1)-J103)+INDEX('Rate &amp; Vol Update'!$E$8:$Z$127,MATCH(INDEX('Rate &amp; Vol Update'!$B$8:$B$127,MATCH(J103,'Rate &amp; Vol Update'!$B$8:$B$127,1)+1),'Rate &amp; Vol Update'!$B$8:$B$127,0),MATCH(INDEX('Rate &amp; Vol Update'!$E$6:$Z$6,1,MATCH(O103,'Rate &amp; Vol Update'!$E$6:$Z$6,1)),'Rate &amp; Vol Update'!$E$6:$Z$6,0))*(INDEX('Rate &amp; Vol Update'!$E$6:$Z$6,1,MATCH(O103,'Rate &amp; Vol Update'!$E$6:$Z$6,1)+1)-O103)*(J103-INDEX('Rate &amp; Vol Update'!$B$8:$B$127,MATCH(J103,'Rate &amp; Vol Update'!$B$8:$B$127,1)))+INDEX('Rate &amp; Vol Update'!$E$8:$Z$127,MATCH(INDEX('Rate &amp; Vol Update'!$B$8:$B$127,MATCH(J103,'Rate &amp; Vol Update'!$B$8:$B$127,1)+1),'Rate &amp; Vol Update'!$B$8:$B$127,0),MATCH(INDEX('Rate &amp; Vol Update'!$E$6:$Z$6,1,MATCH(O103,'Rate &amp; Vol Update'!$E$6:$Z$6,1)+1),'Rate &amp; Vol Update'!$E$6:$Z$6,0))*(O103-INDEX('Rate &amp; Vol Update'!$E$6:$Z$6,1,MATCH(O103,'Rate &amp; Vol Update'!$E$6:$Z$6,1)))*(J103-INDEX('Rate &amp; Vol Update'!$B$8:$B$127,MATCH(J103,'Rate &amp; Vol Update'!$B$8:$B$127,1)))))*0.01%))</f>
        <v/>
      </c>
      <c r="R103" s="5" t="str">
        <f>IF(I103="","",1/((1+P103)^((K103-'Rate &amp; Vol Update'!$C$2)/360)))</f>
        <v/>
      </c>
      <c r="T103" s="15" t="str">
        <f>IF(I103="","",IF(J103&lt;'Rate &amp; Vol Update'!$C$2,MAX(0,P103-O103)*(L103/360)*N103,(((IF('Adjustment Surface'!C$2='Data Validation'!$A$2,P103,IF('Adjustment Surface'!C$2='Data Validation'!$A$3,O103,"Unknown Option Type"))-IF('Adjustment Surface'!C$2='Data Validation'!$A$2,O103,IF('Adjustment Surface'!C$2='Data Validation'!$A$3,P103,"Unknown Option Type")))*(NORMDIST((IF('Adjustment Surface'!C$2='Data Validation'!$A$2,P103,IF('Adjustment Surface'!C$2='Data Validation'!$A$3,O103,"Unknown Option Type"))-IF('Adjustment Surface'!C$2='Data Validation'!$A$2,O103,IF('Adjustment Surface'!C$2='Data Validation'!$A$3,P103,"Unknown Option Type")))/(Q103*SQRT(M103)),0,1,TRUE)))+((Q103*SQRT(M103))*(NORMDIST((IF('Adjustment Surface'!C$2='Data Validation'!$A$2,P103,IF('Adjustment Surface'!C$2='Data Validation'!$A$3,O103,"Unknown Option Type"))-IF('Adjustment Surface'!C$2='Data Validation'!$A$2,O103,IF('Adjustment Surface'!C$2='Data Validation'!$A$3,P103,"Unknown Option Type")))/(Q103*SQRT(M103)),0,1,FALSE))))*R103*(L103/360)*N103))</f>
        <v/>
      </c>
      <c r="U103" s="15" t="str">
        <f>IF(I103="","",SUM(T$4:T103))</f>
        <v/>
      </c>
      <c r="W103" s="15" t="str">
        <f>IF(I103="","",IF(J103&lt;'Rate &amp; Vol Update'!$C$2,0,((((((IF('Adjustment Surface'!C$2='Data Validation'!$A$2,P103,IF('Adjustment Surface'!C$2='Data Validation'!$A$3,O103,"Unknown Option Type"))-IF('Adjustment Surface'!C$2='Data Validation'!$A$2,O103,IF('Adjustment Surface'!C$2='Data Validation'!$A$3,P103,"Unknown Option Type")))*(NORMDIST((IF('Adjustment Surface'!C$2='Data Validation'!$A$2,P103,IF('Adjustment Surface'!C$2='Data Validation'!$A$3,O103,"Unknown Option Type"))-IF('Adjustment Surface'!C$2='Data Validation'!$A$2,O103,IF('Adjustment Surface'!C$2='Data Validation'!$A$3,P103,"Unknown Option Type")))/((Q103+0.01%)*SQRT(M103)),0,1,TRUE)))+(((Q103+0.01%)*SQRT(M103))*(NORMDIST((IF('Adjustment Surface'!C$2='Data Validation'!$A$2,P103,IF('Adjustment Surface'!C$2='Data Validation'!$A$3,O103,"Unknown Option Type"))-IF('Adjustment Surface'!C$2='Data Validation'!$A$2,O103,IF('Adjustment Surface'!C$2='Data Validation'!$A$3,P103,"Unknown Option Type")))/((Q103+0.01%)*SQRT(M103)),0,1,FALSE))))*R103*(L103/360))-(T103/N103))*N103)*R103))</f>
        <v/>
      </c>
      <c r="X103" s="15" t="str">
        <f>IF(I103="","",SUM(W$4:W103))</f>
        <v/>
      </c>
      <c r="Y103" s="15"/>
      <c r="Z103" s="20"/>
      <c r="AB103" s="4" t="str">
        <f>IF(AC102=MAX('Adjustment Surface'!$C$14:$F$14),"",AC102)</f>
        <v/>
      </c>
      <c r="AC103" s="4" t="str">
        <f>IF(AB103="","",IF(AB103&lt;EDATE('Adjustment Surface'!$C$6,DATEDIF('Adjustment Surface'!$C$6,MAX('Adjustment Surface'!$C$14:$F$14),"M")),EDATE(AB$5,COUNT(AB$5:AB103)),IF(AB103=EDATE('Adjustment Surface'!$C$6,DATEDIF('Adjustment Surface'!$C$6,MAX('Adjustment Surface'!$C$14:$F$14),"M")),MAX('Adjustment Surface'!$C$14:$F$14),EDATE('Adjustment Surface'!$C$6,DATEDIF('Adjustment Surface'!$C$6,MAX('Adjustment Surface'!$C$14:$F$14),"M")))))</f>
        <v/>
      </c>
      <c r="AD103" s="3" t="str">
        <f t="shared" si="7"/>
        <v/>
      </c>
      <c r="AE103" s="5" t="str">
        <f>IF(AA103="","",(AC103-'Rate &amp; Vol Update'!$C$2)/360)</f>
        <v/>
      </c>
      <c r="AF103" s="15" t="str">
        <f>IF(AA103="","",IF('Adjustment Surface'!$C$3='Data Validation'!$C$2,'Adjustment Surface'!$C$4,_xlfn.IFNA(IF(INDEX(Schedules!$E$3:$E$123,MATCH('Bachelier Model'!AB103,Schedules!$B$3:$B$123,0))="",AF102,INDEX(Schedules!$E$3:$E$123,MATCH('Bachelier Model'!AB103,Schedules!$B$3:$B$123,0))),AF102)))</f>
        <v/>
      </c>
      <c r="AG103" s="16" t="str">
        <f>IF(AA103="","",'Adjustment Surface'!B$15)</f>
        <v/>
      </c>
      <c r="AH103" s="16" t="str" cm="1">
        <f t="array" ref="AH103">IF(AA103="","",FORECAST(AB103,INDEX('Rate &amp; Vol Update'!$C$6:$C$127,MATCH(INDEX('Rate &amp; Vol Update'!$B$6:$B$127,MATCH(AB103,'Rate &amp; Vol Update'!$B$6:$B$127,1)),'Rate &amp; Vol Update'!$B$6:$B$127,0)+IF('Adjustment Surface'!$C$11='Data Validation'!$E$3,-1,0)):INDEX('Rate &amp; Vol Update'!$C$6:$C$127,MATCH(INDEX('Rate &amp; Vol Update'!$B$6:$B$127,MATCH(AB103,'Rate &amp; Vol Update'!$B$6:$B$127,1)+1),'Rate &amp; Vol Update'!$B$6:$B$127,0)+IF('Adjustment Surface'!$C$11='Data Validation'!$E$3,-1,0)),INDEX('Rate &amp; Vol Update'!$B$6:$B$127,MATCH(AB103,'Rate &amp; Vol Update'!$B$6:$B$127,1)):INDEX('Rate &amp; Vol Update'!$B$6:$B$127,MATCH(AB103,'Rate &amp; Vol Update'!$B$6:$B$127,1)+1))/100)</f>
        <v/>
      </c>
      <c r="AI103" s="16" t="str" cm="1">
        <f t="array" ref="AI103">IF(AA103="","",IF(AB103&lt;'Rate &amp; Vol Update'!$C$2,0.001%,(1/((INDEX('Rate &amp; Vol Update'!$E$6:$Z$6,1,MATCH(AG103,'Rate &amp; Vol Update'!$E$6:$Z$6,1)+1)-INDEX('Rate &amp; Vol Update'!$E$6:$Z$6,1,MATCH(AG103,'Rate &amp; Vol Update'!$E$6:$Z$6,1)))*(INDEX('Rate &amp; Vol Update'!$B$8:$B$127,MATCH(AB103,'Rate &amp; Vol Update'!$B$8:$B$127,1)+1)-INDEX('Rate &amp; Vol Update'!$B$8:$B$127,MATCH(AB103,'Rate &amp; Vol Update'!$B$8:$B$127,1))))*(INDEX('Rate &amp; Vol Update'!$E$8:$Z$127,MATCH(INDEX('Rate &amp; Vol Update'!$B$8:$B$127,MATCH(AB103,'Rate &amp; Vol Update'!$B$8:$B$127,1)),'Rate &amp; Vol Update'!$B$8:$B$127,0),MATCH(INDEX('Rate &amp; Vol Update'!$E$6:$Z$6,1,MATCH(AG103,'Rate &amp; Vol Update'!$E$6:$Z$6,1)),'Rate &amp; Vol Update'!$E$6:$Z$6,0))*(INDEX('Rate &amp; Vol Update'!$E$6:$Z$6,1,MATCH(AG103,'Rate &amp; Vol Update'!$E$6:$Z$6,1)+1)-AG103)*(INDEX('Rate &amp; Vol Update'!$B$8:$B$127,MATCH(AB103,'Rate &amp; Vol Update'!$B$8:$B$127,1)+1)-AB103)+INDEX('Rate &amp; Vol Update'!$E$8:$Z$127,MATCH(INDEX('Rate &amp; Vol Update'!$B$8:$B$127,MATCH(AB103,'Rate &amp; Vol Update'!$B$8:$B$127,1)),'Rate &amp; Vol Update'!$B$8:$B$127,0),MATCH(INDEX('Rate &amp; Vol Update'!$E$6:$Z$6,1,MATCH(AG103,'Rate &amp; Vol Update'!$E$6:$Z$6,1)+1),'Rate &amp; Vol Update'!$E$6:$Z$6,0))*(AG103-INDEX('Rate &amp; Vol Update'!$E$6:$Z$6,1,MATCH(AG103,'Rate &amp; Vol Update'!$E$6:$Z$6,1)))*(INDEX('Rate &amp; Vol Update'!$B$8:$B$127,MATCH(AB103,'Rate &amp; Vol Update'!$B$8:$B$127,1)+1)-AB103)+INDEX('Rate &amp; Vol Update'!$E$8:$Z$127,MATCH(INDEX('Rate &amp; Vol Update'!$B$8:$B$127,MATCH(AB103,'Rate &amp; Vol Update'!$B$8:$B$127,1)+1),'Rate &amp; Vol Update'!$B$8:$B$127,0),MATCH(INDEX('Rate &amp; Vol Update'!$E$6:$Z$6,1,MATCH(AG103,'Rate &amp; Vol Update'!$E$6:$Z$6,1)),'Rate &amp; Vol Update'!$E$6:$Z$6,0))*(INDEX('Rate &amp; Vol Update'!$E$6:$Z$6,1,MATCH(AG103,'Rate &amp; Vol Update'!$E$6:$Z$6,1)+1)-AG103)*(AB103-INDEX('Rate &amp; Vol Update'!$B$8:$B$127,MATCH(AB103,'Rate &amp; Vol Update'!$B$8:$B$127,1)))+INDEX('Rate &amp; Vol Update'!$E$8:$Z$127,MATCH(INDEX('Rate &amp; Vol Update'!$B$8:$B$127,MATCH(AB103,'Rate &amp; Vol Update'!$B$8:$B$127,1)+1),'Rate &amp; Vol Update'!$B$8:$B$127,0),MATCH(INDEX('Rate &amp; Vol Update'!$E$6:$Z$6,1,MATCH(AG103,'Rate &amp; Vol Update'!$E$6:$Z$6,1)+1),'Rate &amp; Vol Update'!$E$6:$Z$6,0))*(AG103-INDEX('Rate &amp; Vol Update'!$E$6:$Z$6,1,MATCH(AG103,'Rate &amp; Vol Update'!$E$6:$Z$6,1)))*(AB103-INDEX('Rate &amp; Vol Update'!$B$8:$B$127,MATCH(AB103,'Rate &amp; Vol Update'!$B$8:$B$127,1)))))*0.01%))</f>
        <v/>
      </c>
      <c r="AJ103" s="5" t="str">
        <f>IF(AA103="","",1/((1+AH103)^((AC103-'Rate &amp; Vol Update'!$C$2)/360)))</f>
        <v/>
      </c>
      <c r="AL103" s="15" t="str">
        <f>IF(AA103="","",IF(AB103&lt;'Rate &amp; Vol Update'!$C$2,MAX(0,AH103-AG103)*(AD103/360)*AF103,(((IF('Adjustment Surface'!$C$2='Data Validation'!$A$2,AH103,IF('Adjustment Surface'!$C$2='Data Validation'!$A$3,AG103,"Unknown Option Type"))-IF('Adjustment Surface'!$C$2='Data Validation'!$A$2,AG103,IF('Adjustment Surface'!$C$2='Data Validation'!$A$3,AH103,"Unknown Option Type")))*(NORMDIST((IF('Adjustment Surface'!$C$2='Data Validation'!$A$2,AH103,IF('Adjustment Surface'!$C$2='Data Validation'!$A$3,AG103,"Unknown Option Type"))-IF('Adjustment Surface'!$C$2='Data Validation'!$A$2,AG103,IF('Adjustment Surface'!$C$2='Data Validation'!$A$3,AH103,"Unknown Option Type")))/(AI103*SQRT(AE103)),0,1,TRUE)))+((AI103*SQRT(AE103))*(NORMDIST((IF('Adjustment Surface'!$C$2='Data Validation'!$A$2,AH103,IF('Adjustment Surface'!$C$2='Data Validation'!$A$3,AG103,"Unknown Option Type"))-IF('Adjustment Surface'!$C$2='Data Validation'!$A$2,AG103,IF('Adjustment Surface'!$C$2='Data Validation'!$A$3,AH103,"Unknown Option Type")))/(AI103*SQRT(AE103)),0,1,FALSE))))*AJ103*(AD103/360)*AF103))</f>
        <v/>
      </c>
      <c r="AM103" s="15" t="str">
        <f>IF(AA103="","",SUM(AL$4:AL103))</f>
        <v/>
      </c>
      <c r="AO103" s="15" t="str">
        <f>IF(AA103="","",IF(AB103&lt;'Rate &amp; Vol Update'!$C$2,0,((((((IF('Adjustment Surface'!$C$2='Data Validation'!$A$2,AH103,IF('Adjustment Surface'!$C$2='Data Validation'!$A$3,AG103,"Unknown Option Type"))-IF('Adjustment Surface'!$C$2='Data Validation'!$A$2,AG103,IF('Adjustment Surface'!$C$2='Data Validation'!$A$3,AH103,"Unknown Option Type")))*(NORMDIST((IF('Adjustment Surface'!$C$2='Data Validation'!$A$2,AH103,IF('Adjustment Surface'!$C$2='Data Validation'!$A$3,AG103,"Unknown Option Type"))-IF('Adjustment Surface'!$C$2='Data Validation'!$A$2,AG103,IF('Adjustment Surface'!$C$2='Data Validation'!$A$3,AH103,"Unknown Option Type")))/((AI103+0.01%)*SQRT(AE103)),0,1,TRUE)))+(((AI103+0.01%)*SQRT(AE103))*(NORMDIST((IF('Adjustment Surface'!$C$2='Data Validation'!$A$2,AH103,IF('Adjustment Surface'!$C$2='Data Validation'!$A$3,AG103,"Unknown Option Type"))-IF('Adjustment Surface'!$C$2='Data Validation'!$A$2,AG103,IF('Adjustment Surface'!$C$2='Data Validation'!$A$3,AH103,"Unknown Option Type")))/((AI103+0.01%)*SQRT(AE103)),0,1,FALSE))))*AJ103*(AD103/360))-(AL103/AF103))*AF103)*AJ103))</f>
        <v/>
      </c>
      <c r="AP103" s="15" t="str">
        <f>IF(AA103="","",SUM(AO$4:AO103))</f>
        <v/>
      </c>
      <c r="AQ103" s="15"/>
      <c r="AR103" s="20"/>
      <c r="AT103" s="4" t="str">
        <f>IF(AU102=MAX('Adjustment Surface'!$C$14:$F$14),"",AU102)</f>
        <v/>
      </c>
      <c r="AU103" s="4" t="str">
        <f>IF(AT103="","",IF(AT103&lt;EDATE('Adjustment Surface'!$C$6,DATEDIF('Adjustment Surface'!$C$6,MAX('Adjustment Surface'!$C$14:$F$14),"M")),EDATE(AT$5,COUNT(AT$5:AT103)),IF(AT103=EDATE('Adjustment Surface'!$C$6,DATEDIF('Adjustment Surface'!$C$6,MAX('Adjustment Surface'!$C$14:$F$14),"M")),MAX('Adjustment Surface'!$C$14:$F$14),EDATE('Adjustment Surface'!$C$6,DATEDIF('Adjustment Surface'!$C$6,MAX('Adjustment Surface'!$C$14:$F$14),"M")))))</f>
        <v/>
      </c>
      <c r="AV103" s="3" t="str">
        <f t="shared" si="8"/>
        <v/>
      </c>
      <c r="AW103" s="5" t="str">
        <f>IF(AS103="","",(AU103-'Rate &amp; Vol Update'!$C$2)/360)</f>
        <v/>
      </c>
      <c r="AX103" s="15" t="str">
        <f>IF(AS103="","",IF('Adjustment Surface'!$C$3='Data Validation'!$C$2,'Adjustment Surface'!$C$4,_xlfn.IFNA(IF(INDEX(Schedules!$E$3:$E$123,MATCH('Bachelier Model'!AT103,Schedules!$B$3:$B$123,0))="",AX102,INDEX(Schedules!$E$3:$E$123,MATCH('Bachelier Model'!AT103,Schedules!$B$3:$B$123,0))),AX102)))</f>
        <v/>
      </c>
      <c r="AY103" s="16" t="str">
        <f>IF(AS103="","",'Adjustment Surface'!B$16)</f>
        <v/>
      </c>
      <c r="AZ103" s="16" t="str" cm="1">
        <f t="array" ref="AZ103">IF(AS103="","",FORECAST(AT103,INDEX('Rate &amp; Vol Update'!$C$6:$C$127,MATCH(INDEX('Rate &amp; Vol Update'!$B$6:$B$127,MATCH(AT103,'Rate &amp; Vol Update'!$B$6:$B$127,1)),'Rate &amp; Vol Update'!$B$6:$B$127,0)+IF('Adjustment Surface'!$C$11='Data Validation'!$E$3,-1,0)):INDEX('Rate &amp; Vol Update'!$C$6:$C$127,MATCH(INDEX('Rate &amp; Vol Update'!$B$6:$B$127,MATCH(AT103,'Rate &amp; Vol Update'!$B$6:$B$127,1)+1),'Rate &amp; Vol Update'!$B$6:$B$127,0)+IF('Adjustment Surface'!$C$11='Data Validation'!$E$3,-1,0)),INDEX('Rate &amp; Vol Update'!$B$6:$B$127,MATCH(AT103,'Rate &amp; Vol Update'!$B$6:$B$127,1)):INDEX('Rate &amp; Vol Update'!$B$6:$B$127,MATCH(AT103,'Rate &amp; Vol Update'!$B$6:$B$127,1)+1))/100)</f>
        <v/>
      </c>
      <c r="BA103" s="16" t="str" cm="1">
        <f t="array" ref="BA103">IF(AS103="","",IF(AT103&lt;'Rate &amp; Vol Update'!$C$2,0.001%,(1/((INDEX('Rate &amp; Vol Update'!$E$6:$Z$6,1,MATCH(AY103,'Rate &amp; Vol Update'!$E$6:$Z$6,1)+1)-INDEX('Rate &amp; Vol Update'!$E$6:$Z$6,1,MATCH(AY103,'Rate &amp; Vol Update'!$E$6:$Z$6,1)))*(INDEX('Rate &amp; Vol Update'!$B$8:$B$127,MATCH(AT103,'Rate &amp; Vol Update'!$B$8:$B$127,1)+1)-INDEX('Rate &amp; Vol Update'!$B$8:$B$127,MATCH(AT103,'Rate &amp; Vol Update'!$B$8:$B$127,1))))*(INDEX('Rate &amp; Vol Update'!$E$8:$Z$127,MATCH(INDEX('Rate &amp; Vol Update'!$B$8:$B$127,MATCH(AT103,'Rate &amp; Vol Update'!$B$8:$B$127,1)),'Rate &amp; Vol Update'!$B$8:$B$127,0),MATCH(INDEX('Rate &amp; Vol Update'!$E$6:$Z$6,1,MATCH(AY103,'Rate &amp; Vol Update'!$E$6:$Z$6,1)),'Rate &amp; Vol Update'!$E$6:$Z$6,0))*(INDEX('Rate &amp; Vol Update'!$E$6:$Z$6,1,MATCH(AY103,'Rate &amp; Vol Update'!$E$6:$Z$6,1)+1)-AY103)*(INDEX('Rate &amp; Vol Update'!$B$8:$B$127,MATCH(AT103,'Rate &amp; Vol Update'!$B$8:$B$127,1)+1)-AT103)+INDEX('Rate &amp; Vol Update'!$E$8:$Z$127,MATCH(INDEX('Rate &amp; Vol Update'!$B$8:$B$127,MATCH(AT103,'Rate &amp; Vol Update'!$B$8:$B$127,1)),'Rate &amp; Vol Update'!$B$8:$B$127,0),MATCH(INDEX('Rate &amp; Vol Update'!$E$6:$Z$6,1,MATCH(AY103,'Rate &amp; Vol Update'!$E$6:$Z$6,1)+1),'Rate &amp; Vol Update'!$E$6:$Z$6,0))*(AY103-INDEX('Rate &amp; Vol Update'!$E$6:$Z$6,1,MATCH(AY103,'Rate &amp; Vol Update'!$E$6:$Z$6,1)))*(INDEX('Rate &amp; Vol Update'!$B$8:$B$127,MATCH(AT103,'Rate &amp; Vol Update'!$B$8:$B$127,1)+1)-AT103)+INDEX('Rate &amp; Vol Update'!$E$8:$Z$127,MATCH(INDEX('Rate &amp; Vol Update'!$B$8:$B$127,MATCH(AT103,'Rate &amp; Vol Update'!$B$8:$B$127,1)+1),'Rate &amp; Vol Update'!$B$8:$B$127,0),MATCH(INDEX('Rate &amp; Vol Update'!$E$6:$Z$6,1,MATCH(AY103,'Rate &amp; Vol Update'!$E$6:$Z$6,1)),'Rate &amp; Vol Update'!$E$6:$Z$6,0))*(INDEX('Rate &amp; Vol Update'!$E$6:$Z$6,1,MATCH(AY103,'Rate &amp; Vol Update'!$E$6:$Z$6,1)+1)-AY103)*(AT103-INDEX('Rate &amp; Vol Update'!$B$8:$B$127,MATCH(AT103,'Rate &amp; Vol Update'!$B$8:$B$127,1)))+INDEX('Rate &amp; Vol Update'!$E$8:$Z$127,MATCH(INDEX('Rate &amp; Vol Update'!$B$8:$B$127,MATCH(AT103,'Rate &amp; Vol Update'!$B$8:$B$127,1)+1),'Rate &amp; Vol Update'!$B$8:$B$127,0),MATCH(INDEX('Rate &amp; Vol Update'!$E$6:$Z$6,1,MATCH(AY103,'Rate &amp; Vol Update'!$E$6:$Z$6,1)+1),'Rate &amp; Vol Update'!$E$6:$Z$6,0))*(AY103-INDEX('Rate &amp; Vol Update'!$E$6:$Z$6,1,MATCH(AY103,'Rate &amp; Vol Update'!$E$6:$Z$6,1)))*(AT103-INDEX('Rate &amp; Vol Update'!$B$8:$B$127,MATCH(AT103,'Rate &amp; Vol Update'!$B$8:$B$127,1)))))*0.01%))</f>
        <v/>
      </c>
      <c r="BB103" s="5" t="str">
        <f>IF(AS103="","",1/((1+AZ103)^((AU103-'Rate &amp; Vol Update'!$C$2)/360)))</f>
        <v/>
      </c>
      <c r="BD103" s="15" t="str">
        <f>IF(AS103="","",IF(AT103&lt;'Rate &amp; Vol Update'!$C$2,MAX(0,AZ103-AY103)*(AV103/360)*AX103,(((IF('Adjustment Surface'!$C$2='Data Validation'!$A$2,AZ103,IF('Adjustment Surface'!$C$2='Data Validation'!$A$3,AY103,"Unknown Option Type"))-IF('Adjustment Surface'!$C$2='Data Validation'!$A$2,AY103,IF('Adjustment Surface'!$C$2='Data Validation'!$A$3,AZ103,"Unknown Option Type")))*(NORMDIST((IF('Adjustment Surface'!$C$2='Data Validation'!$A$2,AZ103,IF('Adjustment Surface'!$C$2='Data Validation'!$A$3,AY103,"Unknown Option Type"))-IF('Adjustment Surface'!$C$2='Data Validation'!$A$2,AY103,IF('Adjustment Surface'!$C$2='Data Validation'!$A$3,AZ103,"Unknown Option Type")))/(BA103*SQRT(AW103)),0,1,TRUE)))+((BA103*SQRT(AW103))*(NORMDIST((IF('Adjustment Surface'!$C$2='Data Validation'!$A$2,AZ103,IF('Adjustment Surface'!$C$2='Data Validation'!$A$3,AY103,"Unknown Option Type"))-IF('Adjustment Surface'!$C$2='Data Validation'!$A$2,AY103,IF('Adjustment Surface'!$C$2='Data Validation'!$A$3,AZ103,"Unknown Option Type")))/(BA103*SQRT(AW103)),0,1,FALSE))))*BB103*(AV103/360)*AX103))</f>
        <v/>
      </c>
      <c r="BE103" s="15" t="str">
        <f>IF(AS103="","",SUM(BD$4:BD103))</f>
        <v/>
      </c>
      <c r="BG103" s="15" t="str">
        <f>IF(AS103="","",IF(AT103&lt;'Rate &amp; Vol Update'!$C$2,0,((((((IF('Adjustment Surface'!$C$2='Data Validation'!$A$2,AZ103,IF('Adjustment Surface'!$C$2='Data Validation'!$A$3,AY103,"Unknown Option Type"))-IF('Adjustment Surface'!$C$2='Data Validation'!$A$2,AY103,IF('Adjustment Surface'!$C$2='Data Validation'!$A$3,AZ103,"Unknown Option Type")))*(NORMDIST((IF('Adjustment Surface'!$C$2='Data Validation'!$A$2,AZ103,IF('Adjustment Surface'!$C$2='Data Validation'!$A$3,AY103,"Unknown Option Type"))-IF('Adjustment Surface'!$C$2='Data Validation'!$A$2,AY103,IF('Adjustment Surface'!$C$2='Data Validation'!$A$3,AZ103,"Unknown Option Type")))/((BA103+0.01%)*SQRT(AW103)),0,1,TRUE)))+(((BA103+0.01%)*SQRT(AW103))*(NORMDIST((IF('Adjustment Surface'!$C$2='Data Validation'!$A$2,AZ103,IF('Adjustment Surface'!$C$2='Data Validation'!$A$3,AY103,"Unknown Option Type"))-IF('Adjustment Surface'!$C$2='Data Validation'!$A$2,AY103,IF('Adjustment Surface'!$C$2='Data Validation'!$A$3,AZ103,"Unknown Option Type")))/((BA103+0.01%)*SQRT(AW103)),0,1,FALSE))))*BB103*(AV103/360))-(BD103/AX103))*AX103)*BB103))</f>
        <v/>
      </c>
      <c r="BH103" s="15" t="str">
        <f>IF(AS103="","",SUM(BG$4:BG103))</f>
        <v/>
      </c>
      <c r="BI103" s="15"/>
      <c r="BJ103" s="20"/>
      <c r="BL103" s="4" t="str">
        <f>IF(BM102=MAX('Adjustment Surface'!$C$14:$F$14),"",BM102)</f>
        <v/>
      </c>
      <c r="BM103" s="4" t="str">
        <f>IF(BL103="","",IF(BL103&lt;EDATE('Adjustment Surface'!$C$6,DATEDIF('Adjustment Surface'!$C$6,MAX('Adjustment Surface'!$C$14:$F$14),"M")),EDATE(BL$5,COUNT(BL$5:BL103)),IF(BL103=EDATE('Adjustment Surface'!$C$6,DATEDIF('Adjustment Surface'!$C$6,MAX('Adjustment Surface'!$C$14:$F$14),"M")),MAX('Adjustment Surface'!$C$14:$F$14),EDATE('Adjustment Surface'!$C$6,DATEDIF('Adjustment Surface'!$C$6,MAX('Adjustment Surface'!$C$14:$F$14),"M")))))</f>
        <v/>
      </c>
      <c r="BN103" s="3" t="str">
        <f t="shared" si="9"/>
        <v/>
      </c>
      <c r="BO103" s="5" t="str">
        <f>IF(BK103="","",(BM103-'Rate &amp; Vol Update'!$C$2)/360)</f>
        <v/>
      </c>
      <c r="BP103" s="15" t="str">
        <f>IF(BK103="","",IF('Adjustment Surface'!$C$3='Data Validation'!$C$2,'Adjustment Surface'!$C$4,_xlfn.IFNA(IF(INDEX(Schedules!$E$3:$E$123,MATCH('Bachelier Model'!BL103,Schedules!$B$3:$B$123,0))="",BP102,INDEX(Schedules!$E$3:$E$123,MATCH('Bachelier Model'!BL103,Schedules!$B$3:$B$123,0))),BP102)))</f>
        <v/>
      </c>
      <c r="BQ103" s="16" t="str">
        <f>IF(BK103="","",'Adjustment Surface'!B$17)</f>
        <v/>
      </c>
      <c r="BR103" s="16" t="str" cm="1">
        <f t="array" ref="BR103">IF(BK103="","",FORECAST(BL103,INDEX('Rate &amp; Vol Update'!$C$6:$C$127,MATCH(INDEX('Rate &amp; Vol Update'!$B$6:$B$127,MATCH(BL103,'Rate &amp; Vol Update'!$B$6:$B$127,1)),'Rate &amp; Vol Update'!$B$6:$B$127,0)+IF('Adjustment Surface'!$C$11='Data Validation'!$E$3,-1,0)):INDEX('Rate &amp; Vol Update'!$C$6:$C$127,MATCH(INDEX('Rate &amp; Vol Update'!$B$6:$B$127,MATCH(BL103,'Rate &amp; Vol Update'!$B$6:$B$127,1)+1),'Rate &amp; Vol Update'!$B$6:$B$127,0)+IF('Adjustment Surface'!$C$11='Data Validation'!$E$3,-1,0)),INDEX('Rate &amp; Vol Update'!$B$6:$B$127,MATCH(BL103,'Rate &amp; Vol Update'!$B$6:$B$127,1)):INDEX('Rate &amp; Vol Update'!$B$6:$B$127,MATCH(BL103,'Rate &amp; Vol Update'!$B$6:$B$127,1)+1))/100)</f>
        <v/>
      </c>
      <c r="BS103" s="16" t="str" cm="1">
        <f t="array" ref="BS103">IF(BK103="","",IF(BL103&lt;'Rate &amp; Vol Update'!$C$2,0.001%,(1/((INDEX('Rate &amp; Vol Update'!$E$6:$Z$6,1,MATCH(BQ103,'Rate &amp; Vol Update'!$E$6:$Z$6,1)+1)-INDEX('Rate &amp; Vol Update'!$E$6:$Z$6,1,MATCH(BQ103,'Rate &amp; Vol Update'!$E$6:$Z$6,1)))*(INDEX('Rate &amp; Vol Update'!$B$8:$B$127,MATCH(BL103,'Rate &amp; Vol Update'!$B$8:$B$127,1)+1)-INDEX('Rate &amp; Vol Update'!$B$8:$B$127,MATCH(BL103,'Rate &amp; Vol Update'!$B$8:$B$127,1))))*(INDEX('Rate &amp; Vol Update'!$E$8:$Z$127,MATCH(INDEX('Rate &amp; Vol Update'!$B$8:$B$127,MATCH(BL103,'Rate &amp; Vol Update'!$B$8:$B$127,1)),'Rate &amp; Vol Update'!$B$8:$B$127,0),MATCH(INDEX('Rate &amp; Vol Update'!$E$6:$Z$6,1,MATCH(BQ103,'Rate &amp; Vol Update'!$E$6:$Z$6,1)),'Rate &amp; Vol Update'!$E$6:$Z$6,0))*(INDEX('Rate &amp; Vol Update'!$E$6:$Z$6,1,MATCH(BQ103,'Rate &amp; Vol Update'!$E$6:$Z$6,1)+1)-BQ103)*(INDEX('Rate &amp; Vol Update'!$B$8:$B$127,MATCH(BL103,'Rate &amp; Vol Update'!$B$8:$B$127,1)+1)-BL103)+INDEX('Rate &amp; Vol Update'!$E$8:$Z$127,MATCH(INDEX('Rate &amp; Vol Update'!$B$8:$B$127,MATCH(BL103,'Rate &amp; Vol Update'!$B$8:$B$127,1)),'Rate &amp; Vol Update'!$B$8:$B$127,0),MATCH(INDEX('Rate &amp; Vol Update'!$E$6:$Z$6,1,MATCH(BQ103,'Rate &amp; Vol Update'!$E$6:$Z$6,1)+1),'Rate &amp; Vol Update'!$E$6:$Z$6,0))*(BQ103-INDEX('Rate &amp; Vol Update'!$E$6:$Z$6,1,MATCH(BQ103,'Rate &amp; Vol Update'!$E$6:$Z$6,1)))*(INDEX('Rate &amp; Vol Update'!$B$8:$B$127,MATCH(BL103,'Rate &amp; Vol Update'!$B$8:$B$127,1)+1)-BL103)+INDEX('Rate &amp; Vol Update'!$E$8:$Z$127,MATCH(INDEX('Rate &amp; Vol Update'!$B$8:$B$127,MATCH(BL103,'Rate &amp; Vol Update'!$B$8:$B$127,1)+1),'Rate &amp; Vol Update'!$B$8:$B$127,0),MATCH(INDEX('Rate &amp; Vol Update'!$E$6:$Z$6,1,MATCH(BQ103,'Rate &amp; Vol Update'!$E$6:$Z$6,1)),'Rate &amp; Vol Update'!$E$6:$Z$6,0))*(INDEX('Rate &amp; Vol Update'!$E$6:$Z$6,1,MATCH(BQ103,'Rate &amp; Vol Update'!$E$6:$Z$6,1)+1)-BQ103)*(BL103-INDEX('Rate &amp; Vol Update'!$B$8:$B$127,MATCH(BL103,'Rate &amp; Vol Update'!$B$8:$B$127,1)))+INDEX('Rate &amp; Vol Update'!$E$8:$Z$127,MATCH(INDEX('Rate &amp; Vol Update'!$B$8:$B$127,MATCH(BL103,'Rate &amp; Vol Update'!$B$8:$B$127,1)+1),'Rate &amp; Vol Update'!$B$8:$B$127,0),MATCH(INDEX('Rate &amp; Vol Update'!$E$6:$Z$6,1,MATCH(BQ103,'Rate &amp; Vol Update'!$E$6:$Z$6,1)+1),'Rate &amp; Vol Update'!$E$6:$Z$6,0))*(BQ103-INDEX('Rate &amp; Vol Update'!$E$6:$Z$6,1,MATCH(BQ103,'Rate &amp; Vol Update'!$E$6:$Z$6,1)))*(BL103-INDEX('Rate &amp; Vol Update'!$B$8:$B$127,MATCH(BL103,'Rate &amp; Vol Update'!$B$8:$B$127,1)))))*0.01%))</f>
        <v/>
      </c>
      <c r="BT103" s="5" t="str">
        <f>IF(BK103="","",1/((1+BR103)^((BM103-'Rate &amp; Vol Update'!$C$2)/360)))</f>
        <v/>
      </c>
      <c r="BV103" s="15" t="str">
        <f>IF(BK103="","",IF(BL103&lt;'Rate &amp; Vol Update'!$C$2,MAX(0,BR103-BQ103)*(BN103/360)*BP103,(((IF('Adjustment Surface'!$C$2='Data Validation'!$A$2,BR103,IF('Adjustment Surface'!$C$2='Data Validation'!$A$3,BQ103,"Unknown Option Type"))-IF('Adjustment Surface'!$C$2='Data Validation'!$A$2,BQ103,IF('Adjustment Surface'!$C$2='Data Validation'!$A$3,BR103,"Unknown Option Type")))*(NORMDIST((IF('Adjustment Surface'!$C$2='Data Validation'!$A$2,BR103,IF('Adjustment Surface'!$C$2='Data Validation'!$A$3,BQ103,"Unknown Option Type"))-IF('Adjustment Surface'!$C$2='Data Validation'!$A$2,BQ103,IF('Adjustment Surface'!$C$2='Data Validation'!$A$3,BR103,"Unknown Option Type")))/(BS103*SQRT(BO103)),0,1,TRUE)))+((BS103*SQRT(BO103))*(NORMDIST((IF('Adjustment Surface'!$C$2='Data Validation'!$A$2,BR103,IF('Adjustment Surface'!$C$2='Data Validation'!$A$3,BQ103,"Unknown Option Type"))-IF('Adjustment Surface'!$C$2='Data Validation'!$A$2,BQ103,IF('Adjustment Surface'!$C$2='Data Validation'!$A$3,BR103,"Unknown Option Type")))/(BS103*SQRT(BO103)),0,1,FALSE))))*BT103*(BN103/360)*BP103))</f>
        <v/>
      </c>
      <c r="BW103" s="15" t="str">
        <f>IF(BK103="","",SUM(BV$4:BV103))</f>
        <v/>
      </c>
      <c r="BY103" s="15" t="str">
        <f>IF(BK103="","",IF(BL103&lt;'Rate &amp; Vol Update'!$C$2,0,((((((IF('Adjustment Surface'!$C$2='Data Validation'!$A$2,BR103,IF('Adjustment Surface'!$C$2='Data Validation'!$A$3,BQ103,"Unknown Option Type"))-IF('Adjustment Surface'!$C$2='Data Validation'!$A$2,BQ103,IF('Adjustment Surface'!$C$2='Data Validation'!$A$3,BR103,"Unknown Option Type")))*(NORMDIST((IF('Adjustment Surface'!$C$2='Data Validation'!$A$2,BR103,IF('Adjustment Surface'!$C$2='Data Validation'!$A$3,BQ103,"Unknown Option Type"))-IF('Adjustment Surface'!$C$2='Data Validation'!$A$2,BQ103,IF('Adjustment Surface'!$C$2='Data Validation'!$A$3,BR103,"Unknown Option Type")))/((BS103+0.01%)*SQRT(BO103)),0,1,TRUE)))+(((BS103+0.01%)*SQRT(BO103))*(NORMDIST((IF('Adjustment Surface'!$C$2='Data Validation'!$A$2,BR103,IF('Adjustment Surface'!$C$2='Data Validation'!$A$3,BQ103,"Unknown Option Type"))-IF('Adjustment Surface'!$C$2='Data Validation'!$A$2,BQ103,IF('Adjustment Surface'!$C$2='Data Validation'!$A$3,BR103,"Unknown Option Type")))/((BS103+0.01%)*SQRT(BO103)),0,1,FALSE))))*BT103*(BN103/360))-(BV103/BP103))*BP103)*BT103))</f>
        <v/>
      </c>
      <c r="BZ103" s="15" t="str">
        <f>IF(BK103="","",SUM(BY$4:BY103))</f>
        <v/>
      </c>
      <c r="CA103" s="15"/>
      <c r="CB103" s="20"/>
      <c r="CD103" s="4" t="str">
        <f>IF(CE102=MAX('Adjustment Surface'!$C$14:$F$14),"",CE102)</f>
        <v/>
      </c>
      <c r="CE103" s="4" t="str">
        <f>IF(CD103="","",IF(CD103&lt;EDATE('Adjustment Surface'!$C$6,DATEDIF('Adjustment Surface'!$C$6,MAX('Adjustment Surface'!$C$14:$F$14),"M")),EDATE(CD$5,COUNT(CD$5:CD103)),IF(CD103=EDATE('Adjustment Surface'!$C$6,DATEDIF('Adjustment Surface'!$C$6,MAX('Adjustment Surface'!$C$14:$F$14),"M")),MAX('Adjustment Surface'!$C$14:$F$14),EDATE('Adjustment Surface'!$C$6,DATEDIF('Adjustment Surface'!$C$6,MAX('Adjustment Surface'!$C$14:$F$14),"M")))))</f>
        <v/>
      </c>
      <c r="CF103" s="3" t="str">
        <f t="shared" si="10"/>
        <v/>
      </c>
      <c r="CG103" s="5" t="str">
        <f>IF(CC103="","",(CE103-'Rate &amp; Vol Update'!$C$2)/360)</f>
        <v/>
      </c>
      <c r="CH103" s="15" t="str">
        <f>IF(CC103="","",IF('Adjustment Surface'!$C$3='Data Validation'!$C$2,'Adjustment Surface'!$C$4,_xlfn.IFNA(IF(INDEX(Schedules!$E$3:$E$123,MATCH('Bachelier Model'!CD103,Schedules!$B$3:$B$123,0))="",CH102,INDEX(Schedules!$E$3:$E$123,MATCH('Bachelier Model'!CD103,Schedules!$B$3:$B$123,0))),CH102)))</f>
        <v/>
      </c>
      <c r="CI103" s="16" t="str">
        <f>IF(CC103="","",'Adjustment Surface'!B$18)</f>
        <v/>
      </c>
      <c r="CJ103" s="16" t="str" cm="1">
        <f t="array" ref="CJ103">IF(CC103="","",FORECAST(CD103,INDEX('Rate &amp; Vol Update'!$C$6:$C$127,MATCH(INDEX('Rate &amp; Vol Update'!$B$6:$B$127,MATCH(CD103,'Rate &amp; Vol Update'!$B$6:$B$127,1)),'Rate &amp; Vol Update'!$B$6:$B$127,0)+IF('Adjustment Surface'!$C$11='Data Validation'!$E$3,-1,0)):INDEX('Rate &amp; Vol Update'!$C$6:$C$127,MATCH(INDEX('Rate &amp; Vol Update'!$B$6:$B$127,MATCH(CD103,'Rate &amp; Vol Update'!$B$6:$B$127,1)+1),'Rate &amp; Vol Update'!$B$6:$B$127,0)+IF('Adjustment Surface'!$C$11='Data Validation'!$E$3,-1,0)),INDEX('Rate &amp; Vol Update'!$B$6:$B$127,MATCH(CD103,'Rate &amp; Vol Update'!$B$6:$B$127,1)):INDEX('Rate &amp; Vol Update'!$B$6:$B$127,MATCH(CD103,'Rate &amp; Vol Update'!$B$6:$B$127,1)+1))/100)</f>
        <v/>
      </c>
      <c r="CK103" s="16" t="str" cm="1">
        <f t="array" ref="CK103">IF(CC103="","",IF(CD103&lt;'Rate &amp; Vol Update'!$C$2,0.001%,(1/((INDEX('Rate &amp; Vol Update'!$E$6:$Z$6,1,MATCH(CI103,'Rate &amp; Vol Update'!$E$6:$Z$6,1)+1)-INDEX('Rate &amp; Vol Update'!$E$6:$Z$6,1,MATCH(CI103,'Rate &amp; Vol Update'!$E$6:$Z$6,1)))*(INDEX('Rate &amp; Vol Update'!$B$8:$B$127,MATCH(CD103,'Rate &amp; Vol Update'!$B$8:$B$127,1)+1)-INDEX('Rate &amp; Vol Update'!$B$8:$B$127,MATCH(CD103,'Rate &amp; Vol Update'!$B$8:$B$127,1))))*(INDEX('Rate &amp; Vol Update'!$E$8:$Z$127,MATCH(INDEX('Rate &amp; Vol Update'!$B$8:$B$127,MATCH(CD103,'Rate &amp; Vol Update'!$B$8:$B$127,1)),'Rate &amp; Vol Update'!$B$8:$B$127,0),MATCH(INDEX('Rate &amp; Vol Update'!$E$6:$Z$6,1,MATCH(CI103,'Rate &amp; Vol Update'!$E$6:$Z$6,1)),'Rate &amp; Vol Update'!$E$6:$Z$6,0))*(INDEX('Rate &amp; Vol Update'!$E$6:$Z$6,1,MATCH(CI103,'Rate &amp; Vol Update'!$E$6:$Z$6,1)+1)-CI103)*(INDEX('Rate &amp; Vol Update'!$B$8:$B$127,MATCH(CD103,'Rate &amp; Vol Update'!$B$8:$B$127,1)+1)-CD103)+INDEX('Rate &amp; Vol Update'!$E$8:$Z$127,MATCH(INDEX('Rate &amp; Vol Update'!$B$8:$B$127,MATCH(CD103,'Rate &amp; Vol Update'!$B$8:$B$127,1)),'Rate &amp; Vol Update'!$B$8:$B$127,0),MATCH(INDEX('Rate &amp; Vol Update'!$E$6:$Z$6,1,MATCH(CI103,'Rate &amp; Vol Update'!$E$6:$Z$6,1)+1),'Rate &amp; Vol Update'!$E$6:$Z$6,0))*(CI103-INDEX('Rate &amp; Vol Update'!$E$6:$Z$6,1,MATCH(CI103,'Rate &amp; Vol Update'!$E$6:$Z$6,1)))*(INDEX('Rate &amp; Vol Update'!$B$8:$B$127,MATCH(CD103,'Rate &amp; Vol Update'!$B$8:$B$127,1)+1)-CD103)+INDEX('Rate &amp; Vol Update'!$E$8:$Z$127,MATCH(INDEX('Rate &amp; Vol Update'!$B$8:$B$127,MATCH(CD103,'Rate &amp; Vol Update'!$B$8:$B$127,1)+1),'Rate &amp; Vol Update'!$B$8:$B$127,0),MATCH(INDEX('Rate &amp; Vol Update'!$E$6:$Z$6,1,MATCH(CI103,'Rate &amp; Vol Update'!$E$6:$Z$6,1)),'Rate &amp; Vol Update'!$E$6:$Z$6,0))*(INDEX('Rate &amp; Vol Update'!$E$6:$Z$6,1,MATCH(CI103,'Rate &amp; Vol Update'!$E$6:$Z$6,1)+1)-CI103)*(CD103-INDEX('Rate &amp; Vol Update'!$B$8:$B$127,MATCH(CD103,'Rate &amp; Vol Update'!$B$8:$B$127,1)))+INDEX('Rate &amp; Vol Update'!$E$8:$Z$127,MATCH(INDEX('Rate &amp; Vol Update'!$B$8:$B$127,MATCH(CD103,'Rate &amp; Vol Update'!$B$8:$B$127,1)+1),'Rate &amp; Vol Update'!$B$8:$B$127,0),MATCH(INDEX('Rate &amp; Vol Update'!$E$6:$Z$6,1,MATCH(CI103,'Rate &amp; Vol Update'!$E$6:$Z$6,1)+1),'Rate &amp; Vol Update'!$E$6:$Z$6,0))*(CI103-INDEX('Rate &amp; Vol Update'!$E$6:$Z$6,1,MATCH(CI103,'Rate &amp; Vol Update'!$E$6:$Z$6,1)))*(CD103-INDEX('Rate &amp; Vol Update'!$B$8:$B$127,MATCH(CD103,'Rate &amp; Vol Update'!$B$8:$B$127,1)))))*0.01%))</f>
        <v/>
      </c>
      <c r="CL103" s="5" t="str">
        <f>IF(CC103="","",1/((1+CJ103)^((CE103-'Rate &amp; Vol Update'!$C$2)/360)))</f>
        <v/>
      </c>
      <c r="CN103" s="15" t="str">
        <f>IF(CC103="","",IF(CD103&lt;'Rate &amp; Vol Update'!$C$2,MAX(0,CJ103-CI103)*(CF103/360)*CH103,(((IF('Adjustment Surface'!$C$2='Data Validation'!$A$2,CJ103,IF('Adjustment Surface'!$C$2='Data Validation'!$A$3,CI103,"Unknown Option Type"))-IF('Adjustment Surface'!$C$2='Data Validation'!$A$2,CI103,IF('Adjustment Surface'!$C$2='Data Validation'!$A$3,CJ103,"Unknown Option Type")))*(NORMDIST((IF('Adjustment Surface'!$C$2='Data Validation'!$A$2,CJ103,IF('Adjustment Surface'!$C$2='Data Validation'!$A$3,CI103,"Unknown Option Type"))-IF('Adjustment Surface'!$C$2='Data Validation'!$A$2,CI103,IF('Adjustment Surface'!$C$2='Data Validation'!$A$3,CJ103,"Unknown Option Type")))/(CK103*SQRT(CG103)),0,1,TRUE)))+((CK103*SQRT(CG103))*(NORMDIST((IF('Adjustment Surface'!$C$2='Data Validation'!$A$2,CJ103,IF('Adjustment Surface'!$C$2='Data Validation'!$A$3,CI103,"Unknown Option Type"))-IF('Adjustment Surface'!$C$2='Data Validation'!$A$2,CI103,IF('Adjustment Surface'!$C$2='Data Validation'!$A$3,CJ103,"Unknown Option Type")))/(CK103*SQRT(CG103)),0,1,FALSE))))*CL103*(CF103/360)*CH103))</f>
        <v/>
      </c>
      <c r="CO103" s="15" t="str">
        <f>IF(CC103="","",SUM(CN$4:CN103))</f>
        <v/>
      </c>
      <c r="CQ103" s="15" t="str">
        <f>IF(CC103="","",IF(CD103&lt;'Rate &amp; Vol Update'!$C$2,0,((((((IF('Adjustment Surface'!$C$2='Data Validation'!$A$2,CJ103,IF('Adjustment Surface'!$C$2='Data Validation'!$A$3,CI103,"Unknown Option Type"))-IF('Adjustment Surface'!$C$2='Data Validation'!$A$2,CI103,IF('Adjustment Surface'!$C$2='Data Validation'!$A$3,CJ103,"Unknown Option Type")))*(NORMDIST((IF('Adjustment Surface'!$C$2='Data Validation'!$A$2,CJ103,IF('Adjustment Surface'!$C$2='Data Validation'!$A$3,CI103,"Unknown Option Type"))-IF('Adjustment Surface'!$C$2='Data Validation'!$A$2,CI103,IF('Adjustment Surface'!$C$2='Data Validation'!$A$3,CJ103,"Unknown Option Type")))/((CK103+0.01%)*SQRT(CG103)),0,1,TRUE)))+(((CK103+0.01%)*SQRT(CG103))*(NORMDIST((IF('Adjustment Surface'!$C$2='Data Validation'!$A$2,CJ103,IF('Adjustment Surface'!$C$2='Data Validation'!$A$3,CI103,"Unknown Option Type"))-IF('Adjustment Surface'!$C$2='Data Validation'!$A$2,CI103,IF('Adjustment Surface'!$C$2='Data Validation'!$A$3,CJ103,"Unknown Option Type")))/((CK103+0.01%)*SQRT(CG103)),0,1,FALSE))))*CL103*(CF103/360))-(CN103/CH103))*CH103)*CL103))</f>
        <v/>
      </c>
      <c r="CR103" s="15" t="str">
        <f>IF(CC103="","",SUM(CQ$4:CQ103))</f>
        <v/>
      </c>
    </row>
    <row r="104" spans="7:96" x14ac:dyDescent="0.25">
      <c r="G104" s="28"/>
      <c r="J104" s="4" t="str">
        <f>IF(K103='Adjustment Surface'!C$8,"",K103)</f>
        <v/>
      </c>
      <c r="K104" s="4" t="str">
        <f>IF(J104="","",IF(J104&lt;'Adjustment Surface'!C$7,EDATE(J$5,COUNT(J$5:J104)),IF(J104='Adjustment Surface'!C$7,'Adjustment Surface'!C$8,'Adjustment Surface'!C$7)))</f>
        <v/>
      </c>
      <c r="L104" s="3" t="str">
        <f t="shared" si="6"/>
        <v/>
      </c>
      <c r="M104" s="5" t="str">
        <f>IF(I104="","",(K104-'Rate &amp; Vol Update'!$C$2)/360)</f>
        <v/>
      </c>
      <c r="N104" s="15" t="str">
        <f>IF(I104="","",IF('Adjustment Surface'!C$3='Data Validation'!$C$2,'Adjustment Surface'!C$4,IF(INDEX(Schedules!$E$3:$E$123,MATCH('Bachelier Model'!J104,Schedules!$B$3:$B$123,0))="",N103,INDEX(Schedules!$E$3:$E$123,MATCH('Bachelier Model'!J104,Schedules!$B$3:$B$123,0)))))</f>
        <v/>
      </c>
      <c r="O104" s="16" t="str">
        <f>IF(I104="","",IF('Adjustment Surface'!C$9='Data Validation'!$D$2,'Adjustment Surface'!C$10,IF(INDEX(Schedules!$H$3:$H$123,MATCH('Bachelier Model'!J104,Schedules!$B$3:$B$123,0))="",O103,INDEX(Schedules!$H$3:$H$123,MATCH('Bachelier Model'!J104,Schedules!$B$3:$B$123,0)))))</f>
        <v/>
      </c>
      <c r="P104" s="16" t="str" cm="1">
        <f t="array" ref="P104">IF(I104="","",FORECAST(J104,INDEX('Rate &amp; Vol Update'!$C$6:$C$127,MATCH(INDEX('Rate &amp; Vol Update'!$B$6:$B$127,MATCH(J104,'Rate &amp; Vol Update'!$B$6:$B$127,1)),'Rate &amp; Vol Update'!$B$6:$B$127,0)+IF('Adjustment Surface'!C$11='Data Validation'!$E$3,-1,0)):INDEX('Rate &amp; Vol Update'!$C$6:$C$127,MATCH(INDEX('Rate &amp; Vol Update'!$B$6:$B$127,MATCH(J104,'Rate &amp; Vol Update'!$B$6:$B$127,1)+1),'Rate &amp; Vol Update'!$B$6:$B$127,0)+IF('Adjustment Surface'!C$11='Data Validation'!$E$3,-1,0)),INDEX('Rate &amp; Vol Update'!$B$6:$B$127,MATCH(J104,'Rate &amp; Vol Update'!$B$6:$B$127,1)):INDEX('Rate &amp; Vol Update'!$B$6:$B$127,MATCH(J104,'Rate &amp; Vol Update'!$B$6:$B$127,1)+1))/100)</f>
        <v/>
      </c>
      <c r="Q104" s="16" t="str" cm="1">
        <f t="array" ref="Q104">IF(I104="","",IF(J104&lt;'Rate &amp; Vol Update'!$C$2,0.001%,(1/((INDEX('Rate &amp; Vol Update'!$E$6:$Z$6,1,MATCH(O104,'Rate &amp; Vol Update'!$E$6:$Z$6,1)+1)-INDEX('Rate &amp; Vol Update'!$E$6:$Z$6,1,MATCH(O104,'Rate &amp; Vol Update'!$E$6:$Z$6,1)))*(INDEX('Rate &amp; Vol Update'!$B$8:$B$127,MATCH(J104,'Rate &amp; Vol Update'!$B$8:$B$127,1)+1)-INDEX('Rate &amp; Vol Update'!$B$8:$B$127,MATCH(J104,'Rate &amp; Vol Update'!$B$8:$B$127,1))))*(INDEX('Rate &amp; Vol Update'!$E$8:$Z$127,MATCH(INDEX('Rate &amp; Vol Update'!$B$8:$B$127,MATCH(J104,'Rate &amp; Vol Update'!$B$8:$B$127,1)),'Rate &amp; Vol Update'!$B$8:$B$127,0),MATCH(INDEX('Rate &amp; Vol Update'!$E$6:$Z$6,1,MATCH(O104,'Rate &amp; Vol Update'!$E$6:$Z$6,1)),'Rate &amp; Vol Update'!$E$6:$Z$6,0))*(INDEX('Rate &amp; Vol Update'!$E$6:$Z$6,1,MATCH(O104,'Rate &amp; Vol Update'!$E$6:$Z$6,1)+1)-O104)*(INDEX('Rate &amp; Vol Update'!$B$8:$B$127,MATCH(J104,'Rate &amp; Vol Update'!$B$8:$B$127,1)+1)-J104)+INDEX('Rate &amp; Vol Update'!$E$8:$Z$127,MATCH(INDEX('Rate &amp; Vol Update'!$B$8:$B$127,MATCH(J104,'Rate &amp; Vol Update'!$B$8:$B$127,1)),'Rate &amp; Vol Update'!$B$8:$B$127,0),MATCH(INDEX('Rate &amp; Vol Update'!$E$6:$Z$6,1,MATCH(O104,'Rate &amp; Vol Update'!$E$6:$Z$6,1)+1),'Rate &amp; Vol Update'!$E$6:$Z$6,0))*(O104-INDEX('Rate &amp; Vol Update'!$E$6:$Z$6,1,MATCH(O104,'Rate &amp; Vol Update'!$E$6:$Z$6,1)))*(INDEX('Rate &amp; Vol Update'!$B$8:$B$127,MATCH(J104,'Rate &amp; Vol Update'!$B$8:$B$127,1)+1)-J104)+INDEX('Rate &amp; Vol Update'!$E$8:$Z$127,MATCH(INDEX('Rate &amp; Vol Update'!$B$8:$B$127,MATCH(J104,'Rate &amp; Vol Update'!$B$8:$B$127,1)+1),'Rate &amp; Vol Update'!$B$8:$B$127,0),MATCH(INDEX('Rate &amp; Vol Update'!$E$6:$Z$6,1,MATCH(O104,'Rate &amp; Vol Update'!$E$6:$Z$6,1)),'Rate &amp; Vol Update'!$E$6:$Z$6,0))*(INDEX('Rate &amp; Vol Update'!$E$6:$Z$6,1,MATCH(O104,'Rate &amp; Vol Update'!$E$6:$Z$6,1)+1)-O104)*(J104-INDEX('Rate &amp; Vol Update'!$B$8:$B$127,MATCH(J104,'Rate &amp; Vol Update'!$B$8:$B$127,1)))+INDEX('Rate &amp; Vol Update'!$E$8:$Z$127,MATCH(INDEX('Rate &amp; Vol Update'!$B$8:$B$127,MATCH(J104,'Rate &amp; Vol Update'!$B$8:$B$127,1)+1),'Rate &amp; Vol Update'!$B$8:$B$127,0),MATCH(INDEX('Rate &amp; Vol Update'!$E$6:$Z$6,1,MATCH(O104,'Rate &amp; Vol Update'!$E$6:$Z$6,1)+1),'Rate &amp; Vol Update'!$E$6:$Z$6,0))*(O104-INDEX('Rate &amp; Vol Update'!$E$6:$Z$6,1,MATCH(O104,'Rate &amp; Vol Update'!$E$6:$Z$6,1)))*(J104-INDEX('Rate &amp; Vol Update'!$B$8:$B$127,MATCH(J104,'Rate &amp; Vol Update'!$B$8:$B$127,1)))))*0.01%))</f>
        <v/>
      </c>
      <c r="R104" s="5" t="str">
        <f>IF(I104="","",1/((1+P104)^((K104-'Rate &amp; Vol Update'!$C$2)/360)))</f>
        <v/>
      </c>
      <c r="T104" s="15" t="str">
        <f>IF(I104="","",IF(J104&lt;'Rate &amp; Vol Update'!$C$2,MAX(0,P104-O104)*(L104/360)*N104,(((IF('Adjustment Surface'!C$2='Data Validation'!$A$2,P104,IF('Adjustment Surface'!C$2='Data Validation'!$A$3,O104,"Unknown Option Type"))-IF('Adjustment Surface'!C$2='Data Validation'!$A$2,O104,IF('Adjustment Surface'!C$2='Data Validation'!$A$3,P104,"Unknown Option Type")))*(NORMDIST((IF('Adjustment Surface'!C$2='Data Validation'!$A$2,P104,IF('Adjustment Surface'!C$2='Data Validation'!$A$3,O104,"Unknown Option Type"))-IF('Adjustment Surface'!C$2='Data Validation'!$A$2,O104,IF('Adjustment Surface'!C$2='Data Validation'!$A$3,P104,"Unknown Option Type")))/(Q104*SQRT(M104)),0,1,TRUE)))+((Q104*SQRT(M104))*(NORMDIST((IF('Adjustment Surface'!C$2='Data Validation'!$A$2,P104,IF('Adjustment Surface'!C$2='Data Validation'!$A$3,O104,"Unknown Option Type"))-IF('Adjustment Surface'!C$2='Data Validation'!$A$2,O104,IF('Adjustment Surface'!C$2='Data Validation'!$A$3,P104,"Unknown Option Type")))/(Q104*SQRT(M104)),0,1,FALSE))))*R104*(L104/360)*N104))</f>
        <v/>
      </c>
      <c r="U104" s="15" t="str">
        <f>IF(I104="","",SUM(T$4:T104))</f>
        <v/>
      </c>
      <c r="W104" s="15" t="str">
        <f>IF(I104="","",IF(J104&lt;'Rate &amp; Vol Update'!$C$2,0,((((((IF('Adjustment Surface'!C$2='Data Validation'!$A$2,P104,IF('Adjustment Surface'!C$2='Data Validation'!$A$3,O104,"Unknown Option Type"))-IF('Adjustment Surface'!C$2='Data Validation'!$A$2,O104,IF('Adjustment Surface'!C$2='Data Validation'!$A$3,P104,"Unknown Option Type")))*(NORMDIST((IF('Adjustment Surface'!C$2='Data Validation'!$A$2,P104,IF('Adjustment Surface'!C$2='Data Validation'!$A$3,O104,"Unknown Option Type"))-IF('Adjustment Surface'!C$2='Data Validation'!$A$2,O104,IF('Adjustment Surface'!C$2='Data Validation'!$A$3,P104,"Unknown Option Type")))/((Q104+0.01%)*SQRT(M104)),0,1,TRUE)))+(((Q104+0.01%)*SQRT(M104))*(NORMDIST((IF('Adjustment Surface'!C$2='Data Validation'!$A$2,P104,IF('Adjustment Surface'!C$2='Data Validation'!$A$3,O104,"Unknown Option Type"))-IF('Adjustment Surface'!C$2='Data Validation'!$A$2,O104,IF('Adjustment Surface'!C$2='Data Validation'!$A$3,P104,"Unknown Option Type")))/((Q104+0.01%)*SQRT(M104)),0,1,FALSE))))*R104*(L104/360))-(T104/N104))*N104)*R104))</f>
        <v/>
      </c>
      <c r="X104" s="15" t="str">
        <f>IF(I104="","",SUM(W$4:W104))</f>
        <v/>
      </c>
      <c r="Y104" s="15"/>
      <c r="Z104" s="20"/>
      <c r="AB104" s="4" t="str">
        <f>IF(AC103=MAX('Adjustment Surface'!$C$14:$F$14),"",AC103)</f>
        <v/>
      </c>
      <c r="AC104" s="4" t="str">
        <f>IF(AB104="","",IF(AB104&lt;EDATE('Adjustment Surface'!$C$6,DATEDIF('Adjustment Surface'!$C$6,MAX('Adjustment Surface'!$C$14:$F$14),"M")),EDATE(AB$5,COUNT(AB$5:AB104)),IF(AB104=EDATE('Adjustment Surface'!$C$6,DATEDIF('Adjustment Surface'!$C$6,MAX('Adjustment Surface'!$C$14:$F$14),"M")),MAX('Adjustment Surface'!$C$14:$F$14),EDATE('Adjustment Surface'!$C$6,DATEDIF('Adjustment Surface'!$C$6,MAX('Adjustment Surface'!$C$14:$F$14),"M")))))</f>
        <v/>
      </c>
      <c r="AD104" s="3" t="str">
        <f t="shared" si="7"/>
        <v/>
      </c>
      <c r="AE104" s="5" t="str">
        <f>IF(AA104="","",(AC104-'Rate &amp; Vol Update'!$C$2)/360)</f>
        <v/>
      </c>
      <c r="AF104" s="15" t="str">
        <f>IF(AA104="","",IF('Adjustment Surface'!$C$3='Data Validation'!$C$2,'Adjustment Surface'!$C$4,_xlfn.IFNA(IF(INDEX(Schedules!$E$3:$E$123,MATCH('Bachelier Model'!AB104,Schedules!$B$3:$B$123,0))="",AF103,INDEX(Schedules!$E$3:$E$123,MATCH('Bachelier Model'!AB104,Schedules!$B$3:$B$123,0))),AF103)))</f>
        <v/>
      </c>
      <c r="AG104" s="16" t="str">
        <f>IF(AA104="","",'Adjustment Surface'!B$15)</f>
        <v/>
      </c>
      <c r="AH104" s="16" t="str" cm="1">
        <f t="array" ref="AH104">IF(AA104="","",FORECAST(AB104,INDEX('Rate &amp; Vol Update'!$C$6:$C$127,MATCH(INDEX('Rate &amp; Vol Update'!$B$6:$B$127,MATCH(AB104,'Rate &amp; Vol Update'!$B$6:$B$127,1)),'Rate &amp; Vol Update'!$B$6:$B$127,0)+IF('Adjustment Surface'!$C$11='Data Validation'!$E$3,-1,0)):INDEX('Rate &amp; Vol Update'!$C$6:$C$127,MATCH(INDEX('Rate &amp; Vol Update'!$B$6:$B$127,MATCH(AB104,'Rate &amp; Vol Update'!$B$6:$B$127,1)+1),'Rate &amp; Vol Update'!$B$6:$B$127,0)+IF('Adjustment Surface'!$C$11='Data Validation'!$E$3,-1,0)),INDEX('Rate &amp; Vol Update'!$B$6:$B$127,MATCH(AB104,'Rate &amp; Vol Update'!$B$6:$B$127,1)):INDEX('Rate &amp; Vol Update'!$B$6:$B$127,MATCH(AB104,'Rate &amp; Vol Update'!$B$6:$B$127,1)+1))/100)</f>
        <v/>
      </c>
      <c r="AI104" s="16" t="str" cm="1">
        <f t="array" ref="AI104">IF(AA104="","",IF(AB104&lt;'Rate &amp; Vol Update'!$C$2,0.001%,(1/((INDEX('Rate &amp; Vol Update'!$E$6:$Z$6,1,MATCH(AG104,'Rate &amp; Vol Update'!$E$6:$Z$6,1)+1)-INDEX('Rate &amp; Vol Update'!$E$6:$Z$6,1,MATCH(AG104,'Rate &amp; Vol Update'!$E$6:$Z$6,1)))*(INDEX('Rate &amp; Vol Update'!$B$8:$B$127,MATCH(AB104,'Rate &amp; Vol Update'!$B$8:$B$127,1)+1)-INDEX('Rate &amp; Vol Update'!$B$8:$B$127,MATCH(AB104,'Rate &amp; Vol Update'!$B$8:$B$127,1))))*(INDEX('Rate &amp; Vol Update'!$E$8:$Z$127,MATCH(INDEX('Rate &amp; Vol Update'!$B$8:$B$127,MATCH(AB104,'Rate &amp; Vol Update'!$B$8:$B$127,1)),'Rate &amp; Vol Update'!$B$8:$B$127,0),MATCH(INDEX('Rate &amp; Vol Update'!$E$6:$Z$6,1,MATCH(AG104,'Rate &amp; Vol Update'!$E$6:$Z$6,1)),'Rate &amp; Vol Update'!$E$6:$Z$6,0))*(INDEX('Rate &amp; Vol Update'!$E$6:$Z$6,1,MATCH(AG104,'Rate &amp; Vol Update'!$E$6:$Z$6,1)+1)-AG104)*(INDEX('Rate &amp; Vol Update'!$B$8:$B$127,MATCH(AB104,'Rate &amp; Vol Update'!$B$8:$B$127,1)+1)-AB104)+INDEX('Rate &amp; Vol Update'!$E$8:$Z$127,MATCH(INDEX('Rate &amp; Vol Update'!$B$8:$B$127,MATCH(AB104,'Rate &amp; Vol Update'!$B$8:$B$127,1)),'Rate &amp; Vol Update'!$B$8:$B$127,0),MATCH(INDEX('Rate &amp; Vol Update'!$E$6:$Z$6,1,MATCH(AG104,'Rate &amp; Vol Update'!$E$6:$Z$6,1)+1),'Rate &amp; Vol Update'!$E$6:$Z$6,0))*(AG104-INDEX('Rate &amp; Vol Update'!$E$6:$Z$6,1,MATCH(AG104,'Rate &amp; Vol Update'!$E$6:$Z$6,1)))*(INDEX('Rate &amp; Vol Update'!$B$8:$B$127,MATCH(AB104,'Rate &amp; Vol Update'!$B$8:$B$127,1)+1)-AB104)+INDEX('Rate &amp; Vol Update'!$E$8:$Z$127,MATCH(INDEX('Rate &amp; Vol Update'!$B$8:$B$127,MATCH(AB104,'Rate &amp; Vol Update'!$B$8:$B$127,1)+1),'Rate &amp; Vol Update'!$B$8:$B$127,0),MATCH(INDEX('Rate &amp; Vol Update'!$E$6:$Z$6,1,MATCH(AG104,'Rate &amp; Vol Update'!$E$6:$Z$6,1)),'Rate &amp; Vol Update'!$E$6:$Z$6,0))*(INDEX('Rate &amp; Vol Update'!$E$6:$Z$6,1,MATCH(AG104,'Rate &amp; Vol Update'!$E$6:$Z$6,1)+1)-AG104)*(AB104-INDEX('Rate &amp; Vol Update'!$B$8:$B$127,MATCH(AB104,'Rate &amp; Vol Update'!$B$8:$B$127,1)))+INDEX('Rate &amp; Vol Update'!$E$8:$Z$127,MATCH(INDEX('Rate &amp; Vol Update'!$B$8:$B$127,MATCH(AB104,'Rate &amp; Vol Update'!$B$8:$B$127,1)+1),'Rate &amp; Vol Update'!$B$8:$B$127,0),MATCH(INDEX('Rate &amp; Vol Update'!$E$6:$Z$6,1,MATCH(AG104,'Rate &amp; Vol Update'!$E$6:$Z$6,1)+1),'Rate &amp; Vol Update'!$E$6:$Z$6,0))*(AG104-INDEX('Rate &amp; Vol Update'!$E$6:$Z$6,1,MATCH(AG104,'Rate &amp; Vol Update'!$E$6:$Z$6,1)))*(AB104-INDEX('Rate &amp; Vol Update'!$B$8:$B$127,MATCH(AB104,'Rate &amp; Vol Update'!$B$8:$B$127,1)))))*0.01%))</f>
        <v/>
      </c>
      <c r="AJ104" s="5" t="str">
        <f>IF(AA104="","",1/((1+AH104)^((AC104-'Rate &amp; Vol Update'!$C$2)/360)))</f>
        <v/>
      </c>
      <c r="AL104" s="15" t="str">
        <f>IF(AA104="","",IF(AB104&lt;'Rate &amp; Vol Update'!$C$2,MAX(0,AH104-AG104)*(AD104/360)*AF104,(((IF('Adjustment Surface'!$C$2='Data Validation'!$A$2,AH104,IF('Adjustment Surface'!$C$2='Data Validation'!$A$3,AG104,"Unknown Option Type"))-IF('Adjustment Surface'!$C$2='Data Validation'!$A$2,AG104,IF('Adjustment Surface'!$C$2='Data Validation'!$A$3,AH104,"Unknown Option Type")))*(NORMDIST((IF('Adjustment Surface'!$C$2='Data Validation'!$A$2,AH104,IF('Adjustment Surface'!$C$2='Data Validation'!$A$3,AG104,"Unknown Option Type"))-IF('Adjustment Surface'!$C$2='Data Validation'!$A$2,AG104,IF('Adjustment Surface'!$C$2='Data Validation'!$A$3,AH104,"Unknown Option Type")))/(AI104*SQRT(AE104)),0,1,TRUE)))+((AI104*SQRT(AE104))*(NORMDIST((IF('Adjustment Surface'!$C$2='Data Validation'!$A$2,AH104,IF('Adjustment Surface'!$C$2='Data Validation'!$A$3,AG104,"Unknown Option Type"))-IF('Adjustment Surface'!$C$2='Data Validation'!$A$2,AG104,IF('Adjustment Surface'!$C$2='Data Validation'!$A$3,AH104,"Unknown Option Type")))/(AI104*SQRT(AE104)),0,1,FALSE))))*AJ104*(AD104/360)*AF104))</f>
        <v/>
      </c>
      <c r="AM104" s="15" t="str">
        <f>IF(AA104="","",SUM(AL$4:AL104))</f>
        <v/>
      </c>
      <c r="AO104" s="15" t="str">
        <f>IF(AA104="","",IF(AB104&lt;'Rate &amp; Vol Update'!$C$2,0,((((((IF('Adjustment Surface'!$C$2='Data Validation'!$A$2,AH104,IF('Adjustment Surface'!$C$2='Data Validation'!$A$3,AG104,"Unknown Option Type"))-IF('Adjustment Surface'!$C$2='Data Validation'!$A$2,AG104,IF('Adjustment Surface'!$C$2='Data Validation'!$A$3,AH104,"Unknown Option Type")))*(NORMDIST((IF('Adjustment Surface'!$C$2='Data Validation'!$A$2,AH104,IF('Adjustment Surface'!$C$2='Data Validation'!$A$3,AG104,"Unknown Option Type"))-IF('Adjustment Surface'!$C$2='Data Validation'!$A$2,AG104,IF('Adjustment Surface'!$C$2='Data Validation'!$A$3,AH104,"Unknown Option Type")))/((AI104+0.01%)*SQRT(AE104)),0,1,TRUE)))+(((AI104+0.01%)*SQRT(AE104))*(NORMDIST((IF('Adjustment Surface'!$C$2='Data Validation'!$A$2,AH104,IF('Adjustment Surface'!$C$2='Data Validation'!$A$3,AG104,"Unknown Option Type"))-IF('Adjustment Surface'!$C$2='Data Validation'!$A$2,AG104,IF('Adjustment Surface'!$C$2='Data Validation'!$A$3,AH104,"Unknown Option Type")))/((AI104+0.01%)*SQRT(AE104)),0,1,FALSE))))*AJ104*(AD104/360))-(AL104/AF104))*AF104)*AJ104))</f>
        <v/>
      </c>
      <c r="AP104" s="15" t="str">
        <f>IF(AA104="","",SUM(AO$4:AO104))</f>
        <v/>
      </c>
      <c r="AQ104" s="15"/>
      <c r="AR104" s="20"/>
      <c r="AT104" s="4" t="str">
        <f>IF(AU103=MAX('Adjustment Surface'!$C$14:$F$14),"",AU103)</f>
        <v/>
      </c>
      <c r="AU104" s="4" t="str">
        <f>IF(AT104="","",IF(AT104&lt;EDATE('Adjustment Surface'!$C$6,DATEDIF('Adjustment Surface'!$C$6,MAX('Adjustment Surface'!$C$14:$F$14),"M")),EDATE(AT$5,COUNT(AT$5:AT104)),IF(AT104=EDATE('Adjustment Surface'!$C$6,DATEDIF('Adjustment Surface'!$C$6,MAX('Adjustment Surface'!$C$14:$F$14),"M")),MAX('Adjustment Surface'!$C$14:$F$14),EDATE('Adjustment Surface'!$C$6,DATEDIF('Adjustment Surface'!$C$6,MAX('Adjustment Surface'!$C$14:$F$14),"M")))))</f>
        <v/>
      </c>
      <c r="AV104" s="3" t="str">
        <f t="shared" si="8"/>
        <v/>
      </c>
      <c r="AW104" s="5" t="str">
        <f>IF(AS104="","",(AU104-'Rate &amp; Vol Update'!$C$2)/360)</f>
        <v/>
      </c>
      <c r="AX104" s="15" t="str">
        <f>IF(AS104="","",IF('Adjustment Surface'!$C$3='Data Validation'!$C$2,'Adjustment Surface'!$C$4,_xlfn.IFNA(IF(INDEX(Schedules!$E$3:$E$123,MATCH('Bachelier Model'!AT104,Schedules!$B$3:$B$123,0))="",AX103,INDEX(Schedules!$E$3:$E$123,MATCH('Bachelier Model'!AT104,Schedules!$B$3:$B$123,0))),AX103)))</f>
        <v/>
      </c>
      <c r="AY104" s="16" t="str">
        <f>IF(AS104="","",'Adjustment Surface'!B$16)</f>
        <v/>
      </c>
      <c r="AZ104" s="16" t="str" cm="1">
        <f t="array" ref="AZ104">IF(AS104="","",FORECAST(AT104,INDEX('Rate &amp; Vol Update'!$C$6:$C$127,MATCH(INDEX('Rate &amp; Vol Update'!$B$6:$B$127,MATCH(AT104,'Rate &amp; Vol Update'!$B$6:$B$127,1)),'Rate &amp; Vol Update'!$B$6:$B$127,0)+IF('Adjustment Surface'!$C$11='Data Validation'!$E$3,-1,0)):INDEX('Rate &amp; Vol Update'!$C$6:$C$127,MATCH(INDEX('Rate &amp; Vol Update'!$B$6:$B$127,MATCH(AT104,'Rate &amp; Vol Update'!$B$6:$B$127,1)+1),'Rate &amp; Vol Update'!$B$6:$B$127,0)+IF('Adjustment Surface'!$C$11='Data Validation'!$E$3,-1,0)),INDEX('Rate &amp; Vol Update'!$B$6:$B$127,MATCH(AT104,'Rate &amp; Vol Update'!$B$6:$B$127,1)):INDEX('Rate &amp; Vol Update'!$B$6:$B$127,MATCH(AT104,'Rate &amp; Vol Update'!$B$6:$B$127,1)+1))/100)</f>
        <v/>
      </c>
      <c r="BA104" s="16" t="str" cm="1">
        <f t="array" ref="BA104">IF(AS104="","",IF(AT104&lt;'Rate &amp; Vol Update'!$C$2,0.001%,(1/((INDEX('Rate &amp; Vol Update'!$E$6:$Z$6,1,MATCH(AY104,'Rate &amp; Vol Update'!$E$6:$Z$6,1)+1)-INDEX('Rate &amp; Vol Update'!$E$6:$Z$6,1,MATCH(AY104,'Rate &amp; Vol Update'!$E$6:$Z$6,1)))*(INDEX('Rate &amp; Vol Update'!$B$8:$B$127,MATCH(AT104,'Rate &amp; Vol Update'!$B$8:$B$127,1)+1)-INDEX('Rate &amp; Vol Update'!$B$8:$B$127,MATCH(AT104,'Rate &amp; Vol Update'!$B$8:$B$127,1))))*(INDEX('Rate &amp; Vol Update'!$E$8:$Z$127,MATCH(INDEX('Rate &amp; Vol Update'!$B$8:$B$127,MATCH(AT104,'Rate &amp; Vol Update'!$B$8:$B$127,1)),'Rate &amp; Vol Update'!$B$8:$B$127,0),MATCH(INDEX('Rate &amp; Vol Update'!$E$6:$Z$6,1,MATCH(AY104,'Rate &amp; Vol Update'!$E$6:$Z$6,1)),'Rate &amp; Vol Update'!$E$6:$Z$6,0))*(INDEX('Rate &amp; Vol Update'!$E$6:$Z$6,1,MATCH(AY104,'Rate &amp; Vol Update'!$E$6:$Z$6,1)+1)-AY104)*(INDEX('Rate &amp; Vol Update'!$B$8:$B$127,MATCH(AT104,'Rate &amp; Vol Update'!$B$8:$B$127,1)+1)-AT104)+INDEX('Rate &amp; Vol Update'!$E$8:$Z$127,MATCH(INDEX('Rate &amp; Vol Update'!$B$8:$B$127,MATCH(AT104,'Rate &amp; Vol Update'!$B$8:$B$127,1)),'Rate &amp; Vol Update'!$B$8:$B$127,0),MATCH(INDEX('Rate &amp; Vol Update'!$E$6:$Z$6,1,MATCH(AY104,'Rate &amp; Vol Update'!$E$6:$Z$6,1)+1),'Rate &amp; Vol Update'!$E$6:$Z$6,0))*(AY104-INDEX('Rate &amp; Vol Update'!$E$6:$Z$6,1,MATCH(AY104,'Rate &amp; Vol Update'!$E$6:$Z$6,1)))*(INDEX('Rate &amp; Vol Update'!$B$8:$B$127,MATCH(AT104,'Rate &amp; Vol Update'!$B$8:$B$127,1)+1)-AT104)+INDEX('Rate &amp; Vol Update'!$E$8:$Z$127,MATCH(INDEX('Rate &amp; Vol Update'!$B$8:$B$127,MATCH(AT104,'Rate &amp; Vol Update'!$B$8:$B$127,1)+1),'Rate &amp; Vol Update'!$B$8:$B$127,0),MATCH(INDEX('Rate &amp; Vol Update'!$E$6:$Z$6,1,MATCH(AY104,'Rate &amp; Vol Update'!$E$6:$Z$6,1)),'Rate &amp; Vol Update'!$E$6:$Z$6,0))*(INDEX('Rate &amp; Vol Update'!$E$6:$Z$6,1,MATCH(AY104,'Rate &amp; Vol Update'!$E$6:$Z$6,1)+1)-AY104)*(AT104-INDEX('Rate &amp; Vol Update'!$B$8:$B$127,MATCH(AT104,'Rate &amp; Vol Update'!$B$8:$B$127,1)))+INDEX('Rate &amp; Vol Update'!$E$8:$Z$127,MATCH(INDEX('Rate &amp; Vol Update'!$B$8:$B$127,MATCH(AT104,'Rate &amp; Vol Update'!$B$8:$B$127,1)+1),'Rate &amp; Vol Update'!$B$8:$B$127,0),MATCH(INDEX('Rate &amp; Vol Update'!$E$6:$Z$6,1,MATCH(AY104,'Rate &amp; Vol Update'!$E$6:$Z$6,1)+1),'Rate &amp; Vol Update'!$E$6:$Z$6,0))*(AY104-INDEX('Rate &amp; Vol Update'!$E$6:$Z$6,1,MATCH(AY104,'Rate &amp; Vol Update'!$E$6:$Z$6,1)))*(AT104-INDEX('Rate &amp; Vol Update'!$B$8:$B$127,MATCH(AT104,'Rate &amp; Vol Update'!$B$8:$B$127,1)))))*0.01%))</f>
        <v/>
      </c>
      <c r="BB104" s="5" t="str">
        <f>IF(AS104="","",1/((1+AZ104)^((AU104-'Rate &amp; Vol Update'!$C$2)/360)))</f>
        <v/>
      </c>
      <c r="BD104" s="15" t="str">
        <f>IF(AS104="","",IF(AT104&lt;'Rate &amp; Vol Update'!$C$2,MAX(0,AZ104-AY104)*(AV104/360)*AX104,(((IF('Adjustment Surface'!$C$2='Data Validation'!$A$2,AZ104,IF('Adjustment Surface'!$C$2='Data Validation'!$A$3,AY104,"Unknown Option Type"))-IF('Adjustment Surface'!$C$2='Data Validation'!$A$2,AY104,IF('Adjustment Surface'!$C$2='Data Validation'!$A$3,AZ104,"Unknown Option Type")))*(NORMDIST((IF('Adjustment Surface'!$C$2='Data Validation'!$A$2,AZ104,IF('Adjustment Surface'!$C$2='Data Validation'!$A$3,AY104,"Unknown Option Type"))-IF('Adjustment Surface'!$C$2='Data Validation'!$A$2,AY104,IF('Adjustment Surface'!$C$2='Data Validation'!$A$3,AZ104,"Unknown Option Type")))/(BA104*SQRT(AW104)),0,1,TRUE)))+((BA104*SQRT(AW104))*(NORMDIST((IF('Adjustment Surface'!$C$2='Data Validation'!$A$2,AZ104,IF('Adjustment Surface'!$C$2='Data Validation'!$A$3,AY104,"Unknown Option Type"))-IF('Adjustment Surface'!$C$2='Data Validation'!$A$2,AY104,IF('Adjustment Surface'!$C$2='Data Validation'!$A$3,AZ104,"Unknown Option Type")))/(BA104*SQRT(AW104)),0,1,FALSE))))*BB104*(AV104/360)*AX104))</f>
        <v/>
      </c>
      <c r="BE104" s="15" t="str">
        <f>IF(AS104="","",SUM(BD$4:BD104))</f>
        <v/>
      </c>
      <c r="BG104" s="15" t="str">
        <f>IF(AS104="","",IF(AT104&lt;'Rate &amp; Vol Update'!$C$2,0,((((((IF('Adjustment Surface'!$C$2='Data Validation'!$A$2,AZ104,IF('Adjustment Surface'!$C$2='Data Validation'!$A$3,AY104,"Unknown Option Type"))-IF('Adjustment Surface'!$C$2='Data Validation'!$A$2,AY104,IF('Adjustment Surface'!$C$2='Data Validation'!$A$3,AZ104,"Unknown Option Type")))*(NORMDIST((IF('Adjustment Surface'!$C$2='Data Validation'!$A$2,AZ104,IF('Adjustment Surface'!$C$2='Data Validation'!$A$3,AY104,"Unknown Option Type"))-IF('Adjustment Surface'!$C$2='Data Validation'!$A$2,AY104,IF('Adjustment Surface'!$C$2='Data Validation'!$A$3,AZ104,"Unknown Option Type")))/((BA104+0.01%)*SQRT(AW104)),0,1,TRUE)))+(((BA104+0.01%)*SQRT(AW104))*(NORMDIST((IF('Adjustment Surface'!$C$2='Data Validation'!$A$2,AZ104,IF('Adjustment Surface'!$C$2='Data Validation'!$A$3,AY104,"Unknown Option Type"))-IF('Adjustment Surface'!$C$2='Data Validation'!$A$2,AY104,IF('Adjustment Surface'!$C$2='Data Validation'!$A$3,AZ104,"Unknown Option Type")))/((BA104+0.01%)*SQRT(AW104)),0,1,FALSE))))*BB104*(AV104/360))-(BD104/AX104))*AX104)*BB104))</f>
        <v/>
      </c>
      <c r="BH104" s="15" t="str">
        <f>IF(AS104="","",SUM(BG$4:BG104))</f>
        <v/>
      </c>
      <c r="BI104" s="15"/>
      <c r="BJ104" s="20"/>
      <c r="BL104" s="4" t="str">
        <f>IF(BM103=MAX('Adjustment Surface'!$C$14:$F$14),"",BM103)</f>
        <v/>
      </c>
      <c r="BM104" s="4" t="str">
        <f>IF(BL104="","",IF(BL104&lt;EDATE('Adjustment Surface'!$C$6,DATEDIF('Adjustment Surface'!$C$6,MAX('Adjustment Surface'!$C$14:$F$14),"M")),EDATE(BL$5,COUNT(BL$5:BL104)),IF(BL104=EDATE('Adjustment Surface'!$C$6,DATEDIF('Adjustment Surface'!$C$6,MAX('Adjustment Surface'!$C$14:$F$14),"M")),MAX('Adjustment Surface'!$C$14:$F$14),EDATE('Adjustment Surface'!$C$6,DATEDIF('Adjustment Surface'!$C$6,MAX('Adjustment Surface'!$C$14:$F$14),"M")))))</f>
        <v/>
      </c>
      <c r="BN104" s="3" t="str">
        <f t="shared" si="9"/>
        <v/>
      </c>
      <c r="BO104" s="5" t="str">
        <f>IF(BK104="","",(BM104-'Rate &amp; Vol Update'!$C$2)/360)</f>
        <v/>
      </c>
      <c r="BP104" s="15" t="str">
        <f>IF(BK104="","",IF('Adjustment Surface'!$C$3='Data Validation'!$C$2,'Adjustment Surface'!$C$4,_xlfn.IFNA(IF(INDEX(Schedules!$E$3:$E$123,MATCH('Bachelier Model'!BL104,Schedules!$B$3:$B$123,0))="",BP103,INDEX(Schedules!$E$3:$E$123,MATCH('Bachelier Model'!BL104,Schedules!$B$3:$B$123,0))),BP103)))</f>
        <v/>
      </c>
      <c r="BQ104" s="16" t="str">
        <f>IF(BK104="","",'Adjustment Surface'!B$17)</f>
        <v/>
      </c>
      <c r="BR104" s="16" t="str" cm="1">
        <f t="array" ref="BR104">IF(BK104="","",FORECAST(BL104,INDEX('Rate &amp; Vol Update'!$C$6:$C$127,MATCH(INDEX('Rate &amp; Vol Update'!$B$6:$B$127,MATCH(BL104,'Rate &amp; Vol Update'!$B$6:$B$127,1)),'Rate &amp; Vol Update'!$B$6:$B$127,0)+IF('Adjustment Surface'!$C$11='Data Validation'!$E$3,-1,0)):INDEX('Rate &amp; Vol Update'!$C$6:$C$127,MATCH(INDEX('Rate &amp; Vol Update'!$B$6:$B$127,MATCH(BL104,'Rate &amp; Vol Update'!$B$6:$B$127,1)+1),'Rate &amp; Vol Update'!$B$6:$B$127,0)+IF('Adjustment Surface'!$C$11='Data Validation'!$E$3,-1,0)),INDEX('Rate &amp; Vol Update'!$B$6:$B$127,MATCH(BL104,'Rate &amp; Vol Update'!$B$6:$B$127,1)):INDEX('Rate &amp; Vol Update'!$B$6:$B$127,MATCH(BL104,'Rate &amp; Vol Update'!$B$6:$B$127,1)+1))/100)</f>
        <v/>
      </c>
      <c r="BS104" s="16" t="str" cm="1">
        <f t="array" ref="BS104">IF(BK104="","",IF(BL104&lt;'Rate &amp; Vol Update'!$C$2,0.001%,(1/((INDEX('Rate &amp; Vol Update'!$E$6:$Z$6,1,MATCH(BQ104,'Rate &amp; Vol Update'!$E$6:$Z$6,1)+1)-INDEX('Rate &amp; Vol Update'!$E$6:$Z$6,1,MATCH(BQ104,'Rate &amp; Vol Update'!$E$6:$Z$6,1)))*(INDEX('Rate &amp; Vol Update'!$B$8:$B$127,MATCH(BL104,'Rate &amp; Vol Update'!$B$8:$B$127,1)+1)-INDEX('Rate &amp; Vol Update'!$B$8:$B$127,MATCH(BL104,'Rate &amp; Vol Update'!$B$8:$B$127,1))))*(INDEX('Rate &amp; Vol Update'!$E$8:$Z$127,MATCH(INDEX('Rate &amp; Vol Update'!$B$8:$B$127,MATCH(BL104,'Rate &amp; Vol Update'!$B$8:$B$127,1)),'Rate &amp; Vol Update'!$B$8:$B$127,0),MATCH(INDEX('Rate &amp; Vol Update'!$E$6:$Z$6,1,MATCH(BQ104,'Rate &amp; Vol Update'!$E$6:$Z$6,1)),'Rate &amp; Vol Update'!$E$6:$Z$6,0))*(INDEX('Rate &amp; Vol Update'!$E$6:$Z$6,1,MATCH(BQ104,'Rate &amp; Vol Update'!$E$6:$Z$6,1)+1)-BQ104)*(INDEX('Rate &amp; Vol Update'!$B$8:$B$127,MATCH(BL104,'Rate &amp; Vol Update'!$B$8:$B$127,1)+1)-BL104)+INDEX('Rate &amp; Vol Update'!$E$8:$Z$127,MATCH(INDEX('Rate &amp; Vol Update'!$B$8:$B$127,MATCH(BL104,'Rate &amp; Vol Update'!$B$8:$B$127,1)),'Rate &amp; Vol Update'!$B$8:$B$127,0),MATCH(INDEX('Rate &amp; Vol Update'!$E$6:$Z$6,1,MATCH(BQ104,'Rate &amp; Vol Update'!$E$6:$Z$6,1)+1),'Rate &amp; Vol Update'!$E$6:$Z$6,0))*(BQ104-INDEX('Rate &amp; Vol Update'!$E$6:$Z$6,1,MATCH(BQ104,'Rate &amp; Vol Update'!$E$6:$Z$6,1)))*(INDEX('Rate &amp; Vol Update'!$B$8:$B$127,MATCH(BL104,'Rate &amp; Vol Update'!$B$8:$B$127,1)+1)-BL104)+INDEX('Rate &amp; Vol Update'!$E$8:$Z$127,MATCH(INDEX('Rate &amp; Vol Update'!$B$8:$B$127,MATCH(BL104,'Rate &amp; Vol Update'!$B$8:$B$127,1)+1),'Rate &amp; Vol Update'!$B$8:$B$127,0),MATCH(INDEX('Rate &amp; Vol Update'!$E$6:$Z$6,1,MATCH(BQ104,'Rate &amp; Vol Update'!$E$6:$Z$6,1)),'Rate &amp; Vol Update'!$E$6:$Z$6,0))*(INDEX('Rate &amp; Vol Update'!$E$6:$Z$6,1,MATCH(BQ104,'Rate &amp; Vol Update'!$E$6:$Z$6,1)+1)-BQ104)*(BL104-INDEX('Rate &amp; Vol Update'!$B$8:$B$127,MATCH(BL104,'Rate &amp; Vol Update'!$B$8:$B$127,1)))+INDEX('Rate &amp; Vol Update'!$E$8:$Z$127,MATCH(INDEX('Rate &amp; Vol Update'!$B$8:$B$127,MATCH(BL104,'Rate &amp; Vol Update'!$B$8:$B$127,1)+1),'Rate &amp; Vol Update'!$B$8:$B$127,0),MATCH(INDEX('Rate &amp; Vol Update'!$E$6:$Z$6,1,MATCH(BQ104,'Rate &amp; Vol Update'!$E$6:$Z$6,1)+1),'Rate &amp; Vol Update'!$E$6:$Z$6,0))*(BQ104-INDEX('Rate &amp; Vol Update'!$E$6:$Z$6,1,MATCH(BQ104,'Rate &amp; Vol Update'!$E$6:$Z$6,1)))*(BL104-INDEX('Rate &amp; Vol Update'!$B$8:$B$127,MATCH(BL104,'Rate &amp; Vol Update'!$B$8:$B$127,1)))))*0.01%))</f>
        <v/>
      </c>
      <c r="BT104" s="5" t="str">
        <f>IF(BK104="","",1/((1+BR104)^((BM104-'Rate &amp; Vol Update'!$C$2)/360)))</f>
        <v/>
      </c>
      <c r="BV104" s="15" t="str">
        <f>IF(BK104="","",IF(BL104&lt;'Rate &amp; Vol Update'!$C$2,MAX(0,BR104-BQ104)*(BN104/360)*BP104,(((IF('Adjustment Surface'!$C$2='Data Validation'!$A$2,BR104,IF('Adjustment Surface'!$C$2='Data Validation'!$A$3,BQ104,"Unknown Option Type"))-IF('Adjustment Surface'!$C$2='Data Validation'!$A$2,BQ104,IF('Adjustment Surface'!$C$2='Data Validation'!$A$3,BR104,"Unknown Option Type")))*(NORMDIST((IF('Adjustment Surface'!$C$2='Data Validation'!$A$2,BR104,IF('Adjustment Surface'!$C$2='Data Validation'!$A$3,BQ104,"Unknown Option Type"))-IF('Adjustment Surface'!$C$2='Data Validation'!$A$2,BQ104,IF('Adjustment Surface'!$C$2='Data Validation'!$A$3,BR104,"Unknown Option Type")))/(BS104*SQRT(BO104)),0,1,TRUE)))+((BS104*SQRT(BO104))*(NORMDIST((IF('Adjustment Surface'!$C$2='Data Validation'!$A$2,BR104,IF('Adjustment Surface'!$C$2='Data Validation'!$A$3,BQ104,"Unknown Option Type"))-IF('Adjustment Surface'!$C$2='Data Validation'!$A$2,BQ104,IF('Adjustment Surface'!$C$2='Data Validation'!$A$3,BR104,"Unknown Option Type")))/(BS104*SQRT(BO104)),0,1,FALSE))))*BT104*(BN104/360)*BP104))</f>
        <v/>
      </c>
      <c r="BW104" s="15" t="str">
        <f>IF(BK104="","",SUM(BV$4:BV104))</f>
        <v/>
      </c>
      <c r="BY104" s="15" t="str">
        <f>IF(BK104="","",IF(BL104&lt;'Rate &amp; Vol Update'!$C$2,0,((((((IF('Adjustment Surface'!$C$2='Data Validation'!$A$2,BR104,IF('Adjustment Surface'!$C$2='Data Validation'!$A$3,BQ104,"Unknown Option Type"))-IF('Adjustment Surface'!$C$2='Data Validation'!$A$2,BQ104,IF('Adjustment Surface'!$C$2='Data Validation'!$A$3,BR104,"Unknown Option Type")))*(NORMDIST((IF('Adjustment Surface'!$C$2='Data Validation'!$A$2,BR104,IF('Adjustment Surface'!$C$2='Data Validation'!$A$3,BQ104,"Unknown Option Type"))-IF('Adjustment Surface'!$C$2='Data Validation'!$A$2,BQ104,IF('Adjustment Surface'!$C$2='Data Validation'!$A$3,BR104,"Unknown Option Type")))/((BS104+0.01%)*SQRT(BO104)),0,1,TRUE)))+(((BS104+0.01%)*SQRT(BO104))*(NORMDIST((IF('Adjustment Surface'!$C$2='Data Validation'!$A$2,BR104,IF('Adjustment Surface'!$C$2='Data Validation'!$A$3,BQ104,"Unknown Option Type"))-IF('Adjustment Surface'!$C$2='Data Validation'!$A$2,BQ104,IF('Adjustment Surface'!$C$2='Data Validation'!$A$3,BR104,"Unknown Option Type")))/((BS104+0.01%)*SQRT(BO104)),0,1,FALSE))))*BT104*(BN104/360))-(BV104/BP104))*BP104)*BT104))</f>
        <v/>
      </c>
      <c r="BZ104" s="15" t="str">
        <f>IF(BK104="","",SUM(BY$4:BY104))</f>
        <v/>
      </c>
      <c r="CA104" s="15"/>
      <c r="CB104" s="20"/>
      <c r="CD104" s="4" t="str">
        <f>IF(CE103=MAX('Adjustment Surface'!$C$14:$F$14),"",CE103)</f>
        <v/>
      </c>
      <c r="CE104" s="4" t="str">
        <f>IF(CD104="","",IF(CD104&lt;EDATE('Adjustment Surface'!$C$6,DATEDIF('Adjustment Surface'!$C$6,MAX('Adjustment Surface'!$C$14:$F$14),"M")),EDATE(CD$5,COUNT(CD$5:CD104)),IF(CD104=EDATE('Adjustment Surface'!$C$6,DATEDIF('Adjustment Surface'!$C$6,MAX('Adjustment Surface'!$C$14:$F$14),"M")),MAX('Adjustment Surface'!$C$14:$F$14),EDATE('Adjustment Surface'!$C$6,DATEDIF('Adjustment Surface'!$C$6,MAX('Adjustment Surface'!$C$14:$F$14),"M")))))</f>
        <v/>
      </c>
      <c r="CF104" s="3" t="str">
        <f t="shared" si="10"/>
        <v/>
      </c>
      <c r="CG104" s="5" t="str">
        <f>IF(CC104="","",(CE104-'Rate &amp; Vol Update'!$C$2)/360)</f>
        <v/>
      </c>
      <c r="CH104" s="15" t="str">
        <f>IF(CC104="","",IF('Adjustment Surface'!$C$3='Data Validation'!$C$2,'Adjustment Surface'!$C$4,_xlfn.IFNA(IF(INDEX(Schedules!$E$3:$E$123,MATCH('Bachelier Model'!CD104,Schedules!$B$3:$B$123,0))="",CH103,INDEX(Schedules!$E$3:$E$123,MATCH('Bachelier Model'!CD104,Schedules!$B$3:$B$123,0))),CH103)))</f>
        <v/>
      </c>
      <c r="CI104" s="16" t="str">
        <f>IF(CC104="","",'Adjustment Surface'!B$18)</f>
        <v/>
      </c>
      <c r="CJ104" s="16" t="str" cm="1">
        <f t="array" ref="CJ104">IF(CC104="","",FORECAST(CD104,INDEX('Rate &amp; Vol Update'!$C$6:$C$127,MATCH(INDEX('Rate &amp; Vol Update'!$B$6:$B$127,MATCH(CD104,'Rate &amp; Vol Update'!$B$6:$B$127,1)),'Rate &amp; Vol Update'!$B$6:$B$127,0)+IF('Adjustment Surface'!$C$11='Data Validation'!$E$3,-1,0)):INDEX('Rate &amp; Vol Update'!$C$6:$C$127,MATCH(INDEX('Rate &amp; Vol Update'!$B$6:$B$127,MATCH(CD104,'Rate &amp; Vol Update'!$B$6:$B$127,1)+1),'Rate &amp; Vol Update'!$B$6:$B$127,0)+IF('Adjustment Surface'!$C$11='Data Validation'!$E$3,-1,0)),INDEX('Rate &amp; Vol Update'!$B$6:$B$127,MATCH(CD104,'Rate &amp; Vol Update'!$B$6:$B$127,1)):INDEX('Rate &amp; Vol Update'!$B$6:$B$127,MATCH(CD104,'Rate &amp; Vol Update'!$B$6:$B$127,1)+1))/100)</f>
        <v/>
      </c>
      <c r="CK104" s="16" t="str" cm="1">
        <f t="array" ref="CK104">IF(CC104="","",IF(CD104&lt;'Rate &amp; Vol Update'!$C$2,0.001%,(1/((INDEX('Rate &amp; Vol Update'!$E$6:$Z$6,1,MATCH(CI104,'Rate &amp; Vol Update'!$E$6:$Z$6,1)+1)-INDEX('Rate &amp; Vol Update'!$E$6:$Z$6,1,MATCH(CI104,'Rate &amp; Vol Update'!$E$6:$Z$6,1)))*(INDEX('Rate &amp; Vol Update'!$B$8:$B$127,MATCH(CD104,'Rate &amp; Vol Update'!$B$8:$B$127,1)+1)-INDEX('Rate &amp; Vol Update'!$B$8:$B$127,MATCH(CD104,'Rate &amp; Vol Update'!$B$8:$B$127,1))))*(INDEX('Rate &amp; Vol Update'!$E$8:$Z$127,MATCH(INDEX('Rate &amp; Vol Update'!$B$8:$B$127,MATCH(CD104,'Rate &amp; Vol Update'!$B$8:$B$127,1)),'Rate &amp; Vol Update'!$B$8:$B$127,0),MATCH(INDEX('Rate &amp; Vol Update'!$E$6:$Z$6,1,MATCH(CI104,'Rate &amp; Vol Update'!$E$6:$Z$6,1)),'Rate &amp; Vol Update'!$E$6:$Z$6,0))*(INDEX('Rate &amp; Vol Update'!$E$6:$Z$6,1,MATCH(CI104,'Rate &amp; Vol Update'!$E$6:$Z$6,1)+1)-CI104)*(INDEX('Rate &amp; Vol Update'!$B$8:$B$127,MATCH(CD104,'Rate &amp; Vol Update'!$B$8:$B$127,1)+1)-CD104)+INDEX('Rate &amp; Vol Update'!$E$8:$Z$127,MATCH(INDEX('Rate &amp; Vol Update'!$B$8:$B$127,MATCH(CD104,'Rate &amp; Vol Update'!$B$8:$B$127,1)),'Rate &amp; Vol Update'!$B$8:$B$127,0),MATCH(INDEX('Rate &amp; Vol Update'!$E$6:$Z$6,1,MATCH(CI104,'Rate &amp; Vol Update'!$E$6:$Z$6,1)+1),'Rate &amp; Vol Update'!$E$6:$Z$6,0))*(CI104-INDEX('Rate &amp; Vol Update'!$E$6:$Z$6,1,MATCH(CI104,'Rate &amp; Vol Update'!$E$6:$Z$6,1)))*(INDEX('Rate &amp; Vol Update'!$B$8:$B$127,MATCH(CD104,'Rate &amp; Vol Update'!$B$8:$B$127,1)+1)-CD104)+INDEX('Rate &amp; Vol Update'!$E$8:$Z$127,MATCH(INDEX('Rate &amp; Vol Update'!$B$8:$B$127,MATCH(CD104,'Rate &amp; Vol Update'!$B$8:$B$127,1)+1),'Rate &amp; Vol Update'!$B$8:$B$127,0),MATCH(INDEX('Rate &amp; Vol Update'!$E$6:$Z$6,1,MATCH(CI104,'Rate &amp; Vol Update'!$E$6:$Z$6,1)),'Rate &amp; Vol Update'!$E$6:$Z$6,0))*(INDEX('Rate &amp; Vol Update'!$E$6:$Z$6,1,MATCH(CI104,'Rate &amp; Vol Update'!$E$6:$Z$6,1)+1)-CI104)*(CD104-INDEX('Rate &amp; Vol Update'!$B$8:$B$127,MATCH(CD104,'Rate &amp; Vol Update'!$B$8:$B$127,1)))+INDEX('Rate &amp; Vol Update'!$E$8:$Z$127,MATCH(INDEX('Rate &amp; Vol Update'!$B$8:$B$127,MATCH(CD104,'Rate &amp; Vol Update'!$B$8:$B$127,1)+1),'Rate &amp; Vol Update'!$B$8:$B$127,0),MATCH(INDEX('Rate &amp; Vol Update'!$E$6:$Z$6,1,MATCH(CI104,'Rate &amp; Vol Update'!$E$6:$Z$6,1)+1),'Rate &amp; Vol Update'!$E$6:$Z$6,0))*(CI104-INDEX('Rate &amp; Vol Update'!$E$6:$Z$6,1,MATCH(CI104,'Rate &amp; Vol Update'!$E$6:$Z$6,1)))*(CD104-INDEX('Rate &amp; Vol Update'!$B$8:$B$127,MATCH(CD104,'Rate &amp; Vol Update'!$B$8:$B$127,1)))))*0.01%))</f>
        <v/>
      </c>
      <c r="CL104" s="5" t="str">
        <f>IF(CC104="","",1/((1+CJ104)^((CE104-'Rate &amp; Vol Update'!$C$2)/360)))</f>
        <v/>
      </c>
      <c r="CN104" s="15" t="str">
        <f>IF(CC104="","",IF(CD104&lt;'Rate &amp; Vol Update'!$C$2,MAX(0,CJ104-CI104)*(CF104/360)*CH104,(((IF('Adjustment Surface'!$C$2='Data Validation'!$A$2,CJ104,IF('Adjustment Surface'!$C$2='Data Validation'!$A$3,CI104,"Unknown Option Type"))-IF('Adjustment Surface'!$C$2='Data Validation'!$A$2,CI104,IF('Adjustment Surface'!$C$2='Data Validation'!$A$3,CJ104,"Unknown Option Type")))*(NORMDIST((IF('Adjustment Surface'!$C$2='Data Validation'!$A$2,CJ104,IF('Adjustment Surface'!$C$2='Data Validation'!$A$3,CI104,"Unknown Option Type"))-IF('Adjustment Surface'!$C$2='Data Validation'!$A$2,CI104,IF('Adjustment Surface'!$C$2='Data Validation'!$A$3,CJ104,"Unknown Option Type")))/(CK104*SQRT(CG104)),0,1,TRUE)))+((CK104*SQRT(CG104))*(NORMDIST((IF('Adjustment Surface'!$C$2='Data Validation'!$A$2,CJ104,IF('Adjustment Surface'!$C$2='Data Validation'!$A$3,CI104,"Unknown Option Type"))-IF('Adjustment Surface'!$C$2='Data Validation'!$A$2,CI104,IF('Adjustment Surface'!$C$2='Data Validation'!$A$3,CJ104,"Unknown Option Type")))/(CK104*SQRT(CG104)),0,1,FALSE))))*CL104*(CF104/360)*CH104))</f>
        <v/>
      </c>
      <c r="CO104" s="15" t="str">
        <f>IF(CC104="","",SUM(CN$4:CN104))</f>
        <v/>
      </c>
      <c r="CQ104" s="15" t="str">
        <f>IF(CC104="","",IF(CD104&lt;'Rate &amp; Vol Update'!$C$2,0,((((((IF('Adjustment Surface'!$C$2='Data Validation'!$A$2,CJ104,IF('Adjustment Surface'!$C$2='Data Validation'!$A$3,CI104,"Unknown Option Type"))-IF('Adjustment Surface'!$C$2='Data Validation'!$A$2,CI104,IF('Adjustment Surface'!$C$2='Data Validation'!$A$3,CJ104,"Unknown Option Type")))*(NORMDIST((IF('Adjustment Surface'!$C$2='Data Validation'!$A$2,CJ104,IF('Adjustment Surface'!$C$2='Data Validation'!$A$3,CI104,"Unknown Option Type"))-IF('Adjustment Surface'!$C$2='Data Validation'!$A$2,CI104,IF('Adjustment Surface'!$C$2='Data Validation'!$A$3,CJ104,"Unknown Option Type")))/((CK104+0.01%)*SQRT(CG104)),0,1,TRUE)))+(((CK104+0.01%)*SQRT(CG104))*(NORMDIST((IF('Adjustment Surface'!$C$2='Data Validation'!$A$2,CJ104,IF('Adjustment Surface'!$C$2='Data Validation'!$A$3,CI104,"Unknown Option Type"))-IF('Adjustment Surface'!$C$2='Data Validation'!$A$2,CI104,IF('Adjustment Surface'!$C$2='Data Validation'!$A$3,CJ104,"Unknown Option Type")))/((CK104+0.01%)*SQRT(CG104)),0,1,FALSE))))*CL104*(CF104/360))-(CN104/CH104))*CH104)*CL104))</f>
        <v/>
      </c>
      <c r="CR104" s="15" t="str">
        <f>IF(CC104="","",SUM(CQ$4:CQ104))</f>
        <v/>
      </c>
    </row>
    <row r="105" spans="7:96" x14ac:dyDescent="0.25">
      <c r="G105" s="28"/>
      <c r="J105" s="4" t="str">
        <f>IF(K104='Adjustment Surface'!C$8,"",K104)</f>
        <v/>
      </c>
      <c r="K105" s="4" t="str">
        <f>IF(J105="","",IF(J105&lt;'Adjustment Surface'!C$7,EDATE(J$5,COUNT(J$5:J105)),IF(J105='Adjustment Surface'!C$7,'Adjustment Surface'!C$8,'Adjustment Surface'!C$7)))</f>
        <v/>
      </c>
      <c r="L105" s="3" t="str">
        <f t="shared" si="6"/>
        <v/>
      </c>
      <c r="M105" s="5" t="str">
        <f>IF(I105="","",(K105-'Rate &amp; Vol Update'!$C$2)/360)</f>
        <v/>
      </c>
      <c r="N105" s="15" t="str">
        <f>IF(I105="","",IF('Adjustment Surface'!C$3='Data Validation'!$C$2,'Adjustment Surface'!C$4,IF(INDEX(Schedules!$E$3:$E$123,MATCH('Bachelier Model'!J105,Schedules!$B$3:$B$123,0))="",N104,INDEX(Schedules!$E$3:$E$123,MATCH('Bachelier Model'!J105,Schedules!$B$3:$B$123,0)))))</f>
        <v/>
      </c>
      <c r="O105" s="16" t="str">
        <f>IF(I105="","",IF('Adjustment Surface'!C$9='Data Validation'!$D$2,'Adjustment Surface'!C$10,IF(INDEX(Schedules!$H$3:$H$123,MATCH('Bachelier Model'!J105,Schedules!$B$3:$B$123,0))="",O104,INDEX(Schedules!$H$3:$H$123,MATCH('Bachelier Model'!J105,Schedules!$B$3:$B$123,0)))))</f>
        <v/>
      </c>
      <c r="P105" s="16" t="str" cm="1">
        <f t="array" ref="P105">IF(I105="","",FORECAST(J105,INDEX('Rate &amp; Vol Update'!$C$6:$C$127,MATCH(INDEX('Rate &amp; Vol Update'!$B$6:$B$127,MATCH(J105,'Rate &amp; Vol Update'!$B$6:$B$127,1)),'Rate &amp; Vol Update'!$B$6:$B$127,0)+IF('Adjustment Surface'!C$11='Data Validation'!$E$3,-1,0)):INDEX('Rate &amp; Vol Update'!$C$6:$C$127,MATCH(INDEX('Rate &amp; Vol Update'!$B$6:$B$127,MATCH(J105,'Rate &amp; Vol Update'!$B$6:$B$127,1)+1),'Rate &amp; Vol Update'!$B$6:$B$127,0)+IF('Adjustment Surface'!C$11='Data Validation'!$E$3,-1,0)),INDEX('Rate &amp; Vol Update'!$B$6:$B$127,MATCH(J105,'Rate &amp; Vol Update'!$B$6:$B$127,1)):INDEX('Rate &amp; Vol Update'!$B$6:$B$127,MATCH(J105,'Rate &amp; Vol Update'!$B$6:$B$127,1)+1))/100)</f>
        <v/>
      </c>
      <c r="Q105" s="16" t="str" cm="1">
        <f t="array" ref="Q105">IF(I105="","",IF(J105&lt;'Rate &amp; Vol Update'!$C$2,0.001%,(1/((INDEX('Rate &amp; Vol Update'!$E$6:$Z$6,1,MATCH(O105,'Rate &amp; Vol Update'!$E$6:$Z$6,1)+1)-INDEX('Rate &amp; Vol Update'!$E$6:$Z$6,1,MATCH(O105,'Rate &amp; Vol Update'!$E$6:$Z$6,1)))*(INDEX('Rate &amp; Vol Update'!$B$8:$B$127,MATCH(J105,'Rate &amp; Vol Update'!$B$8:$B$127,1)+1)-INDEX('Rate &amp; Vol Update'!$B$8:$B$127,MATCH(J105,'Rate &amp; Vol Update'!$B$8:$B$127,1))))*(INDEX('Rate &amp; Vol Update'!$E$8:$Z$127,MATCH(INDEX('Rate &amp; Vol Update'!$B$8:$B$127,MATCH(J105,'Rate &amp; Vol Update'!$B$8:$B$127,1)),'Rate &amp; Vol Update'!$B$8:$B$127,0),MATCH(INDEX('Rate &amp; Vol Update'!$E$6:$Z$6,1,MATCH(O105,'Rate &amp; Vol Update'!$E$6:$Z$6,1)),'Rate &amp; Vol Update'!$E$6:$Z$6,0))*(INDEX('Rate &amp; Vol Update'!$E$6:$Z$6,1,MATCH(O105,'Rate &amp; Vol Update'!$E$6:$Z$6,1)+1)-O105)*(INDEX('Rate &amp; Vol Update'!$B$8:$B$127,MATCH(J105,'Rate &amp; Vol Update'!$B$8:$B$127,1)+1)-J105)+INDEX('Rate &amp; Vol Update'!$E$8:$Z$127,MATCH(INDEX('Rate &amp; Vol Update'!$B$8:$B$127,MATCH(J105,'Rate &amp; Vol Update'!$B$8:$B$127,1)),'Rate &amp; Vol Update'!$B$8:$B$127,0),MATCH(INDEX('Rate &amp; Vol Update'!$E$6:$Z$6,1,MATCH(O105,'Rate &amp; Vol Update'!$E$6:$Z$6,1)+1),'Rate &amp; Vol Update'!$E$6:$Z$6,0))*(O105-INDEX('Rate &amp; Vol Update'!$E$6:$Z$6,1,MATCH(O105,'Rate &amp; Vol Update'!$E$6:$Z$6,1)))*(INDEX('Rate &amp; Vol Update'!$B$8:$B$127,MATCH(J105,'Rate &amp; Vol Update'!$B$8:$B$127,1)+1)-J105)+INDEX('Rate &amp; Vol Update'!$E$8:$Z$127,MATCH(INDEX('Rate &amp; Vol Update'!$B$8:$B$127,MATCH(J105,'Rate &amp; Vol Update'!$B$8:$B$127,1)+1),'Rate &amp; Vol Update'!$B$8:$B$127,0),MATCH(INDEX('Rate &amp; Vol Update'!$E$6:$Z$6,1,MATCH(O105,'Rate &amp; Vol Update'!$E$6:$Z$6,1)),'Rate &amp; Vol Update'!$E$6:$Z$6,0))*(INDEX('Rate &amp; Vol Update'!$E$6:$Z$6,1,MATCH(O105,'Rate &amp; Vol Update'!$E$6:$Z$6,1)+1)-O105)*(J105-INDEX('Rate &amp; Vol Update'!$B$8:$B$127,MATCH(J105,'Rate &amp; Vol Update'!$B$8:$B$127,1)))+INDEX('Rate &amp; Vol Update'!$E$8:$Z$127,MATCH(INDEX('Rate &amp; Vol Update'!$B$8:$B$127,MATCH(J105,'Rate &amp; Vol Update'!$B$8:$B$127,1)+1),'Rate &amp; Vol Update'!$B$8:$B$127,0),MATCH(INDEX('Rate &amp; Vol Update'!$E$6:$Z$6,1,MATCH(O105,'Rate &amp; Vol Update'!$E$6:$Z$6,1)+1),'Rate &amp; Vol Update'!$E$6:$Z$6,0))*(O105-INDEX('Rate &amp; Vol Update'!$E$6:$Z$6,1,MATCH(O105,'Rate &amp; Vol Update'!$E$6:$Z$6,1)))*(J105-INDEX('Rate &amp; Vol Update'!$B$8:$B$127,MATCH(J105,'Rate &amp; Vol Update'!$B$8:$B$127,1)))))*0.01%))</f>
        <v/>
      </c>
      <c r="R105" s="5" t="str">
        <f>IF(I105="","",1/((1+P105)^((K105-'Rate &amp; Vol Update'!$C$2)/360)))</f>
        <v/>
      </c>
      <c r="T105" s="15" t="str">
        <f>IF(I105="","",IF(J105&lt;'Rate &amp; Vol Update'!$C$2,MAX(0,P105-O105)*(L105/360)*N105,(((IF('Adjustment Surface'!C$2='Data Validation'!$A$2,P105,IF('Adjustment Surface'!C$2='Data Validation'!$A$3,O105,"Unknown Option Type"))-IF('Adjustment Surface'!C$2='Data Validation'!$A$2,O105,IF('Adjustment Surface'!C$2='Data Validation'!$A$3,P105,"Unknown Option Type")))*(NORMDIST((IF('Adjustment Surface'!C$2='Data Validation'!$A$2,P105,IF('Adjustment Surface'!C$2='Data Validation'!$A$3,O105,"Unknown Option Type"))-IF('Adjustment Surface'!C$2='Data Validation'!$A$2,O105,IF('Adjustment Surface'!C$2='Data Validation'!$A$3,P105,"Unknown Option Type")))/(Q105*SQRT(M105)),0,1,TRUE)))+((Q105*SQRT(M105))*(NORMDIST((IF('Adjustment Surface'!C$2='Data Validation'!$A$2,P105,IF('Adjustment Surface'!C$2='Data Validation'!$A$3,O105,"Unknown Option Type"))-IF('Adjustment Surface'!C$2='Data Validation'!$A$2,O105,IF('Adjustment Surface'!C$2='Data Validation'!$A$3,P105,"Unknown Option Type")))/(Q105*SQRT(M105)),0,1,FALSE))))*R105*(L105/360)*N105))</f>
        <v/>
      </c>
      <c r="U105" s="15" t="str">
        <f>IF(I105="","",SUM(T$4:T105))</f>
        <v/>
      </c>
      <c r="W105" s="15" t="str">
        <f>IF(I105="","",IF(J105&lt;'Rate &amp; Vol Update'!$C$2,0,((((((IF('Adjustment Surface'!C$2='Data Validation'!$A$2,P105,IF('Adjustment Surface'!C$2='Data Validation'!$A$3,O105,"Unknown Option Type"))-IF('Adjustment Surface'!C$2='Data Validation'!$A$2,O105,IF('Adjustment Surface'!C$2='Data Validation'!$A$3,P105,"Unknown Option Type")))*(NORMDIST((IF('Adjustment Surface'!C$2='Data Validation'!$A$2,P105,IF('Adjustment Surface'!C$2='Data Validation'!$A$3,O105,"Unknown Option Type"))-IF('Adjustment Surface'!C$2='Data Validation'!$A$2,O105,IF('Adjustment Surface'!C$2='Data Validation'!$A$3,P105,"Unknown Option Type")))/((Q105+0.01%)*SQRT(M105)),0,1,TRUE)))+(((Q105+0.01%)*SQRT(M105))*(NORMDIST((IF('Adjustment Surface'!C$2='Data Validation'!$A$2,P105,IF('Adjustment Surface'!C$2='Data Validation'!$A$3,O105,"Unknown Option Type"))-IF('Adjustment Surface'!C$2='Data Validation'!$A$2,O105,IF('Adjustment Surface'!C$2='Data Validation'!$A$3,P105,"Unknown Option Type")))/((Q105+0.01%)*SQRT(M105)),0,1,FALSE))))*R105*(L105/360))-(T105/N105))*N105)*R105))</f>
        <v/>
      </c>
      <c r="X105" s="15" t="str">
        <f>IF(I105="","",SUM(W$4:W105))</f>
        <v/>
      </c>
      <c r="Y105" s="15"/>
      <c r="Z105" s="20"/>
      <c r="AB105" s="4" t="str">
        <f>IF(AC104=MAX('Adjustment Surface'!$C$14:$F$14),"",AC104)</f>
        <v/>
      </c>
      <c r="AC105" s="4" t="str">
        <f>IF(AB105="","",IF(AB105&lt;EDATE('Adjustment Surface'!$C$6,DATEDIF('Adjustment Surface'!$C$6,MAX('Adjustment Surface'!$C$14:$F$14),"M")),EDATE(AB$5,COUNT(AB$5:AB105)),IF(AB105=EDATE('Adjustment Surface'!$C$6,DATEDIF('Adjustment Surface'!$C$6,MAX('Adjustment Surface'!$C$14:$F$14),"M")),MAX('Adjustment Surface'!$C$14:$F$14),EDATE('Adjustment Surface'!$C$6,DATEDIF('Adjustment Surface'!$C$6,MAX('Adjustment Surface'!$C$14:$F$14),"M")))))</f>
        <v/>
      </c>
      <c r="AD105" s="3" t="str">
        <f t="shared" si="7"/>
        <v/>
      </c>
      <c r="AE105" s="5" t="str">
        <f>IF(AA105="","",(AC105-'Rate &amp; Vol Update'!$C$2)/360)</f>
        <v/>
      </c>
      <c r="AF105" s="15" t="str">
        <f>IF(AA105="","",IF('Adjustment Surface'!$C$3='Data Validation'!$C$2,'Adjustment Surface'!$C$4,_xlfn.IFNA(IF(INDEX(Schedules!$E$3:$E$123,MATCH('Bachelier Model'!AB105,Schedules!$B$3:$B$123,0))="",AF104,INDEX(Schedules!$E$3:$E$123,MATCH('Bachelier Model'!AB105,Schedules!$B$3:$B$123,0))),AF104)))</f>
        <v/>
      </c>
      <c r="AG105" s="16" t="str">
        <f>IF(AA105="","",'Adjustment Surface'!B$15)</f>
        <v/>
      </c>
      <c r="AH105" s="16" t="str" cm="1">
        <f t="array" ref="AH105">IF(AA105="","",FORECAST(AB105,INDEX('Rate &amp; Vol Update'!$C$6:$C$127,MATCH(INDEX('Rate &amp; Vol Update'!$B$6:$B$127,MATCH(AB105,'Rate &amp; Vol Update'!$B$6:$B$127,1)),'Rate &amp; Vol Update'!$B$6:$B$127,0)+IF('Adjustment Surface'!$C$11='Data Validation'!$E$3,-1,0)):INDEX('Rate &amp; Vol Update'!$C$6:$C$127,MATCH(INDEX('Rate &amp; Vol Update'!$B$6:$B$127,MATCH(AB105,'Rate &amp; Vol Update'!$B$6:$B$127,1)+1),'Rate &amp; Vol Update'!$B$6:$B$127,0)+IF('Adjustment Surface'!$C$11='Data Validation'!$E$3,-1,0)),INDEX('Rate &amp; Vol Update'!$B$6:$B$127,MATCH(AB105,'Rate &amp; Vol Update'!$B$6:$B$127,1)):INDEX('Rate &amp; Vol Update'!$B$6:$B$127,MATCH(AB105,'Rate &amp; Vol Update'!$B$6:$B$127,1)+1))/100)</f>
        <v/>
      </c>
      <c r="AI105" s="16" t="str" cm="1">
        <f t="array" ref="AI105">IF(AA105="","",IF(AB105&lt;'Rate &amp; Vol Update'!$C$2,0.001%,(1/((INDEX('Rate &amp; Vol Update'!$E$6:$Z$6,1,MATCH(AG105,'Rate &amp; Vol Update'!$E$6:$Z$6,1)+1)-INDEX('Rate &amp; Vol Update'!$E$6:$Z$6,1,MATCH(AG105,'Rate &amp; Vol Update'!$E$6:$Z$6,1)))*(INDEX('Rate &amp; Vol Update'!$B$8:$B$127,MATCH(AB105,'Rate &amp; Vol Update'!$B$8:$B$127,1)+1)-INDEX('Rate &amp; Vol Update'!$B$8:$B$127,MATCH(AB105,'Rate &amp; Vol Update'!$B$8:$B$127,1))))*(INDEX('Rate &amp; Vol Update'!$E$8:$Z$127,MATCH(INDEX('Rate &amp; Vol Update'!$B$8:$B$127,MATCH(AB105,'Rate &amp; Vol Update'!$B$8:$B$127,1)),'Rate &amp; Vol Update'!$B$8:$B$127,0),MATCH(INDEX('Rate &amp; Vol Update'!$E$6:$Z$6,1,MATCH(AG105,'Rate &amp; Vol Update'!$E$6:$Z$6,1)),'Rate &amp; Vol Update'!$E$6:$Z$6,0))*(INDEX('Rate &amp; Vol Update'!$E$6:$Z$6,1,MATCH(AG105,'Rate &amp; Vol Update'!$E$6:$Z$6,1)+1)-AG105)*(INDEX('Rate &amp; Vol Update'!$B$8:$B$127,MATCH(AB105,'Rate &amp; Vol Update'!$B$8:$B$127,1)+1)-AB105)+INDEX('Rate &amp; Vol Update'!$E$8:$Z$127,MATCH(INDEX('Rate &amp; Vol Update'!$B$8:$B$127,MATCH(AB105,'Rate &amp; Vol Update'!$B$8:$B$127,1)),'Rate &amp; Vol Update'!$B$8:$B$127,0),MATCH(INDEX('Rate &amp; Vol Update'!$E$6:$Z$6,1,MATCH(AG105,'Rate &amp; Vol Update'!$E$6:$Z$6,1)+1),'Rate &amp; Vol Update'!$E$6:$Z$6,0))*(AG105-INDEX('Rate &amp; Vol Update'!$E$6:$Z$6,1,MATCH(AG105,'Rate &amp; Vol Update'!$E$6:$Z$6,1)))*(INDEX('Rate &amp; Vol Update'!$B$8:$B$127,MATCH(AB105,'Rate &amp; Vol Update'!$B$8:$B$127,1)+1)-AB105)+INDEX('Rate &amp; Vol Update'!$E$8:$Z$127,MATCH(INDEX('Rate &amp; Vol Update'!$B$8:$B$127,MATCH(AB105,'Rate &amp; Vol Update'!$B$8:$B$127,1)+1),'Rate &amp; Vol Update'!$B$8:$B$127,0),MATCH(INDEX('Rate &amp; Vol Update'!$E$6:$Z$6,1,MATCH(AG105,'Rate &amp; Vol Update'!$E$6:$Z$6,1)),'Rate &amp; Vol Update'!$E$6:$Z$6,0))*(INDEX('Rate &amp; Vol Update'!$E$6:$Z$6,1,MATCH(AG105,'Rate &amp; Vol Update'!$E$6:$Z$6,1)+1)-AG105)*(AB105-INDEX('Rate &amp; Vol Update'!$B$8:$B$127,MATCH(AB105,'Rate &amp; Vol Update'!$B$8:$B$127,1)))+INDEX('Rate &amp; Vol Update'!$E$8:$Z$127,MATCH(INDEX('Rate &amp; Vol Update'!$B$8:$B$127,MATCH(AB105,'Rate &amp; Vol Update'!$B$8:$B$127,1)+1),'Rate &amp; Vol Update'!$B$8:$B$127,0),MATCH(INDEX('Rate &amp; Vol Update'!$E$6:$Z$6,1,MATCH(AG105,'Rate &amp; Vol Update'!$E$6:$Z$6,1)+1),'Rate &amp; Vol Update'!$E$6:$Z$6,0))*(AG105-INDEX('Rate &amp; Vol Update'!$E$6:$Z$6,1,MATCH(AG105,'Rate &amp; Vol Update'!$E$6:$Z$6,1)))*(AB105-INDEX('Rate &amp; Vol Update'!$B$8:$B$127,MATCH(AB105,'Rate &amp; Vol Update'!$B$8:$B$127,1)))))*0.01%))</f>
        <v/>
      </c>
      <c r="AJ105" s="5" t="str">
        <f>IF(AA105="","",1/((1+AH105)^((AC105-'Rate &amp; Vol Update'!$C$2)/360)))</f>
        <v/>
      </c>
      <c r="AL105" s="15" t="str">
        <f>IF(AA105="","",IF(AB105&lt;'Rate &amp; Vol Update'!$C$2,MAX(0,AH105-AG105)*(AD105/360)*AF105,(((IF('Adjustment Surface'!$C$2='Data Validation'!$A$2,AH105,IF('Adjustment Surface'!$C$2='Data Validation'!$A$3,AG105,"Unknown Option Type"))-IF('Adjustment Surface'!$C$2='Data Validation'!$A$2,AG105,IF('Adjustment Surface'!$C$2='Data Validation'!$A$3,AH105,"Unknown Option Type")))*(NORMDIST((IF('Adjustment Surface'!$C$2='Data Validation'!$A$2,AH105,IF('Adjustment Surface'!$C$2='Data Validation'!$A$3,AG105,"Unknown Option Type"))-IF('Adjustment Surface'!$C$2='Data Validation'!$A$2,AG105,IF('Adjustment Surface'!$C$2='Data Validation'!$A$3,AH105,"Unknown Option Type")))/(AI105*SQRT(AE105)),0,1,TRUE)))+((AI105*SQRT(AE105))*(NORMDIST((IF('Adjustment Surface'!$C$2='Data Validation'!$A$2,AH105,IF('Adjustment Surface'!$C$2='Data Validation'!$A$3,AG105,"Unknown Option Type"))-IF('Adjustment Surface'!$C$2='Data Validation'!$A$2,AG105,IF('Adjustment Surface'!$C$2='Data Validation'!$A$3,AH105,"Unknown Option Type")))/(AI105*SQRT(AE105)),0,1,FALSE))))*AJ105*(AD105/360)*AF105))</f>
        <v/>
      </c>
      <c r="AM105" s="15" t="str">
        <f>IF(AA105="","",SUM(AL$4:AL105))</f>
        <v/>
      </c>
      <c r="AO105" s="15" t="str">
        <f>IF(AA105="","",IF(AB105&lt;'Rate &amp; Vol Update'!$C$2,0,((((((IF('Adjustment Surface'!$C$2='Data Validation'!$A$2,AH105,IF('Adjustment Surface'!$C$2='Data Validation'!$A$3,AG105,"Unknown Option Type"))-IF('Adjustment Surface'!$C$2='Data Validation'!$A$2,AG105,IF('Adjustment Surface'!$C$2='Data Validation'!$A$3,AH105,"Unknown Option Type")))*(NORMDIST((IF('Adjustment Surface'!$C$2='Data Validation'!$A$2,AH105,IF('Adjustment Surface'!$C$2='Data Validation'!$A$3,AG105,"Unknown Option Type"))-IF('Adjustment Surface'!$C$2='Data Validation'!$A$2,AG105,IF('Adjustment Surface'!$C$2='Data Validation'!$A$3,AH105,"Unknown Option Type")))/((AI105+0.01%)*SQRT(AE105)),0,1,TRUE)))+(((AI105+0.01%)*SQRT(AE105))*(NORMDIST((IF('Adjustment Surface'!$C$2='Data Validation'!$A$2,AH105,IF('Adjustment Surface'!$C$2='Data Validation'!$A$3,AG105,"Unknown Option Type"))-IF('Adjustment Surface'!$C$2='Data Validation'!$A$2,AG105,IF('Adjustment Surface'!$C$2='Data Validation'!$A$3,AH105,"Unknown Option Type")))/((AI105+0.01%)*SQRT(AE105)),0,1,FALSE))))*AJ105*(AD105/360))-(AL105/AF105))*AF105)*AJ105))</f>
        <v/>
      </c>
      <c r="AP105" s="15" t="str">
        <f>IF(AA105="","",SUM(AO$4:AO105))</f>
        <v/>
      </c>
      <c r="AQ105" s="15"/>
      <c r="AR105" s="20"/>
      <c r="AT105" s="4" t="str">
        <f>IF(AU104=MAX('Adjustment Surface'!$C$14:$F$14),"",AU104)</f>
        <v/>
      </c>
      <c r="AU105" s="4" t="str">
        <f>IF(AT105="","",IF(AT105&lt;EDATE('Adjustment Surface'!$C$6,DATEDIF('Adjustment Surface'!$C$6,MAX('Adjustment Surface'!$C$14:$F$14),"M")),EDATE(AT$5,COUNT(AT$5:AT105)),IF(AT105=EDATE('Adjustment Surface'!$C$6,DATEDIF('Adjustment Surface'!$C$6,MAX('Adjustment Surface'!$C$14:$F$14),"M")),MAX('Adjustment Surface'!$C$14:$F$14),EDATE('Adjustment Surface'!$C$6,DATEDIF('Adjustment Surface'!$C$6,MAX('Adjustment Surface'!$C$14:$F$14),"M")))))</f>
        <v/>
      </c>
      <c r="AV105" s="3" t="str">
        <f t="shared" si="8"/>
        <v/>
      </c>
      <c r="AW105" s="5" t="str">
        <f>IF(AS105="","",(AU105-'Rate &amp; Vol Update'!$C$2)/360)</f>
        <v/>
      </c>
      <c r="AX105" s="15" t="str">
        <f>IF(AS105="","",IF('Adjustment Surface'!$C$3='Data Validation'!$C$2,'Adjustment Surface'!$C$4,_xlfn.IFNA(IF(INDEX(Schedules!$E$3:$E$123,MATCH('Bachelier Model'!AT105,Schedules!$B$3:$B$123,0))="",AX104,INDEX(Schedules!$E$3:$E$123,MATCH('Bachelier Model'!AT105,Schedules!$B$3:$B$123,0))),AX104)))</f>
        <v/>
      </c>
      <c r="AY105" s="16" t="str">
        <f>IF(AS105="","",'Adjustment Surface'!B$16)</f>
        <v/>
      </c>
      <c r="AZ105" s="16" t="str" cm="1">
        <f t="array" ref="AZ105">IF(AS105="","",FORECAST(AT105,INDEX('Rate &amp; Vol Update'!$C$6:$C$127,MATCH(INDEX('Rate &amp; Vol Update'!$B$6:$B$127,MATCH(AT105,'Rate &amp; Vol Update'!$B$6:$B$127,1)),'Rate &amp; Vol Update'!$B$6:$B$127,0)+IF('Adjustment Surface'!$C$11='Data Validation'!$E$3,-1,0)):INDEX('Rate &amp; Vol Update'!$C$6:$C$127,MATCH(INDEX('Rate &amp; Vol Update'!$B$6:$B$127,MATCH(AT105,'Rate &amp; Vol Update'!$B$6:$B$127,1)+1),'Rate &amp; Vol Update'!$B$6:$B$127,0)+IF('Adjustment Surface'!$C$11='Data Validation'!$E$3,-1,0)),INDEX('Rate &amp; Vol Update'!$B$6:$B$127,MATCH(AT105,'Rate &amp; Vol Update'!$B$6:$B$127,1)):INDEX('Rate &amp; Vol Update'!$B$6:$B$127,MATCH(AT105,'Rate &amp; Vol Update'!$B$6:$B$127,1)+1))/100)</f>
        <v/>
      </c>
      <c r="BA105" s="16" t="str" cm="1">
        <f t="array" ref="BA105">IF(AS105="","",IF(AT105&lt;'Rate &amp; Vol Update'!$C$2,0.001%,(1/((INDEX('Rate &amp; Vol Update'!$E$6:$Z$6,1,MATCH(AY105,'Rate &amp; Vol Update'!$E$6:$Z$6,1)+1)-INDEX('Rate &amp; Vol Update'!$E$6:$Z$6,1,MATCH(AY105,'Rate &amp; Vol Update'!$E$6:$Z$6,1)))*(INDEX('Rate &amp; Vol Update'!$B$8:$B$127,MATCH(AT105,'Rate &amp; Vol Update'!$B$8:$B$127,1)+1)-INDEX('Rate &amp; Vol Update'!$B$8:$B$127,MATCH(AT105,'Rate &amp; Vol Update'!$B$8:$B$127,1))))*(INDEX('Rate &amp; Vol Update'!$E$8:$Z$127,MATCH(INDEX('Rate &amp; Vol Update'!$B$8:$B$127,MATCH(AT105,'Rate &amp; Vol Update'!$B$8:$B$127,1)),'Rate &amp; Vol Update'!$B$8:$B$127,0),MATCH(INDEX('Rate &amp; Vol Update'!$E$6:$Z$6,1,MATCH(AY105,'Rate &amp; Vol Update'!$E$6:$Z$6,1)),'Rate &amp; Vol Update'!$E$6:$Z$6,0))*(INDEX('Rate &amp; Vol Update'!$E$6:$Z$6,1,MATCH(AY105,'Rate &amp; Vol Update'!$E$6:$Z$6,1)+1)-AY105)*(INDEX('Rate &amp; Vol Update'!$B$8:$B$127,MATCH(AT105,'Rate &amp; Vol Update'!$B$8:$B$127,1)+1)-AT105)+INDEX('Rate &amp; Vol Update'!$E$8:$Z$127,MATCH(INDEX('Rate &amp; Vol Update'!$B$8:$B$127,MATCH(AT105,'Rate &amp; Vol Update'!$B$8:$B$127,1)),'Rate &amp; Vol Update'!$B$8:$B$127,0),MATCH(INDEX('Rate &amp; Vol Update'!$E$6:$Z$6,1,MATCH(AY105,'Rate &amp; Vol Update'!$E$6:$Z$6,1)+1),'Rate &amp; Vol Update'!$E$6:$Z$6,0))*(AY105-INDEX('Rate &amp; Vol Update'!$E$6:$Z$6,1,MATCH(AY105,'Rate &amp; Vol Update'!$E$6:$Z$6,1)))*(INDEX('Rate &amp; Vol Update'!$B$8:$B$127,MATCH(AT105,'Rate &amp; Vol Update'!$B$8:$B$127,1)+1)-AT105)+INDEX('Rate &amp; Vol Update'!$E$8:$Z$127,MATCH(INDEX('Rate &amp; Vol Update'!$B$8:$B$127,MATCH(AT105,'Rate &amp; Vol Update'!$B$8:$B$127,1)+1),'Rate &amp; Vol Update'!$B$8:$B$127,0),MATCH(INDEX('Rate &amp; Vol Update'!$E$6:$Z$6,1,MATCH(AY105,'Rate &amp; Vol Update'!$E$6:$Z$6,1)),'Rate &amp; Vol Update'!$E$6:$Z$6,0))*(INDEX('Rate &amp; Vol Update'!$E$6:$Z$6,1,MATCH(AY105,'Rate &amp; Vol Update'!$E$6:$Z$6,1)+1)-AY105)*(AT105-INDEX('Rate &amp; Vol Update'!$B$8:$B$127,MATCH(AT105,'Rate &amp; Vol Update'!$B$8:$B$127,1)))+INDEX('Rate &amp; Vol Update'!$E$8:$Z$127,MATCH(INDEX('Rate &amp; Vol Update'!$B$8:$B$127,MATCH(AT105,'Rate &amp; Vol Update'!$B$8:$B$127,1)+1),'Rate &amp; Vol Update'!$B$8:$B$127,0),MATCH(INDEX('Rate &amp; Vol Update'!$E$6:$Z$6,1,MATCH(AY105,'Rate &amp; Vol Update'!$E$6:$Z$6,1)+1),'Rate &amp; Vol Update'!$E$6:$Z$6,0))*(AY105-INDEX('Rate &amp; Vol Update'!$E$6:$Z$6,1,MATCH(AY105,'Rate &amp; Vol Update'!$E$6:$Z$6,1)))*(AT105-INDEX('Rate &amp; Vol Update'!$B$8:$B$127,MATCH(AT105,'Rate &amp; Vol Update'!$B$8:$B$127,1)))))*0.01%))</f>
        <v/>
      </c>
      <c r="BB105" s="5" t="str">
        <f>IF(AS105="","",1/((1+AZ105)^((AU105-'Rate &amp; Vol Update'!$C$2)/360)))</f>
        <v/>
      </c>
      <c r="BD105" s="15" t="str">
        <f>IF(AS105="","",IF(AT105&lt;'Rate &amp; Vol Update'!$C$2,MAX(0,AZ105-AY105)*(AV105/360)*AX105,(((IF('Adjustment Surface'!$C$2='Data Validation'!$A$2,AZ105,IF('Adjustment Surface'!$C$2='Data Validation'!$A$3,AY105,"Unknown Option Type"))-IF('Adjustment Surface'!$C$2='Data Validation'!$A$2,AY105,IF('Adjustment Surface'!$C$2='Data Validation'!$A$3,AZ105,"Unknown Option Type")))*(NORMDIST((IF('Adjustment Surface'!$C$2='Data Validation'!$A$2,AZ105,IF('Adjustment Surface'!$C$2='Data Validation'!$A$3,AY105,"Unknown Option Type"))-IF('Adjustment Surface'!$C$2='Data Validation'!$A$2,AY105,IF('Adjustment Surface'!$C$2='Data Validation'!$A$3,AZ105,"Unknown Option Type")))/(BA105*SQRT(AW105)),0,1,TRUE)))+((BA105*SQRT(AW105))*(NORMDIST((IF('Adjustment Surface'!$C$2='Data Validation'!$A$2,AZ105,IF('Adjustment Surface'!$C$2='Data Validation'!$A$3,AY105,"Unknown Option Type"))-IF('Adjustment Surface'!$C$2='Data Validation'!$A$2,AY105,IF('Adjustment Surface'!$C$2='Data Validation'!$A$3,AZ105,"Unknown Option Type")))/(BA105*SQRT(AW105)),0,1,FALSE))))*BB105*(AV105/360)*AX105))</f>
        <v/>
      </c>
      <c r="BE105" s="15" t="str">
        <f>IF(AS105="","",SUM(BD$4:BD105))</f>
        <v/>
      </c>
      <c r="BG105" s="15" t="str">
        <f>IF(AS105="","",IF(AT105&lt;'Rate &amp; Vol Update'!$C$2,0,((((((IF('Adjustment Surface'!$C$2='Data Validation'!$A$2,AZ105,IF('Adjustment Surface'!$C$2='Data Validation'!$A$3,AY105,"Unknown Option Type"))-IF('Adjustment Surface'!$C$2='Data Validation'!$A$2,AY105,IF('Adjustment Surface'!$C$2='Data Validation'!$A$3,AZ105,"Unknown Option Type")))*(NORMDIST((IF('Adjustment Surface'!$C$2='Data Validation'!$A$2,AZ105,IF('Adjustment Surface'!$C$2='Data Validation'!$A$3,AY105,"Unknown Option Type"))-IF('Adjustment Surface'!$C$2='Data Validation'!$A$2,AY105,IF('Adjustment Surface'!$C$2='Data Validation'!$A$3,AZ105,"Unknown Option Type")))/((BA105+0.01%)*SQRT(AW105)),0,1,TRUE)))+(((BA105+0.01%)*SQRT(AW105))*(NORMDIST((IF('Adjustment Surface'!$C$2='Data Validation'!$A$2,AZ105,IF('Adjustment Surface'!$C$2='Data Validation'!$A$3,AY105,"Unknown Option Type"))-IF('Adjustment Surface'!$C$2='Data Validation'!$A$2,AY105,IF('Adjustment Surface'!$C$2='Data Validation'!$A$3,AZ105,"Unknown Option Type")))/((BA105+0.01%)*SQRT(AW105)),0,1,FALSE))))*BB105*(AV105/360))-(BD105/AX105))*AX105)*BB105))</f>
        <v/>
      </c>
      <c r="BH105" s="15" t="str">
        <f>IF(AS105="","",SUM(BG$4:BG105))</f>
        <v/>
      </c>
      <c r="BI105" s="15"/>
      <c r="BJ105" s="20"/>
      <c r="BL105" s="4" t="str">
        <f>IF(BM104=MAX('Adjustment Surface'!$C$14:$F$14),"",BM104)</f>
        <v/>
      </c>
      <c r="BM105" s="4" t="str">
        <f>IF(BL105="","",IF(BL105&lt;EDATE('Adjustment Surface'!$C$6,DATEDIF('Adjustment Surface'!$C$6,MAX('Adjustment Surface'!$C$14:$F$14),"M")),EDATE(BL$5,COUNT(BL$5:BL105)),IF(BL105=EDATE('Adjustment Surface'!$C$6,DATEDIF('Adjustment Surface'!$C$6,MAX('Adjustment Surface'!$C$14:$F$14),"M")),MAX('Adjustment Surface'!$C$14:$F$14),EDATE('Adjustment Surface'!$C$6,DATEDIF('Adjustment Surface'!$C$6,MAX('Adjustment Surface'!$C$14:$F$14),"M")))))</f>
        <v/>
      </c>
      <c r="BN105" s="3" t="str">
        <f t="shared" si="9"/>
        <v/>
      </c>
      <c r="BO105" s="5" t="str">
        <f>IF(BK105="","",(BM105-'Rate &amp; Vol Update'!$C$2)/360)</f>
        <v/>
      </c>
      <c r="BP105" s="15" t="str">
        <f>IF(BK105="","",IF('Adjustment Surface'!$C$3='Data Validation'!$C$2,'Adjustment Surface'!$C$4,_xlfn.IFNA(IF(INDEX(Schedules!$E$3:$E$123,MATCH('Bachelier Model'!BL105,Schedules!$B$3:$B$123,0))="",BP104,INDEX(Schedules!$E$3:$E$123,MATCH('Bachelier Model'!BL105,Schedules!$B$3:$B$123,0))),BP104)))</f>
        <v/>
      </c>
      <c r="BQ105" s="16" t="str">
        <f>IF(BK105="","",'Adjustment Surface'!B$17)</f>
        <v/>
      </c>
      <c r="BR105" s="16" t="str" cm="1">
        <f t="array" ref="BR105">IF(BK105="","",FORECAST(BL105,INDEX('Rate &amp; Vol Update'!$C$6:$C$127,MATCH(INDEX('Rate &amp; Vol Update'!$B$6:$B$127,MATCH(BL105,'Rate &amp; Vol Update'!$B$6:$B$127,1)),'Rate &amp; Vol Update'!$B$6:$B$127,0)+IF('Adjustment Surface'!$C$11='Data Validation'!$E$3,-1,0)):INDEX('Rate &amp; Vol Update'!$C$6:$C$127,MATCH(INDEX('Rate &amp; Vol Update'!$B$6:$B$127,MATCH(BL105,'Rate &amp; Vol Update'!$B$6:$B$127,1)+1),'Rate &amp; Vol Update'!$B$6:$B$127,0)+IF('Adjustment Surface'!$C$11='Data Validation'!$E$3,-1,0)),INDEX('Rate &amp; Vol Update'!$B$6:$B$127,MATCH(BL105,'Rate &amp; Vol Update'!$B$6:$B$127,1)):INDEX('Rate &amp; Vol Update'!$B$6:$B$127,MATCH(BL105,'Rate &amp; Vol Update'!$B$6:$B$127,1)+1))/100)</f>
        <v/>
      </c>
      <c r="BS105" s="16" t="str" cm="1">
        <f t="array" ref="BS105">IF(BK105="","",IF(BL105&lt;'Rate &amp; Vol Update'!$C$2,0.001%,(1/((INDEX('Rate &amp; Vol Update'!$E$6:$Z$6,1,MATCH(BQ105,'Rate &amp; Vol Update'!$E$6:$Z$6,1)+1)-INDEX('Rate &amp; Vol Update'!$E$6:$Z$6,1,MATCH(BQ105,'Rate &amp; Vol Update'!$E$6:$Z$6,1)))*(INDEX('Rate &amp; Vol Update'!$B$8:$B$127,MATCH(BL105,'Rate &amp; Vol Update'!$B$8:$B$127,1)+1)-INDEX('Rate &amp; Vol Update'!$B$8:$B$127,MATCH(BL105,'Rate &amp; Vol Update'!$B$8:$B$127,1))))*(INDEX('Rate &amp; Vol Update'!$E$8:$Z$127,MATCH(INDEX('Rate &amp; Vol Update'!$B$8:$B$127,MATCH(BL105,'Rate &amp; Vol Update'!$B$8:$B$127,1)),'Rate &amp; Vol Update'!$B$8:$B$127,0),MATCH(INDEX('Rate &amp; Vol Update'!$E$6:$Z$6,1,MATCH(BQ105,'Rate &amp; Vol Update'!$E$6:$Z$6,1)),'Rate &amp; Vol Update'!$E$6:$Z$6,0))*(INDEX('Rate &amp; Vol Update'!$E$6:$Z$6,1,MATCH(BQ105,'Rate &amp; Vol Update'!$E$6:$Z$6,1)+1)-BQ105)*(INDEX('Rate &amp; Vol Update'!$B$8:$B$127,MATCH(BL105,'Rate &amp; Vol Update'!$B$8:$B$127,1)+1)-BL105)+INDEX('Rate &amp; Vol Update'!$E$8:$Z$127,MATCH(INDEX('Rate &amp; Vol Update'!$B$8:$B$127,MATCH(BL105,'Rate &amp; Vol Update'!$B$8:$B$127,1)),'Rate &amp; Vol Update'!$B$8:$B$127,0),MATCH(INDEX('Rate &amp; Vol Update'!$E$6:$Z$6,1,MATCH(BQ105,'Rate &amp; Vol Update'!$E$6:$Z$6,1)+1),'Rate &amp; Vol Update'!$E$6:$Z$6,0))*(BQ105-INDEX('Rate &amp; Vol Update'!$E$6:$Z$6,1,MATCH(BQ105,'Rate &amp; Vol Update'!$E$6:$Z$6,1)))*(INDEX('Rate &amp; Vol Update'!$B$8:$B$127,MATCH(BL105,'Rate &amp; Vol Update'!$B$8:$B$127,1)+1)-BL105)+INDEX('Rate &amp; Vol Update'!$E$8:$Z$127,MATCH(INDEX('Rate &amp; Vol Update'!$B$8:$B$127,MATCH(BL105,'Rate &amp; Vol Update'!$B$8:$B$127,1)+1),'Rate &amp; Vol Update'!$B$8:$B$127,0),MATCH(INDEX('Rate &amp; Vol Update'!$E$6:$Z$6,1,MATCH(BQ105,'Rate &amp; Vol Update'!$E$6:$Z$6,1)),'Rate &amp; Vol Update'!$E$6:$Z$6,0))*(INDEX('Rate &amp; Vol Update'!$E$6:$Z$6,1,MATCH(BQ105,'Rate &amp; Vol Update'!$E$6:$Z$6,1)+1)-BQ105)*(BL105-INDEX('Rate &amp; Vol Update'!$B$8:$B$127,MATCH(BL105,'Rate &amp; Vol Update'!$B$8:$B$127,1)))+INDEX('Rate &amp; Vol Update'!$E$8:$Z$127,MATCH(INDEX('Rate &amp; Vol Update'!$B$8:$B$127,MATCH(BL105,'Rate &amp; Vol Update'!$B$8:$B$127,1)+1),'Rate &amp; Vol Update'!$B$8:$B$127,0),MATCH(INDEX('Rate &amp; Vol Update'!$E$6:$Z$6,1,MATCH(BQ105,'Rate &amp; Vol Update'!$E$6:$Z$6,1)+1),'Rate &amp; Vol Update'!$E$6:$Z$6,0))*(BQ105-INDEX('Rate &amp; Vol Update'!$E$6:$Z$6,1,MATCH(BQ105,'Rate &amp; Vol Update'!$E$6:$Z$6,1)))*(BL105-INDEX('Rate &amp; Vol Update'!$B$8:$B$127,MATCH(BL105,'Rate &amp; Vol Update'!$B$8:$B$127,1)))))*0.01%))</f>
        <v/>
      </c>
      <c r="BT105" s="5" t="str">
        <f>IF(BK105="","",1/((1+BR105)^((BM105-'Rate &amp; Vol Update'!$C$2)/360)))</f>
        <v/>
      </c>
      <c r="BV105" s="15" t="str">
        <f>IF(BK105="","",IF(BL105&lt;'Rate &amp; Vol Update'!$C$2,MAX(0,BR105-BQ105)*(BN105/360)*BP105,(((IF('Adjustment Surface'!$C$2='Data Validation'!$A$2,BR105,IF('Adjustment Surface'!$C$2='Data Validation'!$A$3,BQ105,"Unknown Option Type"))-IF('Adjustment Surface'!$C$2='Data Validation'!$A$2,BQ105,IF('Adjustment Surface'!$C$2='Data Validation'!$A$3,BR105,"Unknown Option Type")))*(NORMDIST((IF('Adjustment Surface'!$C$2='Data Validation'!$A$2,BR105,IF('Adjustment Surface'!$C$2='Data Validation'!$A$3,BQ105,"Unknown Option Type"))-IF('Adjustment Surface'!$C$2='Data Validation'!$A$2,BQ105,IF('Adjustment Surface'!$C$2='Data Validation'!$A$3,BR105,"Unknown Option Type")))/(BS105*SQRT(BO105)),0,1,TRUE)))+((BS105*SQRT(BO105))*(NORMDIST((IF('Adjustment Surface'!$C$2='Data Validation'!$A$2,BR105,IF('Adjustment Surface'!$C$2='Data Validation'!$A$3,BQ105,"Unknown Option Type"))-IF('Adjustment Surface'!$C$2='Data Validation'!$A$2,BQ105,IF('Adjustment Surface'!$C$2='Data Validation'!$A$3,BR105,"Unknown Option Type")))/(BS105*SQRT(BO105)),0,1,FALSE))))*BT105*(BN105/360)*BP105))</f>
        <v/>
      </c>
      <c r="BW105" s="15" t="str">
        <f>IF(BK105="","",SUM(BV$4:BV105))</f>
        <v/>
      </c>
      <c r="BY105" s="15" t="str">
        <f>IF(BK105="","",IF(BL105&lt;'Rate &amp; Vol Update'!$C$2,0,((((((IF('Adjustment Surface'!$C$2='Data Validation'!$A$2,BR105,IF('Adjustment Surface'!$C$2='Data Validation'!$A$3,BQ105,"Unknown Option Type"))-IF('Adjustment Surface'!$C$2='Data Validation'!$A$2,BQ105,IF('Adjustment Surface'!$C$2='Data Validation'!$A$3,BR105,"Unknown Option Type")))*(NORMDIST((IF('Adjustment Surface'!$C$2='Data Validation'!$A$2,BR105,IF('Adjustment Surface'!$C$2='Data Validation'!$A$3,BQ105,"Unknown Option Type"))-IF('Adjustment Surface'!$C$2='Data Validation'!$A$2,BQ105,IF('Adjustment Surface'!$C$2='Data Validation'!$A$3,BR105,"Unknown Option Type")))/((BS105+0.01%)*SQRT(BO105)),0,1,TRUE)))+(((BS105+0.01%)*SQRT(BO105))*(NORMDIST((IF('Adjustment Surface'!$C$2='Data Validation'!$A$2,BR105,IF('Adjustment Surface'!$C$2='Data Validation'!$A$3,BQ105,"Unknown Option Type"))-IF('Adjustment Surface'!$C$2='Data Validation'!$A$2,BQ105,IF('Adjustment Surface'!$C$2='Data Validation'!$A$3,BR105,"Unknown Option Type")))/((BS105+0.01%)*SQRT(BO105)),0,1,FALSE))))*BT105*(BN105/360))-(BV105/BP105))*BP105)*BT105))</f>
        <v/>
      </c>
      <c r="BZ105" s="15" t="str">
        <f>IF(BK105="","",SUM(BY$4:BY105))</f>
        <v/>
      </c>
      <c r="CA105" s="15"/>
      <c r="CB105" s="20"/>
      <c r="CD105" s="4" t="str">
        <f>IF(CE104=MAX('Adjustment Surface'!$C$14:$F$14),"",CE104)</f>
        <v/>
      </c>
      <c r="CE105" s="4" t="str">
        <f>IF(CD105="","",IF(CD105&lt;EDATE('Adjustment Surface'!$C$6,DATEDIF('Adjustment Surface'!$C$6,MAX('Adjustment Surface'!$C$14:$F$14),"M")),EDATE(CD$5,COUNT(CD$5:CD105)),IF(CD105=EDATE('Adjustment Surface'!$C$6,DATEDIF('Adjustment Surface'!$C$6,MAX('Adjustment Surface'!$C$14:$F$14),"M")),MAX('Adjustment Surface'!$C$14:$F$14),EDATE('Adjustment Surface'!$C$6,DATEDIF('Adjustment Surface'!$C$6,MAX('Adjustment Surface'!$C$14:$F$14),"M")))))</f>
        <v/>
      </c>
      <c r="CF105" s="3" t="str">
        <f t="shared" si="10"/>
        <v/>
      </c>
      <c r="CG105" s="5" t="str">
        <f>IF(CC105="","",(CE105-'Rate &amp; Vol Update'!$C$2)/360)</f>
        <v/>
      </c>
      <c r="CH105" s="15" t="str">
        <f>IF(CC105="","",IF('Adjustment Surface'!$C$3='Data Validation'!$C$2,'Adjustment Surface'!$C$4,_xlfn.IFNA(IF(INDEX(Schedules!$E$3:$E$123,MATCH('Bachelier Model'!CD105,Schedules!$B$3:$B$123,0))="",CH104,INDEX(Schedules!$E$3:$E$123,MATCH('Bachelier Model'!CD105,Schedules!$B$3:$B$123,0))),CH104)))</f>
        <v/>
      </c>
      <c r="CI105" s="16" t="str">
        <f>IF(CC105="","",'Adjustment Surface'!B$18)</f>
        <v/>
      </c>
      <c r="CJ105" s="16" t="str" cm="1">
        <f t="array" ref="CJ105">IF(CC105="","",FORECAST(CD105,INDEX('Rate &amp; Vol Update'!$C$6:$C$127,MATCH(INDEX('Rate &amp; Vol Update'!$B$6:$B$127,MATCH(CD105,'Rate &amp; Vol Update'!$B$6:$B$127,1)),'Rate &amp; Vol Update'!$B$6:$B$127,0)+IF('Adjustment Surface'!$C$11='Data Validation'!$E$3,-1,0)):INDEX('Rate &amp; Vol Update'!$C$6:$C$127,MATCH(INDEX('Rate &amp; Vol Update'!$B$6:$B$127,MATCH(CD105,'Rate &amp; Vol Update'!$B$6:$B$127,1)+1),'Rate &amp; Vol Update'!$B$6:$B$127,0)+IF('Adjustment Surface'!$C$11='Data Validation'!$E$3,-1,0)),INDEX('Rate &amp; Vol Update'!$B$6:$B$127,MATCH(CD105,'Rate &amp; Vol Update'!$B$6:$B$127,1)):INDEX('Rate &amp; Vol Update'!$B$6:$B$127,MATCH(CD105,'Rate &amp; Vol Update'!$B$6:$B$127,1)+1))/100)</f>
        <v/>
      </c>
      <c r="CK105" s="16" t="str" cm="1">
        <f t="array" ref="CK105">IF(CC105="","",IF(CD105&lt;'Rate &amp; Vol Update'!$C$2,0.001%,(1/((INDEX('Rate &amp; Vol Update'!$E$6:$Z$6,1,MATCH(CI105,'Rate &amp; Vol Update'!$E$6:$Z$6,1)+1)-INDEX('Rate &amp; Vol Update'!$E$6:$Z$6,1,MATCH(CI105,'Rate &amp; Vol Update'!$E$6:$Z$6,1)))*(INDEX('Rate &amp; Vol Update'!$B$8:$B$127,MATCH(CD105,'Rate &amp; Vol Update'!$B$8:$B$127,1)+1)-INDEX('Rate &amp; Vol Update'!$B$8:$B$127,MATCH(CD105,'Rate &amp; Vol Update'!$B$8:$B$127,1))))*(INDEX('Rate &amp; Vol Update'!$E$8:$Z$127,MATCH(INDEX('Rate &amp; Vol Update'!$B$8:$B$127,MATCH(CD105,'Rate &amp; Vol Update'!$B$8:$B$127,1)),'Rate &amp; Vol Update'!$B$8:$B$127,0),MATCH(INDEX('Rate &amp; Vol Update'!$E$6:$Z$6,1,MATCH(CI105,'Rate &amp; Vol Update'!$E$6:$Z$6,1)),'Rate &amp; Vol Update'!$E$6:$Z$6,0))*(INDEX('Rate &amp; Vol Update'!$E$6:$Z$6,1,MATCH(CI105,'Rate &amp; Vol Update'!$E$6:$Z$6,1)+1)-CI105)*(INDEX('Rate &amp; Vol Update'!$B$8:$B$127,MATCH(CD105,'Rate &amp; Vol Update'!$B$8:$B$127,1)+1)-CD105)+INDEX('Rate &amp; Vol Update'!$E$8:$Z$127,MATCH(INDEX('Rate &amp; Vol Update'!$B$8:$B$127,MATCH(CD105,'Rate &amp; Vol Update'!$B$8:$B$127,1)),'Rate &amp; Vol Update'!$B$8:$B$127,0),MATCH(INDEX('Rate &amp; Vol Update'!$E$6:$Z$6,1,MATCH(CI105,'Rate &amp; Vol Update'!$E$6:$Z$6,1)+1),'Rate &amp; Vol Update'!$E$6:$Z$6,0))*(CI105-INDEX('Rate &amp; Vol Update'!$E$6:$Z$6,1,MATCH(CI105,'Rate &amp; Vol Update'!$E$6:$Z$6,1)))*(INDEX('Rate &amp; Vol Update'!$B$8:$B$127,MATCH(CD105,'Rate &amp; Vol Update'!$B$8:$B$127,1)+1)-CD105)+INDEX('Rate &amp; Vol Update'!$E$8:$Z$127,MATCH(INDEX('Rate &amp; Vol Update'!$B$8:$B$127,MATCH(CD105,'Rate &amp; Vol Update'!$B$8:$B$127,1)+1),'Rate &amp; Vol Update'!$B$8:$B$127,0),MATCH(INDEX('Rate &amp; Vol Update'!$E$6:$Z$6,1,MATCH(CI105,'Rate &amp; Vol Update'!$E$6:$Z$6,1)),'Rate &amp; Vol Update'!$E$6:$Z$6,0))*(INDEX('Rate &amp; Vol Update'!$E$6:$Z$6,1,MATCH(CI105,'Rate &amp; Vol Update'!$E$6:$Z$6,1)+1)-CI105)*(CD105-INDEX('Rate &amp; Vol Update'!$B$8:$B$127,MATCH(CD105,'Rate &amp; Vol Update'!$B$8:$B$127,1)))+INDEX('Rate &amp; Vol Update'!$E$8:$Z$127,MATCH(INDEX('Rate &amp; Vol Update'!$B$8:$B$127,MATCH(CD105,'Rate &amp; Vol Update'!$B$8:$B$127,1)+1),'Rate &amp; Vol Update'!$B$8:$B$127,0),MATCH(INDEX('Rate &amp; Vol Update'!$E$6:$Z$6,1,MATCH(CI105,'Rate &amp; Vol Update'!$E$6:$Z$6,1)+1),'Rate &amp; Vol Update'!$E$6:$Z$6,0))*(CI105-INDEX('Rate &amp; Vol Update'!$E$6:$Z$6,1,MATCH(CI105,'Rate &amp; Vol Update'!$E$6:$Z$6,1)))*(CD105-INDEX('Rate &amp; Vol Update'!$B$8:$B$127,MATCH(CD105,'Rate &amp; Vol Update'!$B$8:$B$127,1)))))*0.01%))</f>
        <v/>
      </c>
      <c r="CL105" s="5" t="str">
        <f>IF(CC105="","",1/((1+CJ105)^((CE105-'Rate &amp; Vol Update'!$C$2)/360)))</f>
        <v/>
      </c>
      <c r="CN105" s="15" t="str">
        <f>IF(CC105="","",IF(CD105&lt;'Rate &amp; Vol Update'!$C$2,MAX(0,CJ105-CI105)*(CF105/360)*CH105,(((IF('Adjustment Surface'!$C$2='Data Validation'!$A$2,CJ105,IF('Adjustment Surface'!$C$2='Data Validation'!$A$3,CI105,"Unknown Option Type"))-IF('Adjustment Surface'!$C$2='Data Validation'!$A$2,CI105,IF('Adjustment Surface'!$C$2='Data Validation'!$A$3,CJ105,"Unknown Option Type")))*(NORMDIST((IF('Adjustment Surface'!$C$2='Data Validation'!$A$2,CJ105,IF('Adjustment Surface'!$C$2='Data Validation'!$A$3,CI105,"Unknown Option Type"))-IF('Adjustment Surface'!$C$2='Data Validation'!$A$2,CI105,IF('Adjustment Surface'!$C$2='Data Validation'!$A$3,CJ105,"Unknown Option Type")))/(CK105*SQRT(CG105)),0,1,TRUE)))+((CK105*SQRT(CG105))*(NORMDIST((IF('Adjustment Surface'!$C$2='Data Validation'!$A$2,CJ105,IF('Adjustment Surface'!$C$2='Data Validation'!$A$3,CI105,"Unknown Option Type"))-IF('Adjustment Surface'!$C$2='Data Validation'!$A$2,CI105,IF('Adjustment Surface'!$C$2='Data Validation'!$A$3,CJ105,"Unknown Option Type")))/(CK105*SQRT(CG105)),0,1,FALSE))))*CL105*(CF105/360)*CH105))</f>
        <v/>
      </c>
      <c r="CO105" s="15" t="str">
        <f>IF(CC105="","",SUM(CN$4:CN105))</f>
        <v/>
      </c>
      <c r="CQ105" s="15" t="str">
        <f>IF(CC105="","",IF(CD105&lt;'Rate &amp; Vol Update'!$C$2,0,((((((IF('Adjustment Surface'!$C$2='Data Validation'!$A$2,CJ105,IF('Adjustment Surface'!$C$2='Data Validation'!$A$3,CI105,"Unknown Option Type"))-IF('Adjustment Surface'!$C$2='Data Validation'!$A$2,CI105,IF('Adjustment Surface'!$C$2='Data Validation'!$A$3,CJ105,"Unknown Option Type")))*(NORMDIST((IF('Adjustment Surface'!$C$2='Data Validation'!$A$2,CJ105,IF('Adjustment Surface'!$C$2='Data Validation'!$A$3,CI105,"Unknown Option Type"))-IF('Adjustment Surface'!$C$2='Data Validation'!$A$2,CI105,IF('Adjustment Surface'!$C$2='Data Validation'!$A$3,CJ105,"Unknown Option Type")))/((CK105+0.01%)*SQRT(CG105)),0,1,TRUE)))+(((CK105+0.01%)*SQRT(CG105))*(NORMDIST((IF('Adjustment Surface'!$C$2='Data Validation'!$A$2,CJ105,IF('Adjustment Surface'!$C$2='Data Validation'!$A$3,CI105,"Unknown Option Type"))-IF('Adjustment Surface'!$C$2='Data Validation'!$A$2,CI105,IF('Adjustment Surface'!$C$2='Data Validation'!$A$3,CJ105,"Unknown Option Type")))/((CK105+0.01%)*SQRT(CG105)),0,1,FALSE))))*CL105*(CF105/360))-(CN105/CH105))*CH105)*CL105))</f>
        <v/>
      </c>
      <c r="CR105" s="15" t="str">
        <f>IF(CC105="","",SUM(CQ$4:CQ105))</f>
        <v/>
      </c>
    </row>
    <row r="106" spans="7:96" x14ac:dyDescent="0.25">
      <c r="G106" s="28"/>
      <c r="J106" s="4" t="str">
        <f>IF(K105='Adjustment Surface'!C$8,"",K105)</f>
        <v/>
      </c>
      <c r="K106" s="4" t="str">
        <f>IF(J106="","",IF(J106&lt;'Adjustment Surface'!C$7,EDATE(J$5,COUNT(J$5:J106)),IF(J106='Adjustment Surface'!C$7,'Adjustment Surface'!C$8,'Adjustment Surface'!C$7)))</f>
        <v/>
      </c>
      <c r="L106" s="3" t="str">
        <f t="shared" si="6"/>
        <v/>
      </c>
      <c r="M106" s="5" t="str">
        <f>IF(I106="","",(K106-'Rate &amp; Vol Update'!$C$2)/360)</f>
        <v/>
      </c>
      <c r="N106" s="15" t="str">
        <f>IF(I106="","",IF('Adjustment Surface'!C$3='Data Validation'!$C$2,'Adjustment Surface'!C$4,IF(INDEX(Schedules!$E$3:$E$123,MATCH('Bachelier Model'!J106,Schedules!$B$3:$B$123,0))="",N105,INDEX(Schedules!$E$3:$E$123,MATCH('Bachelier Model'!J106,Schedules!$B$3:$B$123,0)))))</f>
        <v/>
      </c>
      <c r="O106" s="16" t="str">
        <f>IF(I106="","",IF('Adjustment Surface'!C$9='Data Validation'!$D$2,'Adjustment Surface'!C$10,IF(INDEX(Schedules!$H$3:$H$123,MATCH('Bachelier Model'!J106,Schedules!$B$3:$B$123,0))="",O105,INDEX(Schedules!$H$3:$H$123,MATCH('Bachelier Model'!J106,Schedules!$B$3:$B$123,0)))))</f>
        <v/>
      </c>
      <c r="P106" s="16" t="str" cm="1">
        <f t="array" ref="P106">IF(I106="","",FORECAST(J106,INDEX('Rate &amp; Vol Update'!$C$6:$C$127,MATCH(INDEX('Rate &amp; Vol Update'!$B$6:$B$127,MATCH(J106,'Rate &amp; Vol Update'!$B$6:$B$127,1)),'Rate &amp; Vol Update'!$B$6:$B$127,0)+IF('Adjustment Surface'!C$11='Data Validation'!$E$3,-1,0)):INDEX('Rate &amp; Vol Update'!$C$6:$C$127,MATCH(INDEX('Rate &amp; Vol Update'!$B$6:$B$127,MATCH(J106,'Rate &amp; Vol Update'!$B$6:$B$127,1)+1),'Rate &amp; Vol Update'!$B$6:$B$127,0)+IF('Adjustment Surface'!C$11='Data Validation'!$E$3,-1,0)),INDEX('Rate &amp; Vol Update'!$B$6:$B$127,MATCH(J106,'Rate &amp; Vol Update'!$B$6:$B$127,1)):INDEX('Rate &amp; Vol Update'!$B$6:$B$127,MATCH(J106,'Rate &amp; Vol Update'!$B$6:$B$127,1)+1))/100)</f>
        <v/>
      </c>
      <c r="Q106" s="16" t="str" cm="1">
        <f t="array" ref="Q106">IF(I106="","",IF(J106&lt;'Rate &amp; Vol Update'!$C$2,0.001%,(1/((INDEX('Rate &amp; Vol Update'!$E$6:$Z$6,1,MATCH(O106,'Rate &amp; Vol Update'!$E$6:$Z$6,1)+1)-INDEX('Rate &amp; Vol Update'!$E$6:$Z$6,1,MATCH(O106,'Rate &amp; Vol Update'!$E$6:$Z$6,1)))*(INDEX('Rate &amp; Vol Update'!$B$8:$B$127,MATCH(J106,'Rate &amp; Vol Update'!$B$8:$B$127,1)+1)-INDEX('Rate &amp; Vol Update'!$B$8:$B$127,MATCH(J106,'Rate &amp; Vol Update'!$B$8:$B$127,1))))*(INDEX('Rate &amp; Vol Update'!$E$8:$Z$127,MATCH(INDEX('Rate &amp; Vol Update'!$B$8:$B$127,MATCH(J106,'Rate &amp; Vol Update'!$B$8:$B$127,1)),'Rate &amp; Vol Update'!$B$8:$B$127,0),MATCH(INDEX('Rate &amp; Vol Update'!$E$6:$Z$6,1,MATCH(O106,'Rate &amp; Vol Update'!$E$6:$Z$6,1)),'Rate &amp; Vol Update'!$E$6:$Z$6,0))*(INDEX('Rate &amp; Vol Update'!$E$6:$Z$6,1,MATCH(O106,'Rate &amp; Vol Update'!$E$6:$Z$6,1)+1)-O106)*(INDEX('Rate &amp; Vol Update'!$B$8:$B$127,MATCH(J106,'Rate &amp; Vol Update'!$B$8:$B$127,1)+1)-J106)+INDEX('Rate &amp; Vol Update'!$E$8:$Z$127,MATCH(INDEX('Rate &amp; Vol Update'!$B$8:$B$127,MATCH(J106,'Rate &amp; Vol Update'!$B$8:$B$127,1)),'Rate &amp; Vol Update'!$B$8:$B$127,0),MATCH(INDEX('Rate &amp; Vol Update'!$E$6:$Z$6,1,MATCH(O106,'Rate &amp; Vol Update'!$E$6:$Z$6,1)+1),'Rate &amp; Vol Update'!$E$6:$Z$6,0))*(O106-INDEX('Rate &amp; Vol Update'!$E$6:$Z$6,1,MATCH(O106,'Rate &amp; Vol Update'!$E$6:$Z$6,1)))*(INDEX('Rate &amp; Vol Update'!$B$8:$B$127,MATCH(J106,'Rate &amp; Vol Update'!$B$8:$B$127,1)+1)-J106)+INDEX('Rate &amp; Vol Update'!$E$8:$Z$127,MATCH(INDEX('Rate &amp; Vol Update'!$B$8:$B$127,MATCH(J106,'Rate &amp; Vol Update'!$B$8:$B$127,1)+1),'Rate &amp; Vol Update'!$B$8:$B$127,0),MATCH(INDEX('Rate &amp; Vol Update'!$E$6:$Z$6,1,MATCH(O106,'Rate &amp; Vol Update'!$E$6:$Z$6,1)),'Rate &amp; Vol Update'!$E$6:$Z$6,0))*(INDEX('Rate &amp; Vol Update'!$E$6:$Z$6,1,MATCH(O106,'Rate &amp; Vol Update'!$E$6:$Z$6,1)+1)-O106)*(J106-INDEX('Rate &amp; Vol Update'!$B$8:$B$127,MATCH(J106,'Rate &amp; Vol Update'!$B$8:$B$127,1)))+INDEX('Rate &amp; Vol Update'!$E$8:$Z$127,MATCH(INDEX('Rate &amp; Vol Update'!$B$8:$B$127,MATCH(J106,'Rate &amp; Vol Update'!$B$8:$B$127,1)+1),'Rate &amp; Vol Update'!$B$8:$B$127,0),MATCH(INDEX('Rate &amp; Vol Update'!$E$6:$Z$6,1,MATCH(O106,'Rate &amp; Vol Update'!$E$6:$Z$6,1)+1),'Rate &amp; Vol Update'!$E$6:$Z$6,0))*(O106-INDEX('Rate &amp; Vol Update'!$E$6:$Z$6,1,MATCH(O106,'Rate &amp; Vol Update'!$E$6:$Z$6,1)))*(J106-INDEX('Rate &amp; Vol Update'!$B$8:$B$127,MATCH(J106,'Rate &amp; Vol Update'!$B$8:$B$127,1)))))*0.01%))</f>
        <v/>
      </c>
      <c r="R106" s="5" t="str">
        <f>IF(I106="","",1/((1+P106)^((K106-'Rate &amp; Vol Update'!$C$2)/360)))</f>
        <v/>
      </c>
      <c r="T106" s="15" t="str">
        <f>IF(I106="","",IF(J106&lt;'Rate &amp; Vol Update'!$C$2,MAX(0,P106-O106)*(L106/360)*N106,(((IF('Adjustment Surface'!C$2='Data Validation'!$A$2,P106,IF('Adjustment Surface'!C$2='Data Validation'!$A$3,O106,"Unknown Option Type"))-IF('Adjustment Surface'!C$2='Data Validation'!$A$2,O106,IF('Adjustment Surface'!C$2='Data Validation'!$A$3,P106,"Unknown Option Type")))*(NORMDIST((IF('Adjustment Surface'!C$2='Data Validation'!$A$2,P106,IF('Adjustment Surface'!C$2='Data Validation'!$A$3,O106,"Unknown Option Type"))-IF('Adjustment Surface'!C$2='Data Validation'!$A$2,O106,IF('Adjustment Surface'!C$2='Data Validation'!$A$3,P106,"Unknown Option Type")))/(Q106*SQRT(M106)),0,1,TRUE)))+((Q106*SQRT(M106))*(NORMDIST((IF('Adjustment Surface'!C$2='Data Validation'!$A$2,P106,IF('Adjustment Surface'!C$2='Data Validation'!$A$3,O106,"Unknown Option Type"))-IF('Adjustment Surface'!C$2='Data Validation'!$A$2,O106,IF('Adjustment Surface'!C$2='Data Validation'!$A$3,P106,"Unknown Option Type")))/(Q106*SQRT(M106)),0,1,FALSE))))*R106*(L106/360)*N106))</f>
        <v/>
      </c>
      <c r="U106" s="15" t="str">
        <f>IF(I106="","",SUM(T$4:T106))</f>
        <v/>
      </c>
      <c r="W106" s="15" t="str">
        <f>IF(I106="","",IF(J106&lt;'Rate &amp; Vol Update'!$C$2,0,((((((IF('Adjustment Surface'!C$2='Data Validation'!$A$2,P106,IF('Adjustment Surface'!C$2='Data Validation'!$A$3,O106,"Unknown Option Type"))-IF('Adjustment Surface'!C$2='Data Validation'!$A$2,O106,IF('Adjustment Surface'!C$2='Data Validation'!$A$3,P106,"Unknown Option Type")))*(NORMDIST((IF('Adjustment Surface'!C$2='Data Validation'!$A$2,P106,IF('Adjustment Surface'!C$2='Data Validation'!$A$3,O106,"Unknown Option Type"))-IF('Adjustment Surface'!C$2='Data Validation'!$A$2,O106,IF('Adjustment Surface'!C$2='Data Validation'!$A$3,P106,"Unknown Option Type")))/((Q106+0.01%)*SQRT(M106)),0,1,TRUE)))+(((Q106+0.01%)*SQRT(M106))*(NORMDIST((IF('Adjustment Surface'!C$2='Data Validation'!$A$2,P106,IF('Adjustment Surface'!C$2='Data Validation'!$A$3,O106,"Unknown Option Type"))-IF('Adjustment Surface'!C$2='Data Validation'!$A$2,O106,IF('Adjustment Surface'!C$2='Data Validation'!$A$3,P106,"Unknown Option Type")))/((Q106+0.01%)*SQRT(M106)),0,1,FALSE))))*R106*(L106/360))-(T106/N106))*N106)*R106))</f>
        <v/>
      </c>
      <c r="X106" s="15" t="str">
        <f>IF(I106="","",SUM(W$4:W106))</f>
        <v/>
      </c>
      <c r="Y106" s="15"/>
      <c r="Z106" s="20"/>
      <c r="AB106" s="4" t="str">
        <f>IF(AC105=MAX('Adjustment Surface'!$C$14:$F$14),"",AC105)</f>
        <v/>
      </c>
      <c r="AC106" s="4" t="str">
        <f>IF(AB106="","",IF(AB106&lt;EDATE('Adjustment Surface'!$C$6,DATEDIF('Adjustment Surface'!$C$6,MAX('Adjustment Surface'!$C$14:$F$14),"M")),EDATE(AB$5,COUNT(AB$5:AB106)),IF(AB106=EDATE('Adjustment Surface'!$C$6,DATEDIF('Adjustment Surface'!$C$6,MAX('Adjustment Surface'!$C$14:$F$14),"M")),MAX('Adjustment Surface'!$C$14:$F$14),EDATE('Adjustment Surface'!$C$6,DATEDIF('Adjustment Surface'!$C$6,MAX('Adjustment Surface'!$C$14:$F$14),"M")))))</f>
        <v/>
      </c>
      <c r="AD106" s="3" t="str">
        <f t="shared" si="7"/>
        <v/>
      </c>
      <c r="AE106" s="5" t="str">
        <f>IF(AA106="","",(AC106-'Rate &amp; Vol Update'!$C$2)/360)</f>
        <v/>
      </c>
      <c r="AF106" s="15" t="str">
        <f>IF(AA106="","",IF('Adjustment Surface'!$C$3='Data Validation'!$C$2,'Adjustment Surface'!$C$4,_xlfn.IFNA(IF(INDEX(Schedules!$E$3:$E$123,MATCH('Bachelier Model'!AB106,Schedules!$B$3:$B$123,0))="",AF105,INDEX(Schedules!$E$3:$E$123,MATCH('Bachelier Model'!AB106,Schedules!$B$3:$B$123,0))),AF105)))</f>
        <v/>
      </c>
      <c r="AG106" s="16" t="str">
        <f>IF(AA106="","",'Adjustment Surface'!B$15)</f>
        <v/>
      </c>
      <c r="AH106" s="16" t="str" cm="1">
        <f t="array" ref="AH106">IF(AA106="","",FORECAST(AB106,INDEX('Rate &amp; Vol Update'!$C$6:$C$127,MATCH(INDEX('Rate &amp; Vol Update'!$B$6:$B$127,MATCH(AB106,'Rate &amp; Vol Update'!$B$6:$B$127,1)),'Rate &amp; Vol Update'!$B$6:$B$127,0)+IF('Adjustment Surface'!$C$11='Data Validation'!$E$3,-1,0)):INDEX('Rate &amp; Vol Update'!$C$6:$C$127,MATCH(INDEX('Rate &amp; Vol Update'!$B$6:$B$127,MATCH(AB106,'Rate &amp; Vol Update'!$B$6:$B$127,1)+1),'Rate &amp; Vol Update'!$B$6:$B$127,0)+IF('Adjustment Surface'!$C$11='Data Validation'!$E$3,-1,0)),INDEX('Rate &amp; Vol Update'!$B$6:$B$127,MATCH(AB106,'Rate &amp; Vol Update'!$B$6:$B$127,1)):INDEX('Rate &amp; Vol Update'!$B$6:$B$127,MATCH(AB106,'Rate &amp; Vol Update'!$B$6:$B$127,1)+1))/100)</f>
        <v/>
      </c>
      <c r="AI106" s="16" t="str" cm="1">
        <f t="array" ref="AI106">IF(AA106="","",IF(AB106&lt;'Rate &amp; Vol Update'!$C$2,0.001%,(1/((INDEX('Rate &amp; Vol Update'!$E$6:$Z$6,1,MATCH(AG106,'Rate &amp; Vol Update'!$E$6:$Z$6,1)+1)-INDEX('Rate &amp; Vol Update'!$E$6:$Z$6,1,MATCH(AG106,'Rate &amp; Vol Update'!$E$6:$Z$6,1)))*(INDEX('Rate &amp; Vol Update'!$B$8:$B$127,MATCH(AB106,'Rate &amp; Vol Update'!$B$8:$B$127,1)+1)-INDEX('Rate &amp; Vol Update'!$B$8:$B$127,MATCH(AB106,'Rate &amp; Vol Update'!$B$8:$B$127,1))))*(INDEX('Rate &amp; Vol Update'!$E$8:$Z$127,MATCH(INDEX('Rate &amp; Vol Update'!$B$8:$B$127,MATCH(AB106,'Rate &amp; Vol Update'!$B$8:$B$127,1)),'Rate &amp; Vol Update'!$B$8:$B$127,0),MATCH(INDEX('Rate &amp; Vol Update'!$E$6:$Z$6,1,MATCH(AG106,'Rate &amp; Vol Update'!$E$6:$Z$6,1)),'Rate &amp; Vol Update'!$E$6:$Z$6,0))*(INDEX('Rate &amp; Vol Update'!$E$6:$Z$6,1,MATCH(AG106,'Rate &amp; Vol Update'!$E$6:$Z$6,1)+1)-AG106)*(INDEX('Rate &amp; Vol Update'!$B$8:$B$127,MATCH(AB106,'Rate &amp; Vol Update'!$B$8:$B$127,1)+1)-AB106)+INDEX('Rate &amp; Vol Update'!$E$8:$Z$127,MATCH(INDEX('Rate &amp; Vol Update'!$B$8:$B$127,MATCH(AB106,'Rate &amp; Vol Update'!$B$8:$B$127,1)),'Rate &amp; Vol Update'!$B$8:$B$127,0),MATCH(INDEX('Rate &amp; Vol Update'!$E$6:$Z$6,1,MATCH(AG106,'Rate &amp; Vol Update'!$E$6:$Z$6,1)+1),'Rate &amp; Vol Update'!$E$6:$Z$6,0))*(AG106-INDEX('Rate &amp; Vol Update'!$E$6:$Z$6,1,MATCH(AG106,'Rate &amp; Vol Update'!$E$6:$Z$6,1)))*(INDEX('Rate &amp; Vol Update'!$B$8:$B$127,MATCH(AB106,'Rate &amp; Vol Update'!$B$8:$B$127,1)+1)-AB106)+INDEX('Rate &amp; Vol Update'!$E$8:$Z$127,MATCH(INDEX('Rate &amp; Vol Update'!$B$8:$B$127,MATCH(AB106,'Rate &amp; Vol Update'!$B$8:$B$127,1)+1),'Rate &amp; Vol Update'!$B$8:$B$127,0),MATCH(INDEX('Rate &amp; Vol Update'!$E$6:$Z$6,1,MATCH(AG106,'Rate &amp; Vol Update'!$E$6:$Z$6,1)),'Rate &amp; Vol Update'!$E$6:$Z$6,0))*(INDEX('Rate &amp; Vol Update'!$E$6:$Z$6,1,MATCH(AG106,'Rate &amp; Vol Update'!$E$6:$Z$6,1)+1)-AG106)*(AB106-INDEX('Rate &amp; Vol Update'!$B$8:$B$127,MATCH(AB106,'Rate &amp; Vol Update'!$B$8:$B$127,1)))+INDEX('Rate &amp; Vol Update'!$E$8:$Z$127,MATCH(INDEX('Rate &amp; Vol Update'!$B$8:$B$127,MATCH(AB106,'Rate &amp; Vol Update'!$B$8:$B$127,1)+1),'Rate &amp; Vol Update'!$B$8:$B$127,0),MATCH(INDEX('Rate &amp; Vol Update'!$E$6:$Z$6,1,MATCH(AG106,'Rate &amp; Vol Update'!$E$6:$Z$6,1)+1),'Rate &amp; Vol Update'!$E$6:$Z$6,0))*(AG106-INDEX('Rate &amp; Vol Update'!$E$6:$Z$6,1,MATCH(AG106,'Rate &amp; Vol Update'!$E$6:$Z$6,1)))*(AB106-INDEX('Rate &amp; Vol Update'!$B$8:$B$127,MATCH(AB106,'Rate &amp; Vol Update'!$B$8:$B$127,1)))))*0.01%))</f>
        <v/>
      </c>
      <c r="AJ106" s="5" t="str">
        <f>IF(AA106="","",1/((1+AH106)^((AC106-'Rate &amp; Vol Update'!$C$2)/360)))</f>
        <v/>
      </c>
      <c r="AL106" s="15" t="str">
        <f>IF(AA106="","",IF(AB106&lt;'Rate &amp; Vol Update'!$C$2,MAX(0,AH106-AG106)*(AD106/360)*AF106,(((IF('Adjustment Surface'!$C$2='Data Validation'!$A$2,AH106,IF('Adjustment Surface'!$C$2='Data Validation'!$A$3,AG106,"Unknown Option Type"))-IF('Adjustment Surface'!$C$2='Data Validation'!$A$2,AG106,IF('Adjustment Surface'!$C$2='Data Validation'!$A$3,AH106,"Unknown Option Type")))*(NORMDIST((IF('Adjustment Surface'!$C$2='Data Validation'!$A$2,AH106,IF('Adjustment Surface'!$C$2='Data Validation'!$A$3,AG106,"Unknown Option Type"))-IF('Adjustment Surface'!$C$2='Data Validation'!$A$2,AG106,IF('Adjustment Surface'!$C$2='Data Validation'!$A$3,AH106,"Unknown Option Type")))/(AI106*SQRT(AE106)),0,1,TRUE)))+((AI106*SQRT(AE106))*(NORMDIST((IF('Adjustment Surface'!$C$2='Data Validation'!$A$2,AH106,IF('Adjustment Surface'!$C$2='Data Validation'!$A$3,AG106,"Unknown Option Type"))-IF('Adjustment Surface'!$C$2='Data Validation'!$A$2,AG106,IF('Adjustment Surface'!$C$2='Data Validation'!$A$3,AH106,"Unknown Option Type")))/(AI106*SQRT(AE106)),0,1,FALSE))))*AJ106*(AD106/360)*AF106))</f>
        <v/>
      </c>
      <c r="AM106" s="15" t="str">
        <f>IF(AA106="","",SUM(AL$4:AL106))</f>
        <v/>
      </c>
      <c r="AO106" s="15" t="str">
        <f>IF(AA106="","",IF(AB106&lt;'Rate &amp; Vol Update'!$C$2,0,((((((IF('Adjustment Surface'!$C$2='Data Validation'!$A$2,AH106,IF('Adjustment Surface'!$C$2='Data Validation'!$A$3,AG106,"Unknown Option Type"))-IF('Adjustment Surface'!$C$2='Data Validation'!$A$2,AG106,IF('Adjustment Surface'!$C$2='Data Validation'!$A$3,AH106,"Unknown Option Type")))*(NORMDIST((IF('Adjustment Surface'!$C$2='Data Validation'!$A$2,AH106,IF('Adjustment Surface'!$C$2='Data Validation'!$A$3,AG106,"Unknown Option Type"))-IF('Adjustment Surface'!$C$2='Data Validation'!$A$2,AG106,IF('Adjustment Surface'!$C$2='Data Validation'!$A$3,AH106,"Unknown Option Type")))/((AI106+0.01%)*SQRT(AE106)),0,1,TRUE)))+(((AI106+0.01%)*SQRT(AE106))*(NORMDIST((IF('Adjustment Surface'!$C$2='Data Validation'!$A$2,AH106,IF('Adjustment Surface'!$C$2='Data Validation'!$A$3,AG106,"Unknown Option Type"))-IF('Adjustment Surface'!$C$2='Data Validation'!$A$2,AG106,IF('Adjustment Surface'!$C$2='Data Validation'!$A$3,AH106,"Unknown Option Type")))/((AI106+0.01%)*SQRT(AE106)),0,1,FALSE))))*AJ106*(AD106/360))-(AL106/AF106))*AF106)*AJ106))</f>
        <v/>
      </c>
      <c r="AP106" s="15" t="str">
        <f>IF(AA106="","",SUM(AO$4:AO106))</f>
        <v/>
      </c>
      <c r="AQ106" s="15"/>
      <c r="AR106" s="20"/>
      <c r="AT106" s="4" t="str">
        <f>IF(AU105=MAX('Adjustment Surface'!$C$14:$F$14),"",AU105)</f>
        <v/>
      </c>
      <c r="AU106" s="4" t="str">
        <f>IF(AT106="","",IF(AT106&lt;EDATE('Adjustment Surface'!$C$6,DATEDIF('Adjustment Surface'!$C$6,MAX('Adjustment Surface'!$C$14:$F$14),"M")),EDATE(AT$5,COUNT(AT$5:AT106)),IF(AT106=EDATE('Adjustment Surface'!$C$6,DATEDIF('Adjustment Surface'!$C$6,MAX('Adjustment Surface'!$C$14:$F$14),"M")),MAX('Adjustment Surface'!$C$14:$F$14),EDATE('Adjustment Surface'!$C$6,DATEDIF('Adjustment Surface'!$C$6,MAX('Adjustment Surface'!$C$14:$F$14),"M")))))</f>
        <v/>
      </c>
      <c r="AV106" s="3" t="str">
        <f t="shared" si="8"/>
        <v/>
      </c>
      <c r="AW106" s="5" t="str">
        <f>IF(AS106="","",(AU106-'Rate &amp; Vol Update'!$C$2)/360)</f>
        <v/>
      </c>
      <c r="AX106" s="15" t="str">
        <f>IF(AS106="","",IF('Adjustment Surface'!$C$3='Data Validation'!$C$2,'Adjustment Surface'!$C$4,_xlfn.IFNA(IF(INDEX(Schedules!$E$3:$E$123,MATCH('Bachelier Model'!AT106,Schedules!$B$3:$B$123,0))="",AX105,INDEX(Schedules!$E$3:$E$123,MATCH('Bachelier Model'!AT106,Schedules!$B$3:$B$123,0))),AX105)))</f>
        <v/>
      </c>
      <c r="AY106" s="16" t="str">
        <f>IF(AS106="","",'Adjustment Surface'!B$16)</f>
        <v/>
      </c>
      <c r="AZ106" s="16" t="str" cm="1">
        <f t="array" ref="AZ106">IF(AS106="","",FORECAST(AT106,INDEX('Rate &amp; Vol Update'!$C$6:$C$127,MATCH(INDEX('Rate &amp; Vol Update'!$B$6:$B$127,MATCH(AT106,'Rate &amp; Vol Update'!$B$6:$B$127,1)),'Rate &amp; Vol Update'!$B$6:$B$127,0)+IF('Adjustment Surface'!$C$11='Data Validation'!$E$3,-1,0)):INDEX('Rate &amp; Vol Update'!$C$6:$C$127,MATCH(INDEX('Rate &amp; Vol Update'!$B$6:$B$127,MATCH(AT106,'Rate &amp; Vol Update'!$B$6:$B$127,1)+1),'Rate &amp; Vol Update'!$B$6:$B$127,0)+IF('Adjustment Surface'!$C$11='Data Validation'!$E$3,-1,0)),INDEX('Rate &amp; Vol Update'!$B$6:$B$127,MATCH(AT106,'Rate &amp; Vol Update'!$B$6:$B$127,1)):INDEX('Rate &amp; Vol Update'!$B$6:$B$127,MATCH(AT106,'Rate &amp; Vol Update'!$B$6:$B$127,1)+1))/100)</f>
        <v/>
      </c>
      <c r="BA106" s="16" t="str" cm="1">
        <f t="array" ref="BA106">IF(AS106="","",IF(AT106&lt;'Rate &amp; Vol Update'!$C$2,0.001%,(1/((INDEX('Rate &amp; Vol Update'!$E$6:$Z$6,1,MATCH(AY106,'Rate &amp; Vol Update'!$E$6:$Z$6,1)+1)-INDEX('Rate &amp; Vol Update'!$E$6:$Z$6,1,MATCH(AY106,'Rate &amp; Vol Update'!$E$6:$Z$6,1)))*(INDEX('Rate &amp; Vol Update'!$B$8:$B$127,MATCH(AT106,'Rate &amp; Vol Update'!$B$8:$B$127,1)+1)-INDEX('Rate &amp; Vol Update'!$B$8:$B$127,MATCH(AT106,'Rate &amp; Vol Update'!$B$8:$B$127,1))))*(INDEX('Rate &amp; Vol Update'!$E$8:$Z$127,MATCH(INDEX('Rate &amp; Vol Update'!$B$8:$B$127,MATCH(AT106,'Rate &amp; Vol Update'!$B$8:$B$127,1)),'Rate &amp; Vol Update'!$B$8:$B$127,0),MATCH(INDEX('Rate &amp; Vol Update'!$E$6:$Z$6,1,MATCH(AY106,'Rate &amp; Vol Update'!$E$6:$Z$6,1)),'Rate &amp; Vol Update'!$E$6:$Z$6,0))*(INDEX('Rate &amp; Vol Update'!$E$6:$Z$6,1,MATCH(AY106,'Rate &amp; Vol Update'!$E$6:$Z$6,1)+1)-AY106)*(INDEX('Rate &amp; Vol Update'!$B$8:$B$127,MATCH(AT106,'Rate &amp; Vol Update'!$B$8:$B$127,1)+1)-AT106)+INDEX('Rate &amp; Vol Update'!$E$8:$Z$127,MATCH(INDEX('Rate &amp; Vol Update'!$B$8:$B$127,MATCH(AT106,'Rate &amp; Vol Update'!$B$8:$B$127,1)),'Rate &amp; Vol Update'!$B$8:$B$127,0),MATCH(INDEX('Rate &amp; Vol Update'!$E$6:$Z$6,1,MATCH(AY106,'Rate &amp; Vol Update'!$E$6:$Z$6,1)+1),'Rate &amp; Vol Update'!$E$6:$Z$6,0))*(AY106-INDEX('Rate &amp; Vol Update'!$E$6:$Z$6,1,MATCH(AY106,'Rate &amp; Vol Update'!$E$6:$Z$6,1)))*(INDEX('Rate &amp; Vol Update'!$B$8:$B$127,MATCH(AT106,'Rate &amp; Vol Update'!$B$8:$B$127,1)+1)-AT106)+INDEX('Rate &amp; Vol Update'!$E$8:$Z$127,MATCH(INDEX('Rate &amp; Vol Update'!$B$8:$B$127,MATCH(AT106,'Rate &amp; Vol Update'!$B$8:$B$127,1)+1),'Rate &amp; Vol Update'!$B$8:$B$127,0),MATCH(INDEX('Rate &amp; Vol Update'!$E$6:$Z$6,1,MATCH(AY106,'Rate &amp; Vol Update'!$E$6:$Z$6,1)),'Rate &amp; Vol Update'!$E$6:$Z$6,0))*(INDEX('Rate &amp; Vol Update'!$E$6:$Z$6,1,MATCH(AY106,'Rate &amp; Vol Update'!$E$6:$Z$6,1)+1)-AY106)*(AT106-INDEX('Rate &amp; Vol Update'!$B$8:$B$127,MATCH(AT106,'Rate &amp; Vol Update'!$B$8:$B$127,1)))+INDEX('Rate &amp; Vol Update'!$E$8:$Z$127,MATCH(INDEX('Rate &amp; Vol Update'!$B$8:$B$127,MATCH(AT106,'Rate &amp; Vol Update'!$B$8:$B$127,1)+1),'Rate &amp; Vol Update'!$B$8:$B$127,0),MATCH(INDEX('Rate &amp; Vol Update'!$E$6:$Z$6,1,MATCH(AY106,'Rate &amp; Vol Update'!$E$6:$Z$6,1)+1),'Rate &amp; Vol Update'!$E$6:$Z$6,0))*(AY106-INDEX('Rate &amp; Vol Update'!$E$6:$Z$6,1,MATCH(AY106,'Rate &amp; Vol Update'!$E$6:$Z$6,1)))*(AT106-INDEX('Rate &amp; Vol Update'!$B$8:$B$127,MATCH(AT106,'Rate &amp; Vol Update'!$B$8:$B$127,1)))))*0.01%))</f>
        <v/>
      </c>
      <c r="BB106" s="5" t="str">
        <f>IF(AS106="","",1/((1+AZ106)^((AU106-'Rate &amp; Vol Update'!$C$2)/360)))</f>
        <v/>
      </c>
      <c r="BD106" s="15" t="str">
        <f>IF(AS106="","",IF(AT106&lt;'Rate &amp; Vol Update'!$C$2,MAX(0,AZ106-AY106)*(AV106/360)*AX106,(((IF('Adjustment Surface'!$C$2='Data Validation'!$A$2,AZ106,IF('Adjustment Surface'!$C$2='Data Validation'!$A$3,AY106,"Unknown Option Type"))-IF('Adjustment Surface'!$C$2='Data Validation'!$A$2,AY106,IF('Adjustment Surface'!$C$2='Data Validation'!$A$3,AZ106,"Unknown Option Type")))*(NORMDIST((IF('Adjustment Surface'!$C$2='Data Validation'!$A$2,AZ106,IF('Adjustment Surface'!$C$2='Data Validation'!$A$3,AY106,"Unknown Option Type"))-IF('Adjustment Surface'!$C$2='Data Validation'!$A$2,AY106,IF('Adjustment Surface'!$C$2='Data Validation'!$A$3,AZ106,"Unknown Option Type")))/(BA106*SQRT(AW106)),0,1,TRUE)))+((BA106*SQRT(AW106))*(NORMDIST((IF('Adjustment Surface'!$C$2='Data Validation'!$A$2,AZ106,IF('Adjustment Surface'!$C$2='Data Validation'!$A$3,AY106,"Unknown Option Type"))-IF('Adjustment Surface'!$C$2='Data Validation'!$A$2,AY106,IF('Adjustment Surface'!$C$2='Data Validation'!$A$3,AZ106,"Unknown Option Type")))/(BA106*SQRT(AW106)),0,1,FALSE))))*BB106*(AV106/360)*AX106))</f>
        <v/>
      </c>
      <c r="BE106" s="15" t="str">
        <f>IF(AS106="","",SUM(BD$4:BD106))</f>
        <v/>
      </c>
      <c r="BG106" s="15" t="str">
        <f>IF(AS106="","",IF(AT106&lt;'Rate &amp; Vol Update'!$C$2,0,((((((IF('Adjustment Surface'!$C$2='Data Validation'!$A$2,AZ106,IF('Adjustment Surface'!$C$2='Data Validation'!$A$3,AY106,"Unknown Option Type"))-IF('Adjustment Surface'!$C$2='Data Validation'!$A$2,AY106,IF('Adjustment Surface'!$C$2='Data Validation'!$A$3,AZ106,"Unknown Option Type")))*(NORMDIST((IF('Adjustment Surface'!$C$2='Data Validation'!$A$2,AZ106,IF('Adjustment Surface'!$C$2='Data Validation'!$A$3,AY106,"Unknown Option Type"))-IF('Adjustment Surface'!$C$2='Data Validation'!$A$2,AY106,IF('Adjustment Surface'!$C$2='Data Validation'!$A$3,AZ106,"Unknown Option Type")))/((BA106+0.01%)*SQRT(AW106)),0,1,TRUE)))+(((BA106+0.01%)*SQRT(AW106))*(NORMDIST((IF('Adjustment Surface'!$C$2='Data Validation'!$A$2,AZ106,IF('Adjustment Surface'!$C$2='Data Validation'!$A$3,AY106,"Unknown Option Type"))-IF('Adjustment Surface'!$C$2='Data Validation'!$A$2,AY106,IF('Adjustment Surface'!$C$2='Data Validation'!$A$3,AZ106,"Unknown Option Type")))/((BA106+0.01%)*SQRT(AW106)),0,1,FALSE))))*BB106*(AV106/360))-(BD106/AX106))*AX106)*BB106))</f>
        <v/>
      </c>
      <c r="BH106" s="15" t="str">
        <f>IF(AS106="","",SUM(BG$4:BG106))</f>
        <v/>
      </c>
      <c r="BI106" s="15"/>
      <c r="BJ106" s="20"/>
      <c r="BL106" s="4" t="str">
        <f>IF(BM105=MAX('Adjustment Surface'!$C$14:$F$14),"",BM105)</f>
        <v/>
      </c>
      <c r="BM106" s="4" t="str">
        <f>IF(BL106="","",IF(BL106&lt;EDATE('Adjustment Surface'!$C$6,DATEDIF('Adjustment Surface'!$C$6,MAX('Adjustment Surface'!$C$14:$F$14),"M")),EDATE(BL$5,COUNT(BL$5:BL106)),IF(BL106=EDATE('Adjustment Surface'!$C$6,DATEDIF('Adjustment Surface'!$C$6,MAX('Adjustment Surface'!$C$14:$F$14),"M")),MAX('Adjustment Surface'!$C$14:$F$14),EDATE('Adjustment Surface'!$C$6,DATEDIF('Adjustment Surface'!$C$6,MAX('Adjustment Surface'!$C$14:$F$14),"M")))))</f>
        <v/>
      </c>
      <c r="BN106" s="3" t="str">
        <f t="shared" si="9"/>
        <v/>
      </c>
      <c r="BO106" s="5" t="str">
        <f>IF(BK106="","",(BM106-'Rate &amp; Vol Update'!$C$2)/360)</f>
        <v/>
      </c>
      <c r="BP106" s="15" t="str">
        <f>IF(BK106="","",IF('Adjustment Surface'!$C$3='Data Validation'!$C$2,'Adjustment Surface'!$C$4,_xlfn.IFNA(IF(INDEX(Schedules!$E$3:$E$123,MATCH('Bachelier Model'!BL106,Schedules!$B$3:$B$123,0))="",BP105,INDEX(Schedules!$E$3:$E$123,MATCH('Bachelier Model'!BL106,Schedules!$B$3:$B$123,0))),BP105)))</f>
        <v/>
      </c>
      <c r="BQ106" s="16" t="str">
        <f>IF(BK106="","",'Adjustment Surface'!B$17)</f>
        <v/>
      </c>
      <c r="BR106" s="16" t="str" cm="1">
        <f t="array" ref="BR106">IF(BK106="","",FORECAST(BL106,INDEX('Rate &amp; Vol Update'!$C$6:$C$127,MATCH(INDEX('Rate &amp; Vol Update'!$B$6:$B$127,MATCH(BL106,'Rate &amp; Vol Update'!$B$6:$B$127,1)),'Rate &amp; Vol Update'!$B$6:$B$127,0)+IF('Adjustment Surface'!$C$11='Data Validation'!$E$3,-1,0)):INDEX('Rate &amp; Vol Update'!$C$6:$C$127,MATCH(INDEX('Rate &amp; Vol Update'!$B$6:$B$127,MATCH(BL106,'Rate &amp; Vol Update'!$B$6:$B$127,1)+1),'Rate &amp; Vol Update'!$B$6:$B$127,0)+IF('Adjustment Surface'!$C$11='Data Validation'!$E$3,-1,0)),INDEX('Rate &amp; Vol Update'!$B$6:$B$127,MATCH(BL106,'Rate &amp; Vol Update'!$B$6:$B$127,1)):INDEX('Rate &amp; Vol Update'!$B$6:$B$127,MATCH(BL106,'Rate &amp; Vol Update'!$B$6:$B$127,1)+1))/100)</f>
        <v/>
      </c>
      <c r="BS106" s="16" t="str" cm="1">
        <f t="array" ref="BS106">IF(BK106="","",IF(BL106&lt;'Rate &amp; Vol Update'!$C$2,0.001%,(1/((INDEX('Rate &amp; Vol Update'!$E$6:$Z$6,1,MATCH(BQ106,'Rate &amp; Vol Update'!$E$6:$Z$6,1)+1)-INDEX('Rate &amp; Vol Update'!$E$6:$Z$6,1,MATCH(BQ106,'Rate &amp; Vol Update'!$E$6:$Z$6,1)))*(INDEX('Rate &amp; Vol Update'!$B$8:$B$127,MATCH(BL106,'Rate &amp; Vol Update'!$B$8:$B$127,1)+1)-INDEX('Rate &amp; Vol Update'!$B$8:$B$127,MATCH(BL106,'Rate &amp; Vol Update'!$B$8:$B$127,1))))*(INDEX('Rate &amp; Vol Update'!$E$8:$Z$127,MATCH(INDEX('Rate &amp; Vol Update'!$B$8:$B$127,MATCH(BL106,'Rate &amp; Vol Update'!$B$8:$B$127,1)),'Rate &amp; Vol Update'!$B$8:$B$127,0),MATCH(INDEX('Rate &amp; Vol Update'!$E$6:$Z$6,1,MATCH(BQ106,'Rate &amp; Vol Update'!$E$6:$Z$6,1)),'Rate &amp; Vol Update'!$E$6:$Z$6,0))*(INDEX('Rate &amp; Vol Update'!$E$6:$Z$6,1,MATCH(BQ106,'Rate &amp; Vol Update'!$E$6:$Z$6,1)+1)-BQ106)*(INDEX('Rate &amp; Vol Update'!$B$8:$B$127,MATCH(BL106,'Rate &amp; Vol Update'!$B$8:$B$127,1)+1)-BL106)+INDEX('Rate &amp; Vol Update'!$E$8:$Z$127,MATCH(INDEX('Rate &amp; Vol Update'!$B$8:$B$127,MATCH(BL106,'Rate &amp; Vol Update'!$B$8:$B$127,1)),'Rate &amp; Vol Update'!$B$8:$B$127,0),MATCH(INDEX('Rate &amp; Vol Update'!$E$6:$Z$6,1,MATCH(BQ106,'Rate &amp; Vol Update'!$E$6:$Z$6,1)+1),'Rate &amp; Vol Update'!$E$6:$Z$6,0))*(BQ106-INDEX('Rate &amp; Vol Update'!$E$6:$Z$6,1,MATCH(BQ106,'Rate &amp; Vol Update'!$E$6:$Z$6,1)))*(INDEX('Rate &amp; Vol Update'!$B$8:$B$127,MATCH(BL106,'Rate &amp; Vol Update'!$B$8:$B$127,1)+1)-BL106)+INDEX('Rate &amp; Vol Update'!$E$8:$Z$127,MATCH(INDEX('Rate &amp; Vol Update'!$B$8:$B$127,MATCH(BL106,'Rate &amp; Vol Update'!$B$8:$B$127,1)+1),'Rate &amp; Vol Update'!$B$8:$B$127,0),MATCH(INDEX('Rate &amp; Vol Update'!$E$6:$Z$6,1,MATCH(BQ106,'Rate &amp; Vol Update'!$E$6:$Z$6,1)),'Rate &amp; Vol Update'!$E$6:$Z$6,0))*(INDEX('Rate &amp; Vol Update'!$E$6:$Z$6,1,MATCH(BQ106,'Rate &amp; Vol Update'!$E$6:$Z$6,1)+1)-BQ106)*(BL106-INDEX('Rate &amp; Vol Update'!$B$8:$B$127,MATCH(BL106,'Rate &amp; Vol Update'!$B$8:$B$127,1)))+INDEX('Rate &amp; Vol Update'!$E$8:$Z$127,MATCH(INDEX('Rate &amp; Vol Update'!$B$8:$B$127,MATCH(BL106,'Rate &amp; Vol Update'!$B$8:$B$127,1)+1),'Rate &amp; Vol Update'!$B$8:$B$127,0),MATCH(INDEX('Rate &amp; Vol Update'!$E$6:$Z$6,1,MATCH(BQ106,'Rate &amp; Vol Update'!$E$6:$Z$6,1)+1),'Rate &amp; Vol Update'!$E$6:$Z$6,0))*(BQ106-INDEX('Rate &amp; Vol Update'!$E$6:$Z$6,1,MATCH(BQ106,'Rate &amp; Vol Update'!$E$6:$Z$6,1)))*(BL106-INDEX('Rate &amp; Vol Update'!$B$8:$B$127,MATCH(BL106,'Rate &amp; Vol Update'!$B$8:$B$127,1)))))*0.01%))</f>
        <v/>
      </c>
      <c r="BT106" s="5" t="str">
        <f>IF(BK106="","",1/((1+BR106)^((BM106-'Rate &amp; Vol Update'!$C$2)/360)))</f>
        <v/>
      </c>
      <c r="BV106" s="15" t="str">
        <f>IF(BK106="","",IF(BL106&lt;'Rate &amp; Vol Update'!$C$2,MAX(0,BR106-BQ106)*(BN106/360)*BP106,(((IF('Adjustment Surface'!$C$2='Data Validation'!$A$2,BR106,IF('Adjustment Surface'!$C$2='Data Validation'!$A$3,BQ106,"Unknown Option Type"))-IF('Adjustment Surface'!$C$2='Data Validation'!$A$2,BQ106,IF('Adjustment Surface'!$C$2='Data Validation'!$A$3,BR106,"Unknown Option Type")))*(NORMDIST((IF('Adjustment Surface'!$C$2='Data Validation'!$A$2,BR106,IF('Adjustment Surface'!$C$2='Data Validation'!$A$3,BQ106,"Unknown Option Type"))-IF('Adjustment Surface'!$C$2='Data Validation'!$A$2,BQ106,IF('Adjustment Surface'!$C$2='Data Validation'!$A$3,BR106,"Unknown Option Type")))/(BS106*SQRT(BO106)),0,1,TRUE)))+((BS106*SQRT(BO106))*(NORMDIST((IF('Adjustment Surface'!$C$2='Data Validation'!$A$2,BR106,IF('Adjustment Surface'!$C$2='Data Validation'!$A$3,BQ106,"Unknown Option Type"))-IF('Adjustment Surface'!$C$2='Data Validation'!$A$2,BQ106,IF('Adjustment Surface'!$C$2='Data Validation'!$A$3,BR106,"Unknown Option Type")))/(BS106*SQRT(BO106)),0,1,FALSE))))*BT106*(BN106/360)*BP106))</f>
        <v/>
      </c>
      <c r="BW106" s="15" t="str">
        <f>IF(BK106="","",SUM(BV$4:BV106))</f>
        <v/>
      </c>
      <c r="BY106" s="15" t="str">
        <f>IF(BK106="","",IF(BL106&lt;'Rate &amp; Vol Update'!$C$2,0,((((((IF('Adjustment Surface'!$C$2='Data Validation'!$A$2,BR106,IF('Adjustment Surface'!$C$2='Data Validation'!$A$3,BQ106,"Unknown Option Type"))-IF('Adjustment Surface'!$C$2='Data Validation'!$A$2,BQ106,IF('Adjustment Surface'!$C$2='Data Validation'!$A$3,BR106,"Unknown Option Type")))*(NORMDIST((IF('Adjustment Surface'!$C$2='Data Validation'!$A$2,BR106,IF('Adjustment Surface'!$C$2='Data Validation'!$A$3,BQ106,"Unknown Option Type"))-IF('Adjustment Surface'!$C$2='Data Validation'!$A$2,BQ106,IF('Adjustment Surface'!$C$2='Data Validation'!$A$3,BR106,"Unknown Option Type")))/((BS106+0.01%)*SQRT(BO106)),0,1,TRUE)))+(((BS106+0.01%)*SQRT(BO106))*(NORMDIST((IF('Adjustment Surface'!$C$2='Data Validation'!$A$2,BR106,IF('Adjustment Surface'!$C$2='Data Validation'!$A$3,BQ106,"Unknown Option Type"))-IF('Adjustment Surface'!$C$2='Data Validation'!$A$2,BQ106,IF('Adjustment Surface'!$C$2='Data Validation'!$A$3,BR106,"Unknown Option Type")))/((BS106+0.01%)*SQRT(BO106)),0,1,FALSE))))*BT106*(BN106/360))-(BV106/BP106))*BP106)*BT106))</f>
        <v/>
      </c>
      <c r="BZ106" s="15" t="str">
        <f>IF(BK106="","",SUM(BY$4:BY106))</f>
        <v/>
      </c>
      <c r="CA106" s="15"/>
      <c r="CB106" s="20"/>
      <c r="CD106" s="4" t="str">
        <f>IF(CE105=MAX('Adjustment Surface'!$C$14:$F$14),"",CE105)</f>
        <v/>
      </c>
      <c r="CE106" s="4" t="str">
        <f>IF(CD106="","",IF(CD106&lt;EDATE('Adjustment Surface'!$C$6,DATEDIF('Adjustment Surface'!$C$6,MAX('Adjustment Surface'!$C$14:$F$14),"M")),EDATE(CD$5,COUNT(CD$5:CD106)),IF(CD106=EDATE('Adjustment Surface'!$C$6,DATEDIF('Adjustment Surface'!$C$6,MAX('Adjustment Surface'!$C$14:$F$14),"M")),MAX('Adjustment Surface'!$C$14:$F$14),EDATE('Adjustment Surface'!$C$6,DATEDIF('Adjustment Surface'!$C$6,MAX('Adjustment Surface'!$C$14:$F$14),"M")))))</f>
        <v/>
      </c>
      <c r="CF106" s="3" t="str">
        <f t="shared" si="10"/>
        <v/>
      </c>
      <c r="CG106" s="5" t="str">
        <f>IF(CC106="","",(CE106-'Rate &amp; Vol Update'!$C$2)/360)</f>
        <v/>
      </c>
      <c r="CH106" s="15" t="str">
        <f>IF(CC106="","",IF('Adjustment Surface'!$C$3='Data Validation'!$C$2,'Adjustment Surface'!$C$4,_xlfn.IFNA(IF(INDEX(Schedules!$E$3:$E$123,MATCH('Bachelier Model'!CD106,Schedules!$B$3:$B$123,0))="",CH105,INDEX(Schedules!$E$3:$E$123,MATCH('Bachelier Model'!CD106,Schedules!$B$3:$B$123,0))),CH105)))</f>
        <v/>
      </c>
      <c r="CI106" s="16" t="str">
        <f>IF(CC106="","",'Adjustment Surface'!B$18)</f>
        <v/>
      </c>
      <c r="CJ106" s="16" t="str" cm="1">
        <f t="array" ref="CJ106">IF(CC106="","",FORECAST(CD106,INDEX('Rate &amp; Vol Update'!$C$6:$C$127,MATCH(INDEX('Rate &amp; Vol Update'!$B$6:$B$127,MATCH(CD106,'Rate &amp; Vol Update'!$B$6:$B$127,1)),'Rate &amp; Vol Update'!$B$6:$B$127,0)+IF('Adjustment Surface'!$C$11='Data Validation'!$E$3,-1,0)):INDEX('Rate &amp; Vol Update'!$C$6:$C$127,MATCH(INDEX('Rate &amp; Vol Update'!$B$6:$B$127,MATCH(CD106,'Rate &amp; Vol Update'!$B$6:$B$127,1)+1),'Rate &amp; Vol Update'!$B$6:$B$127,0)+IF('Adjustment Surface'!$C$11='Data Validation'!$E$3,-1,0)),INDEX('Rate &amp; Vol Update'!$B$6:$B$127,MATCH(CD106,'Rate &amp; Vol Update'!$B$6:$B$127,1)):INDEX('Rate &amp; Vol Update'!$B$6:$B$127,MATCH(CD106,'Rate &amp; Vol Update'!$B$6:$B$127,1)+1))/100)</f>
        <v/>
      </c>
      <c r="CK106" s="16" t="str" cm="1">
        <f t="array" ref="CK106">IF(CC106="","",IF(CD106&lt;'Rate &amp; Vol Update'!$C$2,0.001%,(1/((INDEX('Rate &amp; Vol Update'!$E$6:$Z$6,1,MATCH(CI106,'Rate &amp; Vol Update'!$E$6:$Z$6,1)+1)-INDEX('Rate &amp; Vol Update'!$E$6:$Z$6,1,MATCH(CI106,'Rate &amp; Vol Update'!$E$6:$Z$6,1)))*(INDEX('Rate &amp; Vol Update'!$B$8:$B$127,MATCH(CD106,'Rate &amp; Vol Update'!$B$8:$B$127,1)+1)-INDEX('Rate &amp; Vol Update'!$B$8:$B$127,MATCH(CD106,'Rate &amp; Vol Update'!$B$8:$B$127,1))))*(INDEX('Rate &amp; Vol Update'!$E$8:$Z$127,MATCH(INDEX('Rate &amp; Vol Update'!$B$8:$B$127,MATCH(CD106,'Rate &amp; Vol Update'!$B$8:$B$127,1)),'Rate &amp; Vol Update'!$B$8:$B$127,0),MATCH(INDEX('Rate &amp; Vol Update'!$E$6:$Z$6,1,MATCH(CI106,'Rate &amp; Vol Update'!$E$6:$Z$6,1)),'Rate &amp; Vol Update'!$E$6:$Z$6,0))*(INDEX('Rate &amp; Vol Update'!$E$6:$Z$6,1,MATCH(CI106,'Rate &amp; Vol Update'!$E$6:$Z$6,1)+1)-CI106)*(INDEX('Rate &amp; Vol Update'!$B$8:$B$127,MATCH(CD106,'Rate &amp; Vol Update'!$B$8:$B$127,1)+1)-CD106)+INDEX('Rate &amp; Vol Update'!$E$8:$Z$127,MATCH(INDEX('Rate &amp; Vol Update'!$B$8:$B$127,MATCH(CD106,'Rate &amp; Vol Update'!$B$8:$B$127,1)),'Rate &amp; Vol Update'!$B$8:$B$127,0),MATCH(INDEX('Rate &amp; Vol Update'!$E$6:$Z$6,1,MATCH(CI106,'Rate &amp; Vol Update'!$E$6:$Z$6,1)+1),'Rate &amp; Vol Update'!$E$6:$Z$6,0))*(CI106-INDEX('Rate &amp; Vol Update'!$E$6:$Z$6,1,MATCH(CI106,'Rate &amp; Vol Update'!$E$6:$Z$6,1)))*(INDEX('Rate &amp; Vol Update'!$B$8:$B$127,MATCH(CD106,'Rate &amp; Vol Update'!$B$8:$B$127,1)+1)-CD106)+INDEX('Rate &amp; Vol Update'!$E$8:$Z$127,MATCH(INDEX('Rate &amp; Vol Update'!$B$8:$B$127,MATCH(CD106,'Rate &amp; Vol Update'!$B$8:$B$127,1)+1),'Rate &amp; Vol Update'!$B$8:$B$127,0),MATCH(INDEX('Rate &amp; Vol Update'!$E$6:$Z$6,1,MATCH(CI106,'Rate &amp; Vol Update'!$E$6:$Z$6,1)),'Rate &amp; Vol Update'!$E$6:$Z$6,0))*(INDEX('Rate &amp; Vol Update'!$E$6:$Z$6,1,MATCH(CI106,'Rate &amp; Vol Update'!$E$6:$Z$6,1)+1)-CI106)*(CD106-INDEX('Rate &amp; Vol Update'!$B$8:$B$127,MATCH(CD106,'Rate &amp; Vol Update'!$B$8:$B$127,1)))+INDEX('Rate &amp; Vol Update'!$E$8:$Z$127,MATCH(INDEX('Rate &amp; Vol Update'!$B$8:$B$127,MATCH(CD106,'Rate &amp; Vol Update'!$B$8:$B$127,1)+1),'Rate &amp; Vol Update'!$B$8:$B$127,0),MATCH(INDEX('Rate &amp; Vol Update'!$E$6:$Z$6,1,MATCH(CI106,'Rate &amp; Vol Update'!$E$6:$Z$6,1)+1),'Rate &amp; Vol Update'!$E$6:$Z$6,0))*(CI106-INDEX('Rate &amp; Vol Update'!$E$6:$Z$6,1,MATCH(CI106,'Rate &amp; Vol Update'!$E$6:$Z$6,1)))*(CD106-INDEX('Rate &amp; Vol Update'!$B$8:$B$127,MATCH(CD106,'Rate &amp; Vol Update'!$B$8:$B$127,1)))))*0.01%))</f>
        <v/>
      </c>
      <c r="CL106" s="5" t="str">
        <f>IF(CC106="","",1/((1+CJ106)^((CE106-'Rate &amp; Vol Update'!$C$2)/360)))</f>
        <v/>
      </c>
      <c r="CN106" s="15" t="str">
        <f>IF(CC106="","",IF(CD106&lt;'Rate &amp; Vol Update'!$C$2,MAX(0,CJ106-CI106)*(CF106/360)*CH106,(((IF('Adjustment Surface'!$C$2='Data Validation'!$A$2,CJ106,IF('Adjustment Surface'!$C$2='Data Validation'!$A$3,CI106,"Unknown Option Type"))-IF('Adjustment Surface'!$C$2='Data Validation'!$A$2,CI106,IF('Adjustment Surface'!$C$2='Data Validation'!$A$3,CJ106,"Unknown Option Type")))*(NORMDIST((IF('Adjustment Surface'!$C$2='Data Validation'!$A$2,CJ106,IF('Adjustment Surface'!$C$2='Data Validation'!$A$3,CI106,"Unknown Option Type"))-IF('Adjustment Surface'!$C$2='Data Validation'!$A$2,CI106,IF('Adjustment Surface'!$C$2='Data Validation'!$A$3,CJ106,"Unknown Option Type")))/(CK106*SQRT(CG106)),0,1,TRUE)))+((CK106*SQRT(CG106))*(NORMDIST((IF('Adjustment Surface'!$C$2='Data Validation'!$A$2,CJ106,IF('Adjustment Surface'!$C$2='Data Validation'!$A$3,CI106,"Unknown Option Type"))-IF('Adjustment Surface'!$C$2='Data Validation'!$A$2,CI106,IF('Adjustment Surface'!$C$2='Data Validation'!$A$3,CJ106,"Unknown Option Type")))/(CK106*SQRT(CG106)),0,1,FALSE))))*CL106*(CF106/360)*CH106))</f>
        <v/>
      </c>
      <c r="CO106" s="15" t="str">
        <f>IF(CC106="","",SUM(CN$4:CN106))</f>
        <v/>
      </c>
      <c r="CQ106" s="15" t="str">
        <f>IF(CC106="","",IF(CD106&lt;'Rate &amp; Vol Update'!$C$2,0,((((((IF('Adjustment Surface'!$C$2='Data Validation'!$A$2,CJ106,IF('Adjustment Surface'!$C$2='Data Validation'!$A$3,CI106,"Unknown Option Type"))-IF('Adjustment Surface'!$C$2='Data Validation'!$A$2,CI106,IF('Adjustment Surface'!$C$2='Data Validation'!$A$3,CJ106,"Unknown Option Type")))*(NORMDIST((IF('Adjustment Surface'!$C$2='Data Validation'!$A$2,CJ106,IF('Adjustment Surface'!$C$2='Data Validation'!$A$3,CI106,"Unknown Option Type"))-IF('Adjustment Surface'!$C$2='Data Validation'!$A$2,CI106,IF('Adjustment Surface'!$C$2='Data Validation'!$A$3,CJ106,"Unknown Option Type")))/((CK106+0.01%)*SQRT(CG106)),0,1,TRUE)))+(((CK106+0.01%)*SQRT(CG106))*(NORMDIST((IF('Adjustment Surface'!$C$2='Data Validation'!$A$2,CJ106,IF('Adjustment Surface'!$C$2='Data Validation'!$A$3,CI106,"Unknown Option Type"))-IF('Adjustment Surface'!$C$2='Data Validation'!$A$2,CI106,IF('Adjustment Surface'!$C$2='Data Validation'!$A$3,CJ106,"Unknown Option Type")))/((CK106+0.01%)*SQRT(CG106)),0,1,FALSE))))*CL106*(CF106/360))-(CN106/CH106))*CH106)*CL106))</f>
        <v/>
      </c>
      <c r="CR106" s="15" t="str">
        <f>IF(CC106="","",SUM(CQ$4:CQ106))</f>
        <v/>
      </c>
    </row>
    <row r="107" spans="7:96" x14ac:dyDescent="0.25">
      <c r="G107" s="28"/>
      <c r="J107" s="4" t="str">
        <f>IF(K106='Adjustment Surface'!C$8,"",K106)</f>
        <v/>
      </c>
      <c r="K107" s="4" t="str">
        <f>IF(J107="","",IF(J107&lt;'Adjustment Surface'!C$7,EDATE(J$5,COUNT(J$5:J107)),IF(J107='Adjustment Surface'!C$7,'Adjustment Surface'!C$8,'Adjustment Surface'!C$7)))</f>
        <v/>
      </c>
      <c r="L107" s="3" t="str">
        <f t="shared" si="6"/>
        <v/>
      </c>
      <c r="M107" s="5" t="str">
        <f>IF(I107="","",(K107-'Rate &amp; Vol Update'!$C$2)/360)</f>
        <v/>
      </c>
      <c r="N107" s="15" t="str">
        <f>IF(I107="","",IF('Adjustment Surface'!C$3='Data Validation'!$C$2,'Adjustment Surface'!C$4,IF(INDEX(Schedules!$E$3:$E$123,MATCH('Bachelier Model'!J107,Schedules!$B$3:$B$123,0))="",N106,INDEX(Schedules!$E$3:$E$123,MATCH('Bachelier Model'!J107,Schedules!$B$3:$B$123,0)))))</f>
        <v/>
      </c>
      <c r="O107" s="16" t="str">
        <f>IF(I107="","",IF('Adjustment Surface'!C$9='Data Validation'!$D$2,'Adjustment Surface'!C$10,IF(INDEX(Schedules!$H$3:$H$123,MATCH('Bachelier Model'!J107,Schedules!$B$3:$B$123,0))="",O106,INDEX(Schedules!$H$3:$H$123,MATCH('Bachelier Model'!J107,Schedules!$B$3:$B$123,0)))))</f>
        <v/>
      </c>
      <c r="P107" s="16" t="str" cm="1">
        <f t="array" ref="P107">IF(I107="","",FORECAST(J107,INDEX('Rate &amp; Vol Update'!$C$6:$C$127,MATCH(INDEX('Rate &amp; Vol Update'!$B$6:$B$127,MATCH(J107,'Rate &amp; Vol Update'!$B$6:$B$127,1)),'Rate &amp; Vol Update'!$B$6:$B$127,0)+IF('Adjustment Surface'!C$11='Data Validation'!$E$3,-1,0)):INDEX('Rate &amp; Vol Update'!$C$6:$C$127,MATCH(INDEX('Rate &amp; Vol Update'!$B$6:$B$127,MATCH(J107,'Rate &amp; Vol Update'!$B$6:$B$127,1)+1),'Rate &amp; Vol Update'!$B$6:$B$127,0)+IF('Adjustment Surface'!C$11='Data Validation'!$E$3,-1,0)),INDEX('Rate &amp; Vol Update'!$B$6:$B$127,MATCH(J107,'Rate &amp; Vol Update'!$B$6:$B$127,1)):INDEX('Rate &amp; Vol Update'!$B$6:$B$127,MATCH(J107,'Rate &amp; Vol Update'!$B$6:$B$127,1)+1))/100)</f>
        <v/>
      </c>
      <c r="Q107" s="16" t="str" cm="1">
        <f t="array" ref="Q107">IF(I107="","",IF(J107&lt;'Rate &amp; Vol Update'!$C$2,0.001%,(1/((INDEX('Rate &amp; Vol Update'!$E$6:$Z$6,1,MATCH(O107,'Rate &amp; Vol Update'!$E$6:$Z$6,1)+1)-INDEX('Rate &amp; Vol Update'!$E$6:$Z$6,1,MATCH(O107,'Rate &amp; Vol Update'!$E$6:$Z$6,1)))*(INDEX('Rate &amp; Vol Update'!$B$8:$B$127,MATCH(J107,'Rate &amp; Vol Update'!$B$8:$B$127,1)+1)-INDEX('Rate &amp; Vol Update'!$B$8:$B$127,MATCH(J107,'Rate &amp; Vol Update'!$B$8:$B$127,1))))*(INDEX('Rate &amp; Vol Update'!$E$8:$Z$127,MATCH(INDEX('Rate &amp; Vol Update'!$B$8:$B$127,MATCH(J107,'Rate &amp; Vol Update'!$B$8:$B$127,1)),'Rate &amp; Vol Update'!$B$8:$B$127,0),MATCH(INDEX('Rate &amp; Vol Update'!$E$6:$Z$6,1,MATCH(O107,'Rate &amp; Vol Update'!$E$6:$Z$6,1)),'Rate &amp; Vol Update'!$E$6:$Z$6,0))*(INDEX('Rate &amp; Vol Update'!$E$6:$Z$6,1,MATCH(O107,'Rate &amp; Vol Update'!$E$6:$Z$6,1)+1)-O107)*(INDEX('Rate &amp; Vol Update'!$B$8:$B$127,MATCH(J107,'Rate &amp; Vol Update'!$B$8:$B$127,1)+1)-J107)+INDEX('Rate &amp; Vol Update'!$E$8:$Z$127,MATCH(INDEX('Rate &amp; Vol Update'!$B$8:$B$127,MATCH(J107,'Rate &amp; Vol Update'!$B$8:$B$127,1)),'Rate &amp; Vol Update'!$B$8:$B$127,0),MATCH(INDEX('Rate &amp; Vol Update'!$E$6:$Z$6,1,MATCH(O107,'Rate &amp; Vol Update'!$E$6:$Z$6,1)+1),'Rate &amp; Vol Update'!$E$6:$Z$6,0))*(O107-INDEX('Rate &amp; Vol Update'!$E$6:$Z$6,1,MATCH(O107,'Rate &amp; Vol Update'!$E$6:$Z$6,1)))*(INDEX('Rate &amp; Vol Update'!$B$8:$B$127,MATCH(J107,'Rate &amp; Vol Update'!$B$8:$B$127,1)+1)-J107)+INDEX('Rate &amp; Vol Update'!$E$8:$Z$127,MATCH(INDEX('Rate &amp; Vol Update'!$B$8:$B$127,MATCH(J107,'Rate &amp; Vol Update'!$B$8:$B$127,1)+1),'Rate &amp; Vol Update'!$B$8:$B$127,0),MATCH(INDEX('Rate &amp; Vol Update'!$E$6:$Z$6,1,MATCH(O107,'Rate &amp; Vol Update'!$E$6:$Z$6,1)),'Rate &amp; Vol Update'!$E$6:$Z$6,0))*(INDEX('Rate &amp; Vol Update'!$E$6:$Z$6,1,MATCH(O107,'Rate &amp; Vol Update'!$E$6:$Z$6,1)+1)-O107)*(J107-INDEX('Rate &amp; Vol Update'!$B$8:$B$127,MATCH(J107,'Rate &amp; Vol Update'!$B$8:$B$127,1)))+INDEX('Rate &amp; Vol Update'!$E$8:$Z$127,MATCH(INDEX('Rate &amp; Vol Update'!$B$8:$B$127,MATCH(J107,'Rate &amp; Vol Update'!$B$8:$B$127,1)+1),'Rate &amp; Vol Update'!$B$8:$B$127,0),MATCH(INDEX('Rate &amp; Vol Update'!$E$6:$Z$6,1,MATCH(O107,'Rate &amp; Vol Update'!$E$6:$Z$6,1)+1),'Rate &amp; Vol Update'!$E$6:$Z$6,0))*(O107-INDEX('Rate &amp; Vol Update'!$E$6:$Z$6,1,MATCH(O107,'Rate &amp; Vol Update'!$E$6:$Z$6,1)))*(J107-INDEX('Rate &amp; Vol Update'!$B$8:$B$127,MATCH(J107,'Rate &amp; Vol Update'!$B$8:$B$127,1)))))*0.01%))</f>
        <v/>
      </c>
      <c r="R107" s="5" t="str">
        <f>IF(I107="","",1/((1+P107)^((K107-'Rate &amp; Vol Update'!$C$2)/360)))</f>
        <v/>
      </c>
      <c r="T107" s="15" t="str">
        <f>IF(I107="","",IF(J107&lt;'Rate &amp; Vol Update'!$C$2,MAX(0,P107-O107)*(L107/360)*N107,(((IF('Adjustment Surface'!C$2='Data Validation'!$A$2,P107,IF('Adjustment Surface'!C$2='Data Validation'!$A$3,O107,"Unknown Option Type"))-IF('Adjustment Surface'!C$2='Data Validation'!$A$2,O107,IF('Adjustment Surface'!C$2='Data Validation'!$A$3,P107,"Unknown Option Type")))*(NORMDIST((IF('Adjustment Surface'!C$2='Data Validation'!$A$2,P107,IF('Adjustment Surface'!C$2='Data Validation'!$A$3,O107,"Unknown Option Type"))-IF('Adjustment Surface'!C$2='Data Validation'!$A$2,O107,IF('Adjustment Surface'!C$2='Data Validation'!$A$3,P107,"Unknown Option Type")))/(Q107*SQRT(M107)),0,1,TRUE)))+((Q107*SQRT(M107))*(NORMDIST((IF('Adjustment Surface'!C$2='Data Validation'!$A$2,P107,IF('Adjustment Surface'!C$2='Data Validation'!$A$3,O107,"Unknown Option Type"))-IF('Adjustment Surface'!C$2='Data Validation'!$A$2,O107,IF('Adjustment Surface'!C$2='Data Validation'!$A$3,P107,"Unknown Option Type")))/(Q107*SQRT(M107)),0,1,FALSE))))*R107*(L107/360)*N107))</f>
        <v/>
      </c>
      <c r="U107" s="15" t="str">
        <f>IF(I107="","",SUM(T$4:T107))</f>
        <v/>
      </c>
      <c r="W107" s="15" t="str">
        <f>IF(I107="","",IF(J107&lt;'Rate &amp; Vol Update'!$C$2,0,((((((IF('Adjustment Surface'!C$2='Data Validation'!$A$2,P107,IF('Adjustment Surface'!C$2='Data Validation'!$A$3,O107,"Unknown Option Type"))-IF('Adjustment Surface'!C$2='Data Validation'!$A$2,O107,IF('Adjustment Surface'!C$2='Data Validation'!$A$3,P107,"Unknown Option Type")))*(NORMDIST((IF('Adjustment Surface'!C$2='Data Validation'!$A$2,P107,IF('Adjustment Surface'!C$2='Data Validation'!$A$3,O107,"Unknown Option Type"))-IF('Adjustment Surface'!C$2='Data Validation'!$A$2,O107,IF('Adjustment Surface'!C$2='Data Validation'!$A$3,P107,"Unknown Option Type")))/((Q107+0.01%)*SQRT(M107)),0,1,TRUE)))+(((Q107+0.01%)*SQRT(M107))*(NORMDIST((IF('Adjustment Surface'!C$2='Data Validation'!$A$2,P107,IF('Adjustment Surface'!C$2='Data Validation'!$A$3,O107,"Unknown Option Type"))-IF('Adjustment Surface'!C$2='Data Validation'!$A$2,O107,IF('Adjustment Surface'!C$2='Data Validation'!$A$3,P107,"Unknown Option Type")))/((Q107+0.01%)*SQRT(M107)),0,1,FALSE))))*R107*(L107/360))-(T107/N107))*N107)*R107))</f>
        <v/>
      </c>
      <c r="X107" s="15" t="str">
        <f>IF(I107="","",SUM(W$4:W107))</f>
        <v/>
      </c>
      <c r="Y107" s="15"/>
      <c r="Z107" s="20"/>
      <c r="AB107" s="4" t="str">
        <f>IF(AC106=MAX('Adjustment Surface'!$C$14:$F$14),"",AC106)</f>
        <v/>
      </c>
      <c r="AC107" s="4" t="str">
        <f>IF(AB107="","",IF(AB107&lt;EDATE('Adjustment Surface'!$C$6,DATEDIF('Adjustment Surface'!$C$6,MAX('Adjustment Surface'!$C$14:$F$14),"M")),EDATE(AB$5,COUNT(AB$5:AB107)),IF(AB107=EDATE('Adjustment Surface'!$C$6,DATEDIF('Adjustment Surface'!$C$6,MAX('Adjustment Surface'!$C$14:$F$14),"M")),MAX('Adjustment Surface'!$C$14:$F$14),EDATE('Adjustment Surface'!$C$6,DATEDIF('Adjustment Surface'!$C$6,MAX('Adjustment Surface'!$C$14:$F$14),"M")))))</f>
        <v/>
      </c>
      <c r="AD107" s="3" t="str">
        <f t="shared" si="7"/>
        <v/>
      </c>
      <c r="AE107" s="5" t="str">
        <f>IF(AA107="","",(AC107-'Rate &amp; Vol Update'!$C$2)/360)</f>
        <v/>
      </c>
      <c r="AF107" s="15" t="str">
        <f>IF(AA107="","",IF('Adjustment Surface'!$C$3='Data Validation'!$C$2,'Adjustment Surface'!$C$4,_xlfn.IFNA(IF(INDEX(Schedules!$E$3:$E$123,MATCH('Bachelier Model'!AB107,Schedules!$B$3:$B$123,0))="",AF106,INDEX(Schedules!$E$3:$E$123,MATCH('Bachelier Model'!AB107,Schedules!$B$3:$B$123,0))),AF106)))</f>
        <v/>
      </c>
      <c r="AG107" s="16" t="str">
        <f>IF(AA107="","",'Adjustment Surface'!B$15)</f>
        <v/>
      </c>
      <c r="AH107" s="16" t="str" cm="1">
        <f t="array" ref="AH107">IF(AA107="","",FORECAST(AB107,INDEX('Rate &amp; Vol Update'!$C$6:$C$127,MATCH(INDEX('Rate &amp; Vol Update'!$B$6:$B$127,MATCH(AB107,'Rate &amp; Vol Update'!$B$6:$B$127,1)),'Rate &amp; Vol Update'!$B$6:$B$127,0)+IF('Adjustment Surface'!$C$11='Data Validation'!$E$3,-1,0)):INDEX('Rate &amp; Vol Update'!$C$6:$C$127,MATCH(INDEX('Rate &amp; Vol Update'!$B$6:$B$127,MATCH(AB107,'Rate &amp; Vol Update'!$B$6:$B$127,1)+1),'Rate &amp; Vol Update'!$B$6:$B$127,0)+IF('Adjustment Surface'!$C$11='Data Validation'!$E$3,-1,0)),INDEX('Rate &amp; Vol Update'!$B$6:$B$127,MATCH(AB107,'Rate &amp; Vol Update'!$B$6:$B$127,1)):INDEX('Rate &amp; Vol Update'!$B$6:$B$127,MATCH(AB107,'Rate &amp; Vol Update'!$B$6:$B$127,1)+1))/100)</f>
        <v/>
      </c>
      <c r="AI107" s="16" t="str" cm="1">
        <f t="array" ref="AI107">IF(AA107="","",IF(AB107&lt;'Rate &amp; Vol Update'!$C$2,0.001%,(1/((INDEX('Rate &amp; Vol Update'!$E$6:$Z$6,1,MATCH(AG107,'Rate &amp; Vol Update'!$E$6:$Z$6,1)+1)-INDEX('Rate &amp; Vol Update'!$E$6:$Z$6,1,MATCH(AG107,'Rate &amp; Vol Update'!$E$6:$Z$6,1)))*(INDEX('Rate &amp; Vol Update'!$B$8:$B$127,MATCH(AB107,'Rate &amp; Vol Update'!$B$8:$B$127,1)+1)-INDEX('Rate &amp; Vol Update'!$B$8:$B$127,MATCH(AB107,'Rate &amp; Vol Update'!$B$8:$B$127,1))))*(INDEX('Rate &amp; Vol Update'!$E$8:$Z$127,MATCH(INDEX('Rate &amp; Vol Update'!$B$8:$B$127,MATCH(AB107,'Rate &amp; Vol Update'!$B$8:$B$127,1)),'Rate &amp; Vol Update'!$B$8:$B$127,0),MATCH(INDEX('Rate &amp; Vol Update'!$E$6:$Z$6,1,MATCH(AG107,'Rate &amp; Vol Update'!$E$6:$Z$6,1)),'Rate &amp; Vol Update'!$E$6:$Z$6,0))*(INDEX('Rate &amp; Vol Update'!$E$6:$Z$6,1,MATCH(AG107,'Rate &amp; Vol Update'!$E$6:$Z$6,1)+1)-AG107)*(INDEX('Rate &amp; Vol Update'!$B$8:$B$127,MATCH(AB107,'Rate &amp; Vol Update'!$B$8:$B$127,1)+1)-AB107)+INDEX('Rate &amp; Vol Update'!$E$8:$Z$127,MATCH(INDEX('Rate &amp; Vol Update'!$B$8:$B$127,MATCH(AB107,'Rate &amp; Vol Update'!$B$8:$B$127,1)),'Rate &amp; Vol Update'!$B$8:$B$127,0),MATCH(INDEX('Rate &amp; Vol Update'!$E$6:$Z$6,1,MATCH(AG107,'Rate &amp; Vol Update'!$E$6:$Z$6,1)+1),'Rate &amp; Vol Update'!$E$6:$Z$6,0))*(AG107-INDEX('Rate &amp; Vol Update'!$E$6:$Z$6,1,MATCH(AG107,'Rate &amp; Vol Update'!$E$6:$Z$6,1)))*(INDEX('Rate &amp; Vol Update'!$B$8:$B$127,MATCH(AB107,'Rate &amp; Vol Update'!$B$8:$B$127,1)+1)-AB107)+INDEX('Rate &amp; Vol Update'!$E$8:$Z$127,MATCH(INDEX('Rate &amp; Vol Update'!$B$8:$B$127,MATCH(AB107,'Rate &amp; Vol Update'!$B$8:$B$127,1)+1),'Rate &amp; Vol Update'!$B$8:$B$127,0),MATCH(INDEX('Rate &amp; Vol Update'!$E$6:$Z$6,1,MATCH(AG107,'Rate &amp; Vol Update'!$E$6:$Z$6,1)),'Rate &amp; Vol Update'!$E$6:$Z$6,0))*(INDEX('Rate &amp; Vol Update'!$E$6:$Z$6,1,MATCH(AG107,'Rate &amp; Vol Update'!$E$6:$Z$6,1)+1)-AG107)*(AB107-INDEX('Rate &amp; Vol Update'!$B$8:$B$127,MATCH(AB107,'Rate &amp; Vol Update'!$B$8:$B$127,1)))+INDEX('Rate &amp; Vol Update'!$E$8:$Z$127,MATCH(INDEX('Rate &amp; Vol Update'!$B$8:$B$127,MATCH(AB107,'Rate &amp; Vol Update'!$B$8:$B$127,1)+1),'Rate &amp; Vol Update'!$B$8:$B$127,0),MATCH(INDEX('Rate &amp; Vol Update'!$E$6:$Z$6,1,MATCH(AG107,'Rate &amp; Vol Update'!$E$6:$Z$6,1)+1),'Rate &amp; Vol Update'!$E$6:$Z$6,0))*(AG107-INDEX('Rate &amp; Vol Update'!$E$6:$Z$6,1,MATCH(AG107,'Rate &amp; Vol Update'!$E$6:$Z$6,1)))*(AB107-INDEX('Rate &amp; Vol Update'!$B$8:$B$127,MATCH(AB107,'Rate &amp; Vol Update'!$B$8:$B$127,1)))))*0.01%))</f>
        <v/>
      </c>
      <c r="AJ107" s="5" t="str">
        <f>IF(AA107="","",1/((1+AH107)^((AC107-'Rate &amp; Vol Update'!$C$2)/360)))</f>
        <v/>
      </c>
      <c r="AL107" s="15" t="str">
        <f>IF(AA107="","",IF(AB107&lt;'Rate &amp; Vol Update'!$C$2,MAX(0,AH107-AG107)*(AD107/360)*AF107,(((IF('Adjustment Surface'!$C$2='Data Validation'!$A$2,AH107,IF('Adjustment Surface'!$C$2='Data Validation'!$A$3,AG107,"Unknown Option Type"))-IF('Adjustment Surface'!$C$2='Data Validation'!$A$2,AG107,IF('Adjustment Surface'!$C$2='Data Validation'!$A$3,AH107,"Unknown Option Type")))*(NORMDIST((IF('Adjustment Surface'!$C$2='Data Validation'!$A$2,AH107,IF('Adjustment Surface'!$C$2='Data Validation'!$A$3,AG107,"Unknown Option Type"))-IF('Adjustment Surface'!$C$2='Data Validation'!$A$2,AG107,IF('Adjustment Surface'!$C$2='Data Validation'!$A$3,AH107,"Unknown Option Type")))/(AI107*SQRT(AE107)),0,1,TRUE)))+((AI107*SQRT(AE107))*(NORMDIST((IF('Adjustment Surface'!$C$2='Data Validation'!$A$2,AH107,IF('Adjustment Surface'!$C$2='Data Validation'!$A$3,AG107,"Unknown Option Type"))-IF('Adjustment Surface'!$C$2='Data Validation'!$A$2,AG107,IF('Adjustment Surface'!$C$2='Data Validation'!$A$3,AH107,"Unknown Option Type")))/(AI107*SQRT(AE107)),0,1,FALSE))))*AJ107*(AD107/360)*AF107))</f>
        <v/>
      </c>
      <c r="AM107" s="15" t="str">
        <f>IF(AA107="","",SUM(AL$4:AL107))</f>
        <v/>
      </c>
      <c r="AO107" s="15" t="str">
        <f>IF(AA107="","",IF(AB107&lt;'Rate &amp; Vol Update'!$C$2,0,((((((IF('Adjustment Surface'!$C$2='Data Validation'!$A$2,AH107,IF('Adjustment Surface'!$C$2='Data Validation'!$A$3,AG107,"Unknown Option Type"))-IF('Adjustment Surface'!$C$2='Data Validation'!$A$2,AG107,IF('Adjustment Surface'!$C$2='Data Validation'!$A$3,AH107,"Unknown Option Type")))*(NORMDIST((IF('Adjustment Surface'!$C$2='Data Validation'!$A$2,AH107,IF('Adjustment Surface'!$C$2='Data Validation'!$A$3,AG107,"Unknown Option Type"))-IF('Adjustment Surface'!$C$2='Data Validation'!$A$2,AG107,IF('Adjustment Surface'!$C$2='Data Validation'!$A$3,AH107,"Unknown Option Type")))/((AI107+0.01%)*SQRT(AE107)),0,1,TRUE)))+(((AI107+0.01%)*SQRT(AE107))*(NORMDIST((IF('Adjustment Surface'!$C$2='Data Validation'!$A$2,AH107,IF('Adjustment Surface'!$C$2='Data Validation'!$A$3,AG107,"Unknown Option Type"))-IF('Adjustment Surface'!$C$2='Data Validation'!$A$2,AG107,IF('Adjustment Surface'!$C$2='Data Validation'!$A$3,AH107,"Unknown Option Type")))/((AI107+0.01%)*SQRT(AE107)),0,1,FALSE))))*AJ107*(AD107/360))-(AL107/AF107))*AF107)*AJ107))</f>
        <v/>
      </c>
      <c r="AP107" s="15" t="str">
        <f>IF(AA107="","",SUM(AO$4:AO107))</f>
        <v/>
      </c>
      <c r="AQ107" s="15"/>
      <c r="AR107" s="20"/>
      <c r="AT107" s="4" t="str">
        <f>IF(AU106=MAX('Adjustment Surface'!$C$14:$F$14),"",AU106)</f>
        <v/>
      </c>
      <c r="AU107" s="4" t="str">
        <f>IF(AT107="","",IF(AT107&lt;EDATE('Adjustment Surface'!$C$6,DATEDIF('Adjustment Surface'!$C$6,MAX('Adjustment Surface'!$C$14:$F$14),"M")),EDATE(AT$5,COUNT(AT$5:AT107)),IF(AT107=EDATE('Adjustment Surface'!$C$6,DATEDIF('Adjustment Surface'!$C$6,MAX('Adjustment Surface'!$C$14:$F$14),"M")),MAX('Adjustment Surface'!$C$14:$F$14),EDATE('Adjustment Surface'!$C$6,DATEDIF('Adjustment Surface'!$C$6,MAX('Adjustment Surface'!$C$14:$F$14),"M")))))</f>
        <v/>
      </c>
      <c r="AV107" s="3" t="str">
        <f t="shared" si="8"/>
        <v/>
      </c>
      <c r="AW107" s="5" t="str">
        <f>IF(AS107="","",(AU107-'Rate &amp; Vol Update'!$C$2)/360)</f>
        <v/>
      </c>
      <c r="AX107" s="15" t="str">
        <f>IF(AS107="","",IF('Adjustment Surface'!$C$3='Data Validation'!$C$2,'Adjustment Surface'!$C$4,_xlfn.IFNA(IF(INDEX(Schedules!$E$3:$E$123,MATCH('Bachelier Model'!AT107,Schedules!$B$3:$B$123,0))="",AX106,INDEX(Schedules!$E$3:$E$123,MATCH('Bachelier Model'!AT107,Schedules!$B$3:$B$123,0))),AX106)))</f>
        <v/>
      </c>
      <c r="AY107" s="16" t="str">
        <f>IF(AS107="","",'Adjustment Surface'!B$16)</f>
        <v/>
      </c>
      <c r="AZ107" s="16" t="str" cm="1">
        <f t="array" ref="AZ107">IF(AS107="","",FORECAST(AT107,INDEX('Rate &amp; Vol Update'!$C$6:$C$127,MATCH(INDEX('Rate &amp; Vol Update'!$B$6:$B$127,MATCH(AT107,'Rate &amp; Vol Update'!$B$6:$B$127,1)),'Rate &amp; Vol Update'!$B$6:$B$127,0)+IF('Adjustment Surface'!$C$11='Data Validation'!$E$3,-1,0)):INDEX('Rate &amp; Vol Update'!$C$6:$C$127,MATCH(INDEX('Rate &amp; Vol Update'!$B$6:$B$127,MATCH(AT107,'Rate &amp; Vol Update'!$B$6:$B$127,1)+1),'Rate &amp; Vol Update'!$B$6:$B$127,0)+IF('Adjustment Surface'!$C$11='Data Validation'!$E$3,-1,0)),INDEX('Rate &amp; Vol Update'!$B$6:$B$127,MATCH(AT107,'Rate &amp; Vol Update'!$B$6:$B$127,1)):INDEX('Rate &amp; Vol Update'!$B$6:$B$127,MATCH(AT107,'Rate &amp; Vol Update'!$B$6:$B$127,1)+1))/100)</f>
        <v/>
      </c>
      <c r="BA107" s="16" t="str" cm="1">
        <f t="array" ref="BA107">IF(AS107="","",IF(AT107&lt;'Rate &amp; Vol Update'!$C$2,0.001%,(1/((INDEX('Rate &amp; Vol Update'!$E$6:$Z$6,1,MATCH(AY107,'Rate &amp; Vol Update'!$E$6:$Z$6,1)+1)-INDEX('Rate &amp; Vol Update'!$E$6:$Z$6,1,MATCH(AY107,'Rate &amp; Vol Update'!$E$6:$Z$6,1)))*(INDEX('Rate &amp; Vol Update'!$B$8:$B$127,MATCH(AT107,'Rate &amp; Vol Update'!$B$8:$B$127,1)+1)-INDEX('Rate &amp; Vol Update'!$B$8:$B$127,MATCH(AT107,'Rate &amp; Vol Update'!$B$8:$B$127,1))))*(INDEX('Rate &amp; Vol Update'!$E$8:$Z$127,MATCH(INDEX('Rate &amp; Vol Update'!$B$8:$B$127,MATCH(AT107,'Rate &amp; Vol Update'!$B$8:$B$127,1)),'Rate &amp; Vol Update'!$B$8:$B$127,0),MATCH(INDEX('Rate &amp; Vol Update'!$E$6:$Z$6,1,MATCH(AY107,'Rate &amp; Vol Update'!$E$6:$Z$6,1)),'Rate &amp; Vol Update'!$E$6:$Z$6,0))*(INDEX('Rate &amp; Vol Update'!$E$6:$Z$6,1,MATCH(AY107,'Rate &amp; Vol Update'!$E$6:$Z$6,1)+1)-AY107)*(INDEX('Rate &amp; Vol Update'!$B$8:$B$127,MATCH(AT107,'Rate &amp; Vol Update'!$B$8:$B$127,1)+1)-AT107)+INDEX('Rate &amp; Vol Update'!$E$8:$Z$127,MATCH(INDEX('Rate &amp; Vol Update'!$B$8:$B$127,MATCH(AT107,'Rate &amp; Vol Update'!$B$8:$B$127,1)),'Rate &amp; Vol Update'!$B$8:$B$127,0),MATCH(INDEX('Rate &amp; Vol Update'!$E$6:$Z$6,1,MATCH(AY107,'Rate &amp; Vol Update'!$E$6:$Z$6,1)+1),'Rate &amp; Vol Update'!$E$6:$Z$6,0))*(AY107-INDEX('Rate &amp; Vol Update'!$E$6:$Z$6,1,MATCH(AY107,'Rate &amp; Vol Update'!$E$6:$Z$6,1)))*(INDEX('Rate &amp; Vol Update'!$B$8:$B$127,MATCH(AT107,'Rate &amp; Vol Update'!$B$8:$B$127,1)+1)-AT107)+INDEX('Rate &amp; Vol Update'!$E$8:$Z$127,MATCH(INDEX('Rate &amp; Vol Update'!$B$8:$B$127,MATCH(AT107,'Rate &amp; Vol Update'!$B$8:$B$127,1)+1),'Rate &amp; Vol Update'!$B$8:$B$127,0),MATCH(INDEX('Rate &amp; Vol Update'!$E$6:$Z$6,1,MATCH(AY107,'Rate &amp; Vol Update'!$E$6:$Z$6,1)),'Rate &amp; Vol Update'!$E$6:$Z$6,0))*(INDEX('Rate &amp; Vol Update'!$E$6:$Z$6,1,MATCH(AY107,'Rate &amp; Vol Update'!$E$6:$Z$6,1)+1)-AY107)*(AT107-INDEX('Rate &amp; Vol Update'!$B$8:$B$127,MATCH(AT107,'Rate &amp; Vol Update'!$B$8:$B$127,1)))+INDEX('Rate &amp; Vol Update'!$E$8:$Z$127,MATCH(INDEX('Rate &amp; Vol Update'!$B$8:$B$127,MATCH(AT107,'Rate &amp; Vol Update'!$B$8:$B$127,1)+1),'Rate &amp; Vol Update'!$B$8:$B$127,0),MATCH(INDEX('Rate &amp; Vol Update'!$E$6:$Z$6,1,MATCH(AY107,'Rate &amp; Vol Update'!$E$6:$Z$6,1)+1),'Rate &amp; Vol Update'!$E$6:$Z$6,0))*(AY107-INDEX('Rate &amp; Vol Update'!$E$6:$Z$6,1,MATCH(AY107,'Rate &amp; Vol Update'!$E$6:$Z$6,1)))*(AT107-INDEX('Rate &amp; Vol Update'!$B$8:$B$127,MATCH(AT107,'Rate &amp; Vol Update'!$B$8:$B$127,1)))))*0.01%))</f>
        <v/>
      </c>
      <c r="BB107" s="5" t="str">
        <f>IF(AS107="","",1/((1+AZ107)^((AU107-'Rate &amp; Vol Update'!$C$2)/360)))</f>
        <v/>
      </c>
      <c r="BD107" s="15" t="str">
        <f>IF(AS107="","",IF(AT107&lt;'Rate &amp; Vol Update'!$C$2,MAX(0,AZ107-AY107)*(AV107/360)*AX107,(((IF('Adjustment Surface'!$C$2='Data Validation'!$A$2,AZ107,IF('Adjustment Surface'!$C$2='Data Validation'!$A$3,AY107,"Unknown Option Type"))-IF('Adjustment Surface'!$C$2='Data Validation'!$A$2,AY107,IF('Adjustment Surface'!$C$2='Data Validation'!$A$3,AZ107,"Unknown Option Type")))*(NORMDIST((IF('Adjustment Surface'!$C$2='Data Validation'!$A$2,AZ107,IF('Adjustment Surface'!$C$2='Data Validation'!$A$3,AY107,"Unknown Option Type"))-IF('Adjustment Surface'!$C$2='Data Validation'!$A$2,AY107,IF('Adjustment Surface'!$C$2='Data Validation'!$A$3,AZ107,"Unknown Option Type")))/(BA107*SQRT(AW107)),0,1,TRUE)))+((BA107*SQRT(AW107))*(NORMDIST((IF('Adjustment Surface'!$C$2='Data Validation'!$A$2,AZ107,IF('Adjustment Surface'!$C$2='Data Validation'!$A$3,AY107,"Unknown Option Type"))-IF('Adjustment Surface'!$C$2='Data Validation'!$A$2,AY107,IF('Adjustment Surface'!$C$2='Data Validation'!$A$3,AZ107,"Unknown Option Type")))/(BA107*SQRT(AW107)),0,1,FALSE))))*BB107*(AV107/360)*AX107))</f>
        <v/>
      </c>
      <c r="BE107" s="15" t="str">
        <f>IF(AS107="","",SUM(BD$4:BD107))</f>
        <v/>
      </c>
      <c r="BG107" s="15" t="str">
        <f>IF(AS107="","",IF(AT107&lt;'Rate &amp; Vol Update'!$C$2,0,((((((IF('Adjustment Surface'!$C$2='Data Validation'!$A$2,AZ107,IF('Adjustment Surface'!$C$2='Data Validation'!$A$3,AY107,"Unknown Option Type"))-IF('Adjustment Surface'!$C$2='Data Validation'!$A$2,AY107,IF('Adjustment Surface'!$C$2='Data Validation'!$A$3,AZ107,"Unknown Option Type")))*(NORMDIST((IF('Adjustment Surface'!$C$2='Data Validation'!$A$2,AZ107,IF('Adjustment Surface'!$C$2='Data Validation'!$A$3,AY107,"Unknown Option Type"))-IF('Adjustment Surface'!$C$2='Data Validation'!$A$2,AY107,IF('Adjustment Surface'!$C$2='Data Validation'!$A$3,AZ107,"Unknown Option Type")))/((BA107+0.01%)*SQRT(AW107)),0,1,TRUE)))+(((BA107+0.01%)*SQRT(AW107))*(NORMDIST((IF('Adjustment Surface'!$C$2='Data Validation'!$A$2,AZ107,IF('Adjustment Surface'!$C$2='Data Validation'!$A$3,AY107,"Unknown Option Type"))-IF('Adjustment Surface'!$C$2='Data Validation'!$A$2,AY107,IF('Adjustment Surface'!$C$2='Data Validation'!$A$3,AZ107,"Unknown Option Type")))/((BA107+0.01%)*SQRT(AW107)),0,1,FALSE))))*BB107*(AV107/360))-(BD107/AX107))*AX107)*BB107))</f>
        <v/>
      </c>
      <c r="BH107" s="15" t="str">
        <f>IF(AS107="","",SUM(BG$4:BG107))</f>
        <v/>
      </c>
      <c r="BI107" s="15"/>
      <c r="BJ107" s="20"/>
      <c r="BL107" s="4" t="str">
        <f>IF(BM106=MAX('Adjustment Surface'!$C$14:$F$14),"",BM106)</f>
        <v/>
      </c>
      <c r="BM107" s="4" t="str">
        <f>IF(BL107="","",IF(BL107&lt;EDATE('Adjustment Surface'!$C$6,DATEDIF('Adjustment Surface'!$C$6,MAX('Adjustment Surface'!$C$14:$F$14),"M")),EDATE(BL$5,COUNT(BL$5:BL107)),IF(BL107=EDATE('Adjustment Surface'!$C$6,DATEDIF('Adjustment Surface'!$C$6,MAX('Adjustment Surface'!$C$14:$F$14),"M")),MAX('Adjustment Surface'!$C$14:$F$14),EDATE('Adjustment Surface'!$C$6,DATEDIF('Adjustment Surface'!$C$6,MAX('Adjustment Surface'!$C$14:$F$14),"M")))))</f>
        <v/>
      </c>
      <c r="BN107" s="3" t="str">
        <f t="shared" si="9"/>
        <v/>
      </c>
      <c r="BO107" s="5" t="str">
        <f>IF(BK107="","",(BM107-'Rate &amp; Vol Update'!$C$2)/360)</f>
        <v/>
      </c>
      <c r="BP107" s="15" t="str">
        <f>IF(BK107="","",IF('Adjustment Surface'!$C$3='Data Validation'!$C$2,'Adjustment Surface'!$C$4,_xlfn.IFNA(IF(INDEX(Schedules!$E$3:$E$123,MATCH('Bachelier Model'!BL107,Schedules!$B$3:$B$123,0))="",BP106,INDEX(Schedules!$E$3:$E$123,MATCH('Bachelier Model'!BL107,Schedules!$B$3:$B$123,0))),BP106)))</f>
        <v/>
      </c>
      <c r="BQ107" s="16" t="str">
        <f>IF(BK107="","",'Adjustment Surface'!B$17)</f>
        <v/>
      </c>
      <c r="BR107" s="16" t="str" cm="1">
        <f t="array" ref="BR107">IF(BK107="","",FORECAST(BL107,INDEX('Rate &amp; Vol Update'!$C$6:$C$127,MATCH(INDEX('Rate &amp; Vol Update'!$B$6:$B$127,MATCH(BL107,'Rate &amp; Vol Update'!$B$6:$B$127,1)),'Rate &amp; Vol Update'!$B$6:$B$127,0)+IF('Adjustment Surface'!$C$11='Data Validation'!$E$3,-1,0)):INDEX('Rate &amp; Vol Update'!$C$6:$C$127,MATCH(INDEX('Rate &amp; Vol Update'!$B$6:$B$127,MATCH(BL107,'Rate &amp; Vol Update'!$B$6:$B$127,1)+1),'Rate &amp; Vol Update'!$B$6:$B$127,0)+IF('Adjustment Surface'!$C$11='Data Validation'!$E$3,-1,0)),INDEX('Rate &amp; Vol Update'!$B$6:$B$127,MATCH(BL107,'Rate &amp; Vol Update'!$B$6:$B$127,1)):INDEX('Rate &amp; Vol Update'!$B$6:$B$127,MATCH(BL107,'Rate &amp; Vol Update'!$B$6:$B$127,1)+1))/100)</f>
        <v/>
      </c>
      <c r="BS107" s="16" t="str" cm="1">
        <f t="array" ref="BS107">IF(BK107="","",IF(BL107&lt;'Rate &amp; Vol Update'!$C$2,0.001%,(1/((INDEX('Rate &amp; Vol Update'!$E$6:$Z$6,1,MATCH(BQ107,'Rate &amp; Vol Update'!$E$6:$Z$6,1)+1)-INDEX('Rate &amp; Vol Update'!$E$6:$Z$6,1,MATCH(BQ107,'Rate &amp; Vol Update'!$E$6:$Z$6,1)))*(INDEX('Rate &amp; Vol Update'!$B$8:$B$127,MATCH(BL107,'Rate &amp; Vol Update'!$B$8:$B$127,1)+1)-INDEX('Rate &amp; Vol Update'!$B$8:$B$127,MATCH(BL107,'Rate &amp; Vol Update'!$B$8:$B$127,1))))*(INDEX('Rate &amp; Vol Update'!$E$8:$Z$127,MATCH(INDEX('Rate &amp; Vol Update'!$B$8:$B$127,MATCH(BL107,'Rate &amp; Vol Update'!$B$8:$B$127,1)),'Rate &amp; Vol Update'!$B$8:$B$127,0),MATCH(INDEX('Rate &amp; Vol Update'!$E$6:$Z$6,1,MATCH(BQ107,'Rate &amp; Vol Update'!$E$6:$Z$6,1)),'Rate &amp; Vol Update'!$E$6:$Z$6,0))*(INDEX('Rate &amp; Vol Update'!$E$6:$Z$6,1,MATCH(BQ107,'Rate &amp; Vol Update'!$E$6:$Z$6,1)+1)-BQ107)*(INDEX('Rate &amp; Vol Update'!$B$8:$B$127,MATCH(BL107,'Rate &amp; Vol Update'!$B$8:$B$127,1)+1)-BL107)+INDEX('Rate &amp; Vol Update'!$E$8:$Z$127,MATCH(INDEX('Rate &amp; Vol Update'!$B$8:$B$127,MATCH(BL107,'Rate &amp; Vol Update'!$B$8:$B$127,1)),'Rate &amp; Vol Update'!$B$8:$B$127,0),MATCH(INDEX('Rate &amp; Vol Update'!$E$6:$Z$6,1,MATCH(BQ107,'Rate &amp; Vol Update'!$E$6:$Z$6,1)+1),'Rate &amp; Vol Update'!$E$6:$Z$6,0))*(BQ107-INDEX('Rate &amp; Vol Update'!$E$6:$Z$6,1,MATCH(BQ107,'Rate &amp; Vol Update'!$E$6:$Z$6,1)))*(INDEX('Rate &amp; Vol Update'!$B$8:$B$127,MATCH(BL107,'Rate &amp; Vol Update'!$B$8:$B$127,1)+1)-BL107)+INDEX('Rate &amp; Vol Update'!$E$8:$Z$127,MATCH(INDEX('Rate &amp; Vol Update'!$B$8:$B$127,MATCH(BL107,'Rate &amp; Vol Update'!$B$8:$B$127,1)+1),'Rate &amp; Vol Update'!$B$8:$B$127,0),MATCH(INDEX('Rate &amp; Vol Update'!$E$6:$Z$6,1,MATCH(BQ107,'Rate &amp; Vol Update'!$E$6:$Z$6,1)),'Rate &amp; Vol Update'!$E$6:$Z$6,0))*(INDEX('Rate &amp; Vol Update'!$E$6:$Z$6,1,MATCH(BQ107,'Rate &amp; Vol Update'!$E$6:$Z$6,1)+1)-BQ107)*(BL107-INDEX('Rate &amp; Vol Update'!$B$8:$B$127,MATCH(BL107,'Rate &amp; Vol Update'!$B$8:$B$127,1)))+INDEX('Rate &amp; Vol Update'!$E$8:$Z$127,MATCH(INDEX('Rate &amp; Vol Update'!$B$8:$B$127,MATCH(BL107,'Rate &amp; Vol Update'!$B$8:$B$127,1)+1),'Rate &amp; Vol Update'!$B$8:$B$127,0),MATCH(INDEX('Rate &amp; Vol Update'!$E$6:$Z$6,1,MATCH(BQ107,'Rate &amp; Vol Update'!$E$6:$Z$6,1)+1),'Rate &amp; Vol Update'!$E$6:$Z$6,0))*(BQ107-INDEX('Rate &amp; Vol Update'!$E$6:$Z$6,1,MATCH(BQ107,'Rate &amp; Vol Update'!$E$6:$Z$6,1)))*(BL107-INDEX('Rate &amp; Vol Update'!$B$8:$B$127,MATCH(BL107,'Rate &amp; Vol Update'!$B$8:$B$127,1)))))*0.01%))</f>
        <v/>
      </c>
      <c r="BT107" s="5" t="str">
        <f>IF(BK107="","",1/((1+BR107)^((BM107-'Rate &amp; Vol Update'!$C$2)/360)))</f>
        <v/>
      </c>
      <c r="BV107" s="15" t="str">
        <f>IF(BK107="","",IF(BL107&lt;'Rate &amp; Vol Update'!$C$2,MAX(0,BR107-BQ107)*(BN107/360)*BP107,(((IF('Adjustment Surface'!$C$2='Data Validation'!$A$2,BR107,IF('Adjustment Surface'!$C$2='Data Validation'!$A$3,BQ107,"Unknown Option Type"))-IF('Adjustment Surface'!$C$2='Data Validation'!$A$2,BQ107,IF('Adjustment Surface'!$C$2='Data Validation'!$A$3,BR107,"Unknown Option Type")))*(NORMDIST((IF('Adjustment Surface'!$C$2='Data Validation'!$A$2,BR107,IF('Adjustment Surface'!$C$2='Data Validation'!$A$3,BQ107,"Unknown Option Type"))-IF('Adjustment Surface'!$C$2='Data Validation'!$A$2,BQ107,IF('Adjustment Surface'!$C$2='Data Validation'!$A$3,BR107,"Unknown Option Type")))/(BS107*SQRT(BO107)),0,1,TRUE)))+((BS107*SQRT(BO107))*(NORMDIST((IF('Adjustment Surface'!$C$2='Data Validation'!$A$2,BR107,IF('Adjustment Surface'!$C$2='Data Validation'!$A$3,BQ107,"Unknown Option Type"))-IF('Adjustment Surface'!$C$2='Data Validation'!$A$2,BQ107,IF('Adjustment Surface'!$C$2='Data Validation'!$A$3,BR107,"Unknown Option Type")))/(BS107*SQRT(BO107)),0,1,FALSE))))*BT107*(BN107/360)*BP107))</f>
        <v/>
      </c>
      <c r="BW107" s="15" t="str">
        <f>IF(BK107="","",SUM(BV$4:BV107))</f>
        <v/>
      </c>
      <c r="BY107" s="15" t="str">
        <f>IF(BK107="","",IF(BL107&lt;'Rate &amp; Vol Update'!$C$2,0,((((((IF('Adjustment Surface'!$C$2='Data Validation'!$A$2,BR107,IF('Adjustment Surface'!$C$2='Data Validation'!$A$3,BQ107,"Unknown Option Type"))-IF('Adjustment Surface'!$C$2='Data Validation'!$A$2,BQ107,IF('Adjustment Surface'!$C$2='Data Validation'!$A$3,BR107,"Unknown Option Type")))*(NORMDIST((IF('Adjustment Surface'!$C$2='Data Validation'!$A$2,BR107,IF('Adjustment Surface'!$C$2='Data Validation'!$A$3,BQ107,"Unknown Option Type"))-IF('Adjustment Surface'!$C$2='Data Validation'!$A$2,BQ107,IF('Adjustment Surface'!$C$2='Data Validation'!$A$3,BR107,"Unknown Option Type")))/((BS107+0.01%)*SQRT(BO107)),0,1,TRUE)))+(((BS107+0.01%)*SQRT(BO107))*(NORMDIST((IF('Adjustment Surface'!$C$2='Data Validation'!$A$2,BR107,IF('Adjustment Surface'!$C$2='Data Validation'!$A$3,BQ107,"Unknown Option Type"))-IF('Adjustment Surface'!$C$2='Data Validation'!$A$2,BQ107,IF('Adjustment Surface'!$C$2='Data Validation'!$A$3,BR107,"Unknown Option Type")))/((BS107+0.01%)*SQRT(BO107)),0,1,FALSE))))*BT107*(BN107/360))-(BV107/BP107))*BP107)*BT107))</f>
        <v/>
      </c>
      <c r="BZ107" s="15" t="str">
        <f>IF(BK107="","",SUM(BY$4:BY107))</f>
        <v/>
      </c>
      <c r="CA107" s="15"/>
      <c r="CB107" s="20"/>
      <c r="CD107" s="4" t="str">
        <f>IF(CE106=MAX('Adjustment Surface'!$C$14:$F$14),"",CE106)</f>
        <v/>
      </c>
      <c r="CE107" s="4" t="str">
        <f>IF(CD107="","",IF(CD107&lt;EDATE('Adjustment Surface'!$C$6,DATEDIF('Adjustment Surface'!$C$6,MAX('Adjustment Surface'!$C$14:$F$14),"M")),EDATE(CD$5,COUNT(CD$5:CD107)),IF(CD107=EDATE('Adjustment Surface'!$C$6,DATEDIF('Adjustment Surface'!$C$6,MAX('Adjustment Surface'!$C$14:$F$14),"M")),MAX('Adjustment Surface'!$C$14:$F$14),EDATE('Adjustment Surface'!$C$6,DATEDIF('Adjustment Surface'!$C$6,MAX('Adjustment Surface'!$C$14:$F$14),"M")))))</f>
        <v/>
      </c>
      <c r="CF107" s="3" t="str">
        <f t="shared" si="10"/>
        <v/>
      </c>
      <c r="CG107" s="5" t="str">
        <f>IF(CC107="","",(CE107-'Rate &amp; Vol Update'!$C$2)/360)</f>
        <v/>
      </c>
      <c r="CH107" s="15" t="str">
        <f>IF(CC107="","",IF('Adjustment Surface'!$C$3='Data Validation'!$C$2,'Adjustment Surface'!$C$4,_xlfn.IFNA(IF(INDEX(Schedules!$E$3:$E$123,MATCH('Bachelier Model'!CD107,Schedules!$B$3:$B$123,0))="",CH106,INDEX(Schedules!$E$3:$E$123,MATCH('Bachelier Model'!CD107,Schedules!$B$3:$B$123,0))),CH106)))</f>
        <v/>
      </c>
      <c r="CI107" s="16" t="str">
        <f>IF(CC107="","",'Adjustment Surface'!B$18)</f>
        <v/>
      </c>
      <c r="CJ107" s="16" t="str" cm="1">
        <f t="array" ref="CJ107">IF(CC107="","",FORECAST(CD107,INDEX('Rate &amp; Vol Update'!$C$6:$C$127,MATCH(INDEX('Rate &amp; Vol Update'!$B$6:$B$127,MATCH(CD107,'Rate &amp; Vol Update'!$B$6:$B$127,1)),'Rate &amp; Vol Update'!$B$6:$B$127,0)+IF('Adjustment Surface'!$C$11='Data Validation'!$E$3,-1,0)):INDEX('Rate &amp; Vol Update'!$C$6:$C$127,MATCH(INDEX('Rate &amp; Vol Update'!$B$6:$B$127,MATCH(CD107,'Rate &amp; Vol Update'!$B$6:$B$127,1)+1),'Rate &amp; Vol Update'!$B$6:$B$127,0)+IF('Adjustment Surface'!$C$11='Data Validation'!$E$3,-1,0)),INDEX('Rate &amp; Vol Update'!$B$6:$B$127,MATCH(CD107,'Rate &amp; Vol Update'!$B$6:$B$127,1)):INDEX('Rate &amp; Vol Update'!$B$6:$B$127,MATCH(CD107,'Rate &amp; Vol Update'!$B$6:$B$127,1)+1))/100)</f>
        <v/>
      </c>
      <c r="CK107" s="16" t="str" cm="1">
        <f t="array" ref="CK107">IF(CC107="","",IF(CD107&lt;'Rate &amp; Vol Update'!$C$2,0.001%,(1/((INDEX('Rate &amp; Vol Update'!$E$6:$Z$6,1,MATCH(CI107,'Rate &amp; Vol Update'!$E$6:$Z$6,1)+1)-INDEX('Rate &amp; Vol Update'!$E$6:$Z$6,1,MATCH(CI107,'Rate &amp; Vol Update'!$E$6:$Z$6,1)))*(INDEX('Rate &amp; Vol Update'!$B$8:$B$127,MATCH(CD107,'Rate &amp; Vol Update'!$B$8:$B$127,1)+1)-INDEX('Rate &amp; Vol Update'!$B$8:$B$127,MATCH(CD107,'Rate &amp; Vol Update'!$B$8:$B$127,1))))*(INDEX('Rate &amp; Vol Update'!$E$8:$Z$127,MATCH(INDEX('Rate &amp; Vol Update'!$B$8:$B$127,MATCH(CD107,'Rate &amp; Vol Update'!$B$8:$B$127,1)),'Rate &amp; Vol Update'!$B$8:$B$127,0),MATCH(INDEX('Rate &amp; Vol Update'!$E$6:$Z$6,1,MATCH(CI107,'Rate &amp; Vol Update'!$E$6:$Z$6,1)),'Rate &amp; Vol Update'!$E$6:$Z$6,0))*(INDEX('Rate &amp; Vol Update'!$E$6:$Z$6,1,MATCH(CI107,'Rate &amp; Vol Update'!$E$6:$Z$6,1)+1)-CI107)*(INDEX('Rate &amp; Vol Update'!$B$8:$B$127,MATCH(CD107,'Rate &amp; Vol Update'!$B$8:$B$127,1)+1)-CD107)+INDEX('Rate &amp; Vol Update'!$E$8:$Z$127,MATCH(INDEX('Rate &amp; Vol Update'!$B$8:$B$127,MATCH(CD107,'Rate &amp; Vol Update'!$B$8:$B$127,1)),'Rate &amp; Vol Update'!$B$8:$B$127,0),MATCH(INDEX('Rate &amp; Vol Update'!$E$6:$Z$6,1,MATCH(CI107,'Rate &amp; Vol Update'!$E$6:$Z$6,1)+1),'Rate &amp; Vol Update'!$E$6:$Z$6,0))*(CI107-INDEX('Rate &amp; Vol Update'!$E$6:$Z$6,1,MATCH(CI107,'Rate &amp; Vol Update'!$E$6:$Z$6,1)))*(INDEX('Rate &amp; Vol Update'!$B$8:$B$127,MATCH(CD107,'Rate &amp; Vol Update'!$B$8:$B$127,1)+1)-CD107)+INDEX('Rate &amp; Vol Update'!$E$8:$Z$127,MATCH(INDEX('Rate &amp; Vol Update'!$B$8:$B$127,MATCH(CD107,'Rate &amp; Vol Update'!$B$8:$B$127,1)+1),'Rate &amp; Vol Update'!$B$8:$B$127,0),MATCH(INDEX('Rate &amp; Vol Update'!$E$6:$Z$6,1,MATCH(CI107,'Rate &amp; Vol Update'!$E$6:$Z$6,1)),'Rate &amp; Vol Update'!$E$6:$Z$6,0))*(INDEX('Rate &amp; Vol Update'!$E$6:$Z$6,1,MATCH(CI107,'Rate &amp; Vol Update'!$E$6:$Z$6,1)+1)-CI107)*(CD107-INDEX('Rate &amp; Vol Update'!$B$8:$B$127,MATCH(CD107,'Rate &amp; Vol Update'!$B$8:$B$127,1)))+INDEX('Rate &amp; Vol Update'!$E$8:$Z$127,MATCH(INDEX('Rate &amp; Vol Update'!$B$8:$B$127,MATCH(CD107,'Rate &amp; Vol Update'!$B$8:$B$127,1)+1),'Rate &amp; Vol Update'!$B$8:$B$127,0),MATCH(INDEX('Rate &amp; Vol Update'!$E$6:$Z$6,1,MATCH(CI107,'Rate &amp; Vol Update'!$E$6:$Z$6,1)+1),'Rate &amp; Vol Update'!$E$6:$Z$6,0))*(CI107-INDEX('Rate &amp; Vol Update'!$E$6:$Z$6,1,MATCH(CI107,'Rate &amp; Vol Update'!$E$6:$Z$6,1)))*(CD107-INDEX('Rate &amp; Vol Update'!$B$8:$B$127,MATCH(CD107,'Rate &amp; Vol Update'!$B$8:$B$127,1)))))*0.01%))</f>
        <v/>
      </c>
      <c r="CL107" s="5" t="str">
        <f>IF(CC107="","",1/((1+CJ107)^((CE107-'Rate &amp; Vol Update'!$C$2)/360)))</f>
        <v/>
      </c>
      <c r="CN107" s="15" t="str">
        <f>IF(CC107="","",IF(CD107&lt;'Rate &amp; Vol Update'!$C$2,MAX(0,CJ107-CI107)*(CF107/360)*CH107,(((IF('Adjustment Surface'!$C$2='Data Validation'!$A$2,CJ107,IF('Adjustment Surface'!$C$2='Data Validation'!$A$3,CI107,"Unknown Option Type"))-IF('Adjustment Surface'!$C$2='Data Validation'!$A$2,CI107,IF('Adjustment Surface'!$C$2='Data Validation'!$A$3,CJ107,"Unknown Option Type")))*(NORMDIST((IF('Adjustment Surface'!$C$2='Data Validation'!$A$2,CJ107,IF('Adjustment Surface'!$C$2='Data Validation'!$A$3,CI107,"Unknown Option Type"))-IF('Adjustment Surface'!$C$2='Data Validation'!$A$2,CI107,IF('Adjustment Surface'!$C$2='Data Validation'!$A$3,CJ107,"Unknown Option Type")))/(CK107*SQRT(CG107)),0,1,TRUE)))+((CK107*SQRT(CG107))*(NORMDIST((IF('Adjustment Surface'!$C$2='Data Validation'!$A$2,CJ107,IF('Adjustment Surface'!$C$2='Data Validation'!$A$3,CI107,"Unknown Option Type"))-IF('Adjustment Surface'!$C$2='Data Validation'!$A$2,CI107,IF('Adjustment Surface'!$C$2='Data Validation'!$A$3,CJ107,"Unknown Option Type")))/(CK107*SQRT(CG107)),0,1,FALSE))))*CL107*(CF107/360)*CH107))</f>
        <v/>
      </c>
      <c r="CO107" s="15" t="str">
        <f>IF(CC107="","",SUM(CN$4:CN107))</f>
        <v/>
      </c>
      <c r="CQ107" s="15" t="str">
        <f>IF(CC107="","",IF(CD107&lt;'Rate &amp; Vol Update'!$C$2,0,((((((IF('Adjustment Surface'!$C$2='Data Validation'!$A$2,CJ107,IF('Adjustment Surface'!$C$2='Data Validation'!$A$3,CI107,"Unknown Option Type"))-IF('Adjustment Surface'!$C$2='Data Validation'!$A$2,CI107,IF('Adjustment Surface'!$C$2='Data Validation'!$A$3,CJ107,"Unknown Option Type")))*(NORMDIST((IF('Adjustment Surface'!$C$2='Data Validation'!$A$2,CJ107,IF('Adjustment Surface'!$C$2='Data Validation'!$A$3,CI107,"Unknown Option Type"))-IF('Adjustment Surface'!$C$2='Data Validation'!$A$2,CI107,IF('Adjustment Surface'!$C$2='Data Validation'!$A$3,CJ107,"Unknown Option Type")))/((CK107+0.01%)*SQRT(CG107)),0,1,TRUE)))+(((CK107+0.01%)*SQRT(CG107))*(NORMDIST((IF('Adjustment Surface'!$C$2='Data Validation'!$A$2,CJ107,IF('Adjustment Surface'!$C$2='Data Validation'!$A$3,CI107,"Unknown Option Type"))-IF('Adjustment Surface'!$C$2='Data Validation'!$A$2,CI107,IF('Adjustment Surface'!$C$2='Data Validation'!$A$3,CJ107,"Unknown Option Type")))/((CK107+0.01%)*SQRT(CG107)),0,1,FALSE))))*CL107*(CF107/360))-(CN107/CH107))*CH107)*CL107))</f>
        <v/>
      </c>
      <c r="CR107" s="15" t="str">
        <f>IF(CC107="","",SUM(CQ$4:CQ107))</f>
        <v/>
      </c>
    </row>
    <row r="108" spans="7:96" x14ac:dyDescent="0.25">
      <c r="G108" s="28"/>
      <c r="J108" s="4" t="str">
        <f>IF(K107='Adjustment Surface'!C$8,"",K107)</f>
        <v/>
      </c>
      <c r="K108" s="4" t="str">
        <f>IF(J108="","",IF(J108&lt;'Adjustment Surface'!C$7,EDATE(J$5,COUNT(J$5:J108)),IF(J108='Adjustment Surface'!C$7,'Adjustment Surface'!C$8,'Adjustment Surface'!C$7)))</f>
        <v/>
      </c>
      <c r="L108" s="3" t="str">
        <f t="shared" si="6"/>
        <v/>
      </c>
      <c r="M108" s="5" t="str">
        <f>IF(I108="","",(K108-'Rate &amp; Vol Update'!$C$2)/360)</f>
        <v/>
      </c>
      <c r="N108" s="15" t="str">
        <f>IF(I108="","",IF('Adjustment Surface'!C$3='Data Validation'!$C$2,'Adjustment Surface'!C$4,IF(INDEX(Schedules!$E$3:$E$123,MATCH('Bachelier Model'!J108,Schedules!$B$3:$B$123,0))="",N107,INDEX(Schedules!$E$3:$E$123,MATCH('Bachelier Model'!J108,Schedules!$B$3:$B$123,0)))))</f>
        <v/>
      </c>
      <c r="O108" s="16" t="str">
        <f>IF(I108="","",IF('Adjustment Surface'!C$9='Data Validation'!$D$2,'Adjustment Surface'!C$10,IF(INDEX(Schedules!$H$3:$H$123,MATCH('Bachelier Model'!J108,Schedules!$B$3:$B$123,0))="",O107,INDEX(Schedules!$H$3:$H$123,MATCH('Bachelier Model'!J108,Schedules!$B$3:$B$123,0)))))</f>
        <v/>
      </c>
      <c r="P108" s="16" t="str" cm="1">
        <f t="array" ref="P108">IF(I108="","",FORECAST(J108,INDEX('Rate &amp; Vol Update'!$C$6:$C$127,MATCH(INDEX('Rate &amp; Vol Update'!$B$6:$B$127,MATCH(J108,'Rate &amp; Vol Update'!$B$6:$B$127,1)),'Rate &amp; Vol Update'!$B$6:$B$127,0)+IF('Adjustment Surface'!C$11='Data Validation'!$E$3,-1,0)):INDEX('Rate &amp; Vol Update'!$C$6:$C$127,MATCH(INDEX('Rate &amp; Vol Update'!$B$6:$B$127,MATCH(J108,'Rate &amp; Vol Update'!$B$6:$B$127,1)+1),'Rate &amp; Vol Update'!$B$6:$B$127,0)+IF('Adjustment Surface'!C$11='Data Validation'!$E$3,-1,0)),INDEX('Rate &amp; Vol Update'!$B$6:$B$127,MATCH(J108,'Rate &amp; Vol Update'!$B$6:$B$127,1)):INDEX('Rate &amp; Vol Update'!$B$6:$B$127,MATCH(J108,'Rate &amp; Vol Update'!$B$6:$B$127,1)+1))/100)</f>
        <v/>
      </c>
      <c r="Q108" s="16" t="str" cm="1">
        <f t="array" ref="Q108">IF(I108="","",IF(J108&lt;'Rate &amp; Vol Update'!$C$2,0.001%,(1/((INDEX('Rate &amp; Vol Update'!$E$6:$Z$6,1,MATCH(O108,'Rate &amp; Vol Update'!$E$6:$Z$6,1)+1)-INDEX('Rate &amp; Vol Update'!$E$6:$Z$6,1,MATCH(O108,'Rate &amp; Vol Update'!$E$6:$Z$6,1)))*(INDEX('Rate &amp; Vol Update'!$B$8:$B$127,MATCH(J108,'Rate &amp; Vol Update'!$B$8:$B$127,1)+1)-INDEX('Rate &amp; Vol Update'!$B$8:$B$127,MATCH(J108,'Rate &amp; Vol Update'!$B$8:$B$127,1))))*(INDEX('Rate &amp; Vol Update'!$E$8:$Z$127,MATCH(INDEX('Rate &amp; Vol Update'!$B$8:$B$127,MATCH(J108,'Rate &amp; Vol Update'!$B$8:$B$127,1)),'Rate &amp; Vol Update'!$B$8:$B$127,0),MATCH(INDEX('Rate &amp; Vol Update'!$E$6:$Z$6,1,MATCH(O108,'Rate &amp; Vol Update'!$E$6:$Z$6,1)),'Rate &amp; Vol Update'!$E$6:$Z$6,0))*(INDEX('Rate &amp; Vol Update'!$E$6:$Z$6,1,MATCH(O108,'Rate &amp; Vol Update'!$E$6:$Z$6,1)+1)-O108)*(INDEX('Rate &amp; Vol Update'!$B$8:$B$127,MATCH(J108,'Rate &amp; Vol Update'!$B$8:$B$127,1)+1)-J108)+INDEX('Rate &amp; Vol Update'!$E$8:$Z$127,MATCH(INDEX('Rate &amp; Vol Update'!$B$8:$B$127,MATCH(J108,'Rate &amp; Vol Update'!$B$8:$B$127,1)),'Rate &amp; Vol Update'!$B$8:$B$127,0),MATCH(INDEX('Rate &amp; Vol Update'!$E$6:$Z$6,1,MATCH(O108,'Rate &amp; Vol Update'!$E$6:$Z$6,1)+1),'Rate &amp; Vol Update'!$E$6:$Z$6,0))*(O108-INDEX('Rate &amp; Vol Update'!$E$6:$Z$6,1,MATCH(O108,'Rate &amp; Vol Update'!$E$6:$Z$6,1)))*(INDEX('Rate &amp; Vol Update'!$B$8:$B$127,MATCH(J108,'Rate &amp; Vol Update'!$B$8:$B$127,1)+1)-J108)+INDEX('Rate &amp; Vol Update'!$E$8:$Z$127,MATCH(INDEX('Rate &amp; Vol Update'!$B$8:$B$127,MATCH(J108,'Rate &amp; Vol Update'!$B$8:$B$127,1)+1),'Rate &amp; Vol Update'!$B$8:$B$127,0),MATCH(INDEX('Rate &amp; Vol Update'!$E$6:$Z$6,1,MATCH(O108,'Rate &amp; Vol Update'!$E$6:$Z$6,1)),'Rate &amp; Vol Update'!$E$6:$Z$6,0))*(INDEX('Rate &amp; Vol Update'!$E$6:$Z$6,1,MATCH(O108,'Rate &amp; Vol Update'!$E$6:$Z$6,1)+1)-O108)*(J108-INDEX('Rate &amp; Vol Update'!$B$8:$B$127,MATCH(J108,'Rate &amp; Vol Update'!$B$8:$B$127,1)))+INDEX('Rate &amp; Vol Update'!$E$8:$Z$127,MATCH(INDEX('Rate &amp; Vol Update'!$B$8:$B$127,MATCH(J108,'Rate &amp; Vol Update'!$B$8:$B$127,1)+1),'Rate &amp; Vol Update'!$B$8:$B$127,0),MATCH(INDEX('Rate &amp; Vol Update'!$E$6:$Z$6,1,MATCH(O108,'Rate &amp; Vol Update'!$E$6:$Z$6,1)+1),'Rate &amp; Vol Update'!$E$6:$Z$6,0))*(O108-INDEX('Rate &amp; Vol Update'!$E$6:$Z$6,1,MATCH(O108,'Rate &amp; Vol Update'!$E$6:$Z$6,1)))*(J108-INDEX('Rate &amp; Vol Update'!$B$8:$B$127,MATCH(J108,'Rate &amp; Vol Update'!$B$8:$B$127,1)))))*0.01%))</f>
        <v/>
      </c>
      <c r="R108" s="5" t="str">
        <f>IF(I108="","",1/((1+P108)^((K108-'Rate &amp; Vol Update'!$C$2)/360)))</f>
        <v/>
      </c>
      <c r="T108" s="15" t="str">
        <f>IF(I108="","",IF(J108&lt;'Rate &amp; Vol Update'!$C$2,MAX(0,P108-O108)*(L108/360)*N108,(((IF('Adjustment Surface'!C$2='Data Validation'!$A$2,P108,IF('Adjustment Surface'!C$2='Data Validation'!$A$3,O108,"Unknown Option Type"))-IF('Adjustment Surface'!C$2='Data Validation'!$A$2,O108,IF('Adjustment Surface'!C$2='Data Validation'!$A$3,P108,"Unknown Option Type")))*(NORMDIST((IF('Adjustment Surface'!C$2='Data Validation'!$A$2,P108,IF('Adjustment Surface'!C$2='Data Validation'!$A$3,O108,"Unknown Option Type"))-IF('Adjustment Surface'!C$2='Data Validation'!$A$2,O108,IF('Adjustment Surface'!C$2='Data Validation'!$A$3,P108,"Unknown Option Type")))/(Q108*SQRT(M108)),0,1,TRUE)))+((Q108*SQRT(M108))*(NORMDIST((IF('Adjustment Surface'!C$2='Data Validation'!$A$2,P108,IF('Adjustment Surface'!C$2='Data Validation'!$A$3,O108,"Unknown Option Type"))-IF('Adjustment Surface'!C$2='Data Validation'!$A$2,O108,IF('Adjustment Surface'!C$2='Data Validation'!$A$3,P108,"Unknown Option Type")))/(Q108*SQRT(M108)),0,1,FALSE))))*R108*(L108/360)*N108))</f>
        <v/>
      </c>
      <c r="U108" s="15" t="str">
        <f>IF(I108="","",SUM(T$4:T108))</f>
        <v/>
      </c>
      <c r="W108" s="15" t="str">
        <f>IF(I108="","",IF(J108&lt;'Rate &amp; Vol Update'!$C$2,0,((((((IF('Adjustment Surface'!C$2='Data Validation'!$A$2,P108,IF('Adjustment Surface'!C$2='Data Validation'!$A$3,O108,"Unknown Option Type"))-IF('Adjustment Surface'!C$2='Data Validation'!$A$2,O108,IF('Adjustment Surface'!C$2='Data Validation'!$A$3,P108,"Unknown Option Type")))*(NORMDIST((IF('Adjustment Surface'!C$2='Data Validation'!$A$2,P108,IF('Adjustment Surface'!C$2='Data Validation'!$A$3,O108,"Unknown Option Type"))-IF('Adjustment Surface'!C$2='Data Validation'!$A$2,O108,IF('Adjustment Surface'!C$2='Data Validation'!$A$3,P108,"Unknown Option Type")))/((Q108+0.01%)*SQRT(M108)),0,1,TRUE)))+(((Q108+0.01%)*SQRT(M108))*(NORMDIST((IF('Adjustment Surface'!C$2='Data Validation'!$A$2,P108,IF('Adjustment Surface'!C$2='Data Validation'!$A$3,O108,"Unknown Option Type"))-IF('Adjustment Surface'!C$2='Data Validation'!$A$2,O108,IF('Adjustment Surface'!C$2='Data Validation'!$A$3,P108,"Unknown Option Type")))/((Q108+0.01%)*SQRT(M108)),0,1,FALSE))))*R108*(L108/360))-(T108/N108))*N108)*R108))</f>
        <v/>
      </c>
      <c r="X108" s="15" t="str">
        <f>IF(I108="","",SUM(W$4:W108))</f>
        <v/>
      </c>
      <c r="Y108" s="15"/>
      <c r="Z108" s="20"/>
      <c r="AB108" s="4" t="str">
        <f>IF(AC107=MAX('Adjustment Surface'!$C$14:$F$14),"",AC107)</f>
        <v/>
      </c>
      <c r="AC108" s="4" t="str">
        <f>IF(AB108="","",IF(AB108&lt;EDATE('Adjustment Surface'!$C$6,DATEDIF('Adjustment Surface'!$C$6,MAX('Adjustment Surface'!$C$14:$F$14),"M")),EDATE(AB$5,COUNT(AB$5:AB108)),IF(AB108=EDATE('Adjustment Surface'!$C$6,DATEDIF('Adjustment Surface'!$C$6,MAX('Adjustment Surface'!$C$14:$F$14),"M")),MAX('Adjustment Surface'!$C$14:$F$14),EDATE('Adjustment Surface'!$C$6,DATEDIF('Adjustment Surface'!$C$6,MAX('Adjustment Surface'!$C$14:$F$14),"M")))))</f>
        <v/>
      </c>
      <c r="AD108" s="3" t="str">
        <f t="shared" si="7"/>
        <v/>
      </c>
      <c r="AE108" s="5" t="str">
        <f>IF(AA108="","",(AC108-'Rate &amp; Vol Update'!$C$2)/360)</f>
        <v/>
      </c>
      <c r="AF108" s="15" t="str">
        <f>IF(AA108="","",IF('Adjustment Surface'!$C$3='Data Validation'!$C$2,'Adjustment Surface'!$C$4,_xlfn.IFNA(IF(INDEX(Schedules!$E$3:$E$123,MATCH('Bachelier Model'!AB108,Schedules!$B$3:$B$123,0))="",AF107,INDEX(Schedules!$E$3:$E$123,MATCH('Bachelier Model'!AB108,Schedules!$B$3:$B$123,0))),AF107)))</f>
        <v/>
      </c>
      <c r="AG108" s="16" t="str">
        <f>IF(AA108="","",'Adjustment Surface'!B$15)</f>
        <v/>
      </c>
      <c r="AH108" s="16" t="str" cm="1">
        <f t="array" ref="AH108">IF(AA108="","",FORECAST(AB108,INDEX('Rate &amp; Vol Update'!$C$6:$C$127,MATCH(INDEX('Rate &amp; Vol Update'!$B$6:$B$127,MATCH(AB108,'Rate &amp; Vol Update'!$B$6:$B$127,1)),'Rate &amp; Vol Update'!$B$6:$B$127,0)+IF('Adjustment Surface'!$C$11='Data Validation'!$E$3,-1,0)):INDEX('Rate &amp; Vol Update'!$C$6:$C$127,MATCH(INDEX('Rate &amp; Vol Update'!$B$6:$B$127,MATCH(AB108,'Rate &amp; Vol Update'!$B$6:$B$127,1)+1),'Rate &amp; Vol Update'!$B$6:$B$127,0)+IF('Adjustment Surface'!$C$11='Data Validation'!$E$3,-1,0)),INDEX('Rate &amp; Vol Update'!$B$6:$B$127,MATCH(AB108,'Rate &amp; Vol Update'!$B$6:$B$127,1)):INDEX('Rate &amp; Vol Update'!$B$6:$B$127,MATCH(AB108,'Rate &amp; Vol Update'!$B$6:$B$127,1)+1))/100)</f>
        <v/>
      </c>
      <c r="AI108" s="16" t="str" cm="1">
        <f t="array" ref="AI108">IF(AA108="","",IF(AB108&lt;'Rate &amp; Vol Update'!$C$2,0.001%,(1/((INDEX('Rate &amp; Vol Update'!$E$6:$Z$6,1,MATCH(AG108,'Rate &amp; Vol Update'!$E$6:$Z$6,1)+1)-INDEX('Rate &amp; Vol Update'!$E$6:$Z$6,1,MATCH(AG108,'Rate &amp; Vol Update'!$E$6:$Z$6,1)))*(INDEX('Rate &amp; Vol Update'!$B$8:$B$127,MATCH(AB108,'Rate &amp; Vol Update'!$B$8:$B$127,1)+1)-INDEX('Rate &amp; Vol Update'!$B$8:$B$127,MATCH(AB108,'Rate &amp; Vol Update'!$B$8:$B$127,1))))*(INDEX('Rate &amp; Vol Update'!$E$8:$Z$127,MATCH(INDEX('Rate &amp; Vol Update'!$B$8:$B$127,MATCH(AB108,'Rate &amp; Vol Update'!$B$8:$B$127,1)),'Rate &amp; Vol Update'!$B$8:$B$127,0),MATCH(INDEX('Rate &amp; Vol Update'!$E$6:$Z$6,1,MATCH(AG108,'Rate &amp; Vol Update'!$E$6:$Z$6,1)),'Rate &amp; Vol Update'!$E$6:$Z$6,0))*(INDEX('Rate &amp; Vol Update'!$E$6:$Z$6,1,MATCH(AG108,'Rate &amp; Vol Update'!$E$6:$Z$6,1)+1)-AG108)*(INDEX('Rate &amp; Vol Update'!$B$8:$B$127,MATCH(AB108,'Rate &amp; Vol Update'!$B$8:$B$127,1)+1)-AB108)+INDEX('Rate &amp; Vol Update'!$E$8:$Z$127,MATCH(INDEX('Rate &amp; Vol Update'!$B$8:$B$127,MATCH(AB108,'Rate &amp; Vol Update'!$B$8:$B$127,1)),'Rate &amp; Vol Update'!$B$8:$B$127,0),MATCH(INDEX('Rate &amp; Vol Update'!$E$6:$Z$6,1,MATCH(AG108,'Rate &amp; Vol Update'!$E$6:$Z$6,1)+1),'Rate &amp; Vol Update'!$E$6:$Z$6,0))*(AG108-INDEX('Rate &amp; Vol Update'!$E$6:$Z$6,1,MATCH(AG108,'Rate &amp; Vol Update'!$E$6:$Z$6,1)))*(INDEX('Rate &amp; Vol Update'!$B$8:$B$127,MATCH(AB108,'Rate &amp; Vol Update'!$B$8:$B$127,1)+1)-AB108)+INDEX('Rate &amp; Vol Update'!$E$8:$Z$127,MATCH(INDEX('Rate &amp; Vol Update'!$B$8:$B$127,MATCH(AB108,'Rate &amp; Vol Update'!$B$8:$B$127,1)+1),'Rate &amp; Vol Update'!$B$8:$B$127,0),MATCH(INDEX('Rate &amp; Vol Update'!$E$6:$Z$6,1,MATCH(AG108,'Rate &amp; Vol Update'!$E$6:$Z$6,1)),'Rate &amp; Vol Update'!$E$6:$Z$6,0))*(INDEX('Rate &amp; Vol Update'!$E$6:$Z$6,1,MATCH(AG108,'Rate &amp; Vol Update'!$E$6:$Z$6,1)+1)-AG108)*(AB108-INDEX('Rate &amp; Vol Update'!$B$8:$B$127,MATCH(AB108,'Rate &amp; Vol Update'!$B$8:$B$127,1)))+INDEX('Rate &amp; Vol Update'!$E$8:$Z$127,MATCH(INDEX('Rate &amp; Vol Update'!$B$8:$B$127,MATCH(AB108,'Rate &amp; Vol Update'!$B$8:$B$127,1)+1),'Rate &amp; Vol Update'!$B$8:$B$127,0),MATCH(INDEX('Rate &amp; Vol Update'!$E$6:$Z$6,1,MATCH(AG108,'Rate &amp; Vol Update'!$E$6:$Z$6,1)+1),'Rate &amp; Vol Update'!$E$6:$Z$6,0))*(AG108-INDEX('Rate &amp; Vol Update'!$E$6:$Z$6,1,MATCH(AG108,'Rate &amp; Vol Update'!$E$6:$Z$6,1)))*(AB108-INDEX('Rate &amp; Vol Update'!$B$8:$B$127,MATCH(AB108,'Rate &amp; Vol Update'!$B$8:$B$127,1)))))*0.01%))</f>
        <v/>
      </c>
      <c r="AJ108" s="5" t="str">
        <f>IF(AA108="","",1/((1+AH108)^((AC108-'Rate &amp; Vol Update'!$C$2)/360)))</f>
        <v/>
      </c>
      <c r="AL108" s="15" t="str">
        <f>IF(AA108="","",IF(AB108&lt;'Rate &amp; Vol Update'!$C$2,MAX(0,AH108-AG108)*(AD108/360)*AF108,(((IF('Adjustment Surface'!$C$2='Data Validation'!$A$2,AH108,IF('Adjustment Surface'!$C$2='Data Validation'!$A$3,AG108,"Unknown Option Type"))-IF('Adjustment Surface'!$C$2='Data Validation'!$A$2,AG108,IF('Adjustment Surface'!$C$2='Data Validation'!$A$3,AH108,"Unknown Option Type")))*(NORMDIST((IF('Adjustment Surface'!$C$2='Data Validation'!$A$2,AH108,IF('Adjustment Surface'!$C$2='Data Validation'!$A$3,AG108,"Unknown Option Type"))-IF('Adjustment Surface'!$C$2='Data Validation'!$A$2,AG108,IF('Adjustment Surface'!$C$2='Data Validation'!$A$3,AH108,"Unknown Option Type")))/(AI108*SQRT(AE108)),0,1,TRUE)))+((AI108*SQRT(AE108))*(NORMDIST((IF('Adjustment Surface'!$C$2='Data Validation'!$A$2,AH108,IF('Adjustment Surface'!$C$2='Data Validation'!$A$3,AG108,"Unknown Option Type"))-IF('Adjustment Surface'!$C$2='Data Validation'!$A$2,AG108,IF('Adjustment Surface'!$C$2='Data Validation'!$A$3,AH108,"Unknown Option Type")))/(AI108*SQRT(AE108)),0,1,FALSE))))*AJ108*(AD108/360)*AF108))</f>
        <v/>
      </c>
      <c r="AM108" s="15" t="str">
        <f>IF(AA108="","",SUM(AL$4:AL108))</f>
        <v/>
      </c>
      <c r="AO108" s="15" t="str">
        <f>IF(AA108="","",IF(AB108&lt;'Rate &amp; Vol Update'!$C$2,0,((((((IF('Adjustment Surface'!$C$2='Data Validation'!$A$2,AH108,IF('Adjustment Surface'!$C$2='Data Validation'!$A$3,AG108,"Unknown Option Type"))-IF('Adjustment Surface'!$C$2='Data Validation'!$A$2,AG108,IF('Adjustment Surface'!$C$2='Data Validation'!$A$3,AH108,"Unknown Option Type")))*(NORMDIST((IF('Adjustment Surface'!$C$2='Data Validation'!$A$2,AH108,IF('Adjustment Surface'!$C$2='Data Validation'!$A$3,AG108,"Unknown Option Type"))-IF('Adjustment Surface'!$C$2='Data Validation'!$A$2,AG108,IF('Adjustment Surface'!$C$2='Data Validation'!$A$3,AH108,"Unknown Option Type")))/((AI108+0.01%)*SQRT(AE108)),0,1,TRUE)))+(((AI108+0.01%)*SQRT(AE108))*(NORMDIST((IF('Adjustment Surface'!$C$2='Data Validation'!$A$2,AH108,IF('Adjustment Surface'!$C$2='Data Validation'!$A$3,AG108,"Unknown Option Type"))-IF('Adjustment Surface'!$C$2='Data Validation'!$A$2,AG108,IF('Adjustment Surface'!$C$2='Data Validation'!$A$3,AH108,"Unknown Option Type")))/((AI108+0.01%)*SQRT(AE108)),0,1,FALSE))))*AJ108*(AD108/360))-(AL108/AF108))*AF108)*AJ108))</f>
        <v/>
      </c>
      <c r="AP108" s="15" t="str">
        <f>IF(AA108="","",SUM(AO$4:AO108))</f>
        <v/>
      </c>
      <c r="AQ108" s="15"/>
      <c r="AR108" s="20"/>
      <c r="AT108" s="4" t="str">
        <f>IF(AU107=MAX('Adjustment Surface'!$C$14:$F$14),"",AU107)</f>
        <v/>
      </c>
      <c r="AU108" s="4" t="str">
        <f>IF(AT108="","",IF(AT108&lt;EDATE('Adjustment Surface'!$C$6,DATEDIF('Adjustment Surface'!$C$6,MAX('Adjustment Surface'!$C$14:$F$14),"M")),EDATE(AT$5,COUNT(AT$5:AT108)),IF(AT108=EDATE('Adjustment Surface'!$C$6,DATEDIF('Adjustment Surface'!$C$6,MAX('Adjustment Surface'!$C$14:$F$14),"M")),MAX('Adjustment Surface'!$C$14:$F$14),EDATE('Adjustment Surface'!$C$6,DATEDIF('Adjustment Surface'!$C$6,MAX('Adjustment Surface'!$C$14:$F$14),"M")))))</f>
        <v/>
      </c>
      <c r="AV108" s="3" t="str">
        <f t="shared" si="8"/>
        <v/>
      </c>
      <c r="AW108" s="5" t="str">
        <f>IF(AS108="","",(AU108-'Rate &amp; Vol Update'!$C$2)/360)</f>
        <v/>
      </c>
      <c r="AX108" s="15" t="str">
        <f>IF(AS108="","",IF('Adjustment Surface'!$C$3='Data Validation'!$C$2,'Adjustment Surface'!$C$4,_xlfn.IFNA(IF(INDEX(Schedules!$E$3:$E$123,MATCH('Bachelier Model'!AT108,Schedules!$B$3:$B$123,0))="",AX107,INDEX(Schedules!$E$3:$E$123,MATCH('Bachelier Model'!AT108,Schedules!$B$3:$B$123,0))),AX107)))</f>
        <v/>
      </c>
      <c r="AY108" s="16" t="str">
        <f>IF(AS108="","",'Adjustment Surface'!B$16)</f>
        <v/>
      </c>
      <c r="AZ108" s="16" t="str" cm="1">
        <f t="array" ref="AZ108">IF(AS108="","",FORECAST(AT108,INDEX('Rate &amp; Vol Update'!$C$6:$C$127,MATCH(INDEX('Rate &amp; Vol Update'!$B$6:$B$127,MATCH(AT108,'Rate &amp; Vol Update'!$B$6:$B$127,1)),'Rate &amp; Vol Update'!$B$6:$B$127,0)+IF('Adjustment Surface'!$C$11='Data Validation'!$E$3,-1,0)):INDEX('Rate &amp; Vol Update'!$C$6:$C$127,MATCH(INDEX('Rate &amp; Vol Update'!$B$6:$B$127,MATCH(AT108,'Rate &amp; Vol Update'!$B$6:$B$127,1)+1),'Rate &amp; Vol Update'!$B$6:$B$127,0)+IF('Adjustment Surface'!$C$11='Data Validation'!$E$3,-1,0)),INDEX('Rate &amp; Vol Update'!$B$6:$B$127,MATCH(AT108,'Rate &amp; Vol Update'!$B$6:$B$127,1)):INDEX('Rate &amp; Vol Update'!$B$6:$B$127,MATCH(AT108,'Rate &amp; Vol Update'!$B$6:$B$127,1)+1))/100)</f>
        <v/>
      </c>
      <c r="BA108" s="16" t="str" cm="1">
        <f t="array" ref="BA108">IF(AS108="","",IF(AT108&lt;'Rate &amp; Vol Update'!$C$2,0.001%,(1/((INDEX('Rate &amp; Vol Update'!$E$6:$Z$6,1,MATCH(AY108,'Rate &amp; Vol Update'!$E$6:$Z$6,1)+1)-INDEX('Rate &amp; Vol Update'!$E$6:$Z$6,1,MATCH(AY108,'Rate &amp; Vol Update'!$E$6:$Z$6,1)))*(INDEX('Rate &amp; Vol Update'!$B$8:$B$127,MATCH(AT108,'Rate &amp; Vol Update'!$B$8:$B$127,1)+1)-INDEX('Rate &amp; Vol Update'!$B$8:$B$127,MATCH(AT108,'Rate &amp; Vol Update'!$B$8:$B$127,1))))*(INDEX('Rate &amp; Vol Update'!$E$8:$Z$127,MATCH(INDEX('Rate &amp; Vol Update'!$B$8:$B$127,MATCH(AT108,'Rate &amp; Vol Update'!$B$8:$B$127,1)),'Rate &amp; Vol Update'!$B$8:$B$127,0),MATCH(INDEX('Rate &amp; Vol Update'!$E$6:$Z$6,1,MATCH(AY108,'Rate &amp; Vol Update'!$E$6:$Z$6,1)),'Rate &amp; Vol Update'!$E$6:$Z$6,0))*(INDEX('Rate &amp; Vol Update'!$E$6:$Z$6,1,MATCH(AY108,'Rate &amp; Vol Update'!$E$6:$Z$6,1)+1)-AY108)*(INDEX('Rate &amp; Vol Update'!$B$8:$B$127,MATCH(AT108,'Rate &amp; Vol Update'!$B$8:$B$127,1)+1)-AT108)+INDEX('Rate &amp; Vol Update'!$E$8:$Z$127,MATCH(INDEX('Rate &amp; Vol Update'!$B$8:$B$127,MATCH(AT108,'Rate &amp; Vol Update'!$B$8:$B$127,1)),'Rate &amp; Vol Update'!$B$8:$B$127,0),MATCH(INDEX('Rate &amp; Vol Update'!$E$6:$Z$6,1,MATCH(AY108,'Rate &amp; Vol Update'!$E$6:$Z$6,1)+1),'Rate &amp; Vol Update'!$E$6:$Z$6,0))*(AY108-INDEX('Rate &amp; Vol Update'!$E$6:$Z$6,1,MATCH(AY108,'Rate &amp; Vol Update'!$E$6:$Z$6,1)))*(INDEX('Rate &amp; Vol Update'!$B$8:$B$127,MATCH(AT108,'Rate &amp; Vol Update'!$B$8:$B$127,1)+1)-AT108)+INDEX('Rate &amp; Vol Update'!$E$8:$Z$127,MATCH(INDEX('Rate &amp; Vol Update'!$B$8:$B$127,MATCH(AT108,'Rate &amp; Vol Update'!$B$8:$B$127,1)+1),'Rate &amp; Vol Update'!$B$8:$B$127,0),MATCH(INDEX('Rate &amp; Vol Update'!$E$6:$Z$6,1,MATCH(AY108,'Rate &amp; Vol Update'!$E$6:$Z$6,1)),'Rate &amp; Vol Update'!$E$6:$Z$6,0))*(INDEX('Rate &amp; Vol Update'!$E$6:$Z$6,1,MATCH(AY108,'Rate &amp; Vol Update'!$E$6:$Z$6,1)+1)-AY108)*(AT108-INDEX('Rate &amp; Vol Update'!$B$8:$B$127,MATCH(AT108,'Rate &amp; Vol Update'!$B$8:$B$127,1)))+INDEX('Rate &amp; Vol Update'!$E$8:$Z$127,MATCH(INDEX('Rate &amp; Vol Update'!$B$8:$B$127,MATCH(AT108,'Rate &amp; Vol Update'!$B$8:$B$127,1)+1),'Rate &amp; Vol Update'!$B$8:$B$127,0),MATCH(INDEX('Rate &amp; Vol Update'!$E$6:$Z$6,1,MATCH(AY108,'Rate &amp; Vol Update'!$E$6:$Z$6,1)+1),'Rate &amp; Vol Update'!$E$6:$Z$6,0))*(AY108-INDEX('Rate &amp; Vol Update'!$E$6:$Z$6,1,MATCH(AY108,'Rate &amp; Vol Update'!$E$6:$Z$6,1)))*(AT108-INDEX('Rate &amp; Vol Update'!$B$8:$B$127,MATCH(AT108,'Rate &amp; Vol Update'!$B$8:$B$127,1)))))*0.01%))</f>
        <v/>
      </c>
      <c r="BB108" s="5" t="str">
        <f>IF(AS108="","",1/((1+AZ108)^((AU108-'Rate &amp; Vol Update'!$C$2)/360)))</f>
        <v/>
      </c>
      <c r="BD108" s="15" t="str">
        <f>IF(AS108="","",IF(AT108&lt;'Rate &amp; Vol Update'!$C$2,MAX(0,AZ108-AY108)*(AV108/360)*AX108,(((IF('Adjustment Surface'!$C$2='Data Validation'!$A$2,AZ108,IF('Adjustment Surface'!$C$2='Data Validation'!$A$3,AY108,"Unknown Option Type"))-IF('Adjustment Surface'!$C$2='Data Validation'!$A$2,AY108,IF('Adjustment Surface'!$C$2='Data Validation'!$A$3,AZ108,"Unknown Option Type")))*(NORMDIST((IF('Adjustment Surface'!$C$2='Data Validation'!$A$2,AZ108,IF('Adjustment Surface'!$C$2='Data Validation'!$A$3,AY108,"Unknown Option Type"))-IF('Adjustment Surface'!$C$2='Data Validation'!$A$2,AY108,IF('Adjustment Surface'!$C$2='Data Validation'!$A$3,AZ108,"Unknown Option Type")))/(BA108*SQRT(AW108)),0,1,TRUE)))+((BA108*SQRT(AW108))*(NORMDIST((IF('Adjustment Surface'!$C$2='Data Validation'!$A$2,AZ108,IF('Adjustment Surface'!$C$2='Data Validation'!$A$3,AY108,"Unknown Option Type"))-IF('Adjustment Surface'!$C$2='Data Validation'!$A$2,AY108,IF('Adjustment Surface'!$C$2='Data Validation'!$A$3,AZ108,"Unknown Option Type")))/(BA108*SQRT(AW108)),0,1,FALSE))))*BB108*(AV108/360)*AX108))</f>
        <v/>
      </c>
      <c r="BE108" s="15" t="str">
        <f>IF(AS108="","",SUM(BD$4:BD108))</f>
        <v/>
      </c>
      <c r="BG108" s="15" t="str">
        <f>IF(AS108="","",IF(AT108&lt;'Rate &amp; Vol Update'!$C$2,0,((((((IF('Adjustment Surface'!$C$2='Data Validation'!$A$2,AZ108,IF('Adjustment Surface'!$C$2='Data Validation'!$A$3,AY108,"Unknown Option Type"))-IF('Adjustment Surface'!$C$2='Data Validation'!$A$2,AY108,IF('Adjustment Surface'!$C$2='Data Validation'!$A$3,AZ108,"Unknown Option Type")))*(NORMDIST((IF('Adjustment Surface'!$C$2='Data Validation'!$A$2,AZ108,IF('Adjustment Surface'!$C$2='Data Validation'!$A$3,AY108,"Unknown Option Type"))-IF('Adjustment Surface'!$C$2='Data Validation'!$A$2,AY108,IF('Adjustment Surface'!$C$2='Data Validation'!$A$3,AZ108,"Unknown Option Type")))/((BA108+0.01%)*SQRT(AW108)),0,1,TRUE)))+(((BA108+0.01%)*SQRT(AW108))*(NORMDIST((IF('Adjustment Surface'!$C$2='Data Validation'!$A$2,AZ108,IF('Adjustment Surface'!$C$2='Data Validation'!$A$3,AY108,"Unknown Option Type"))-IF('Adjustment Surface'!$C$2='Data Validation'!$A$2,AY108,IF('Adjustment Surface'!$C$2='Data Validation'!$A$3,AZ108,"Unknown Option Type")))/((BA108+0.01%)*SQRT(AW108)),0,1,FALSE))))*BB108*(AV108/360))-(BD108/AX108))*AX108)*BB108))</f>
        <v/>
      </c>
      <c r="BH108" s="15" t="str">
        <f>IF(AS108="","",SUM(BG$4:BG108))</f>
        <v/>
      </c>
      <c r="BI108" s="15"/>
      <c r="BJ108" s="20"/>
      <c r="BL108" s="4" t="str">
        <f>IF(BM107=MAX('Adjustment Surface'!$C$14:$F$14),"",BM107)</f>
        <v/>
      </c>
      <c r="BM108" s="4" t="str">
        <f>IF(BL108="","",IF(BL108&lt;EDATE('Adjustment Surface'!$C$6,DATEDIF('Adjustment Surface'!$C$6,MAX('Adjustment Surface'!$C$14:$F$14),"M")),EDATE(BL$5,COUNT(BL$5:BL108)),IF(BL108=EDATE('Adjustment Surface'!$C$6,DATEDIF('Adjustment Surface'!$C$6,MAX('Adjustment Surface'!$C$14:$F$14),"M")),MAX('Adjustment Surface'!$C$14:$F$14),EDATE('Adjustment Surface'!$C$6,DATEDIF('Adjustment Surface'!$C$6,MAX('Adjustment Surface'!$C$14:$F$14),"M")))))</f>
        <v/>
      </c>
      <c r="BN108" s="3" t="str">
        <f t="shared" si="9"/>
        <v/>
      </c>
      <c r="BO108" s="5" t="str">
        <f>IF(BK108="","",(BM108-'Rate &amp; Vol Update'!$C$2)/360)</f>
        <v/>
      </c>
      <c r="BP108" s="15" t="str">
        <f>IF(BK108="","",IF('Adjustment Surface'!$C$3='Data Validation'!$C$2,'Adjustment Surface'!$C$4,_xlfn.IFNA(IF(INDEX(Schedules!$E$3:$E$123,MATCH('Bachelier Model'!BL108,Schedules!$B$3:$B$123,0))="",BP107,INDEX(Schedules!$E$3:$E$123,MATCH('Bachelier Model'!BL108,Schedules!$B$3:$B$123,0))),BP107)))</f>
        <v/>
      </c>
      <c r="BQ108" s="16" t="str">
        <f>IF(BK108="","",'Adjustment Surface'!B$17)</f>
        <v/>
      </c>
      <c r="BR108" s="16" t="str" cm="1">
        <f t="array" ref="BR108">IF(BK108="","",FORECAST(BL108,INDEX('Rate &amp; Vol Update'!$C$6:$C$127,MATCH(INDEX('Rate &amp; Vol Update'!$B$6:$B$127,MATCH(BL108,'Rate &amp; Vol Update'!$B$6:$B$127,1)),'Rate &amp; Vol Update'!$B$6:$B$127,0)+IF('Adjustment Surface'!$C$11='Data Validation'!$E$3,-1,0)):INDEX('Rate &amp; Vol Update'!$C$6:$C$127,MATCH(INDEX('Rate &amp; Vol Update'!$B$6:$B$127,MATCH(BL108,'Rate &amp; Vol Update'!$B$6:$B$127,1)+1),'Rate &amp; Vol Update'!$B$6:$B$127,0)+IF('Adjustment Surface'!$C$11='Data Validation'!$E$3,-1,0)),INDEX('Rate &amp; Vol Update'!$B$6:$B$127,MATCH(BL108,'Rate &amp; Vol Update'!$B$6:$B$127,1)):INDEX('Rate &amp; Vol Update'!$B$6:$B$127,MATCH(BL108,'Rate &amp; Vol Update'!$B$6:$B$127,1)+1))/100)</f>
        <v/>
      </c>
      <c r="BS108" s="16" t="str" cm="1">
        <f t="array" ref="BS108">IF(BK108="","",IF(BL108&lt;'Rate &amp; Vol Update'!$C$2,0.001%,(1/((INDEX('Rate &amp; Vol Update'!$E$6:$Z$6,1,MATCH(BQ108,'Rate &amp; Vol Update'!$E$6:$Z$6,1)+1)-INDEX('Rate &amp; Vol Update'!$E$6:$Z$6,1,MATCH(BQ108,'Rate &amp; Vol Update'!$E$6:$Z$6,1)))*(INDEX('Rate &amp; Vol Update'!$B$8:$B$127,MATCH(BL108,'Rate &amp; Vol Update'!$B$8:$B$127,1)+1)-INDEX('Rate &amp; Vol Update'!$B$8:$B$127,MATCH(BL108,'Rate &amp; Vol Update'!$B$8:$B$127,1))))*(INDEX('Rate &amp; Vol Update'!$E$8:$Z$127,MATCH(INDEX('Rate &amp; Vol Update'!$B$8:$B$127,MATCH(BL108,'Rate &amp; Vol Update'!$B$8:$B$127,1)),'Rate &amp; Vol Update'!$B$8:$B$127,0),MATCH(INDEX('Rate &amp; Vol Update'!$E$6:$Z$6,1,MATCH(BQ108,'Rate &amp; Vol Update'!$E$6:$Z$6,1)),'Rate &amp; Vol Update'!$E$6:$Z$6,0))*(INDEX('Rate &amp; Vol Update'!$E$6:$Z$6,1,MATCH(BQ108,'Rate &amp; Vol Update'!$E$6:$Z$6,1)+1)-BQ108)*(INDEX('Rate &amp; Vol Update'!$B$8:$B$127,MATCH(BL108,'Rate &amp; Vol Update'!$B$8:$B$127,1)+1)-BL108)+INDEX('Rate &amp; Vol Update'!$E$8:$Z$127,MATCH(INDEX('Rate &amp; Vol Update'!$B$8:$B$127,MATCH(BL108,'Rate &amp; Vol Update'!$B$8:$B$127,1)),'Rate &amp; Vol Update'!$B$8:$B$127,0),MATCH(INDEX('Rate &amp; Vol Update'!$E$6:$Z$6,1,MATCH(BQ108,'Rate &amp; Vol Update'!$E$6:$Z$6,1)+1),'Rate &amp; Vol Update'!$E$6:$Z$6,0))*(BQ108-INDEX('Rate &amp; Vol Update'!$E$6:$Z$6,1,MATCH(BQ108,'Rate &amp; Vol Update'!$E$6:$Z$6,1)))*(INDEX('Rate &amp; Vol Update'!$B$8:$B$127,MATCH(BL108,'Rate &amp; Vol Update'!$B$8:$B$127,1)+1)-BL108)+INDEX('Rate &amp; Vol Update'!$E$8:$Z$127,MATCH(INDEX('Rate &amp; Vol Update'!$B$8:$B$127,MATCH(BL108,'Rate &amp; Vol Update'!$B$8:$B$127,1)+1),'Rate &amp; Vol Update'!$B$8:$B$127,0),MATCH(INDEX('Rate &amp; Vol Update'!$E$6:$Z$6,1,MATCH(BQ108,'Rate &amp; Vol Update'!$E$6:$Z$6,1)),'Rate &amp; Vol Update'!$E$6:$Z$6,0))*(INDEX('Rate &amp; Vol Update'!$E$6:$Z$6,1,MATCH(BQ108,'Rate &amp; Vol Update'!$E$6:$Z$6,1)+1)-BQ108)*(BL108-INDEX('Rate &amp; Vol Update'!$B$8:$B$127,MATCH(BL108,'Rate &amp; Vol Update'!$B$8:$B$127,1)))+INDEX('Rate &amp; Vol Update'!$E$8:$Z$127,MATCH(INDEX('Rate &amp; Vol Update'!$B$8:$B$127,MATCH(BL108,'Rate &amp; Vol Update'!$B$8:$B$127,1)+1),'Rate &amp; Vol Update'!$B$8:$B$127,0),MATCH(INDEX('Rate &amp; Vol Update'!$E$6:$Z$6,1,MATCH(BQ108,'Rate &amp; Vol Update'!$E$6:$Z$6,1)+1),'Rate &amp; Vol Update'!$E$6:$Z$6,0))*(BQ108-INDEX('Rate &amp; Vol Update'!$E$6:$Z$6,1,MATCH(BQ108,'Rate &amp; Vol Update'!$E$6:$Z$6,1)))*(BL108-INDEX('Rate &amp; Vol Update'!$B$8:$B$127,MATCH(BL108,'Rate &amp; Vol Update'!$B$8:$B$127,1)))))*0.01%))</f>
        <v/>
      </c>
      <c r="BT108" s="5" t="str">
        <f>IF(BK108="","",1/((1+BR108)^((BM108-'Rate &amp; Vol Update'!$C$2)/360)))</f>
        <v/>
      </c>
      <c r="BV108" s="15" t="str">
        <f>IF(BK108="","",IF(BL108&lt;'Rate &amp; Vol Update'!$C$2,MAX(0,BR108-BQ108)*(BN108/360)*BP108,(((IF('Adjustment Surface'!$C$2='Data Validation'!$A$2,BR108,IF('Adjustment Surface'!$C$2='Data Validation'!$A$3,BQ108,"Unknown Option Type"))-IF('Adjustment Surface'!$C$2='Data Validation'!$A$2,BQ108,IF('Adjustment Surface'!$C$2='Data Validation'!$A$3,BR108,"Unknown Option Type")))*(NORMDIST((IF('Adjustment Surface'!$C$2='Data Validation'!$A$2,BR108,IF('Adjustment Surface'!$C$2='Data Validation'!$A$3,BQ108,"Unknown Option Type"))-IF('Adjustment Surface'!$C$2='Data Validation'!$A$2,BQ108,IF('Adjustment Surface'!$C$2='Data Validation'!$A$3,BR108,"Unknown Option Type")))/(BS108*SQRT(BO108)),0,1,TRUE)))+((BS108*SQRT(BO108))*(NORMDIST((IF('Adjustment Surface'!$C$2='Data Validation'!$A$2,BR108,IF('Adjustment Surface'!$C$2='Data Validation'!$A$3,BQ108,"Unknown Option Type"))-IF('Adjustment Surface'!$C$2='Data Validation'!$A$2,BQ108,IF('Adjustment Surface'!$C$2='Data Validation'!$A$3,BR108,"Unknown Option Type")))/(BS108*SQRT(BO108)),0,1,FALSE))))*BT108*(BN108/360)*BP108))</f>
        <v/>
      </c>
      <c r="BW108" s="15" t="str">
        <f>IF(BK108="","",SUM(BV$4:BV108))</f>
        <v/>
      </c>
      <c r="BY108" s="15" t="str">
        <f>IF(BK108="","",IF(BL108&lt;'Rate &amp; Vol Update'!$C$2,0,((((((IF('Adjustment Surface'!$C$2='Data Validation'!$A$2,BR108,IF('Adjustment Surface'!$C$2='Data Validation'!$A$3,BQ108,"Unknown Option Type"))-IF('Adjustment Surface'!$C$2='Data Validation'!$A$2,BQ108,IF('Adjustment Surface'!$C$2='Data Validation'!$A$3,BR108,"Unknown Option Type")))*(NORMDIST((IF('Adjustment Surface'!$C$2='Data Validation'!$A$2,BR108,IF('Adjustment Surface'!$C$2='Data Validation'!$A$3,BQ108,"Unknown Option Type"))-IF('Adjustment Surface'!$C$2='Data Validation'!$A$2,BQ108,IF('Adjustment Surface'!$C$2='Data Validation'!$A$3,BR108,"Unknown Option Type")))/((BS108+0.01%)*SQRT(BO108)),0,1,TRUE)))+(((BS108+0.01%)*SQRT(BO108))*(NORMDIST((IF('Adjustment Surface'!$C$2='Data Validation'!$A$2,BR108,IF('Adjustment Surface'!$C$2='Data Validation'!$A$3,BQ108,"Unknown Option Type"))-IF('Adjustment Surface'!$C$2='Data Validation'!$A$2,BQ108,IF('Adjustment Surface'!$C$2='Data Validation'!$A$3,BR108,"Unknown Option Type")))/((BS108+0.01%)*SQRT(BO108)),0,1,FALSE))))*BT108*(BN108/360))-(BV108/BP108))*BP108)*BT108))</f>
        <v/>
      </c>
      <c r="BZ108" s="15" t="str">
        <f>IF(BK108="","",SUM(BY$4:BY108))</f>
        <v/>
      </c>
      <c r="CA108" s="15"/>
      <c r="CB108" s="20"/>
      <c r="CD108" s="4" t="str">
        <f>IF(CE107=MAX('Adjustment Surface'!$C$14:$F$14),"",CE107)</f>
        <v/>
      </c>
      <c r="CE108" s="4" t="str">
        <f>IF(CD108="","",IF(CD108&lt;EDATE('Adjustment Surface'!$C$6,DATEDIF('Adjustment Surface'!$C$6,MAX('Adjustment Surface'!$C$14:$F$14),"M")),EDATE(CD$5,COUNT(CD$5:CD108)),IF(CD108=EDATE('Adjustment Surface'!$C$6,DATEDIF('Adjustment Surface'!$C$6,MAX('Adjustment Surface'!$C$14:$F$14),"M")),MAX('Adjustment Surface'!$C$14:$F$14),EDATE('Adjustment Surface'!$C$6,DATEDIF('Adjustment Surface'!$C$6,MAX('Adjustment Surface'!$C$14:$F$14),"M")))))</f>
        <v/>
      </c>
      <c r="CF108" s="3" t="str">
        <f t="shared" si="10"/>
        <v/>
      </c>
      <c r="CG108" s="5" t="str">
        <f>IF(CC108="","",(CE108-'Rate &amp; Vol Update'!$C$2)/360)</f>
        <v/>
      </c>
      <c r="CH108" s="15" t="str">
        <f>IF(CC108="","",IF('Adjustment Surface'!$C$3='Data Validation'!$C$2,'Adjustment Surface'!$C$4,_xlfn.IFNA(IF(INDEX(Schedules!$E$3:$E$123,MATCH('Bachelier Model'!CD108,Schedules!$B$3:$B$123,0))="",CH107,INDEX(Schedules!$E$3:$E$123,MATCH('Bachelier Model'!CD108,Schedules!$B$3:$B$123,0))),CH107)))</f>
        <v/>
      </c>
      <c r="CI108" s="16" t="str">
        <f>IF(CC108="","",'Adjustment Surface'!B$18)</f>
        <v/>
      </c>
      <c r="CJ108" s="16" t="str" cm="1">
        <f t="array" ref="CJ108">IF(CC108="","",FORECAST(CD108,INDEX('Rate &amp; Vol Update'!$C$6:$C$127,MATCH(INDEX('Rate &amp; Vol Update'!$B$6:$B$127,MATCH(CD108,'Rate &amp; Vol Update'!$B$6:$B$127,1)),'Rate &amp; Vol Update'!$B$6:$B$127,0)+IF('Adjustment Surface'!$C$11='Data Validation'!$E$3,-1,0)):INDEX('Rate &amp; Vol Update'!$C$6:$C$127,MATCH(INDEX('Rate &amp; Vol Update'!$B$6:$B$127,MATCH(CD108,'Rate &amp; Vol Update'!$B$6:$B$127,1)+1),'Rate &amp; Vol Update'!$B$6:$B$127,0)+IF('Adjustment Surface'!$C$11='Data Validation'!$E$3,-1,0)),INDEX('Rate &amp; Vol Update'!$B$6:$B$127,MATCH(CD108,'Rate &amp; Vol Update'!$B$6:$B$127,1)):INDEX('Rate &amp; Vol Update'!$B$6:$B$127,MATCH(CD108,'Rate &amp; Vol Update'!$B$6:$B$127,1)+1))/100)</f>
        <v/>
      </c>
      <c r="CK108" s="16" t="str" cm="1">
        <f t="array" ref="CK108">IF(CC108="","",IF(CD108&lt;'Rate &amp; Vol Update'!$C$2,0.001%,(1/((INDEX('Rate &amp; Vol Update'!$E$6:$Z$6,1,MATCH(CI108,'Rate &amp; Vol Update'!$E$6:$Z$6,1)+1)-INDEX('Rate &amp; Vol Update'!$E$6:$Z$6,1,MATCH(CI108,'Rate &amp; Vol Update'!$E$6:$Z$6,1)))*(INDEX('Rate &amp; Vol Update'!$B$8:$B$127,MATCH(CD108,'Rate &amp; Vol Update'!$B$8:$B$127,1)+1)-INDEX('Rate &amp; Vol Update'!$B$8:$B$127,MATCH(CD108,'Rate &amp; Vol Update'!$B$8:$B$127,1))))*(INDEX('Rate &amp; Vol Update'!$E$8:$Z$127,MATCH(INDEX('Rate &amp; Vol Update'!$B$8:$B$127,MATCH(CD108,'Rate &amp; Vol Update'!$B$8:$B$127,1)),'Rate &amp; Vol Update'!$B$8:$B$127,0),MATCH(INDEX('Rate &amp; Vol Update'!$E$6:$Z$6,1,MATCH(CI108,'Rate &amp; Vol Update'!$E$6:$Z$6,1)),'Rate &amp; Vol Update'!$E$6:$Z$6,0))*(INDEX('Rate &amp; Vol Update'!$E$6:$Z$6,1,MATCH(CI108,'Rate &amp; Vol Update'!$E$6:$Z$6,1)+1)-CI108)*(INDEX('Rate &amp; Vol Update'!$B$8:$B$127,MATCH(CD108,'Rate &amp; Vol Update'!$B$8:$B$127,1)+1)-CD108)+INDEX('Rate &amp; Vol Update'!$E$8:$Z$127,MATCH(INDEX('Rate &amp; Vol Update'!$B$8:$B$127,MATCH(CD108,'Rate &amp; Vol Update'!$B$8:$B$127,1)),'Rate &amp; Vol Update'!$B$8:$B$127,0),MATCH(INDEX('Rate &amp; Vol Update'!$E$6:$Z$6,1,MATCH(CI108,'Rate &amp; Vol Update'!$E$6:$Z$6,1)+1),'Rate &amp; Vol Update'!$E$6:$Z$6,0))*(CI108-INDEX('Rate &amp; Vol Update'!$E$6:$Z$6,1,MATCH(CI108,'Rate &amp; Vol Update'!$E$6:$Z$6,1)))*(INDEX('Rate &amp; Vol Update'!$B$8:$B$127,MATCH(CD108,'Rate &amp; Vol Update'!$B$8:$B$127,1)+1)-CD108)+INDEX('Rate &amp; Vol Update'!$E$8:$Z$127,MATCH(INDEX('Rate &amp; Vol Update'!$B$8:$B$127,MATCH(CD108,'Rate &amp; Vol Update'!$B$8:$B$127,1)+1),'Rate &amp; Vol Update'!$B$8:$B$127,0),MATCH(INDEX('Rate &amp; Vol Update'!$E$6:$Z$6,1,MATCH(CI108,'Rate &amp; Vol Update'!$E$6:$Z$6,1)),'Rate &amp; Vol Update'!$E$6:$Z$6,0))*(INDEX('Rate &amp; Vol Update'!$E$6:$Z$6,1,MATCH(CI108,'Rate &amp; Vol Update'!$E$6:$Z$6,1)+1)-CI108)*(CD108-INDEX('Rate &amp; Vol Update'!$B$8:$B$127,MATCH(CD108,'Rate &amp; Vol Update'!$B$8:$B$127,1)))+INDEX('Rate &amp; Vol Update'!$E$8:$Z$127,MATCH(INDEX('Rate &amp; Vol Update'!$B$8:$B$127,MATCH(CD108,'Rate &amp; Vol Update'!$B$8:$B$127,1)+1),'Rate &amp; Vol Update'!$B$8:$B$127,0),MATCH(INDEX('Rate &amp; Vol Update'!$E$6:$Z$6,1,MATCH(CI108,'Rate &amp; Vol Update'!$E$6:$Z$6,1)+1),'Rate &amp; Vol Update'!$E$6:$Z$6,0))*(CI108-INDEX('Rate &amp; Vol Update'!$E$6:$Z$6,1,MATCH(CI108,'Rate &amp; Vol Update'!$E$6:$Z$6,1)))*(CD108-INDEX('Rate &amp; Vol Update'!$B$8:$B$127,MATCH(CD108,'Rate &amp; Vol Update'!$B$8:$B$127,1)))))*0.01%))</f>
        <v/>
      </c>
      <c r="CL108" s="5" t="str">
        <f>IF(CC108="","",1/((1+CJ108)^((CE108-'Rate &amp; Vol Update'!$C$2)/360)))</f>
        <v/>
      </c>
      <c r="CN108" s="15" t="str">
        <f>IF(CC108="","",IF(CD108&lt;'Rate &amp; Vol Update'!$C$2,MAX(0,CJ108-CI108)*(CF108/360)*CH108,(((IF('Adjustment Surface'!$C$2='Data Validation'!$A$2,CJ108,IF('Adjustment Surface'!$C$2='Data Validation'!$A$3,CI108,"Unknown Option Type"))-IF('Adjustment Surface'!$C$2='Data Validation'!$A$2,CI108,IF('Adjustment Surface'!$C$2='Data Validation'!$A$3,CJ108,"Unknown Option Type")))*(NORMDIST((IF('Adjustment Surface'!$C$2='Data Validation'!$A$2,CJ108,IF('Adjustment Surface'!$C$2='Data Validation'!$A$3,CI108,"Unknown Option Type"))-IF('Adjustment Surface'!$C$2='Data Validation'!$A$2,CI108,IF('Adjustment Surface'!$C$2='Data Validation'!$A$3,CJ108,"Unknown Option Type")))/(CK108*SQRT(CG108)),0,1,TRUE)))+((CK108*SQRT(CG108))*(NORMDIST((IF('Adjustment Surface'!$C$2='Data Validation'!$A$2,CJ108,IF('Adjustment Surface'!$C$2='Data Validation'!$A$3,CI108,"Unknown Option Type"))-IF('Adjustment Surface'!$C$2='Data Validation'!$A$2,CI108,IF('Adjustment Surface'!$C$2='Data Validation'!$A$3,CJ108,"Unknown Option Type")))/(CK108*SQRT(CG108)),0,1,FALSE))))*CL108*(CF108/360)*CH108))</f>
        <v/>
      </c>
      <c r="CO108" s="15" t="str">
        <f>IF(CC108="","",SUM(CN$4:CN108))</f>
        <v/>
      </c>
      <c r="CQ108" s="15" t="str">
        <f>IF(CC108="","",IF(CD108&lt;'Rate &amp; Vol Update'!$C$2,0,((((((IF('Adjustment Surface'!$C$2='Data Validation'!$A$2,CJ108,IF('Adjustment Surface'!$C$2='Data Validation'!$A$3,CI108,"Unknown Option Type"))-IF('Adjustment Surface'!$C$2='Data Validation'!$A$2,CI108,IF('Adjustment Surface'!$C$2='Data Validation'!$A$3,CJ108,"Unknown Option Type")))*(NORMDIST((IF('Adjustment Surface'!$C$2='Data Validation'!$A$2,CJ108,IF('Adjustment Surface'!$C$2='Data Validation'!$A$3,CI108,"Unknown Option Type"))-IF('Adjustment Surface'!$C$2='Data Validation'!$A$2,CI108,IF('Adjustment Surface'!$C$2='Data Validation'!$A$3,CJ108,"Unknown Option Type")))/((CK108+0.01%)*SQRT(CG108)),0,1,TRUE)))+(((CK108+0.01%)*SQRT(CG108))*(NORMDIST((IF('Adjustment Surface'!$C$2='Data Validation'!$A$2,CJ108,IF('Adjustment Surface'!$C$2='Data Validation'!$A$3,CI108,"Unknown Option Type"))-IF('Adjustment Surface'!$C$2='Data Validation'!$A$2,CI108,IF('Adjustment Surface'!$C$2='Data Validation'!$A$3,CJ108,"Unknown Option Type")))/((CK108+0.01%)*SQRT(CG108)),0,1,FALSE))))*CL108*(CF108/360))-(CN108/CH108))*CH108)*CL108))</f>
        <v/>
      </c>
      <c r="CR108" s="15" t="str">
        <f>IF(CC108="","",SUM(CQ$4:CQ108))</f>
        <v/>
      </c>
    </row>
    <row r="109" spans="7:96" x14ac:dyDescent="0.25">
      <c r="G109" s="28"/>
      <c r="J109" s="4" t="str">
        <f>IF(K108='Adjustment Surface'!C$8,"",K108)</f>
        <v/>
      </c>
      <c r="K109" s="4" t="str">
        <f>IF(J109="","",IF(J109&lt;'Adjustment Surface'!C$7,EDATE(J$5,COUNT(J$5:J109)),IF(J109='Adjustment Surface'!C$7,'Adjustment Surface'!C$8,'Adjustment Surface'!C$7)))</f>
        <v/>
      </c>
      <c r="L109" s="3" t="str">
        <f t="shared" si="6"/>
        <v/>
      </c>
      <c r="M109" s="5" t="str">
        <f>IF(I109="","",(K109-'Rate &amp; Vol Update'!$C$2)/360)</f>
        <v/>
      </c>
      <c r="N109" s="15" t="str">
        <f>IF(I109="","",IF('Adjustment Surface'!C$3='Data Validation'!$C$2,'Adjustment Surface'!C$4,IF(INDEX(Schedules!$E$3:$E$123,MATCH('Bachelier Model'!J109,Schedules!$B$3:$B$123,0))="",N108,INDEX(Schedules!$E$3:$E$123,MATCH('Bachelier Model'!J109,Schedules!$B$3:$B$123,0)))))</f>
        <v/>
      </c>
      <c r="O109" s="16" t="str">
        <f>IF(I109="","",IF('Adjustment Surface'!C$9='Data Validation'!$D$2,'Adjustment Surface'!C$10,IF(INDEX(Schedules!$H$3:$H$123,MATCH('Bachelier Model'!J109,Schedules!$B$3:$B$123,0))="",O108,INDEX(Schedules!$H$3:$H$123,MATCH('Bachelier Model'!J109,Schedules!$B$3:$B$123,0)))))</f>
        <v/>
      </c>
      <c r="P109" s="16" t="str" cm="1">
        <f t="array" ref="P109">IF(I109="","",FORECAST(J109,INDEX('Rate &amp; Vol Update'!$C$6:$C$127,MATCH(INDEX('Rate &amp; Vol Update'!$B$6:$B$127,MATCH(J109,'Rate &amp; Vol Update'!$B$6:$B$127,1)),'Rate &amp; Vol Update'!$B$6:$B$127,0)+IF('Adjustment Surface'!C$11='Data Validation'!$E$3,-1,0)):INDEX('Rate &amp; Vol Update'!$C$6:$C$127,MATCH(INDEX('Rate &amp; Vol Update'!$B$6:$B$127,MATCH(J109,'Rate &amp; Vol Update'!$B$6:$B$127,1)+1),'Rate &amp; Vol Update'!$B$6:$B$127,0)+IF('Adjustment Surface'!C$11='Data Validation'!$E$3,-1,0)),INDEX('Rate &amp; Vol Update'!$B$6:$B$127,MATCH(J109,'Rate &amp; Vol Update'!$B$6:$B$127,1)):INDEX('Rate &amp; Vol Update'!$B$6:$B$127,MATCH(J109,'Rate &amp; Vol Update'!$B$6:$B$127,1)+1))/100)</f>
        <v/>
      </c>
      <c r="Q109" s="16" t="str" cm="1">
        <f t="array" ref="Q109">IF(I109="","",IF(J109&lt;'Rate &amp; Vol Update'!$C$2,0.001%,(1/((INDEX('Rate &amp; Vol Update'!$E$6:$Z$6,1,MATCH(O109,'Rate &amp; Vol Update'!$E$6:$Z$6,1)+1)-INDEX('Rate &amp; Vol Update'!$E$6:$Z$6,1,MATCH(O109,'Rate &amp; Vol Update'!$E$6:$Z$6,1)))*(INDEX('Rate &amp; Vol Update'!$B$8:$B$127,MATCH(J109,'Rate &amp; Vol Update'!$B$8:$B$127,1)+1)-INDEX('Rate &amp; Vol Update'!$B$8:$B$127,MATCH(J109,'Rate &amp; Vol Update'!$B$8:$B$127,1))))*(INDEX('Rate &amp; Vol Update'!$E$8:$Z$127,MATCH(INDEX('Rate &amp; Vol Update'!$B$8:$B$127,MATCH(J109,'Rate &amp; Vol Update'!$B$8:$B$127,1)),'Rate &amp; Vol Update'!$B$8:$B$127,0),MATCH(INDEX('Rate &amp; Vol Update'!$E$6:$Z$6,1,MATCH(O109,'Rate &amp; Vol Update'!$E$6:$Z$6,1)),'Rate &amp; Vol Update'!$E$6:$Z$6,0))*(INDEX('Rate &amp; Vol Update'!$E$6:$Z$6,1,MATCH(O109,'Rate &amp; Vol Update'!$E$6:$Z$6,1)+1)-O109)*(INDEX('Rate &amp; Vol Update'!$B$8:$B$127,MATCH(J109,'Rate &amp; Vol Update'!$B$8:$B$127,1)+1)-J109)+INDEX('Rate &amp; Vol Update'!$E$8:$Z$127,MATCH(INDEX('Rate &amp; Vol Update'!$B$8:$B$127,MATCH(J109,'Rate &amp; Vol Update'!$B$8:$B$127,1)),'Rate &amp; Vol Update'!$B$8:$B$127,0),MATCH(INDEX('Rate &amp; Vol Update'!$E$6:$Z$6,1,MATCH(O109,'Rate &amp; Vol Update'!$E$6:$Z$6,1)+1),'Rate &amp; Vol Update'!$E$6:$Z$6,0))*(O109-INDEX('Rate &amp; Vol Update'!$E$6:$Z$6,1,MATCH(O109,'Rate &amp; Vol Update'!$E$6:$Z$6,1)))*(INDEX('Rate &amp; Vol Update'!$B$8:$B$127,MATCH(J109,'Rate &amp; Vol Update'!$B$8:$B$127,1)+1)-J109)+INDEX('Rate &amp; Vol Update'!$E$8:$Z$127,MATCH(INDEX('Rate &amp; Vol Update'!$B$8:$B$127,MATCH(J109,'Rate &amp; Vol Update'!$B$8:$B$127,1)+1),'Rate &amp; Vol Update'!$B$8:$B$127,0),MATCH(INDEX('Rate &amp; Vol Update'!$E$6:$Z$6,1,MATCH(O109,'Rate &amp; Vol Update'!$E$6:$Z$6,1)),'Rate &amp; Vol Update'!$E$6:$Z$6,0))*(INDEX('Rate &amp; Vol Update'!$E$6:$Z$6,1,MATCH(O109,'Rate &amp; Vol Update'!$E$6:$Z$6,1)+1)-O109)*(J109-INDEX('Rate &amp; Vol Update'!$B$8:$B$127,MATCH(J109,'Rate &amp; Vol Update'!$B$8:$B$127,1)))+INDEX('Rate &amp; Vol Update'!$E$8:$Z$127,MATCH(INDEX('Rate &amp; Vol Update'!$B$8:$B$127,MATCH(J109,'Rate &amp; Vol Update'!$B$8:$B$127,1)+1),'Rate &amp; Vol Update'!$B$8:$B$127,0),MATCH(INDEX('Rate &amp; Vol Update'!$E$6:$Z$6,1,MATCH(O109,'Rate &amp; Vol Update'!$E$6:$Z$6,1)+1),'Rate &amp; Vol Update'!$E$6:$Z$6,0))*(O109-INDEX('Rate &amp; Vol Update'!$E$6:$Z$6,1,MATCH(O109,'Rate &amp; Vol Update'!$E$6:$Z$6,1)))*(J109-INDEX('Rate &amp; Vol Update'!$B$8:$B$127,MATCH(J109,'Rate &amp; Vol Update'!$B$8:$B$127,1)))))*0.01%))</f>
        <v/>
      </c>
      <c r="R109" s="5" t="str">
        <f>IF(I109="","",1/((1+P109)^((K109-'Rate &amp; Vol Update'!$C$2)/360)))</f>
        <v/>
      </c>
      <c r="T109" s="15" t="str">
        <f>IF(I109="","",IF(J109&lt;'Rate &amp; Vol Update'!$C$2,MAX(0,P109-O109)*(L109/360)*N109,(((IF('Adjustment Surface'!C$2='Data Validation'!$A$2,P109,IF('Adjustment Surface'!C$2='Data Validation'!$A$3,O109,"Unknown Option Type"))-IF('Adjustment Surface'!C$2='Data Validation'!$A$2,O109,IF('Adjustment Surface'!C$2='Data Validation'!$A$3,P109,"Unknown Option Type")))*(NORMDIST((IF('Adjustment Surface'!C$2='Data Validation'!$A$2,P109,IF('Adjustment Surface'!C$2='Data Validation'!$A$3,O109,"Unknown Option Type"))-IF('Adjustment Surface'!C$2='Data Validation'!$A$2,O109,IF('Adjustment Surface'!C$2='Data Validation'!$A$3,P109,"Unknown Option Type")))/(Q109*SQRT(M109)),0,1,TRUE)))+((Q109*SQRT(M109))*(NORMDIST((IF('Adjustment Surface'!C$2='Data Validation'!$A$2,P109,IF('Adjustment Surface'!C$2='Data Validation'!$A$3,O109,"Unknown Option Type"))-IF('Adjustment Surface'!C$2='Data Validation'!$A$2,O109,IF('Adjustment Surface'!C$2='Data Validation'!$A$3,P109,"Unknown Option Type")))/(Q109*SQRT(M109)),0,1,FALSE))))*R109*(L109/360)*N109))</f>
        <v/>
      </c>
      <c r="U109" s="15" t="str">
        <f>IF(I109="","",SUM(T$4:T109))</f>
        <v/>
      </c>
      <c r="W109" s="15" t="str">
        <f>IF(I109="","",IF(J109&lt;'Rate &amp; Vol Update'!$C$2,0,((((((IF('Adjustment Surface'!C$2='Data Validation'!$A$2,P109,IF('Adjustment Surface'!C$2='Data Validation'!$A$3,O109,"Unknown Option Type"))-IF('Adjustment Surface'!C$2='Data Validation'!$A$2,O109,IF('Adjustment Surface'!C$2='Data Validation'!$A$3,P109,"Unknown Option Type")))*(NORMDIST((IF('Adjustment Surface'!C$2='Data Validation'!$A$2,P109,IF('Adjustment Surface'!C$2='Data Validation'!$A$3,O109,"Unknown Option Type"))-IF('Adjustment Surface'!C$2='Data Validation'!$A$2,O109,IF('Adjustment Surface'!C$2='Data Validation'!$A$3,P109,"Unknown Option Type")))/((Q109+0.01%)*SQRT(M109)),0,1,TRUE)))+(((Q109+0.01%)*SQRT(M109))*(NORMDIST((IF('Adjustment Surface'!C$2='Data Validation'!$A$2,P109,IF('Adjustment Surface'!C$2='Data Validation'!$A$3,O109,"Unknown Option Type"))-IF('Adjustment Surface'!C$2='Data Validation'!$A$2,O109,IF('Adjustment Surface'!C$2='Data Validation'!$A$3,P109,"Unknown Option Type")))/((Q109+0.01%)*SQRT(M109)),0,1,FALSE))))*R109*(L109/360))-(T109/N109))*N109)*R109))</f>
        <v/>
      </c>
      <c r="X109" s="15" t="str">
        <f>IF(I109="","",SUM(W$4:W109))</f>
        <v/>
      </c>
      <c r="Y109" s="15"/>
      <c r="Z109" s="20"/>
      <c r="AB109" s="4" t="str">
        <f>IF(AC108=MAX('Adjustment Surface'!$C$14:$F$14),"",AC108)</f>
        <v/>
      </c>
      <c r="AC109" s="4" t="str">
        <f>IF(AB109="","",IF(AB109&lt;EDATE('Adjustment Surface'!$C$6,DATEDIF('Adjustment Surface'!$C$6,MAX('Adjustment Surface'!$C$14:$F$14),"M")),EDATE(AB$5,COUNT(AB$5:AB109)),IF(AB109=EDATE('Adjustment Surface'!$C$6,DATEDIF('Adjustment Surface'!$C$6,MAX('Adjustment Surface'!$C$14:$F$14),"M")),MAX('Adjustment Surface'!$C$14:$F$14),EDATE('Adjustment Surface'!$C$6,DATEDIF('Adjustment Surface'!$C$6,MAX('Adjustment Surface'!$C$14:$F$14),"M")))))</f>
        <v/>
      </c>
      <c r="AD109" s="3" t="str">
        <f t="shared" si="7"/>
        <v/>
      </c>
      <c r="AE109" s="5" t="str">
        <f>IF(AA109="","",(AC109-'Rate &amp; Vol Update'!$C$2)/360)</f>
        <v/>
      </c>
      <c r="AF109" s="15" t="str">
        <f>IF(AA109="","",IF('Adjustment Surface'!$C$3='Data Validation'!$C$2,'Adjustment Surface'!$C$4,_xlfn.IFNA(IF(INDEX(Schedules!$E$3:$E$123,MATCH('Bachelier Model'!AB109,Schedules!$B$3:$B$123,0))="",AF108,INDEX(Schedules!$E$3:$E$123,MATCH('Bachelier Model'!AB109,Schedules!$B$3:$B$123,0))),AF108)))</f>
        <v/>
      </c>
      <c r="AG109" s="16" t="str">
        <f>IF(AA109="","",'Adjustment Surface'!B$15)</f>
        <v/>
      </c>
      <c r="AH109" s="16" t="str" cm="1">
        <f t="array" ref="AH109">IF(AA109="","",FORECAST(AB109,INDEX('Rate &amp; Vol Update'!$C$6:$C$127,MATCH(INDEX('Rate &amp; Vol Update'!$B$6:$B$127,MATCH(AB109,'Rate &amp; Vol Update'!$B$6:$B$127,1)),'Rate &amp; Vol Update'!$B$6:$B$127,0)+IF('Adjustment Surface'!$C$11='Data Validation'!$E$3,-1,0)):INDEX('Rate &amp; Vol Update'!$C$6:$C$127,MATCH(INDEX('Rate &amp; Vol Update'!$B$6:$B$127,MATCH(AB109,'Rate &amp; Vol Update'!$B$6:$B$127,1)+1),'Rate &amp; Vol Update'!$B$6:$B$127,0)+IF('Adjustment Surface'!$C$11='Data Validation'!$E$3,-1,0)),INDEX('Rate &amp; Vol Update'!$B$6:$B$127,MATCH(AB109,'Rate &amp; Vol Update'!$B$6:$B$127,1)):INDEX('Rate &amp; Vol Update'!$B$6:$B$127,MATCH(AB109,'Rate &amp; Vol Update'!$B$6:$B$127,1)+1))/100)</f>
        <v/>
      </c>
      <c r="AI109" s="16" t="str" cm="1">
        <f t="array" ref="AI109">IF(AA109="","",IF(AB109&lt;'Rate &amp; Vol Update'!$C$2,0.001%,(1/((INDEX('Rate &amp; Vol Update'!$E$6:$Z$6,1,MATCH(AG109,'Rate &amp; Vol Update'!$E$6:$Z$6,1)+1)-INDEX('Rate &amp; Vol Update'!$E$6:$Z$6,1,MATCH(AG109,'Rate &amp; Vol Update'!$E$6:$Z$6,1)))*(INDEX('Rate &amp; Vol Update'!$B$8:$B$127,MATCH(AB109,'Rate &amp; Vol Update'!$B$8:$B$127,1)+1)-INDEX('Rate &amp; Vol Update'!$B$8:$B$127,MATCH(AB109,'Rate &amp; Vol Update'!$B$8:$B$127,1))))*(INDEX('Rate &amp; Vol Update'!$E$8:$Z$127,MATCH(INDEX('Rate &amp; Vol Update'!$B$8:$B$127,MATCH(AB109,'Rate &amp; Vol Update'!$B$8:$B$127,1)),'Rate &amp; Vol Update'!$B$8:$B$127,0),MATCH(INDEX('Rate &amp; Vol Update'!$E$6:$Z$6,1,MATCH(AG109,'Rate &amp; Vol Update'!$E$6:$Z$6,1)),'Rate &amp; Vol Update'!$E$6:$Z$6,0))*(INDEX('Rate &amp; Vol Update'!$E$6:$Z$6,1,MATCH(AG109,'Rate &amp; Vol Update'!$E$6:$Z$6,1)+1)-AG109)*(INDEX('Rate &amp; Vol Update'!$B$8:$B$127,MATCH(AB109,'Rate &amp; Vol Update'!$B$8:$B$127,1)+1)-AB109)+INDEX('Rate &amp; Vol Update'!$E$8:$Z$127,MATCH(INDEX('Rate &amp; Vol Update'!$B$8:$B$127,MATCH(AB109,'Rate &amp; Vol Update'!$B$8:$B$127,1)),'Rate &amp; Vol Update'!$B$8:$B$127,0),MATCH(INDEX('Rate &amp; Vol Update'!$E$6:$Z$6,1,MATCH(AG109,'Rate &amp; Vol Update'!$E$6:$Z$6,1)+1),'Rate &amp; Vol Update'!$E$6:$Z$6,0))*(AG109-INDEX('Rate &amp; Vol Update'!$E$6:$Z$6,1,MATCH(AG109,'Rate &amp; Vol Update'!$E$6:$Z$6,1)))*(INDEX('Rate &amp; Vol Update'!$B$8:$B$127,MATCH(AB109,'Rate &amp; Vol Update'!$B$8:$B$127,1)+1)-AB109)+INDEX('Rate &amp; Vol Update'!$E$8:$Z$127,MATCH(INDEX('Rate &amp; Vol Update'!$B$8:$B$127,MATCH(AB109,'Rate &amp; Vol Update'!$B$8:$B$127,1)+1),'Rate &amp; Vol Update'!$B$8:$B$127,0),MATCH(INDEX('Rate &amp; Vol Update'!$E$6:$Z$6,1,MATCH(AG109,'Rate &amp; Vol Update'!$E$6:$Z$6,1)),'Rate &amp; Vol Update'!$E$6:$Z$6,0))*(INDEX('Rate &amp; Vol Update'!$E$6:$Z$6,1,MATCH(AG109,'Rate &amp; Vol Update'!$E$6:$Z$6,1)+1)-AG109)*(AB109-INDEX('Rate &amp; Vol Update'!$B$8:$B$127,MATCH(AB109,'Rate &amp; Vol Update'!$B$8:$B$127,1)))+INDEX('Rate &amp; Vol Update'!$E$8:$Z$127,MATCH(INDEX('Rate &amp; Vol Update'!$B$8:$B$127,MATCH(AB109,'Rate &amp; Vol Update'!$B$8:$B$127,1)+1),'Rate &amp; Vol Update'!$B$8:$B$127,0),MATCH(INDEX('Rate &amp; Vol Update'!$E$6:$Z$6,1,MATCH(AG109,'Rate &amp; Vol Update'!$E$6:$Z$6,1)+1),'Rate &amp; Vol Update'!$E$6:$Z$6,0))*(AG109-INDEX('Rate &amp; Vol Update'!$E$6:$Z$6,1,MATCH(AG109,'Rate &amp; Vol Update'!$E$6:$Z$6,1)))*(AB109-INDEX('Rate &amp; Vol Update'!$B$8:$B$127,MATCH(AB109,'Rate &amp; Vol Update'!$B$8:$B$127,1)))))*0.01%))</f>
        <v/>
      </c>
      <c r="AJ109" s="5" t="str">
        <f>IF(AA109="","",1/((1+AH109)^((AC109-'Rate &amp; Vol Update'!$C$2)/360)))</f>
        <v/>
      </c>
      <c r="AL109" s="15" t="str">
        <f>IF(AA109="","",IF(AB109&lt;'Rate &amp; Vol Update'!$C$2,MAX(0,AH109-AG109)*(AD109/360)*AF109,(((IF('Adjustment Surface'!$C$2='Data Validation'!$A$2,AH109,IF('Adjustment Surface'!$C$2='Data Validation'!$A$3,AG109,"Unknown Option Type"))-IF('Adjustment Surface'!$C$2='Data Validation'!$A$2,AG109,IF('Adjustment Surface'!$C$2='Data Validation'!$A$3,AH109,"Unknown Option Type")))*(NORMDIST((IF('Adjustment Surface'!$C$2='Data Validation'!$A$2,AH109,IF('Adjustment Surface'!$C$2='Data Validation'!$A$3,AG109,"Unknown Option Type"))-IF('Adjustment Surface'!$C$2='Data Validation'!$A$2,AG109,IF('Adjustment Surface'!$C$2='Data Validation'!$A$3,AH109,"Unknown Option Type")))/(AI109*SQRT(AE109)),0,1,TRUE)))+((AI109*SQRT(AE109))*(NORMDIST((IF('Adjustment Surface'!$C$2='Data Validation'!$A$2,AH109,IF('Adjustment Surface'!$C$2='Data Validation'!$A$3,AG109,"Unknown Option Type"))-IF('Adjustment Surface'!$C$2='Data Validation'!$A$2,AG109,IF('Adjustment Surface'!$C$2='Data Validation'!$A$3,AH109,"Unknown Option Type")))/(AI109*SQRT(AE109)),0,1,FALSE))))*AJ109*(AD109/360)*AF109))</f>
        <v/>
      </c>
      <c r="AM109" s="15" t="str">
        <f>IF(AA109="","",SUM(AL$4:AL109))</f>
        <v/>
      </c>
      <c r="AO109" s="15" t="str">
        <f>IF(AA109="","",IF(AB109&lt;'Rate &amp; Vol Update'!$C$2,0,((((((IF('Adjustment Surface'!$C$2='Data Validation'!$A$2,AH109,IF('Adjustment Surface'!$C$2='Data Validation'!$A$3,AG109,"Unknown Option Type"))-IF('Adjustment Surface'!$C$2='Data Validation'!$A$2,AG109,IF('Adjustment Surface'!$C$2='Data Validation'!$A$3,AH109,"Unknown Option Type")))*(NORMDIST((IF('Adjustment Surface'!$C$2='Data Validation'!$A$2,AH109,IF('Adjustment Surface'!$C$2='Data Validation'!$A$3,AG109,"Unknown Option Type"))-IF('Adjustment Surface'!$C$2='Data Validation'!$A$2,AG109,IF('Adjustment Surface'!$C$2='Data Validation'!$A$3,AH109,"Unknown Option Type")))/((AI109+0.01%)*SQRT(AE109)),0,1,TRUE)))+(((AI109+0.01%)*SQRT(AE109))*(NORMDIST((IF('Adjustment Surface'!$C$2='Data Validation'!$A$2,AH109,IF('Adjustment Surface'!$C$2='Data Validation'!$A$3,AG109,"Unknown Option Type"))-IF('Adjustment Surface'!$C$2='Data Validation'!$A$2,AG109,IF('Adjustment Surface'!$C$2='Data Validation'!$A$3,AH109,"Unknown Option Type")))/((AI109+0.01%)*SQRT(AE109)),0,1,FALSE))))*AJ109*(AD109/360))-(AL109/AF109))*AF109)*AJ109))</f>
        <v/>
      </c>
      <c r="AP109" s="15" t="str">
        <f>IF(AA109="","",SUM(AO$4:AO109))</f>
        <v/>
      </c>
      <c r="AQ109" s="15"/>
      <c r="AR109" s="20"/>
      <c r="AT109" s="4" t="str">
        <f>IF(AU108=MAX('Adjustment Surface'!$C$14:$F$14),"",AU108)</f>
        <v/>
      </c>
      <c r="AU109" s="4" t="str">
        <f>IF(AT109="","",IF(AT109&lt;EDATE('Adjustment Surface'!$C$6,DATEDIF('Adjustment Surface'!$C$6,MAX('Adjustment Surface'!$C$14:$F$14),"M")),EDATE(AT$5,COUNT(AT$5:AT109)),IF(AT109=EDATE('Adjustment Surface'!$C$6,DATEDIF('Adjustment Surface'!$C$6,MAX('Adjustment Surface'!$C$14:$F$14),"M")),MAX('Adjustment Surface'!$C$14:$F$14),EDATE('Adjustment Surface'!$C$6,DATEDIF('Adjustment Surface'!$C$6,MAX('Adjustment Surface'!$C$14:$F$14),"M")))))</f>
        <v/>
      </c>
      <c r="AV109" s="3" t="str">
        <f t="shared" si="8"/>
        <v/>
      </c>
      <c r="AW109" s="5" t="str">
        <f>IF(AS109="","",(AU109-'Rate &amp; Vol Update'!$C$2)/360)</f>
        <v/>
      </c>
      <c r="AX109" s="15" t="str">
        <f>IF(AS109="","",IF('Adjustment Surface'!$C$3='Data Validation'!$C$2,'Adjustment Surface'!$C$4,_xlfn.IFNA(IF(INDEX(Schedules!$E$3:$E$123,MATCH('Bachelier Model'!AT109,Schedules!$B$3:$B$123,0))="",AX108,INDEX(Schedules!$E$3:$E$123,MATCH('Bachelier Model'!AT109,Schedules!$B$3:$B$123,0))),AX108)))</f>
        <v/>
      </c>
      <c r="AY109" s="16" t="str">
        <f>IF(AS109="","",'Adjustment Surface'!B$16)</f>
        <v/>
      </c>
      <c r="AZ109" s="16" t="str" cm="1">
        <f t="array" ref="AZ109">IF(AS109="","",FORECAST(AT109,INDEX('Rate &amp; Vol Update'!$C$6:$C$127,MATCH(INDEX('Rate &amp; Vol Update'!$B$6:$B$127,MATCH(AT109,'Rate &amp; Vol Update'!$B$6:$B$127,1)),'Rate &amp; Vol Update'!$B$6:$B$127,0)+IF('Adjustment Surface'!$C$11='Data Validation'!$E$3,-1,0)):INDEX('Rate &amp; Vol Update'!$C$6:$C$127,MATCH(INDEX('Rate &amp; Vol Update'!$B$6:$B$127,MATCH(AT109,'Rate &amp; Vol Update'!$B$6:$B$127,1)+1),'Rate &amp; Vol Update'!$B$6:$B$127,0)+IF('Adjustment Surface'!$C$11='Data Validation'!$E$3,-1,0)),INDEX('Rate &amp; Vol Update'!$B$6:$B$127,MATCH(AT109,'Rate &amp; Vol Update'!$B$6:$B$127,1)):INDEX('Rate &amp; Vol Update'!$B$6:$B$127,MATCH(AT109,'Rate &amp; Vol Update'!$B$6:$B$127,1)+1))/100)</f>
        <v/>
      </c>
      <c r="BA109" s="16" t="str" cm="1">
        <f t="array" ref="BA109">IF(AS109="","",IF(AT109&lt;'Rate &amp; Vol Update'!$C$2,0.001%,(1/((INDEX('Rate &amp; Vol Update'!$E$6:$Z$6,1,MATCH(AY109,'Rate &amp; Vol Update'!$E$6:$Z$6,1)+1)-INDEX('Rate &amp; Vol Update'!$E$6:$Z$6,1,MATCH(AY109,'Rate &amp; Vol Update'!$E$6:$Z$6,1)))*(INDEX('Rate &amp; Vol Update'!$B$8:$B$127,MATCH(AT109,'Rate &amp; Vol Update'!$B$8:$B$127,1)+1)-INDEX('Rate &amp; Vol Update'!$B$8:$B$127,MATCH(AT109,'Rate &amp; Vol Update'!$B$8:$B$127,1))))*(INDEX('Rate &amp; Vol Update'!$E$8:$Z$127,MATCH(INDEX('Rate &amp; Vol Update'!$B$8:$B$127,MATCH(AT109,'Rate &amp; Vol Update'!$B$8:$B$127,1)),'Rate &amp; Vol Update'!$B$8:$B$127,0),MATCH(INDEX('Rate &amp; Vol Update'!$E$6:$Z$6,1,MATCH(AY109,'Rate &amp; Vol Update'!$E$6:$Z$6,1)),'Rate &amp; Vol Update'!$E$6:$Z$6,0))*(INDEX('Rate &amp; Vol Update'!$E$6:$Z$6,1,MATCH(AY109,'Rate &amp; Vol Update'!$E$6:$Z$6,1)+1)-AY109)*(INDEX('Rate &amp; Vol Update'!$B$8:$B$127,MATCH(AT109,'Rate &amp; Vol Update'!$B$8:$B$127,1)+1)-AT109)+INDEX('Rate &amp; Vol Update'!$E$8:$Z$127,MATCH(INDEX('Rate &amp; Vol Update'!$B$8:$B$127,MATCH(AT109,'Rate &amp; Vol Update'!$B$8:$B$127,1)),'Rate &amp; Vol Update'!$B$8:$B$127,0),MATCH(INDEX('Rate &amp; Vol Update'!$E$6:$Z$6,1,MATCH(AY109,'Rate &amp; Vol Update'!$E$6:$Z$6,1)+1),'Rate &amp; Vol Update'!$E$6:$Z$6,0))*(AY109-INDEX('Rate &amp; Vol Update'!$E$6:$Z$6,1,MATCH(AY109,'Rate &amp; Vol Update'!$E$6:$Z$6,1)))*(INDEX('Rate &amp; Vol Update'!$B$8:$B$127,MATCH(AT109,'Rate &amp; Vol Update'!$B$8:$B$127,1)+1)-AT109)+INDEX('Rate &amp; Vol Update'!$E$8:$Z$127,MATCH(INDEX('Rate &amp; Vol Update'!$B$8:$B$127,MATCH(AT109,'Rate &amp; Vol Update'!$B$8:$B$127,1)+1),'Rate &amp; Vol Update'!$B$8:$B$127,0),MATCH(INDEX('Rate &amp; Vol Update'!$E$6:$Z$6,1,MATCH(AY109,'Rate &amp; Vol Update'!$E$6:$Z$6,1)),'Rate &amp; Vol Update'!$E$6:$Z$6,0))*(INDEX('Rate &amp; Vol Update'!$E$6:$Z$6,1,MATCH(AY109,'Rate &amp; Vol Update'!$E$6:$Z$6,1)+1)-AY109)*(AT109-INDEX('Rate &amp; Vol Update'!$B$8:$B$127,MATCH(AT109,'Rate &amp; Vol Update'!$B$8:$B$127,1)))+INDEX('Rate &amp; Vol Update'!$E$8:$Z$127,MATCH(INDEX('Rate &amp; Vol Update'!$B$8:$B$127,MATCH(AT109,'Rate &amp; Vol Update'!$B$8:$B$127,1)+1),'Rate &amp; Vol Update'!$B$8:$B$127,0),MATCH(INDEX('Rate &amp; Vol Update'!$E$6:$Z$6,1,MATCH(AY109,'Rate &amp; Vol Update'!$E$6:$Z$6,1)+1),'Rate &amp; Vol Update'!$E$6:$Z$6,0))*(AY109-INDEX('Rate &amp; Vol Update'!$E$6:$Z$6,1,MATCH(AY109,'Rate &amp; Vol Update'!$E$6:$Z$6,1)))*(AT109-INDEX('Rate &amp; Vol Update'!$B$8:$B$127,MATCH(AT109,'Rate &amp; Vol Update'!$B$8:$B$127,1)))))*0.01%))</f>
        <v/>
      </c>
      <c r="BB109" s="5" t="str">
        <f>IF(AS109="","",1/((1+AZ109)^((AU109-'Rate &amp; Vol Update'!$C$2)/360)))</f>
        <v/>
      </c>
      <c r="BD109" s="15" t="str">
        <f>IF(AS109="","",IF(AT109&lt;'Rate &amp; Vol Update'!$C$2,MAX(0,AZ109-AY109)*(AV109/360)*AX109,(((IF('Adjustment Surface'!$C$2='Data Validation'!$A$2,AZ109,IF('Adjustment Surface'!$C$2='Data Validation'!$A$3,AY109,"Unknown Option Type"))-IF('Adjustment Surface'!$C$2='Data Validation'!$A$2,AY109,IF('Adjustment Surface'!$C$2='Data Validation'!$A$3,AZ109,"Unknown Option Type")))*(NORMDIST((IF('Adjustment Surface'!$C$2='Data Validation'!$A$2,AZ109,IF('Adjustment Surface'!$C$2='Data Validation'!$A$3,AY109,"Unknown Option Type"))-IF('Adjustment Surface'!$C$2='Data Validation'!$A$2,AY109,IF('Adjustment Surface'!$C$2='Data Validation'!$A$3,AZ109,"Unknown Option Type")))/(BA109*SQRT(AW109)),0,1,TRUE)))+((BA109*SQRT(AW109))*(NORMDIST((IF('Adjustment Surface'!$C$2='Data Validation'!$A$2,AZ109,IF('Adjustment Surface'!$C$2='Data Validation'!$A$3,AY109,"Unknown Option Type"))-IF('Adjustment Surface'!$C$2='Data Validation'!$A$2,AY109,IF('Adjustment Surface'!$C$2='Data Validation'!$A$3,AZ109,"Unknown Option Type")))/(BA109*SQRT(AW109)),0,1,FALSE))))*BB109*(AV109/360)*AX109))</f>
        <v/>
      </c>
      <c r="BE109" s="15" t="str">
        <f>IF(AS109="","",SUM(BD$4:BD109))</f>
        <v/>
      </c>
      <c r="BG109" s="15" t="str">
        <f>IF(AS109="","",IF(AT109&lt;'Rate &amp; Vol Update'!$C$2,0,((((((IF('Adjustment Surface'!$C$2='Data Validation'!$A$2,AZ109,IF('Adjustment Surface'!$C$2='Data Validation'!$A$3,AY109,"Unknown Option Type"))-IF('Adjustment Surface'!$C$2='Data Validation'!$A$2,AY109,IF('Adjustment Surface'!$C$2='Data Validation'!$A$3,AZ109,"Unknown Option Type")))*(NORMDIST((IF('Adjustment Surface'!$C$2='Data Validation'!$A$2,AZ109,IF('Adjustment Surface'!$C$2='Data Validation'!$A$3,AY109,"Unknown Option Type"))-IF('Adjustment Surface'!$C$2='Data Validation'!$A$2,AY109,IF('Adjustment Surface'!$C$2='Data Validation'!$A$3,AZ109,"Unknown Option Type")))/((BA109+0.01%)*SQRT(AW109)),0,1,TRUE)))+(((BA109+0.01%)*SQRT(AW109))*(NORMDIST((IF('Adjustment Surface'!$C$2='Data Validation'!$A$2,AZ109,IF('Adjustment Surface'!$C$2='Data Validation'!$A$3,AY109,"Unknown Option Type"))-IF('Adjustment Surface'!$C$2='Data Validation'!$A$2,AY109,IF('Adjustment Surface'!$C$2='Data Validation'!$A$3,AZ109,"Unknown Option Type")))/((BA109+0.01%)*SQRT(AW109)),0,1,FALSE))))*BB109*(AV109/360))-(BD109/AX109))*AX109)*BB109))</f>
        <v/>
      </c>
      <c r="BH109" s="15" t="str">
        <f>IF(AS109="","",SUM(BG$4:BG109))</f>
        <v/>
      </c>
      <c r="BI109" s="15"/>
      <c r="BJ109" s="20"/>
      <c r="BL109" s="4" t="str">
        <f>IF(BM108=MAX('Adjustment Surface'!$C$14:$F$14),"",BM108)</f>
        <v/>
      </c>
      <c r="BM109" s="4" t="str">
        <f>IF(BL109="","",IF(BL109&lt;EDATE('Adjustment Surface'!$C$6,DATEDIF('Adjustment Surface'!$C$6,MAX('Adjustment Surface'!$C$14:$F$14),"M")),EDATE(BL$5,COUNT(BL$5:BL109)),IF(BL109=EDATE('Adjustment Surface'!$C$6,DATEDIF('Adjustment Surface'!$C$6,MAX('Adjustment Surface'!$C$14:$F$14),"M")),MAX('Adjustment Surface'!$C$14:$F$14),EDATE('Adjustment Surface'!$C$6,DATEDIF('Adjustment Surface'!$C$6,MAX('Adjustment Surface'!$C$14:$F$14),"M")))))</f>
        <v/>
      </c>
      <c r="BN109" s="3" t="str">
        <f t="shared" si="9"/>
        <v/>
      </c>
      <c r="BO109" s="5" t="str">
        <f>IF(BK109="","",(BM109-'Rate &amp; Vol Update'!$C$2)/360)</f>
        <v/>
      </c>
      <c r="BP109" s="15" t="str">
        <f>IF(BK109="","",IF('Adjustment Surface'!$C$3='Data Validation'!$C$2,'Adjustment Surface'!$C$4,_xlfn.IFNA(IF(INDEX(Schedules!$E$3:$E$123,MATCH('Bachelier Model'!BL109,Schedules!$B$3:$B$123,0))="",BP108,INDEX(Schedules!$E$3:$E$123,MATCH('Bachelier Model'!BL109,Schedules!$B$3:$B$123,0))),BP108)))</f>
        <v/>
      </c>
      <c r="BQ109" s="16" t="str">
        <f>IF(BK109="","",'Adjustment Surface'!B$17)</f>
        <v/>
      </c>
      <c r="BR109" s="16" t="str" cm="1">
        <f t="array" ref="BR109">IF(BK109="","",FORECAST(BL109,INDEX('Rate &amp; Vol Update'!$C$6:$C$127,MATCH(INDEX('Rate &amp; Vol Update'!$B$6:$B$127,MATCH(BL109,'Rate &amp; Vol Update'!$B$6:$B$127,1)),'Rate &amp; Vol Update'!$B$6:$B$127,0)+IF('Adjustment Surface'!$C$11='Data Validation'!$E$3,-1,0)):INDEX('Rate &amp; Vol Update'!$C$6:$C$127,MATCH(INDEX('Rate &amp; Vol Update'!$B$6:$B$127,MATCH(BL109,'Rate &amp; Vol Update'!$B$6:$B$127,1)+1),'Rate &amp; Vol Update'!$B$6:$B$127,0)+IF('Adjustment Surface'!$C$11='Data Validation'!$E$3,-1,0)),INDEX('Rate &amp; Vol Update'!$B$6:$B$127,MATCH(BL109,'Rate &amp; Vol Update'!$B$6:$B$127,1)):INDEX('Rate &amp; Vol Update'!$B$6:$B$127,MATCH(BL109,'Rate &amp; Vol Update'!$B$6:$B$127,1)+1))/100)</f>
        <v/>
      </c>
      <c r="BS109" s="16" t="str" cm="1">
        <f t="array" ref="BS109">IF(BK109="","",IF(BL109&lt;'Rate &amp; Vol Update'!$C$2,0.001%,(1/((INDEX('Rate &amp; Vol Update'!$E$6:$Z$6,1,MATCH(BQ109,'Rate &amp; Vol Update'!$E$6:$Z$6,1)+1)-INDEX('Rate &amp; Vol Update'!$E$6:$Z$6,1,MATCH(BQ109,'Rate &amp; Vol Update'!$E$6:$Z$6,1)))*(INDEX('Rate &amp; Vol Update'!$B$8:$B$127,MATCH(BL109,'Rate &amp; Vol Update'!$B$8:$B$127,1)+1)-INDEX('Rate &amp; Vol Update'!$B$8:$B$127,MATCH(BL109,'Rate &amp; Vol Update'!$B$8:$B$127,1))))*(INDEX('Rate &amp; Vol Update'!$E$8:$Z$127,MATCH(INDEX('Rate &amp; Vol Update'!$B$8:$B$127,MATCH(BL109,'Rate &amp; Vol Update'!$B$8:$B$127,1)),'Rate &amp; Vol Update'!$B$8:$B$127,0),MATCH(INDEX('Rate &amp; Vol Update'!$E$6:$Z$6,1,MATCH(BQ109,'Rate &amp; Vol Update'!$E$6:$Z$6,1)),'Rate &amp; Vol Update'!$E$6:$Z$6,0))*(INDEX('Rate &amp; Vol Update'!$E$6:$Z$6,1,MATCH(BQ109,'Rate &amp; Vol Update'!$E$6:$Z$6,1)+1)-BQ109)*(INDEX('Rate &amp; Vol Update'!$B$8:$B$127,MATCH(BL109,'Rate &amp; Vol Update'!$B$8:$B$127,1)+1)-BL109)+INDEX('Rate &amp; Vol Update'!$E$8:$Z$127,MATCH(INDEX('Rate &amp; Vol Update'!$B$8:$B$127,MATCH(BL109,'Rate &amp; Vol Update'!$B$8:$B$127,1)),'Rate &amp; Vol Update'!$B$8:$B$127,0),MATCH(INDEX('Rate &amp; Vol Update'!$E$6:$Z$6,1,MATCH(BQ109,'Rate &amp; Vol Update'!$E$6:$Z$6,1)+1),'Rate &amp; Vol Update'!$E$6:$Z$6,0))*(BQ109-INDEX('Rate &amp; Vol Update'!$E$6:$Z$6,1,MATCH(BQ109,'Rate &amp; Vol Update'!$E$6:$Z$6,1)))*(INDEX('Rate &amp; Vol Update'!$B$8:$B$127,MATCH(BL109,'Rate &amp; Vol Update'!$B$8:$B$127,1)+1)-BL109)+INDEX('Rate &amp; Vol Update'!$E$8:$Z$127,MATCH(INDEX('Rate &amp; Vol Update'!$B$8:$B$127,MATCH(BL109,'Rate &amp; Vol Update'!$B$8:$B$127,1)+1),'Rate &amp; Vol Update'!$B$8:$B$127,0),MATCH(INDEX('Rate &amp; Vol Update'!$E$6:$Z$6,1,MATCH(BQ109,'Rate &amp; Vol Update'!$E$6:$Z$6,1)),'Rate &amp; Vol Update'!$E$6:$Z$6,0))*(INDEX('Rate &amp; Vol Update'!$E$6:$Z$6,1,MATCH(BQ109,'Rate &amp; Vol Update'!$E$6:$Z$6,1)+1)-BQ109)*(BL109-INDEX('Rate &amp; Vol Update'!$B$8:$B$127,MATCH(BL109,'Rate &amp; Vol Update'!$B$8:$B$127,1)))+INDEX('Rate &amp; Vol Update'!$E$8:$Z$127,MATCH(INDEX('Rate &amp; Vol Update'!$B$8:$B$127,MATCH(BL109,'Rate &amp; Vol Update'!$B$8:$B$127,1)+1),'Rate &amp; Vol Update'!$B$8:$B$127,0),MATCH(INDEX('Rate &amp; Vol Update'!$E$6:$Z$6,1,MATCH(BQ109,'Rate &amp; Vol Update'!$E$6:$Z$6,1)+1),'Rate &amp; Vol Update'!$E$6:$Z$6,0))*(BQ109-INDEX('Rate &amp; Vol Update'!$E$6:$Z$6,1,MATCH(BQ109,'Rate &amp; Vol Update'!$E$6:$Z$6,1)))*(BL109-INDEX('Rate &amp; Vol Update'!$B$8:$B$127,MATCH(BL109,'Rate &amp; Vol Update'!$B$8:$B$127,1)))))*0.01%))</f>
        <v/>
      </c>
      <c r="BT109" s="5" t="str">
        <f>IF(BK109="","",1/((1+BR109)^((BM109-'Rate &amp; Vol Update'!$C$2)/360)))</f>
        <v/>
      </c>
      <c r="BV109" s="15" t="str">
        <f>IF(BK109="","",IF(BL109&lt;'Rate &amp; Vol Update'!$C$2,MAX(0,BR109-BQ109)*(BN109/360)*BP109,(((IF('Adjustment Surface'!$C$2='Data Validation'!$A$2,BR109,IF('Adjustment Surface'!$C$2='Data Validation'!$A$3,BQ109,"Unknown Option Type"))-IF('Adjustment Surface'!$C$2='Data Validation'!$A$2,BQ109,IF('Adjustment Surface'!$C$2='Data Validation'!$A$3,BR109,"Unknown Option Type")))*(NORMDIST((IF('Adjustment Surface'!$C$2='Data Validation'!$A$2,BR109,IF('Adjustment Surface'!$C$2='Data Validation'!$A$3,BQ109,"Unknown Option Type"))-IF('Adjustment Surface'!$C$2='Data Validation'!$A$2,BQ109,IF('Adjustment Surface'!$C$2='Data Validation'!$A$3,BR109,"Unknown Option Type")))/(BS109*SQRT(BO109)),0,1,TRUE)))+((BS109*SQRT(BO109))*(NORMDIST((IF('Adjustment Surface'!$C$2='Data Validation'!$A$2,BR109,IF('Adjustment Surface'!$C$2='Data Validation'!$A$3,BQ109,"Unknown Option Type"))-IF('Adjustment Surface'!$C$2='Data Validation'!$A$2,BQ109,IF('Adjustment Surface'!$C$2='Data Validation'!$A$3,BR109,"Unknown Option Type")))/(BS109*SQRT(BO109)),0,1,FALSE))))*BT109*(BN109/360)*BP109))</f>
        <v/>
      </c>
      <c r="BW109" s="15" t="str">
        <f>IF(BK109="","",SUM(BV$4:BV109))</f>
        <v/>
      </c>
      <c r="BY109" s="15" t="str">
        <f>IF(BK109="","",IF(BL109&lt;'Rate &amp; Vol Update'!$C$2,0,((((((IF('Adjustment Surface'!$C$2='Data Validation'!$A$2,BR109,IF('Adjustment Surface'!$C$2='Data Validation'!$A$3,BQ109,"Unknown Option Type"))-IF('Adjustment Surface'!$C$2='Data Validation'!$A$2,BQ109,IF('Adjustment Surface'!$C$2='Data Validation'!$A$3,BR109,"Unknown Option Type")))*(NORMDIST((IF('Adjustment Surface'!$C$2='Data Validation'!$A$2,BR109,IF('Adjustment Surface'!$C$2='Data Validation'!$A$3,BQ109,"Unknown Option Type"))-IF('Adjustment Surface'!$C$2='Data Validation'!$A$2,BQ109,IF('Adjustment Surface'!$C$2='Data Validation'!$A$3,BR109,"Unknown Option Type")))/((BS109+0.01%)*SQRT(BO109)),0,1,TRUE)))+(((BS109+0.01%)*SQRT(BO109))*(NORMDIST((IF('Adjustment Surface'!$C$2='Data Validation'!$A$2,BR109,IF('Adjustment Surface'!$C$2='Data Validation'!$A$3,BQ109,"Unknown Option Type"))-IF('Adjustment Surface'!$C$2='Data Validation'!$A$2,BQ109,IF('Adjustment Surface'!$C$2='Data Validation'!$A$3,BR109,"Unknown Option Type")))/((BS109+0.01%)*SQRT(BO109)),0,1,FALSE))))*BT109*(BN109/360))-(BV109/BP109))*BP109)*BT109))</f>
        <v/>
      </c>
      <c r="BZ109" s="15" t="str">
        <f>IF(BK109="","",SUM(BY$4:BY109))</f>
        <v/>
      </c>
      <c r="CA109" s="15"/>
      <c r="CB109" s="20"/>
      <c r="CD109" s="4" t="str">
        <f>IF(CE108=MAX('Adjustment Surface'!$C$14:$F$14),"",CE108)</f>
        <v/>
      </c>
      <c r="CE109" s="4" t="str">
        <f>IF(CD109="","",IF(CD109&lt;EDATE('Adjustment Surface'!$C$6,DATEDIF('Adjustment Surface'!$C$6,MAX('Adjustment Surface'!$C$14:$F$14),"M")),EDATE(CD$5,COUNT(CD$5:CD109)),IF(CD109=EDATE('Adjustment Surface'!$C$6,DATEDIF('Adjustment Surface'!$C$6,MAX('Adjustment Surface'!$C$14:$F$14),"M")),MAX('Adjustment Surface'!$C$14:$F$14),EDATE('Adjustment Surface'!$C$6,DATEDIF('Adjustment Surface'!$C$6,MAX('Adjustment Surface'!$C$14:$F$14),"M")))))</f>
        <v/>
      </c>
      <c r="CF109" s="3" t="str">
        <f t="shared" si="10"/>
        <v/>
      </c>
      <c r="CG109" s="5" t="str">
        <f>IF(CC109="","",(CE109-'Rate &amp; Vol Update'!$C$2)/360)</f>
        <v/>
      </c>
      <c r="CH109" s="15" t="str">
        <f>IF(CC109="","",IF('Adjustment Surface'!$C$3='Data Validation'!$C$2,'Adjustment Surface'!$C$4,_xlfn.IFNA(IF(INDEX(Schedules!$E$3:$E$123,MATCH('Bachelier Model'!CD109,Schedules!$B$3:$B$123,0))="",CH108,INDEX(Schedules!$E$3:$E$123,MATCH('Bachelier Model'!CD109,Schedules!$B$3:$B$123,0))),CH108)))</f>
        <v/>
      </c>
      <c r="CI109" s="16" t="str">
        <f>IF(CC109="","",'Adjustment Surface'!B$18)</f>
        <v/>
      </c>
      <c r="CJ109" s="16" t="str" cm="1">
        <f t="array" ref="CJ109">IF(CC109="","",FORECAST(CD109,INDEX('Rate &amp; Vol Update'!$C$6:$C$127,MATCH(INDEX('Rate &amp; Vol Update'!$B$6:$B$127,MATCH(CD109,'Rate &amp; Vol Update'!$B$6:$B$127,1)),'Rate &amp; Vol Update'!$B$6:$B$127,0)+IF('Adjustment Surface'!$C$11='Data Validation'!$E$3,-1,0)):INDEX('Rate &amp; Vol Update'!$C$6:$C$127,MATCH(INDEX('Rate &amp; Vol Update'!$B$6:$B$127,MATCH(CD109,'Rate &amp; Vol Update'!$B$6:$B$127,1)+1),'Rate &amp; Vol Update'!$B$6:$B$127,0)+IF('Adjustment Surface'!$C$11='Data Validation'!$E$3,-1,0)),INDEX('Rate &amp; Vol Update'!$B$6:$B$127,MATCH(CD109,'Rate &amp; Vol Update'!$B$6:$B$127,1)):INDEX('Rate &amp; Vol Update'!$B$6:$B$127,MATCH(CD109,'Rate &amp; Vol Update'!$B$6:$B$127,1)+1))/100)</f>
        <v/>
      </c>
      <c r="CK109" s="16" t="str" cm="1">
        <f t="array" ref="CK109">IF(CC109="","",IF(CD109&lt;'Rate &amp; Vol Update'!$C$2,0.001%,(1/((INDEX('Rate &amp; Vol Update'!$E$6:$Z$6,1,MATCH(CI109,'Rate &amp; Vol Update'!$E$6:$Z$6,1)+1)-INDEX('Rate &amp; Vol Update'!$E$6:$Z$6,1,MATCH(CI109,'Rate &amp; Vol Update'!$E$6:$Z$6,1)))*(INDEX('Rate &amp; Vol Update'!$B$8:$B$127,MATCH(CD109,'Rate &amp; Vol Update'!$B$8:$B$127,1)+1)-INDEX('Rate &amp; Vol Update'!$B$8:$B$127,MATCH(CD109,'Rate &amp; Vol Update'!$B$8:$B$127,1))))*(INDEX('Rate &amp; Vol Update'!$E$8:$Z$127,MATCH(INDEX('Rate &amp; Vol Update'!$B$8:$B$127,MATCH(CD109,'Rate &amp; Vol Update'!$B$8:$B$127,1)),'Rate &amp; Vol Update'!$B$8:$B$127,0),MATCH(INDEX('Rate &amp; Vol Update'!$E$6:$Z$6,1,MATCH(CI109,'Rate &amp; Vol Update'!$E$6:$Z$6,1)),'Rate &amp; Vol Update'!$E$6:$Z$6,0))*(INDEX('Rate &amp; Vol Update'!$E$6:$Z$6,1,MATCH(CI109,'Rate &amp; Vol Update'!$E$6:$Z$6,1)+1)-CI109)*(INDEX('Rate &amp; Vol Update'!$B$8:$B$127,MATCH(CD109,'Rate &amp; Vol Update'!$B$8:$B$127,1)+1)-CD109)+INDEX('Rate &amp; Vol Update'!$E$8:$Z$127,MATCH(INDEX('Rate &amp; Vol Update'!$B$8:$B$127,MATCH(CD109,'Rate &amp; Vol Update'!$B$8:$B$127,1)),'Rate &amp; Vol Update'!$B$8:$B$127,0),MATCH(INDEX('Rate &amp; Vol Update'!$E$6:$Z$6,1,MATCH(CI109,'Rate &amp; Vol Update'!$E$6:$Z$6,1)+1),'Rate &amp; Vol Update'!$E$6:$Z$6,0))*(CI109-INDEX('Rate &amp; Vol Update'!$E$6:$Z$6,1,MATCH(CI109,'Rate &amp; Vol Update'!$E$6:$Z$6,1)))*(INDEX('Rate &amp; Vol Update'!$B$8:$B$127,MATCH(CD109,'Rate &amp; Vol Update'!$B$8:$B$127,1)+1)-CD109)+INDEX('Rate &amp; Vol Update'!$E$8:$Z$127,MATCH(INDEX('Rate &amp; Vol Update'!$B$8:$B$127,MATCH(CD109,'Rate &amp; Vol Update'!$B$8:$B$127,1)+1),'Rate &amp; Vol Update'!$B$8:$B$127,0),MATCH(INDEX('Rate &amp; Vol Update'!$E$6:$Z$6,1,MATCH(CI109,'Rate &amp; Vol Update'!$E$6:$Z$6,1)),'Rate &amp; Vol Update'!$E$6:$Z$6,0))*(INDEX('Rate &amp; Vol Update'!$E$6:$Z$6,1,MATCH(CI109,'Rate &amp; Vol Update'!$E$6:$Z$6,1)+1)-CI109)*(CD109-INDEX('Rate &amp; Vol Update'!$B$8:$B$127,MATCH(CD109,'Rate &amp; Vol Update'!$B$8:$B$127,1)))+INDEX('Rate &amp; Vol Update'!$E$8:$Z$127,MATCH(INDEX('Rate &amp; Vol Update'!$B$8:$B$127,MATCH(CD109,'Rate &amp; Vol Update'!$B$8:$B$127,1)+1),'Rate &amp; Vol Update'!$B$8:$B$127,0),MATCH(INDEX('Rate &amp; Vol Update'!$E$6:$Z$6,1,MATCH(CI109,'Rate &amp; Vol Update'!$E$6:$Z$6,1)+1),'Rate &amp; Vol Update'!$E$6:$Z$6,0))*(CI109-INDEX('Rate &amp; Vol Update'!$E$6:$Z$6,1,MATCH(CI109,'Rate &amp; Vol Update'!$E$6:$Z$6,1)))*(CD109-INDEX('Rate &amp; Vol Update'!$B$8:$B$127,MATCH(CD109,'Rate &amp; Vol Update'!$B$8:$B$127,1)))))*0.01%))</f>
        <v/>
      </c>
      <c r="CL109" s="5" t="str">
        <f>IF(CC109="","",1/((1+CJ109)^((CE109-'Rate &amp; Vol Update'!$C$2)/360)))</f>
        <v/>
      </c>
      <c r="CN109" s="15" t="str">
        <f>IF(CC109="","",IF(CD109&lt;'Rate &amp; Vol Update'!$C$2,MAX(0,CJ109-CI109)*(CF109/360)*CH109,(((IF('Adjustment Surface'!$C$2='Data Validation'!$A$2,CJ109,IF('Adjustment Surface'!$C$2='Data Validation'!$A$3,CI109,"Unknown Option Type"))-IF('Adjustment Surface'!$C$2='Data Validation'!$A$2,CI109,IF('Adjustment Surface'!$C$2='Data Validation'!$A$3,CJ109,"Unknown Option Type")))*(NORMDIST((IF('Adjustment Surface'!$C$2='Data Validation'!$A$2,CJ109,IF('Adjustment Surface'!$C$2='Data Validation'!$A$3,CI109,"Unknown Option Type"))-IF('Adjustment Surface'!$C$2='Data Validation'!$A$2,CI109,IF('Adjustment Surface'!$C$2='Data Validation'!$A$3,CJ109,"Unknown Option Type")))/(CK109*SQRT(CG109)),0,1,TRUE)))+((CK109*SQRT(CG109))*(NORMDIST((IF('Adjustment Surface'!$C$2='Data Validation'!$A$2,CJ109,IF('Adjustment Surface'!$C$2='Data Validation'!$A$3,CI109,"Unknown Option Type"))-IF('Adjustment Surface'!$C$2='Data Validation'!$A$2,CI109,IF('Adjustment Surface'!$C$2='Data Validation'!$A$3,CJ109,"Unknown Option Type")))/(CK109*SQRT(CG109)),0,1,FALSE))))*CL109*(CF109/360)*CH109))</f>
        <v/>
      </c>
      <c r="CO109" s="15" t="str">
        <f>IF(CC109="","",SUM(CN$4:CN109))</f>
        <v/>
      </c>
      <c r="CQ109" s="15" t="str">
        <f>IF(CC109="","",IF(CD109&lt;'Rate &amp; Vol Update'!$C$2,0,((((((IF('Adjustment Surface'!$C$2='Data Validation'!$A$2,CJ109,IF('Adjustment Surface'!$C$2='Data Validation'!$A$3,CI109,"Unknown Option Type"))-IF('Adjustment Surface'!$C$2='Data Validation'!$A$2,CI109,IF('Adjustment Surface'!$C$2='Data Validation'!$A$3,CJ109,"Unknown Option Type")))*(NORMDIST((IF('Adjustment Surface'!$C$2='Data Validation'!$A$2,CJ109,IF('Adjustment Surface'!$C$2='Data Validation'!$A$3,CI109,"Unknown Option Type"))-IF('Adjustment Surface'!$C$2='Data Validation'!$A$2,CI109,IF('Adjustment Surface'!$C$2='Data Validation'!$A$3,CJ109,"Unknown Option Type")))/((CK109+0.01%)*SQRT(CG109)),0,1,TRUE)))+(((CK109+0.01%)*SQRT(CG109))*(NORMDIST((IF('Adjustment Surface'!$C$2='Data Validation'!$A$2,CJ109,IF('Adjustment Surface'!$C$2='Data Validation'!$A$3,CI109,"Unknown Option Type"))-IF('Adjustment Surface'!$C$2='Data Validation'!$A$2,CI109,IF('Adjustment Surface'!$C$2='Data Validation'!$A$3,CJ109,"Unknown Option Type")))/((CK109+0.01%)*SQRT(CG109)),0,1,FALSE))))*CL109*(CF109/360))-(CN109/CH109))*CH109)*CL109))</f>
        <v/>
      </c>
      <c r="CR109" s="15" t="str">
        <f>IF(CC109="","",SUM(CQ$4:CQ109))</f>
        <v/>
      </c>
    </row>
    <row r="110" spans="7:96" x14ac:dyDescent="0.25">
      <c r="G110" s="28"/>
      <c r="J110" s="4" t="str">
        <f>IF(K109='Adjustment Surface'!C$8,"",K109)</f>
        <v/>
      </c>
      <c r="K110" s="4" t="str">
        <f>IF(J110="","",IF(J110&lt;'Adjustment Surface'!C$7,EDATE(J$5,COUNT(J$5:J110)),IF(J110='Adjustment Surface'!C$7,'Adjustment Surface'!C$8,'Adjustment Surface'!C$7)))</f>
        <v/>
      </c>
      <c r="L110" s="3" t="str">
        <f t="shared" si="6"/>
        <v/>
      </c>
      <c r="M110" s="5" t="str">
        <f>IF(I110="","",(K110-'Rate &amp; Vol Update'!$C$2)/360)</f>
        <v/>
      </c>
      <c r="N110" s="15" t="str">
        <f>IF(I110="","",IF('Adjustment Surface'!C$3='Data Validation'!$C$2,'Adjustment Surface'!C$4,IF(INDEX(Schedules!$E$3:$E$123,MATCH('Bachelier Model'!J110,Schedules!$B$3:$B$123,0))="",N109,INDEX(Schedules!$E$3:$E$123,MATCH('Bachelier Model'!J110,Schedules!$B$3:$B$123,0)))))</f>
        <v/>
      </c>
      <c r="O110" s="16" t="str">
        <f>IF(I110="","",IF('Adjustment Surface'!C$9='Data Validation'!$D$2,'Adjustment Surface'!C$10,IF(INDEX(Schedules!$H$3:$H$123,MATCH('Bachelier Model'!J110,Schedules!$B$3:$B$123,0))="",O109,INDEX(Schedules!$H$3:$H$123,MATCH('Bachelier Model'!J110,Schedules!$B$3:$B$123,0)))))</f>
        <v/>
      </c>
      <c r="P110" s="16" t="str" cm="1">
        <f t="array" ref="P110">IF(I110="","",FORECAST(J110,INDEX('Rate &amp; Vol Update'!$C$6:$C$127,MATCH(INDEX('Rate &amp; Vol Update'!$B$6:$B$127,MATCH(J110,'Rate &amp; Vol Update'!$B$6:$B$127,1)),'Rate &amp; Vol Update'!$B$6:$B$127,0)+IF('Adjustment Surface'!C$11='Data Validation'!$E$3,-1,0)):INDEX('Rate &amp; Vol Update'!$C$6:$C$127,MATCH(INDEX('Rate &amp; Vol Update'!$B$6:$B$127,MATCH(J110,'Rate &amp; Vol Update'!$B$6:$B$127,1)+1),'Rate &amp; Vol Update'!$B$6:$B$127,0)+IF('Adjustment Surface'!C$11='Data Validation'!$E$3,-1,0)),INDEX('Rate &amp; Vol Update'!$B$6:$B$127,MATCH(J110,'Rate &amp; Vol Update'!$B$6:$B$127,1)):INDEX('Rate &amp; Vol Update'!$B$6:$B$127,MATCH(J110,'Rate &amp; Vol Update'!$B$6:$B$127,1)+1))/100)</f>
        <v/>
      </c>
      <c r="Q110" s="16" t="str" cm="1">
        <f t="array" ref="Q110">IF(I110="","",IF(J110&lt;'Rate &amp; Vol Update'!$C$2,0.001%,(1/((INDEX('Rate &amp; Vol Update'!$E$6:$Z$6,1,MATCH(O110,'Rate &amp; Vol Update'!$E$6:$Z$6,1)+1)-INDEX('Rate &amp; Vol Update'!$E$6:$Z$6,1,MATCH(O110,'Rate &amp; Vol Update'!$E$6:$Z$6,1)))*(INDEX('Rate &amp; Vol Update'!$B$8:$B$127,MATCH(J110,'Rate &amp; Vol Update'!$B$8:$B$127,1)+1)-INDEX('Rate &amp; Vol Update'!$B$8:$B$127,MATCH(J110,'Rate &amp; Vol Update'!$B$8:$B$127,1))))*(INDEX('Rate &amp; Vol Update'!$E$8:$Z$127,MATCH(INDEX('Rate &amp; Vol Update'!$B$8:$B$127,MATCH(J110,'Rate &amp; Vol Update'!$B$8:$B$127,1)),'Rate &amp; Vol Update'!$B$8:$B$127,0),MATCH(INDEX('Rate &amp; Vol Update'!$E$6:$Z$6,1,MATCH(O110,'Rate &amp; Vol Update'!$E$6:$Z$6,1)),'Rate &amp; Vol Update'!$E$6:$Z$6,0))*(INDEX('Rate &amp; Vol Update'!$E$6:$Z$6,1,MATCH(O110,'Rate &amp; Vol Update'!$E$6:$Z$6,1)+1)-O110)*(INDEX('Rate &amp; Vol Update'!$B$8:$B$127,MATCH(J110,'Rate &amp; Vol Update'!$B$8:$B$127,1)+1)-J110)+INDEX('Rate &amp; Vol Update'!$E$8:$Z$127,MATCH(INDEX('Rate &amp; Vol Update'!$B$8:$B$127,MATCH(J110,'Rate &amp; Vol Update'!$B$8:$B$127,1)),'Rate &amp; Vol Update'!$B$8:$B$127,0),MATCH(INDEX('Rate &amp; Vol Update'!$E$6:$Z$6,1,MATCH(O110,'Rate &amp; Vol Update'!$E$6:$Z$6,1)+1),'Rate &amp; Vol Update'!$E$6:$Z$6,0))*(O110-INDEX('Rate &amp; Vol Update'!$E$6:$Z$6,1,MATCH(O110,'Rate &amp; Vol Update'!$E$6:$Z$6,1)))*(INDEX('Rate &amp; Vol Update'!$B$8:$B$127,MATCH(J110,'Rate &amp; Vol Update'!$B$8:$B$127,1)+1)-J110)+INDEX('Rate &amp; Vol Update'!$E$8:$Z$127,MATCH(INDEX('Rate &amp; Vol Update'!$B$8:$B$127,MATCH(J110,'Rate &amp; Vol Update'!$B$8:$B$127,1)+1),'Rate &amp; Vol Update'!$B$8:$B$127,0),MATCH(INDEX('Rate &amp; Vol Update'!$E$6:$Z$6,1,MATCH(O110,'Rate &amp; Vol Update'!$E$6:$Z$6,1)),'Rate &amp; Vol Update'!$E$6:$Z$6,0))*(INDEX('Rate &amp; Vol Update'!$E$6:$Z$6,1,MATCH(O110,'Rate &amp; Vol Update'!$E$6:$Z$6,1)+1)-O110)*(J110-INDEX('Rate &amp; Vol Update'!$B$8:$B$127,MATCH(J110,'Rate &amp; Vol Update'!$B$8:$B$127,1)))+INDEX('Rate &amp; Vol Update'!$E$8:$Z$127,MATCH(INDEX('Rate &amp; Vol Update'!$B$8:$B$127,MATCH(J110,'Rate &amp; Vol Update'!$B$8:$B$127,1)+1),'Rate &amp; Vol Update'!$B$8:$B$127,0),MATCH(INDEX('Rate &amp; Vol Update'!$E$6:$Z$6,1,MATCH(O110,'Rate &amp; Vol Update'!$E$6:$Z$6,1)+1),'Rate &amp; Vol Update'!$E$6:$Z$6,0))*(O110-INDEX('Rate &amp; Vol Update'!$E$6:$Z$6,1,MATCH(O110,'Rate &amp; Vol Update'!$E$6:$Z$6,1)))*(J110-INDEX('Rate &amp; Vol Update'!$B$8:$B$127,MATCH(J110,'Rate &amp; Vol Update'!$B$8:$B$127,1)))))*0.01%))</f>
        <v/>
      </c>
      <c r="R110" s="5" t="str">
        <f>IF(I110="","",1/((1+P110)^((K110-'Rate &amp; Vol Update'!$C$2)/360)))</f>
        <v/>
      </c>
      <c r="T110" s="15" t="str">
        <f>IF(I110="","",IF(J110&lt;'Rate &amp; Vol Update'!$C$2,MAX(0,P110-O110)*(L110/360)*N110,(((IF('Adjustment Surface'!C$2='Data Validation'!$A$2,P110,IF('Adjustment Surface'!C$2='Data Validation'!$A$3,O110,"Unknown Option Type"))-IF('Adjustment Surface'!C$2='Data Validation'!$A$2,O110,IF('Adjustment Surface'!C$2='Data Validation'!$A$3,P110,"Unknown Option Type")))*(NORMDIST((IF('Adjustment Surface'!C$2='Data Validation'!$A$2,P110,IF('Adjustment Surface'!C$2='Data Validation'!$A$3,O110,"Unknown Option Type"))-IF('Adjustment Surface'!C$2='Data Validation'!$A$2,O110,IF('Adjustment Surface'!C$2='Data Validation'!$A$3,P110,"Unknown Option Type")))/(Q110*SQRT(M110)),0,1,TRUE)))+((Q110*SQRT(M110))*(NORMDIST((IF('Adjustment Surface'!C$2='Data Validation'!$A$2,P110,IF('Adjustment Surface'!C$2='Data Validation'!$A$3,O110,"Unknown Option Type"))-IF('Adjustment Surface'!C$2='Data Validation'!$A$2,O110,IF('Adjustment Surface'!C$2='Data Validation'!$A$3,P110,"Unknown Option Type")))/(Q110*SQRT(M110)),0,1,FALSE))))*R110*(L110/360)*N110))</f>
        <v/>
      </c>
      <c r="U110" s="15" t="str">
        <f>IF(I110="","",SUM(T$4:T110))</f>
        <v/>
      </c>
      <c r="W110" s="15" t="str">
        <f>IF(I110="","",IF(J110&lt;'Rate &amp; Vol Update'!$C$2,0,((((((IF('Adjustment Surface'!C$2='Data Validation'!$A$2,P110,IF('Adjustment Surface'!C$2='Data Validation'!$A$3,O110,"Unknown Option Type"))-IF('Adjustment Surface'!C$2='Data Validation'!$A$2,O110,IF('Adjustment Surface'!C$2='Data Validation'!$A$3,P110,"Unknown Option Type")))*(NORMDIST((IF('Adjustment Surface'!C$2='Data Validation'!$A$2,P110,IF('Adjustment Surface'!C$2='Data Validation'!$A$3,O110,"Unknown Option Type"))-IF('Adjustment Surface'!C$2='Data Validation'!$A$2,O110,IF('Adjustment Surface'!C$2='Data Validation'!$A$3,P110,"Unknown Option Type")))/((Q110+0.01%)*SQRT(M110)),0,1,TRUE)))+(((Q110+0.01%)*SQRT(M110))*(NORMDIST((IF('Adjustment Surface'!C$2='Data Validation'!$A$2,P110,IF('Adjustment Surface'!C$2='Data Validation'!$A$3,O110,"Unknown Option Type"))-IF('Adjustment Surface'!C$2='Data Validation'!$A$2,O110,IF('Adjustment Surface'!C$2='Data Validation'!$A$3,P110,"Unknown Option Type")))/((Q110+0.01%)*SQRT(M110)),0,1,FALSE))))*R110*(L110/360))-(T110/N110))*N110)*R110))</f>
        <v/>
      </c>
      <c r="X110" s="15" t="str">
        <f>IF(I110="","",SUM(W$4:W110))</f>
        <v/>
      </c>
      <c r="Y110" s="15"/>
      <c r="Z110" s="20"/>
      <c r="AB110" s="4" t="str">
        <f>IF(AC109=MAX('Adjustment Surface'!$C$14:$F$14),"",AC109)</f>
        <v/>
      </c>
      <c r="AC110" s="4" t="str">
        <f>IF(AB110="","",IF(AB110&lt;EDATE('Adjustment Surface'!$C$6,DATEDIF('Adjustment Surface'!$C$6,MAX('Adjustment Surface'!$C$14:$F$14),"M")),EDATE(AB$5,COUNT(AB$5:AB110)),IF(AB110=EDATE('Adjustment Surface'!$C$6,DATEDIF('Adjustment Surface'!$C$6,MAX('Adjustment Surface'!$C$14:$F$14),"M")),MAX('Adjustment Surface'!$C$14:$F$14),EDATE('Adjustment Surface'!$C$6,DATEDIF('Adjustment Surface'!$C$6,MAX('Adjustment Surface'!$C$14:$F$14),"M")))))</f>
        <v/>
      </c>
      <c r="AD110" s="3" t="str">
        <f t="shared" si="7"/>
        <v/>
      </c>
      <c r="AE110" s="5" t="str">
        <f>IF(AA110="","",(AC110-'Rate &amp; Vol Update'!$C$2)/360)</f>
        <v/>
      </c>
      <c r="AF110" s="15" t="str">
        <f>IF(AA110="","",IF('Adjustment Surface'!$C$3='Data Validation'!$C$2,'Adjustment Surface'!$C$4,_xlfn.IFNA(IF(INDEX(Schedules!$E$3:$E$123,MATCH('Bachelier Model'!AB110,Schedules!$B$3:$B$123,0))="",AF109,INDEX(Schedules!$E$3:$E$123,MATCH('Bachelier Model'!AB110,Schedules!$B$3:$B$123,0))),AF109)))</f>
        <v/>
      </c>
      <c r="AG110" s="16" t="str">
        <f>IF(AA110="","",'Adjustment Surface'!B$15)</f>
        <v/>
      </c>
      <c r="AH110" s="16" t="str" cm="1">
        <f t="array" ref="AH110">IF(AA110="","",FORECAST(AB110,INDEX('Rate &amp; Vol Update'!$C$6:$C$127,MATCH(INDEX('Rate &amp; Vol Update'!$B$6:$B$127,MATCH(AB110,'Rate &amp; Vol Update'!$B$6:$B$127,1)),'Rate &amp; Vol Update'!$B$6:$B$127,0)+IF('Adjustment Surface'!$C$11='Data Validation'!$E$3,-1,0)):INDEX('Rate &amp; Vol Update'!$C$6:$C$127,MATCH(INDEX('Rate &amp; Vol Update'!$B$6:$B$127,MATCH(AB110,'Rate &amp; Vol Update'!$B$6:$B$127,1)+1),'Rate &amp; Vol Update'!$B$6:$B$127,0)+IF('Adjustment Surface'!$C$11='Data Validation'!$E$3,-1,0)),INDEX('Rate &amp; Vol Update'!$B$6:$B$127,MATCH(AB110,'Rate &amp; Vol Update'!$B$6:$B$127,1)):INDEX('Rate &amp; Vol Update'!$B$6:$B$127,MATCH(AB110,'Rate &amp; Vol Update'!$B$6:$B$127,1)+1))/100)</f>
        <v/>
      </c>
      <c r="AI110" s="16" t="str" cm="1">
        <f t="array" ref="AI110">IF(AA110="","",IF(AB110&lt;'Rate &amp; Vol Update'!$C$2,0.001%,(1/((INDEX('Rate &amp; Vol Update'!$E$6:$Z$6,1,MATCH(AG110,'Rate &amp; Vol Update'!$E$6:$Z$6,1)+1)-INDEX('Rate &amp; Vol Update'!$E$6:$Z$6,1,MATCH(AG110,'Rate &amp; Vol Update'!$E$6:$Z$6,1)))*(INDEX('Rate &amp; Vol Update'!$B$8:$B$127,MATCH(AB110,'Rate &amp; Vol Update'!$B$8:$B$127,1)+1)-INDEX('Rate &amp; Vol Update'!$B$8:$B$127,MATCH(AB110,'Rate &amp; Vol Update'!$B$8:$B$127,1))))*(INDEX('Rate &amp; Vol Update'!$E$8:$Z$127,MATCH(INDEX('Rate &amp; Vol Update'!$B$8:$B$127,MATCH(AB110,'Rate &amp; Vol Update'!$B$8:$B$127,1)),'Rate &amp; Vol Update'!$B$8:$B$127,0),MATCH(INDEX('Rate &amp; Vol Update'!$E$6:$Z$6,1,MATCH(AG110,'Rate &amp; Vol Update'!$E$6:$Z$6,1)),'Rate &amp; Vol Update'!$E$6:$Z$6,0))*(INDEX('Rate &amp; Vol Update'!$E$6:$Z$6,1,MATCH(AG110,'Rate &amp; Vol Update'!$E$6:$Z$6,1)+1)-AG110)*(INDEX('Rate &amp; Vol Update'!$B$8:$B$127,MATCH(AB110,'Rate &amp; Vol Update'!$B$8:$B$127,1)+1)-AB110)+INDEX('Rate &amp; Vol Update'!$E$8:$Z$127,MATCH(INDEX('Rate &amp; Vol Update'!$B$8:$B$127,MATCH(AB110,'Rate &amp; Vol Update'!$B$8:$B$127,1)),'Rate &amp; Vol Update'!$B$8:$B$127,0),MATCH(INDEX('Rate &amp; Vol Update'!$E$6:$Z$6,1,MATCH(AG110,'Rate &amp; Vol Update'!$E$6:$Z$6,1)+1),'Rate &amp; Vol Update'!$E$6:$Z$6,0))*(AG110-INDEX('Rate &amp; Vol Update'!$E$6:$Z$6,1,MATCH(AG110,'Rate &amp; Vol Update'!$E$6:$Z$6,1)))*(INDEX('Rate &amp; Vol Update'!$B$8:$B$127,MATCH(AB110,'Rate &amp; Vol Update'!$B$8:$B$127,1)+1)-AB110)+INDEX('Rate &amp; Vol Update'!$E$8:$Z$127,MATCH(INDEX('Rate &amp; Vol Update'!$B$8:$B$127,MATCH(AB110,'Rate &amp; Vol Update'!$B$8:$B$127,1)+1),'Rate &amp; Vol Update'!$B$8:$B$127,0),MATCH(INDEX('Rate &amp; Vol Update'!$E$6:$Z$6,1,MATCH(AG110,'Rate &amp; Vol Update'!$E$6:$Z$6,1)),'Rate &amp; Vol Update'!$E$6:$Z$6,0))*(INDEX('Rate &amp; Vol Update'!$E$6:$Z$6,1,MATCH(AG110,'Rate &amp; Vol Update'!$E$6:$Z$6,1)+1)-AG110)*(AB110-INDEX('Rate &amp; Vol Update'!$B$8:$B$127,MATCH(AB110,'Rate &amp; Vol Update'!$B$8:$B$127,1)))+INDEX('Rate &amp; Vol Update'!$E$8:$Z$127,MATCH(INDEX('Rate &amp; Vol Update'!$B$8:$B$127,MATCH(AB110,'Rate &amp; Vol Update'!$B$8:$B$127,1)+1),'Rate &amp; Vol Update'!$B$8:$B$127,0),MATCH(INDEX('Rate &amp; Vol Update'!$E$6:$Z$6,1,MATCH(AG110,'Rate &amp; Vol Update'!$E$6:$Z$6,1)+1),'Rate &amp; Vol Update'!$E$6:$Z$6,0))*(AG110-INDEX('Rate &amp; Vol Update'!$E$6:$Z$6,1,MATCH(AG110,'Rate &amp; Vol Update'!$E$6:$Z$6,1)))*(AB110-INDEX('Rate &amp; Vol Update'!$B$8:$B$127,MATCH(AB110,'Rate &amp; Vol Update'!$B$8:$B$127,1)))))*0.01%))</f>
        <v/>
      </c>
      <c r="AJ110" s="5" t="str">
        <f>IF(AA110="","",1/((1+AH110)^((AC110-'Rate &amp; Vol Update'!$C$2)/360)))</f>
        <v/>
      </c>
      <c r="AL110" s="15" t="str">
        <f>IF(AA110="","",IF(AB110&lt;'Rate &amp; Vol Update'!$C$2,MAX(0,AH110-AG110)*(AD110/360)*AF110,(((IF('Adjustment Surface'!$C$2='Data Validation'!$A$2,AH110,IF('Adjustment Surface'!$C$2='Data Validation'!$A$3,AG110,"Unknown Option Type"))-IF('Adjustment Surface'!$C$2='Data Validation'!$A$2,AG110,IF('Adjustment Surface'!$C$2='Data Validation'!$A$3,AH110,"Unknown Option Type")))*(NORMDIST((IF('Adjustment Surface'!$C$2='Data Validation'!$A$2,AH110,IF('Adjustment Surface'!$C$2='Data Validation'!$A$3,AG110,"Unknown Option Type"))-IF('Adjustment Surface'!$C$2='Data Validation'!$A$2,AG110,IF('Adjustment Surface'!$C$2='Data Validation'!$A$3,AH110,"Unknown Option Type")))/(AI110*SQRT(AE110)),0,1,TRUE)))+((AI110*SQRT(AE110))*(NORMDIST((IF('Adjustment Surface'!$C$2='Data Validation'!$A$2,AH110,IF('Adjustment Surface'!$C$2='Data Validation'!$A$3,AG110,"Unknown Option Type"))-IF('Adjustment Surface'!$C$2='Data Validation'!$A$2,AG110,IF('Adjustment Surface'!$C$2='Data Validation'!$A$3,AH110,"Unknown Option Type")))/(AI110*SQRT(AE110)),0,1,FALSE))))*AJ110*(AD110/360)*AF110))</f>
        <v/>
      </c>
      <c r="AM110" s="15" t="str">
        <f>IF(AA110="","",SUM(AL$4:AL110))</f>
        <v/>
      </c>
      <c r="AO110" s="15" t="str">
        <f>IF(AA110="","",IF(AB110&lt;'Rate &amp; Vol Update'!$C$2,0,((((((IF('Adjustment Surface'!$C$2='Data Validation'!$A$2,AH110,IF('Adjustment Surface'!$C$2='Data Validation'!$A$3,AG110,"Unknown Option Type"))-IF('Adjustment Surface'!$C$2='Data Validation'!$A$2,AG110,IF('Adjustment Surface'!$C$2='Data Validation'!$A$3,AH110,"Unknown Option Type")))*(NORMDIST((IF('Adjustment Surface'!$C$2='Data Validation'!$A$2,AH110,IF('Adjustment Surface'!$C$2='Data Validation'!$A$3,AG110,"Unknown Option Type"))-IF('Adjustment Surface'!$C$2='Data Validation'!$A$2,AG110,IF('Adjustment Surface'!$C$2='Data Validation'!$A$3,AH110,"Unknown Option Type")))/((AI110+0.01%)*SQRT(AE110)),0,1,TRUE)))+(((AI110+0.01%)*SQRT(AE110))*(NORMDIST((IF('Adjustment Surface'!$C$2='Data Validation'!$A$2,AH110,IF('Adjustment Surface'!$C$2='Data Validation'!$A$3,AG110,"Unknown Option Type"))-IF('Adjustment Surface'!$C$2='Data Validation'!$A$2,AG110,IF('Adjustment Surface'!$C$2='Data Validation'!$A$3,AH110,"Unknown Option Type")))/((AI110+0.01%)*SQRT(AE110)),0,1,FALSE))))*AJ110*(AD110/360))-(AL110/AF110))*AF110)*AJ110))</f>
        <v/>
      </c>
      <c r="AP110" s="15" t="str">
        <f>IF(AA110="","",SUM(AO$4:AO110))</f>
        <v/>
      </c>
      <c r="AQ110" s="15"/>
      <c r="AR110" s="20"/>
      <c r="AT110" s="4" t="str">
        <f>IF(AU109=MAX('Adjustment Surface'!$C$14:$F$14),"",AU109)</f>
        <v/>
      </c>
      <c r="AU110" s="4" t="str">
        <f>IF(AT110="","",IF(AT110&lt;EDATE('Adjustment Surface'!$C$6,DATEDIF('Adjustment Surface'!$C$6,MAX('Adjustment Surface'!$C$14:$F$14),"M")),EDATE(AT$5,COUNT(AT$5:AT110)),IF(AT110=EDATE('Adjustment Surface'!$C$6,DATEDIF('Adjustment Surface'!$C$6,MAX('Adjustment Surface'!$C$14:$F$14),"M")),MAX('Adjustment Surface'!$C$14:$F$14),EDATE('Adjustment Surface'!$C$6,DATEDIF('Adjustment Surface'!$C$6,MAX('Adjustment Surface'!$C$14:$F$14),"M")))))</f>
        <v/>
      </c>
      <c r="AV110" s="3" t="str">
        <f t="shared" si="8"/>
        <v/>
      </c>
      <c r="AW110" s="5" t="str">
        <f>IF(AS110="","",(AU110-'Rate &amp; Vol Update'!$C$2)/360)</f>
        <v/>
      </c>
      <c r="AX110" s="15" t="str">
        <f>IF(AS110="","",IF('Adjustment Surface'!$C$3='Data Validation'!$C$2,'Adjustment Surface'!$C$4,_xlfn.IFNA(IF(INDEX(Schedules!$E$3:$E$123,MATCH('Bachelier Model'!AT110,Schedules!$B$3:$B$123,0))="",AX109,INDEX(Schedules!$E$3:$E$123,MATCH('Bachelier Model'!AT110,Schedules!$B$3:$B$123,0))),AX109)))</f>
        <v/>
      </c>
      <c r="AY110" s="16" t="str">
        <f>IF(AS110="","",'Adjustment Surface'!B$16)</f>
        <v/>
      </c>
      <c r="AZ110" s="16" t="str" cm="1">
        <f t="array" ref="AZ110">IF(AS110="","",FORECAST(AT110,INDEX('Rate &amp; Vol Update'!$C$6:$C$127,MATCH(INDEX('Rate &amp; Vol Update'!$B$6:$B$127,MATCH(AT110,'Rate &amp; Vol Update'!$B$6:$B$127,1)),'Rate &amp; Vol Update'!$B$6:$B$127,0)+IF('Adjustment Surface'!$C$11='Data Validation'!$E$3,-1,0)):INDEX('Rate &amp; Vol Update'!$C$6:$C$127,MATCH(INDEX('Rate &amp; Vol Update'!$B$6:$B$127,MATCH(AT110,'Rate &amp; Vol Update'!$B$6:$B$127,1)+1),'Rate &amp; Vol Update'!$B$6:$B$127,0)+IF('Adjustment Surface'!$C$11='Data Validation'!$E$3,-1,0)),INDEX('Rate &amp; Vol Update'!$B$6:$B$127,MATCH(AT110,'Rate &amp; Vol Update'!$B$6:$B$127,1)):INDEX('Rate &amp; Vol Update'!$B$6:$B$127,MATCH(AT110,'Rate &amp; Vol Update'!$B$6:$B$127,1)+1))/100)</f>
        <v/>
      </c>
      <c r="BA110" s="16" t="str" cm="1">
        <f t="array" ref="BA110">IF(AS110="","",IF(AT110&lt;'Rate &amp; Vol Update'!$C$2,0.001%,(1/((INDEX('Rate &amp; Vol Update'!$E$6:$Z$6,1,MATCH(AY110,'Rate &amp; Vol Update'!$E$6:$Z$6,1)+1)-INDEX('Rate &amp; Vol Update'!$E$6:$Z$6,1,MATCH(AY110,'Rate &amp; Vol Update'!$E$6:$Z$6,1)))*(INDEX('Rate &amp; Vol Update'!$B$8:$B$127,MATCH(AT110,'Rate &amp; Vol Update'!$B$8:$B$127,1)+1)-INDEX('Rate &amp; Vol Update'!$B$8:$B$127,MATCH(AT110,'Rate &amp; Vol Update'!$B$8:$B$127,1))))*(INDEX('Rate &amp; Vol Update'!$E$8:$Z$127,MATCH(INDEX('Rate &amp; Vol Update'!$B$8:$B$127,MATCH(AT110,'Rate &amp; Vol Update'!$B$8:$B$127,1)),'Rate &amp; Vol Update'!$B$8:$B$127,0),MATCH(INDEX('Rate &amp; Vol Update'!$E$6:$Z$6,1,MATCH(AY110,'Rate &amp; Vol Update'!$E$6:$Z$6,1)),'Rate &amp; Vol Update'!$E$6:$Z$6,0))*(INDEX('Rate &amp; Vol Update'!$E$6:$Z$6,1,MATCH(AY110,'Rate &amp; Vol Update'!$E$6:$Z$6,1)+1)-AY110)*(INDEX('Rate &amp; Vol Update'!$B$8:$B$127,MATCH(AT110,'Rate &amp; Vol Update'!$B$8:$B$127,1)+1)-AT110)+INDEX('Rate &amp; Vol Update'!$E$8:$Z$127,MATCH(INDEX('Rate &amp; Vol Update'!$B$8:$B$127,MATCH(AT110,'Rate &amp; Vol Update'!$B$8:$B$127,1)),'Rate &amp; Vol Update'!$B$8:$B$127,0),MATCH(INDEX('Rate &amp; Vol Update'!$E$6:$Z$6,1,MATCH(AY110,'Rate &amp; Vol Update'!$E$6:$Z$6,1)+1),'Rate &amp; Vol Update'!$E$6:$Z$6,0))*(AY110-INDEX('Rate &amp; Vol Update'!$E$6:$Z$6,1,MATCH(AY110,'Rate &amp; Vol Update'!$E$6:$Z$6,1)))*(INDEX('Rate &amp; Vol Update'!$B$8:$B$127,MATCH(AT110,'Rate &amp; Vol Update'!$B$8:$B$127,1)+1)-AT110)+INDEX('Rate &amp; Vol Update'!$E$8:$Z$127,MATCH(INDEX('Rate &amp; Vol Update'!$B$8:$B$127,MATCH(AT110,'Rate &amp; Vol Update'!$B$8:$B$127,1)+1),'Rate &amp; Vol Update'!$B$8:$B$127,0),MATCH(INDEX('Rate &amp; Vol Update'!$E$6:$Z$6,1,MATCH(AY110,'Rate &amp; Vol Update'!$E$6:$Z$6,1)),'Rate &amp; Vol Update'!$E$6:$Z$6,0))*(INDEX('Rate &amp; Vol Update'!$E$6:$Z$6,1,MATCH(AY110,'Rate &amp; Vol Update'!$E$6:$Z$6,1)+1)-AY110)*(AT110-INDEX('Rate &amp; Vol Update'!$B$8:$B$127,MATCH(AT110,'Rate &amp; Vol Update'!$B$8:$B$127,1)))+INDEX('Rate &amp; Vol Update'!$E$8:$Z$127,MATCH(INDEX('Rate &amp; Vol Update'!$B$8:$B$127,MATCH(AT110,'Rate &amp; Vol Update'!$B$8:$B$127,1)+1),'Rate &amp; Vol Update'!$B$8:$B$127,0),MATCH(INDEX('Rate &amp; Vol Update'!$E$6:$Z$6,1,MATCH(AY110,'Rate &amp; Vol Update'!$E$6:$Z$6,1)+1),'Rate &amp; Vol Update'!$E$6:$Z$6,0))*(AY110-INDEX('Rate &amp; Vol Update'!$E$6:$Z$6,1,MATCH(AY110,'Rate &amp; Vol Update'!$E$6:$Z$6,1)))*(AT110-INDEX('Rate &amp; Vol Update'!$B$8:$B$127,MATCH(AT110,'Rate &amp; Vol Update'!$B$8:$B$127,1)))))*0.01%))</f>
        <v/>
      </c>
      <c r="BB110" s="5" t="str">
        <f>IF(AS110="","",1/((1+AZ110)^((AU110-'Rate &amp; Vol Update'!$C$2)/360)))</f>
        <v/>
      </c>
      <c r="BD110" s="15" t="str">
        <f>IF(AS110="","",IF(AT110&lt;'Rate &amp; Vol Update'!$C$2,MAX(0,AZ110-AY110)*(AV110/360)*AX110,(((IF('Adjustment Surface'!$C$2='Data Validation'!$A$2,AZ110,IF('Adjustment Surface'!$C$2='Data Validation'!$A$3,AY110,"Unknown Option Type"))-IF('Adjustment Surface'!$C$2='Data Validation'!$A$2,AY110,IF('Adjustment Surface'!$C$2='Data Validation'!$A$3,AZ110,"Unknown Option Type")))*(NORMDIST((IF('Adjustment Surface'!$C$2='Data Validation'!$A$2,AZ110,IF('Adjustment Surface'!$C$2='Data Validation'!$A$3,AY110,"Unknown Option Type"))-IF('Adjustment Surface'!$C$2='Data Validation'!$A$2,AY110,IF('Adjustment Surface'!$C$2='Data Validation'!$A$3,AZ110,"Unknown Option Type")))/(BA110*SQRT(AW110)),0,1,TRUE)))+((BA110*SQRT(AW110))*(NORMDIST((IF('Adjustment Surface'!$C$2='Data Validation'!$A$2,AZ110,IF('Adjustment Surface'!$C$2='Data Validation'!$A$3,AY110,"Unknown Option Type"))-IF('Adjustment Surface'!$C$2='Data Validation'!$A$2,AY110,IF('Adjustment Surface'!$C$2='Data Validation'!$A$3,AZ110,"Unknown Option Type")))/(BA110*SQRT(AW110)),0,1,FALSE))))*BB110*(AV110/360)*AX110))</f>
        <v/>
      </c>
      <c r="BE110" s="15" t="str">
        <f>IF(AS110="","",SUM(BD$4:BD110))</f>
        <v/>
      </c>
      <c r="BG110" s="15" t="str">
        <f>IF(AS110="","",IF(AT110&lt;'Rate &amp; Vol Update'!$C$2,0,((((((IF('Adjustment Surface'!$C$2='Data Validation'!$A$2,AZ110,IF('Adjustment Surface'!$C$2='Data Validation'!$A$3,AY110,"Unknown Option Type"))-IF('Adjustment Surface'!$C$2='Data Validation'!$A$2,AY110,IF('Adjustment Surface'!$C$2='Data Validation'!$A$3,AZ110,"Unknown Option Type")))*(NORMDIST((IF('Adjustment Surface'!$C$2='Data Validation'!$A$2,AZ110,IF('Adjustment Surface'!$C$2='Data Validation'!$A$3,AY110,"Unknown Option Type"))-IF('Adjustment Surface'!$C$2='Data Validation'!$A$2,AY110,IF('Adjustment Surface'!$C$2='Data Validation'!$A$3,AZ110,"Unknown Option Type")))/((BA110+0.01%)*SQRT(AW110)),0,1,TRUE)))+(((BA110+0.01%)*SQRT(AW110))*(NORMDIST((IF('Adjustment Surface'!$C$2='Data Validation'!$A$2,AZ110,IF('Adjustment Surface'!$C$2='Data Validation'!$A$3,AY110,"Unknown Option Type"))-IF('Adjustment Surface'!$C$2='Data Validation'!$A$2,AY110,IF('Adjustment Surface'!$C$2='Data Validation'!$A$3,AZ110,"Unknown Option Type")))/((BA110+0.01%)*SQRT(AW110)),0,1,FALSE))))*BB110*(AV110/360))-(BD110/AX110))*AX110)*BB110))</f>
        <v/>
      </c>
      <c r="BH110" s="15" t="str">
        <f>IF(AS110="","",SUM(BG$4:BG110))</f>
        <v/>
      </c>
      <c r="BI110" s="15"/>
      <c r="BJ110" s="20"/>
      <c r="BL110" s="4" t="str">
        <f>IF(BM109=MAX('Adjustment Surface'!$C$14:$F$14),"",BM109)</f>
        <v/>
      </c>
      <c r="BM110" s="4" t="str">
        <f>IF(BL110="","",IF(BL110&lt;EDATE('Adjustment Surface'!$C$6,DATEDIF('Adjustment Surface'!$C$6,MAX('Adjustment Surface'!$C$14:$F$14),"M")),EDATE(BL$5,COUNT(BL$5:BL110)),IF(BL110=EDATE('Adjustment Surface'!$C$6,DATEDIF('Adjustment Surface'!$C$6,MAX('Adjustment Surface'!$C$14:$F$14),"M")),MAX('Adjustment Surface'!$C$14:$F$14),EDATE('Adjustment Surface'!$C$6,DATEDIF('Adjustment Surface'!$C$6,MAX('Adjustment Surface'!$C$14:$F$14),"M")))))</f>
        <v/>
      </c>
      <c r="BN110" s="3" t="str">
        <f t="shared" si="9"/>
        <v/>
      </c>
      <c r="BO110" s="5" t="str">
        <f>IF(BK110="","",(BM110-'Rate &amp; Vol Update'!$C$2)/360)</f>
        <v/>
      </c>
      <c r="BP110" s="15" t="str">
        <f>IF(BK110="","",IF('Adjustment Surface'!$C$3='Data Validation'!$C$2,'Adjustment Surface'!$C$4,_xlfn.IFNA(IF(INDEX(Schedules!$E$3:$E$123,MATCH('Bachelier Model'!BL110,Schedules!$B$3:$B$123,0))="",BP109,INDEX(Schedules!$E$3:$E$123,MATCH('Bachelier Model'!BL110,Schedules!$B$3:$B$123,0))),BP109)))</f>
        <v/>
      </c>
      <c r="BQ110" s="16" t="str">
        <f>IF(BK110="","",'Adjustment Surface'!B$17)</f>
        <v/>
      </c>
      <c r="BR110" s="16" t="str" cm="1">
        <f t="array" ref="BR110">IF(BK110="","",FORECAST(BL110,INDEX('Rate &amp; Vol Update'!$C$6:$C$127,MATCH(INDEX('Rate &amp; Vol Update'!$B$6:$B$127,MATCH(BL110,'Rate &amp; Vol Update'!$B$6:$B$127,1)),'Rate &amp; Vol Update'!$B$6:$B$127,0)+IF('Adjustment Surface'!$C$11='Data Validation'!$E$3,-1,0)):INDEX('Rate &amp; Vol Update'!$C$6:$C$127,MATCH(INDEX('Rate &amp; Vol Update'!$B$6:$B$127,MATCH(BL110,'Rate &amp; Vol Update'!$B$6:$B$127,1)+1),'Rate &amp; Vol Update'!$B$6:$B$127,0)+IF('Adjustment Surface'!$C$11='Data Validation'!$E$3,-1,0)),INDEX('Rate &amp; Vol Update'!$B$6:$B$127,MATCH(BL110,'Rate &amp; Vol Update'!$B$6:$B$127,1)):INDEX('Rate &amp; Vol Update'!$B$6:$B$127,MATCH(BL110,'Rate &amp; Vol Update'!$B$6:$B$127,1)+1))/100)</f>
        <v/>
      </c>
      <c r="BS110" s="16" t="str" cm="1">
        <f t="array" ref="BS110">IF(BK110="","",IF(BL110&lt;'Rate &amp; Vol Update'!$C$2,0.001%,(1/((INDEX('Rate &amp; Vol Update'!$E$6:$Z$6,1,MATCH(BQ110,'Rate &amp; Vol Update'!$E$6:$Z$6,1)+1)-INDEX('Rate &amp; Vol Update'!$E$6:$Z$6,1,MATCH(BQ110,'Rate &amp; Vol Update'!$E$6:$Z$6,1)))*(INDEX('Rate &amp; Vol Update'!$B$8:$B$127,MATCH(BL110,'Rate &amp; Vol Update'!$B$8:$B$127,1)+1)-INDEX('Rate &amp; Vol Update'!$B$8:$B$127,MATCH(BL110,'Rate &amp; Vol Update'!$B$8:$B$127,1))))*(INDEX('Rate &amp; Vol Update'!$E$8:$Z$127,MATCH(INDEX('Rate &amp; Vol Update'!$B$8:$B$127,MATCH(BL110,'Rate &amp; Vol Update'!$B$8:$B$127,1)),'Rate &amp; Vol Update'!$B$8:$B$127,0),MATCH(INDEX('Rate &amp; Vol Update'!$E$6:$Z$6,1,MATCH(BQ110,'Rate &amp; Vol Update'!$E$6:$Z$6,1)),'Rate &amp; Vol Update'!$E$6:$Z$6,0))*(INDEX('Rate &amp; Vol Update'!$E$6:$Z$6,1,MATCH(BQ110,'Rate &amp; Vol Update'!$E$6:$Z$6,1)+1)-BQ110)*(INDEX('Rate &amp; Vol Update'!$B$8:$B$127,MATCH(BL110,'Rate &amp; Vol Update'!$B$8:$B$127,1)+1)-BL110)+INDEX('Rate &amp; Vol Update'!$E$8:$Z$127,MATCH(INDEX('Rate &amp; Vol Update'!$B$8:$B$127,MATCH(BL110,'Rate &amp; Vol Update'!$B$8:$B$127,1)),'Rate &amp; Vol Update'!$B$8:$B$127,0),MATCH(INDEX('Rate &amp; Vol Update'!$E$6:$Z$6,1,MATCH(BQ110,'Rate &amp; Vol Update'!$E$6:$Z$6,1)+1),'Rate &amp; Vol Update'!$E$6:$Z$6,0))*(BQ110-INDEX('Rate &amp; Vol Update'!$E$6:$Z$6,1,MATCH(BQ110,'Rate &amp; Vol Update'!$E$6:$Z$6,1)))*(INDEX('Rate &amp; Vol Update'!$B$8:$B$127,MATCH(BL110,'Rate &amp; Vol Update'!$B$8:$B$127,1)+1)-BL110)+INDEX('Rate &amp; Vol Update'!$E$8:$Z$127,MATCH(INDEX('Rate &amp; Vol Update'!$B$8:$B$127,MATCH(BL110,'Rate &amp; Vol Update'!$B$8:$B$127,1)+1),'Rate &amp; Vol Update'!$B$8:$B$127,0),MATCH(INDEX('Rate &amp; Vol Update'!$E$6:$Z$6,1,MATCH(BQ110,'Rate &amp; Vol Update'!$E$6:$Z$6,1)),'Rate &amp; Vol Update'!$E$6:$Z$6,0))*(INDEX('Rate &amp; Vol Update'!$E$6:$Z$6,1,MATCH(BQ110,'Rate &amp; Vol Update'!$E$6:$Z$6,1)+1)-BQ110)*(BL110-INDEX('Rate &amp; Vol Update'!$B$8:$B$127,MATCH(BL110,'Rate &amp; Vol Update'!$B$8:$B$127,1)))+INDEX('Rate &amp; Vol Update'!$E$8:$Z$127,MATCH(INDEX('Rate &amp; Vol Update'!$B$8:$B$127,MATCH(BL110,'Rate &amp; Vol Update'!$B$8:$B$127,1)+1),'Rate &amp; Vol Update'!$B$8:$B$127,0),MATCH(INDEX('Rate &amp; Vol Update'!$E$6:$Z$6,1,MATCH(BQ110,'Rate &amp; Vol Update'!$E$6:$Z$6,1)+1),'Rate &amp; Vol Update'!$E$6:$Z$6,0))*(BQ110-INDEX('Rate &amp; Vol Update'!$E$6:$Z$6,1,MATCH(BQ110,'Rate &amp; Vol Update'!$E$6:$Z$6,1)))*(BL110-INDEX('Rate &amp; Vol Update'!$B$8:$B$127,MATCH(BL110,'Rate &amp; Vol Update'!$B$8:$B$127,1)))))*0.01%))</f>
        <v/>
      </c>
      <c r="BT110" s="5" t="str">
        <f>IF(BK110="","",1/((1+BR110)^((BM110-'Rate &amp; Vol Update'!$C$2)/360)))</f>
        <v/>
      </c>
      <c r="BV110" s="15" t="str">
        <f>IF(BK110="","",IF(BL110&lt;'Rate &amp; Vol Update'!$C$2,MAX(0,BR110-BQ110)*(BN110/360)*BP110,(((IF('Adjustment Surface'!$C$2='Data Validation'!$A$2,BR110,IF('Adjustment Surface'!$C$2='Data Validation'!$A$3,BQ110,"Unknown Option Type"))-IF('Adjustment Surface'!$C$2='Data Validation'!$A$2,BQ110,IF('Adjustment Surface'!$C$2='Data Validation'!$A$3,BR110,"Unknown Option Type")))*(NORMDIST((IF('Adjustment Surface'!$C$2='Data Validation'!$A$2,BR110,IF('Adjustment Surface'!$C$2='Data Validation'!$A$3,BQ110,"Unknown Option Type"))-IF('Adjustment Surface'!$C$2='Data Validation'!$A$2,BQ110,IF('Adjustment Surface'!$C$2='Data Validation'!$A$3,BR110,"Unknown Option Type")))/(BS110*SQRT(BO110)),0,1,TRUE)))+((BS110*SQRT(BO110))*(NORMDIST((IF('Adjustment Surface'!$C$2='Data Validation'!$A$2,BR110,IF('Adjustment Surface'!$C$2='Data Validation'!$A$3,BQ110,"Unknown Option Type"))-IF('Adjustment Surface'!$C$2='Data Validation'!$A$2,BQ110,IF('Adjustment Surface'!$C$2='Data Validation'!$A$3,BR110,"Unknown Option Type")))/(BS110*SQRT(BO110)),0,1,FALSE))))*BT110*(BN110/360)*BP110))</f>
        <v/>
      </c>
      <c r="BW110" s="15" t="str">
        <f>IF(BK110="","",SUM(BV$4:BV110))</f>
        <v/>
      </c>
      <c r="BY110" s="15" t="str">
        <f>IF(BK110="","",IF(BL110&lt;'Rate &amp; Vol Update'!$C$2,0,((((((IF('Adjustment Surface'!$C$2='Data Validation'!$A$2,BR110,IF('Adjustment Surface'!$C$2='Data Validation'!$A$3,BQ110,"Unknown Option Type"))-IF('Adjustment Surface'!$C$2='Data Validation'!$A$2,BQ110,IF('Adjustment Surface'!$C$2='Data Validation'!$A$3,BR110,"Unknown Option Type")))*(NORMDIST((IF('Adjustment Surface'!$C$2='Data Validation'!$A$2,BR110,IF('Adjustment Surface'!$C$2='Data Validation'!$A$3,BQ110,"Unknown Option Type"))-IF('Adjustment Surface'!$C$2='Data Validation'!$A$2,BQ110,IF('Adjustment Surface'!$C$2='Data Validation'!$A$3,BR110,"Unknown Option Type")))/((BS110+0.01%)*SQRT(BO110)),0,1,TRUE)))+(((BS110+0.01%)*SQRT(BO110))*(NORMDIST((IF('Adjustment Surface'!$C$2='Data Validation'!$A$2,BR110,IF('Adjustment Surface'!$C$2='Data Validation'!$A$3,BQ110,"Unknown Option Type"))-IF('Adjustment Surface'!$C$2='Data Validation'!$A$2,BQ110,IF('Adjustment Surface'!$C$2='Data Validation'!$A$3,BR110,"Unknown Option Type")))/((BS110+0.01%)*SQRT(BO110)),0,1,FALSE))))*BT110*(BN110/360))-(BV110/BP110))*BP110)*BT110))</f>
        <v/>
      </c>
      <c r="BZ110" s="15" t="str">
        <f>IF(BK110="","",SUM(BY$4:BY110))</f>
        <v/>
      </c>
      <c r="CA110" s="15"/>
      <c r="CB110" s="20"/>
      <c r="CD110" s="4" t="str">
        <f>IF(CE109=MAX('Adjustment Surface'!$C$14:$F$14),"",CE109)</f>
        <v/>
      </c>
      <c r="CE110" s="4" t="str">
        <f>IF(CD110="","",IF(CD110&lt;EDATE('Adjustment Surface'!$C$6,DATEDIF('Adjustment Surface'!$C$6,MAX('Adjustment Surface'!$C$14:$F$14),"M")),EDATE(CD$5,COUNT(CD$5:CD110)),IF(CD110=EDATE('Adjustment Surface'!$C$6,DATEDIF('Adjustment Surface'!$C$6,MAX('Adjustment Surface'!$C$14:$F$14),"M")),MAX('Adjustment Surface'!$C$14:$F$14),EDATE('Adjustment Surface'!$C$6,DATEDIF('Adjustment Surface'!$C$6,MAX('Adjustment Surface'!$C$14:$F$14),"M")))))</f>
        <v/>
      </c>
      <c r="CF110" s="3" t="str">
        <f t="shared" si="10"/>
        <v/>
      </c>
      <c r="CG110" s="5" t="str">
        <f>IF(CC110="","",(CE110-'Rate &amp; Vol Update'!$C$2)/360)</f>
        <v/>
      </c>
      <c r="CH110" s="15" t="str">
        <f>IF(CC110="","",IF('Adjustment Surface'!$C$3='Data Validation'!$C$2,'Adjustment Surface'!$C$4,_xlfn.IFNA(IF(INDEX(Schedules!$E$3:$E$123,MATCH('Bachelier Model'!CD110,Schedules!$B$3:$B$123,0))="",CH109,INDEX(Schedules!$E$3:$E$123,MATCH('Bachelier Model'!CD110,Schedules!$B$3:$B$123,0))),CH109)))</f>
        <v/>
      </c>
      <c r="CI110" s="16" t="str">
        <f>IF(CC110="","",'Adjustment Surface'!B$18)</f>
        <v/>
      </c>
      <c r="CJ110" s="16" t="str" cm="1">
        <f t="array" ref="CJ110">IF(CC110="","",FORECAST(CD110,INDEX('Rate &amp; Vol Update'!$C$6:$C$127,MATCH(INDEX('Rate &amp; Vol Update'!$B$6:$B$127,MATCH(CD110,'Rate &amp; Vol Update'!$B$6:$B$127,1)),'Rate &amp; Vol Update'!$B$6:$B$127,0)+IF('Adjustment Surface'!$C$11='Data Validation'!$E$3,-1,0)):INDEX('Rate &amp; Vol Update'!$C$6:$C$127,MATCH(INDEX('Rate &amp; Vol Update'!$B$6:$B$127,MATCH(CD110,'Rate &amp; Vol Update'!$B$6:$B$127,1)+1),'Rate &amp; Vol Update'!$B$6:$B$127,0)+IF('Adjustment Surface'!$C$11='Data Validation'!$E$3,-1,0)),INDEX('Rate &amp; Vol Update'!$B$6:$B$127,MATCH(CD110,'Rate &amp; Vol Update'!$B$6:$B$127,1)):INDEX('Rate &amp; Vol Update'!$B$6:$B$127,MATCH(CD110,'Rate &amp; Vol Update'!$B$6:$B$127,1)+1))/100)</f>
        <v/>
      </c>
      <c r="CK110" s="16" t="str" cm="1">
        <f t="array" ref="CK110">IF(CC110="","",IF(CD110&lt;'Rate &amp; Vol Update'!$C$2,0.001%,(1/((INDEX('Rate &amp; Vol Update'!$E$6:$Z$6,1,MATCH(CI110,'Rate &amp; Vol Update'!$E$6:$Z$6,1)+1)-INDEX('Rate &amp; Vol Update'!$E$6:$Z$6,1,MATCH(CI110,'Rate &amp; Vol Update'!$E$6:$Z$6,1)))*(INDEX('Rate &amp; Vol Update'!$B$8:$B$127,MATCH(CD110,'Rate &amp; Vol Update'!$B$8:$B$127,1)+1)-INDEX('Rate &amp; Vol Update'!$B$8:$B$127,MATCH(CD110,'Rate &amp; Vol Update'!$B$8:$B$127,1))))*(INDEX('Rate &amp; Vol Update'!$E$8:$Z$127,MATCH(INDEX('Rate &amp; Vol Update'!$B$8:$B$127,MATCH(CD110,'Rate &amp; Vol Update'!$B$8:$B$127,1)),'Rate &amp; Vol Update'!$B$8:$B$127,0),MATCH(INDEX('Rate &amp; Vol Update'!$E$6:$Z$6,1,MATCH(CI110,'Rate &amp; Vol Update'!$E$6:$Z$6,1)),'Rate &amp; Vol Update'!$E$6:$Z$6,0))*(INDEX('Rate &amp; Vol Update'!$E$6:$Z$6,1,MATCH(CI110,'Rate &amp; Vol Update'!$E$6:$Z$6,1)+1)-CI110)*(INDEX('Rate &amp; Vol Update'!$B$8:$B$127,MATCH(CD110,'Rate &amp; Vol Update'!$B$8:$B$127,1)+1)-CD110)+INDEX('Rate &amp; Vol Update'!$E$8:$Z$127,MATCH(INDEX('Rate &amp; Vol Update'!$B$8:$B$127,MATCH(CD110,'Rate &amp; Vol Update'!$B$8:$B$127,1)),'Rate &amp; Vol Update'!$B$8:$B$127,0),MATCH(INDEX('Rate &amp; Vol Update'!$E$6:$Z$6,1,MATCH(CI110,'Rate &amp; Vol Update'!$E$6:$Z$6,1)+1),'Rate &amp; Vol Update'!$E$6:$Z$6,0))*(CI110-INDEX('Rate &amp; Vol Update'!$E$6:$Z$6,1,MATCH(CI110,'Rate &amp; Vol Update'!$E$6:$Z$6,1)))*(INDEX('Rate &amp; Vol Update'!$B$8:$B$127,MATCH(CD110,'Rate &amp; Vol Update'!$B$8:$B$127,1)+1)-CD110)+INDEX('Rate &amp; Vol Update'!$E$8:$Z$127,MATCH(INDEX('Rate &amp; Vol Update'!$B$8:$B$127,MATCH(CD110,'Rate &amp; Vol Update'!$B$8:$B$127,1)+1),'Rate &amp; Vol Update'!$B$8:$B$127,0),MATCH(INDEX('Rate &amp; Vol Update'!$E$6:$Z$6,1,MATCH(CI110,'Rate &amp; Vol Update'!$E$6:$Z$6,1)),'Rate &amp; Vol Update'!$E$6:$Z$6,0))*(INDEX('Rate &amp; Vol Update'!$E$6:$Z$6,1,MATCH(CI110,'Rate &amp; Vol Update'!$E$6:$Z$6,1)+1)-CI110)*(CD110-INDEX('Rate &amp; Vol Update'!$B$8:$B$127,MATCH(CD110,'Rate &amp; Vol Update'!$B$8:$B$127,1)))+INDEX('Rate &amp; Vol Update'!$E$8:$Z$127,MATCH(INDEX('Rate &amp; Vol Update'!$B$8:$B$127,MATCH(CD110,'Rate &amp; Vol Update'!$B$8:$B$127,1)+1),'Rate &amp; Vol Update'!$B$8:$B$127,0),MATCH(INDEX('Rate &amp; Vol Update'!$E$6:$Z$6,1,MATCH(CI110,'Rate &amp; Vol Update'!$E$6:$Z$6,1)+1),'Rate &amp; Vol Update'!$E$6:$Z$6,0))*(CI110-INDEX('Rate &amp; Vol Update'!$E$6:$Z$6,1,MATCH(CI110,'Rate &amp; Vol Update'!$E$6:$Z$6,1)))*(CD110-INDEX('Rate &amp; Vol Update'!$B$8:$B$127,MATCH(CD110,'Rate &amp; Vol Update'!$B$8:$B$127,1)))))*0.01%))</f>
        <v/>
      </c>
      <c r="CL110" s="5" t="str">
        <f>IF(CC110="","",1/((1+CJ110)^((CE110-'Rate &amp; Vol Update'!$C$2)/360)))</f>
        <v/>
      </c>
      <c r="CN110" s="15" t="str">
        <f>IF(CC110="","",IF(CD110&lt;'Rate &amp; Vol Update'!$C$2,MAX(0,CJ110-CI110)*(CF110/360)*CH110,(((IF('Adjustment Surface'!$C$2='Data Validation'!$A$2,CJ110,IF('Adjustment Surface'!$C$2='Data Validation'!$A$3,CI110,"Unknown Option Type"))-IF('Adjustment Surface'!$C$2='Data Validation'!$A$2,CI110,IF('Adjustment Surface'!$C$2='Data Validation'!$A$3,CJ110,"Unknown Option Type")))*(NORMDIST((IF('Adjustment Surface'!$C$2='Data Validation'!$A$2,CJ110,IF('Adjustment Surface'!$C$2='Data Validation'!$A$3,CI110,"Unknown Option Type"))-IF('Adjustment Surface'!$C$2='Data Validation'!$A$2,CI110,IF('Adjustment Surface'!$C$2='Data Validation'!$A$3,CJ110,"Unknown Option Type")))/(CK110*SQRT(CG110)),0,1,TRUE)))+((CK110*SQRT(CG110))*(NORMDIST((IF('Adjustment Surface'!$C$2='Data Validation'!$A$2,CJ110,IF('Adjustment Surface'!$C$2='Data Validation'!$A$3,CI110,"Unknown Option Type"))-IF('Adjustment Surface'!$C$2='Data Validation'!$A$2,CI110,IF('Adjustment Surface'!$C$2='Data Validation'!$A$3,CJ110,"Unknown Option Type")))/(CK110*SQRT(CG110)),0,1,FALSE))))*CL110*(CF110/360)*CH110))</f>
        <v/>
      </c>
      <c r="CO110" s="15" t="str">
        <f>IF(CC110="","",SUM(CN$4:CN110))</f>
        <v/>
      </c>
      <c r="CQ110" s="15" t="str">
        <f>IF(CC110="","",IF(CD110&lt;'Rate &amp; Vol Update'!$C$2,0,((((((IF('Adjustment Surface'!$C$2='Data Validation'!$A$2,CJ110,IF('Adjustment Surface'!$C$2='Data Validation'!$A$3,CI110,"Unknown Option Type"))-IF('Adjustment Surface'!$C$2='Data Validation'!$A$2,CI110,IF('Adjustment Surface'!$C$2='Data Validation'!$A$3,CJ110,"Unknown Option Type")))*(NORMDIST((IF('Adjustment Surface'!$C$2='Data Validation'!$A$2,CJ110,IF('Adjustment Surface'!$C$2='Data Validation'!$A$3,CI110,"Unknown Option Type"))-IF('Adjustment Surface'!$C$2='Data Validation'!$A$2,CI110,IF('Adjustment Surface'!$C$2='Data Validation'!$A$3,CJ110,"Unknown Option Type")))/((CK110+0.01%)*SQRT(CG110)),0,1,TRUE)))+(((CK110+0.01%)*SQRT(CG110))*(NORMDIST((IF('Adjustment Surface'!$C$2='Data Validation'!$A$2,CJ110,IF('Adjustment Surface'!$C$2='Data Validation'!$A$3,CI110,"Unknown Option Type"))-IF('Adjustment Surface'!$C$2='Data Validation'!$A$2,CI110,IF('Adjustment Surface'!$C$2='Data Validation'!$A$3,CJ110,"Unknown Option Type")))/((CK110+0.01%)*SQRT(CG110)),0,1,FALSE))))*CL110*(CF110/360))-(CN110/CH110))*CH110)*CL110))</f>
        <v/>
      </c>
      <c r="CR110" s="15" t="str">
        <f>IF(CC110="","",SUM(CQ$4:CQ110))</f>
        <v/>
      </c>
    </row>
    <row r="111" spans="7:96" x14ac:dyDescent="0.25">
      <c r="G111" s="28"/>
      <c r="J111" s="4" t="str">
        <f>IF(K110='Adjustment Surface'!C$8,"",K110)</f>
        <v/>
      </c>
      <c r="K111" s="4" t="str">
        <f>IF(J111="","",IF(J111&lt;'Adjustment Surface'!C$7,EDATE(J$5,COUNT(J$5:J111)),IF(J111='Adjustment Surface'!C$7,'Adjustment Surface'!C$8,'Adjustment Surface'!C$7)))</f>
        <v/>
      </c>
      <c r="L111" s="3" t="str">
        <f t="shared" si="6"/>
        <v/>
      </c>
      <c r="M111" s="5" t="str">
        <f>IF(I111="","",(K111-'Rate &amp; Vol Update'!$C$2)/360)</f>
        <v/>
      </c>
      <c r="N111" s="15" t="str">
        <f>IF(I111="","",IF('Adjustment Surface'!C$3='Data Validation'!$C$2,'Adjustment Surface'!C$4,IF(INDEX(Schedules!$E$3:$E$123,MATCH('Bachelier Model'!J111,Schedules!$B$3:$B$123,0))="",N110,INDEX(Schedules!$E$3:$E$123,MATCH('Bachelier Model'!J111,Schedules!$B$3:$B$123,0)))))</f>
        <v/>
      </c>
      <c r="O111" s="16" t="str">
        <f>IF(I111="","",IF('Adjustment Surface'!C$9='Data Validation'!$D$2,'Adjustment Surface'!C$10,IF(INDEX(Schedules!$H$3:$H$123,MATCH('Bachelier Model'!J111,Schedules!$B$3:$B$123,0))="",O110,INDEX(Schedules!$H$3:$H$123,MATCH('Bachelier Model'!J111,Schedules!$B$3:$B$123,0)))))</f>
        <v/>
      </c>
      <c r="P111" s="16" t="str" cm="1">
        <f t="array" ref="P111">IF(I111="","",FORECAST(J111,INDEX('Rate &amp; Vol Update'!$C$6:$C$127,MATCH(INDEX('Rate &amp; Vol Update'!$B$6:$B$127,MATCH(J111,'Rate &amp; Vol Update'!$B$6:$B$127,1)),'Rate &amp; Vol Update'!$B$6:$B$127,0)+IF('Adjustment Surface'!C$11='Data Validation'!$E$3,-1,0)):INDEX('Rate &amp; Vol Update'!$C$6:$C$127,MATCH(INDEX('Rate &amp; Vol Update'!$B$6:$B$127,MATCH(J111,'Rate &amp; Vol Update'!$B$6:$B$127,1)+1),'Rate &amp; Vol Update'!$B$6:$B$127,0)+IF('Adjustment Surface'!C$11='Data Validation'!$E$3,-1,0)),INDEX('Rate &amp; Vol Update'!$B$6:$B$127,MATCH(J111,'Rate &amp; Vol Update'!$B$6:$B$127,1)):INDEX('Rate &amp; Vol Update'!$B$6:$B$127,MATCH(J111,'Rate &amp; Vol Update'!$B$6:$B$127,1)+1))/100)</f>
        <v/>
      </c>
      <c r="Q111" s="16" t="str" cm="1">
        <f t="array" ref="Q111">IF(I111="","",IF(J111&lt;'Rate &amp; Vol Update'!$C$2,0.001%,(1/((INDEX('Rate &amp; Vol Update'!$E$6:$Z$6,1,MATCH(O111,'Rate &amp; Vol Update'!$E$6:$Z$6,1)+1)-INDEX('Rate &amp; Vol Update'!$E$6:$Z$6,1,MATCH(O111,'Rate &amp; Vol Update'!$E$6:$Z$6,1)))*(INDEX('Rate &amp; Vol Update'!$B$8:$B$127,MATCH(J111,'Rate &amp; Vol Update'!$B$8:$B$127,1)+1)-INDEX('Rate &amp; Vol Update'!$B$8:$B$127,MATCH(J111,'Rate &amp; Vol Update'!$B$8:$B$127,1))))*(INDEX('Rate &amp; Vol Update'!$E$8:$Z$127,MATCH(INDEX('Rate &amp; Vol Update'!$B$8:$B$127,MATCH(J111,'Rate &amp; Vol Update'!$B$8:$B$127,1)),'Rate &amp; Vol Update'!$B$8:$B$127,0),MATCH(INDEX('Rate &amp; Vol Update'!$E$6:$Z$6,1,MATCH(O111,'Rate &amp; Vol Update'!$E$6:$Z$6,1)),'Rate &amp; Vol Update'!$E$6:$Z$6,0))*(INDEX('Rate &amp; Vol Update'!$E$6:$Z$6,1,MATCH(O111,'Rate &amp; Vol Update'!$E$6:$Z$6,1)+1)-O111)*(INDEX('Rate &amp; Vol Update'!$B$8:$B$127,MATCH(J111,'Rate &amp; Vol Update'!$B$8:$B$127,1)+1)-J111)+INDEX('Rate &amp; Vol Update'!$E$8:$Z$127,MATCH(INDEX('Rate &amp; Vol Update'!$B$8:$B$127,MATCH(J111,'Rate &amp; Vol Update'!$B$8:$B$127,1)),'Rate &amp; Vol Update'!$B$8:$B$127,0),MATCH(INDEX('Rate &amp; Vol Update'!$E$6:$Z$6,1,MATCH(O111,'Rate &amp; Vol Update'!$E$6:$Z$6,1)+1),'Rate &amp; Vol Update'!$E$6:$Z$6,0))*(O111-INDEX('Rate &amp; Vol Update'!$E$6:$Z$6,1,MATCH(O111,'Rate &amp; Vol Update'!$E$6:$Z$6,1)))*(INDEX('Rate &amp; Vol Update'!$B$8:$B$127,MATCH(J111,'Rate &amp; Vol Update'!$B$8:$B$127,1)+1)-J111)+INDEX('Rate &amp; Vol Update'!$E$8:$Z$127,MATCH(INDEX('Rate &amp; Vol Update'!$B$8:$B$127,MATCH(J111,'Rate &amp; Vol Update'!$B$8:$B$127,1)+1),'Rate &amp; Vol Update'!$B$8:$B$127,0),MATCH(INDEX('Rate &amp; Vol Update'!$E$6:$Z$6,1,MATCH(O111,'Rate &amp; Vol Update'!$E$6:$Z$6,1)),'Rate &amp; Vol Update'!$E$6:$Z$6,0))*(INDEX('Rate &amp; Vol Update'!$E$6:$Z$6,1,MATCH(O111,'Rate &amp; Vol Update'!$E$6:$Z$6,1)+1)-O111)*(J111-INDEX('Rate &amp; Vol Update'!$B$8:$B$127,MATCH(J111,'Rate &amp; Vol Update'!$B$8:$B$127,1)))+INDEX('Rate &amp; Vol Update'!$E$8:$Z$127,MATCH(INDEX('Rate &amp; Vol Update'!$B$8:$B$127,MATCH(J111,'Rate &amp; Vol Update'!$B$8:$B$127,1)+1),'Rate &amp; Vol Update'!$B$8:$B$127,0),MATCH(INDEX('Rate &amp; Vol Update'!$E$6:$Z$6,1,MATCH(O111,'Rate &amp; Vol Update'!$E$6:$Z$6,1)+1),'Rate &amp; Vol Update'!$E$6:$Z$6,0))*(O111-INDEX('Rate &amp; Vol Update'!$E$6:$Z$6,1,MATCH(O111,'Rate &amp; Vol Update'!$E$6:$Z$6,1)))*(J111-INDEX('Rate &amp; Vol Update'!$B$8:$B$127,MATCH(J111,'Rate &amp; Vol Update'!$B$8:$B$127,1)))))*0.01%))</f>
        <v/>
      </c>
      <c r="R111" s="5" t="str">
        <f>IF(I111="","",1/((1+P111)^((K111-'Rate &amp; Vol Update'!$C$2)/360)))</f>
        <v/>
      </c>
      <c r="T111" s="15" t="str">
        <f>IF(I111="","",IF(J111&lt;'Rate &amp; Vol Update'!$C$2,MAX(0,P111-O111)*(L111/360)*N111,(((IF('Adjustment Surface'!C$2='Data Validation'!$A$2,P111,IF('Adjustment Surface'!C$2='Data Validation'!$A$3,O111,"Unknown Option Type"))-IF('Adjustment Surface'!C$2='Data Validation'!$A$2,O111,IF('Adjustment Surface'!C$2='Data Validation'!$A$3,P111,"Unknown Option Type")))*(NORMDIST((IF('Adjustment Surface'!C$2='Data Validation'!$A$2,P111,IF('Adjustment Surface'!C$2='Data Validation'!$A$3,O111,"Unknown Option Type"))-IF('Adjustment Surface'!C$2='Data Validation'!$A$2,O111,IF('Adjustment Surface'!C$2='Data Validation'!$A$3,P111,"Unknown Option Type")))/(Q111*SQRT(M111)),0,1,TRUE)))+((Q111*SQRT(M111))*(NORMDIST((IF('Adjustment Surface'!C$2='Data Validation'!$A$2,P111,IF('Adjustment Surface'!C$2='Data Validation'!$A$3,O111,"Unknown Option Type"))-IF('Adjustment Surface'!C$2='Data Validation'!$A$2,O111,IF('Adjustment Surface'!C$2='Data Validation'!$A$3,P111,"Unknown Option Type")))/(Q111*SQRT(M111)),0,1,FALSE))))*R111*(L111/360)*N111))</f>
        <v/>
      </c>
      <c r="U111" s="15" t="str">
        <f>IF(I111="","",SUM(T$4:T111))</f>
        <v/>
      </c>
      <c r="W111" s="15" t="str">
        <f>IF(I111="","",IF(J111&lt;'Rate &amp; Vol Update'!$C$2,0,((((((IF('Adjustment Surface'!C$2='Data Validation'!$A$2,P111,IF('Adjustment Surface'!C$2='Data Validation'!$A$3,O111,"Unknown Option Type"))-IF('Adjustment Surface'!C$2='Data Validation'!$A$2,O111,IF('Adjustment Surface'!C$2='Data Validation'!$A$3,P111,"Unknown Option Type")))*(NORMDIST((IF('Adjustment Surface'!C$2='Data Validation'!$A$2,P111,IF('Adjustment Surface'!C$2='Data Validation'!$A$3,O111,"Unknown Option Type"))-IF('Adjustment Surface'!C$2='Data Validation'!$A$2,O111,IF('Adjustment Surface'!C$2='Data Validation'!$A$3,P111,"Unknown Option Type")))/((Q111+0.01%)*SQRT(M111)),0,1,TRUE)))+(((Q111+0.01%)*SQRT(M111))*(NORMDIST((IF('Adjustment Surface'!C$2='Data Validation'!$A$2,P111,IF('Adjustment Surface'!C$2='Data Validation'!$A$3,O111,"Unknown Option Type"))-IF('Adjustment Surface'!C$2='Data Validation'!$A$2,O111,IF('Adjustment Surface'!C$2='Data Validation'!$A$3,P111,"Unknown Option Type")))/((Q111+0.01%)*SQRT(M111)),0,1,FALSE))))*R111*(L111/360))-(T111/N111))*N111)*R111))</f>
        <v/>
      </c>
      <c r="X111" s="15" t="str">
        <f>IF(I111="","",SUM(W$4:W111))</f>
        <v/>
      </c>
      <c r="Y111" s="15"/>
      <c r="Z111" s="20"/>
      <c r="AB111" s="4" t="str">
        <f>IF(AC110=MAX('Adjustment Surface'!$C$14:$F$14),"",AC110)</f>
        <v/>
      </c>
      <c r="AC111" s="4" t="str">
        <f>IF(AB111="","",IF(AB111&lt;EDATE('Adjustment Surface'!$C$6,DATEDIF('Adjustment Surface'!$C$6,MAX('Adjustment Surface'!$C$14:$F$14),"M")),EDATE(AB$5,COUNT(AB$5:AB111)),IF(AB111=EDATE('Adjustment Surface'!$C$6,DATEDIF('Adjustment Surface'!$C$6,MAX('Adjustment Surface'!$C$14:$F$14),"M")),MAX('Adjustment Surface'!$C$14:$F$14),EDATE('Adjustment Surface'!$C$6,DATEDIF('Adjustment Surface'!$C$6,MAX('Adjustment Surface'!$C$14:$F$14),"M")))))</f>
        <v/>
      </c>
      <c r="AD111" s="3" t="str">
        <f t="shared" si="7"/>
        <v/>
      </c>
      <c r="AE111" s="5" t="str">
        <f>IF(AA111="","",(AC111-'Rate &amp; Vol Update'!$C$2)/360)</f>
        <v/>
      </c>
      <c r="AF111" s="15" t="str">
        <f>IF(AA111="","",IF('Adjustment Surface'!$C$3='Data Validation'!$C$2,'Adjustment Surface'!$C$4,_xlfn.IFNA(IF(INDEX(Schedules!$E$3:$E$123,MATCH('Bachelier Model'!AB111,Schedules!$B$3:$B$123,0))="",AF110,INDEX(Schedules!$E$3:$E$123,MATCH('Bachelier Model'!AB111,Schedules!$B$3:$B$123,0))),AF110)))</f>
        <v/>
      </c>
      <c r="AG111" s="16" t="str">
        <f>IF(AA111="","",'Adjustment Surface'!B$15)</f>
        <v/>
      </c>
      <c r="AH111" s="16" t="str" cm="1">
        <f t="array" ref="AH111">IF(AA111="","",FORECAST(AB111,INDEX('Rate &amp; Vol Update'!$C$6:$C$127,MATCH(INDEX('Rate &amp; Vol Update'!$B$6:$B$127,MATCH(AB111,'Rate &amp; Vol Update'!$B$6:$B$127,1)),'Rate &amp; Vol Update'!$B$6:$B$127,0)+IF('Adjustment Surface'!$C$11='Data Validation'!$E$3,-1,0)):INDEX('Rate &amp; Vol Update'!$C$6:$C$127,MATCH(INDEX('Rate &amp; Vol Update'!$B$6:$B$127,MATCH(AB111,'Rate &amp; Vol Update'!$B$6:$B$127,1)+1),'Rate &amp; Vol Update'!$B$6:$B$127,0)+IF('Adjustment Surface'!$C$11='Data Validation'!$E$3,-1,0)),INDEX('Rate &amp; Vol Update'!$B$6:$B$127,MATCH(AB111,'Rate &amp; Vol Update'!$B$6:$B$127,1)):INDEX('Rate &amp; Vol Update'!$B$6:$B$127,MATCH(AB111,'Rate &amp; Vol Update'!$B$6:$B$127,1)+1))/100)</f>
        <v/>
      </c>
      <c r="AI111" s="16" t="str" cm="1">
        <f t="array" ref="AI111">IF(AA111="","",IF(AB111&lt;'Rate &amp; Vol Update'!$C$2,0.001%,(1/((INDEX('Rate &amp; Vol Update'!$E$6:$Z$6,1,MATCH(AG111,'Rate &amp; Vol Update'!$E$6:$Z$6,1)+1)-INDEX('Rate &amp; Vol Update'!$E$6:$Z$6,1,MATCH(AG111,'Rate &amp; Vol Update'!$E$6:$Z$6,1)))*(INDEX('Rate &amp; Vol Update'!$B$8:$B$127,MATCH(AB111,'Rate &amp; Vol Update'!$B$8:$B$127,1)+1)-INDEX('Rate &amp; Vol Update'!$B$8:$B$127,MATCH(AB111,'Rate &amp; Vol Update'!$B$8:$B$127,1))))*(INDEX('Rate &amp; Vol Update'!$E$8:$Z$127,MATCH(INDEX('Rate &amp; Vol Update'!$B$8:$B$127,MATCH(AB111,'Rate &amp; Vol Update'!$B$8:$B$127,1)),'Rate &amp; Vol Update'!$B$8:$B$127,0),MATCH(INDEX('Rate &amp; Vol Update'!$E$6:$Z$6,1,MATCH(AG111,'Rate &amp; Vol Update'!$E$6:$Z$6,1)),'Rate &amp; Vol Update'!$E$6:$Z$6,0))*(INDEX('Rate &amp; Vol Update'!$E$6:$Z$6,1,MATCH(AG111,'Rate &amp; Vol Update'!$E$6:$Z$6,1)+1)-AG111)*(INDEX('Rate &amp; Vol Update'!$B$8:$B$127,MATCH(AB111,'Rate &amp; Vol Update'!$B$8:$B$127,1)+1)-AB111)+INDEX('Rate &amp; Vol Update'!$E$8:$Z$127,MATCH(INDEX('Rate &amp; Vol Update'!$B$8:$B$127,MATCH(AB111,'Rate &amp; Vol Update'!$B$8:$B$127,1)),'Rate &amp; Vol Update'!$B$8:$B$127,0),MATCH(INDEX('Rate &amp; Vol Update'!$E$6:$Z$6,1,MATCH(AG111,'Rate &amp; Vol Update'!$E$6:$Z$6,1)+1),'Rate &amp; Vol Update'!$E$6:$Z$6,0))*(AG111-INDEX('Rate &amp; Vol Update'!$E$6:$Z$6,1,MATCH(AG111,'Rate &amp; Vol Update'!$E$6:$Z$6,1)))*(INDEX('Rate &amp; Vol Update'!$B$8:$B$127,MATCH(AB111,'Rate &amp; Vol Update'!$B$8:$B$127,1)+1)-AB111)+INDEX('Rate &amp; Vol Update'!$E$8:$Z$127,MATCH(INDEX('Rate &amp; Vol Update'!$B$8:$B$127,MATCH(AB111,'Rate &amp; Vol Update'!$B$8:$B$127,1)+1),'Rate &amp; Vol Update'!$B$8:$B$127,0),MATCH(INDEX('Rate &amp; Vol Update'!$E$6:$Z$6,1,MATCH(AG111,'Rate &amp; Vol Update'!$E$6:$Z$6,1)),'Rate &amp; Vol Update'!$E$6:$Z$6,0))*(INDEX('Rate &amp; Vol Update'!$E$6:$Z$6,1,MATCH(AG111,'Rate &amp; Vol Update'!$E$6:$Z$6,1)+1)-AG111)*(AB111-INDEX('Rate &amp; Vol Update'!$B$8:$B$127,MATCH(AB111,'Rate &amp; Vol Update'!$B$8:$B$127,1)))+INDEX('Rate &amp; Vol Update'!$E$8:$Z$127,MATCH(INDEX('Rate &amp; Vol Update'!$B$8:$B$127,MATCH(AB111,'Rate &amp; Vol Update'!$B$8:$B$127,1)+1),'Rate &amp; Vol Update'!$B$8:$B$127,0),MATCH(INDEX('Rate &amp; Vol Update'!$E$6:$Z$6,1,MATCH(AG111,'Rate &amp; Vol Update'!$E$6:$Z$6,1)+1),'Rate &amp; Vol Update'!$E$6:$Z$6,0))*(AG111-INDEX('Rate &amp; Vol Update'!$E$6:$Z$6,1,MATCH(AG111,'Rate &amp; Vol Update'!$E$6:$Z$6,1)))*(AB111-INDEX('Rate &amp; Vol Update'!$B$8:$B$127,MATCH(AB111,'Rate &amp; Vol Update'!$B$8:$B$127,1)))))*0.01%))</f>
        <v/>
      </c>
      <c r="AJ111" s="5" t="str">
        <f>IF(AA111="","",1/((1+AH111)^((AC111-'Rate &amp; Vol Update'!$C$2)/360)))</f>
        <v/>
      </c>
      <c r="AL111" s="15" t="str">
        <f>IF(AA111="","",IF(AB111&lt;'Rate &amp; Vol Update'!$C$2,MAX(0,AH111-AG111)*(AD111/360)*AF111,(((IF('Adjustment Surface'!$C$2='Data Validation'!$A$2,AH111,IF('Adjustment Surface'!$C$2='Data Validation'!$A$3,AG111,"Unknown Option Type"))-IF('Adjustment Surface'!$C$2='Data Validation'!$A$2,AG111,IF('Adjustment Surface'!$C$2='Data Validation'!$A$3,AH111,"Unknown Option Type")))*(NORMDIST((IF('Adjustment Surface'!$C$2='Data Validation'!$A$2,AH111,IF('Adjustment Surface'!$C$2='Data Validation'!$A$3,AG111,"Unknown Option Type"))-IF('Adjustment Surface'!$C$2='Data Validation'!$A$2,AG111,IF('Adjustment Surface'!$C$2='Data Validation'!$A$3,AH111,"Unknown Option Type")))/(AI111*SQRT(AE111)),0,1,TRUE)))+((AI111*SQRT(AE111))*(NORMDIST((IF('Adjustment Surface'!$C$2='Data Validation'!$A$2,AH111,IF('Adjustment Surface'!$C$2='Data Validation'!$A$3,AG111,"Unknown Option Type"))-IF('Adjustment Surface'!$C$2='Data Validation'!$A$2,AG111,IF('Adjustment Surface'!$C$2='Data Validation'!$A$3,AH111,"Unknown Option Type")))/(AI111*SQRT(AE111)),0,1,FALSE))))*AJ111*(AD111/360)*AF111))</f>
        <v/>
      </c>
      <c r="AM111" s="15" t="str">
        <f>IF(AA111="","",SUM(AL$4:AL111))</f>
        <v/>
      </c>
      <c r="AO111" s="15" t="str">
        <f>IF(AA111="","",IF(AB111&lt;'Rate &amp; Vol Update'!$C$2,0,((((((IF('Adjustment Surface'!$C$2='Data Validation'!$A$2,AH111,IF('Adjustment Surface'!$C$2='Data Validation'!$A$3,AG111,"Unknown Option Type"))-IF('Adjustment Surface'!$C$2='Data Validation'!$A$2,AG111,IF('Adjustment Surface'!$C$2='Data Validation'!$A$3,AH111,"Unknown Option Type")))*(NORMDIST((IF('Adjustment Surface'!$C$2='Data Validation'!$A$2,AH111,IF('Adjustment Surface'!$C$2='Data Validation'!$A$3,AG111,"Unknown Option Type"))-IF('Adjustment Surface'!$C$2='Data Validation'!$A$2,AG111,IF('Adjustment Surface'!$C$2='Data Validation'!$A$3,AH111,"Unknown Option Type")))/((AI111+0.01%)*SQRT(AE111)),0,1,TRUE)))+(((AI111+0.01%)*SQRT(AE111))*(NORMDIST((IF('Adjustment Surface'!$C$2='Data Validation'!$A$2,AH111,IF('Adjustment Surface'!$C$2='Data Validation'!$A$3,AG111,"Unknown Option Type"))-IF('Adjustment Surface'!$C$2='Data Validation'!$A$2,AG111,IF('Adjustment Surface'!$C$2='Data Validation'!$A$3,AH111,"Unknown Option Type")))/((AI111+0.01%)*SQRT(AE111)),0,1,FALSE))))*AJ111*(AD111/360))-(AL111/AF111))*AF111)*AJ111))</f>
        <v/>
      </c>
      <c r="AP111" s="15" t="str">
        <f>IF(AA111="","",SUM(AO$4:AO111))</f>
        <v/>
      </c>
      <c r="AQ111" s="15"/>
      <c r="AR111" s="20"/>
      <c r="AT111" s="4" t="str">
        <f>IF(AU110=MAX('Adjustment Surface'!$C$14:$F$14),"",AU110)</f>
        <v/>
      </c>
      <c r="AU111" s="4" t="str">
        <f>IF(AT111="","",IF(AT111&lt;EDATE('Adjustment Surface'!$C$6,DATEDIF('Adjustment Surface'!$C$6,MAX('Adjustment Surface'!$C$14:$F$14),"M")),EDATE(AT$5,COUNT(AT$5:AT111)),IF(AT111=EDATE('Adjustment Surface'!$C$6,DATEDIF('Adjustment Surface'!$C$6,MAX('Adjustment Surface'!$C$14:$F$14),"M")),MAX('Adjustment Surface'!$C$14:$F$14),EDATE('Adjustment Surface'!$C$6,DATEDIF('Adjustment Surface'!$C$6,MAX('Adjustment Surface'!$C$14:$F$14),"M")))))</f>
        <v/>
      </c>
      <c r="AV111" s="3" t="str">
        <f t="shared" si="8"/>
        <v/>
      </c>
      <c r="AW111" s="5" t="str">
        <f>IF(AS111="","",(AU111-'Rate &amp; Vol Update'!$C$2)/360)</f>
        <v/>
      </c>
      <c r="AX111" s="15" t="str">
        <f>IF(AS111="","",IF('Adjustment Surface'!$C$3='Data Validation'!$C$2,'Adjustment Surface'!$C$4,_xlfn.IFNA(IF(INDEX(Schedules!$E$3:$E$123,MATCH('Bachelier Model'!AT111,Schedules!$B$3:$B$123,0))="",AX110,INDEX(Schedules!$E$3:$E$123,MATCH('Bachelier Model'!AT111,Schedules!$B$3:$B$123,0))),AX110)))</f>
        <v/>
      </c>
      <c r="AY111" s="16" t="str">
        <f>IF(AS111="","",'Adjustment Surface'!B$16)</f>
        <v/>
      </c>
      <c r="AZ111" s="16" t="str" cm="1">
        <f t="array" ref="AZ111">IF(AS111="","",FORECAST(AT111,INDEX('Rate &amp; Vol Update'!$C$6:$C$127,MATCH(INDEX('Rate &amp; Vol Update'!$B$6:$B$127,MATCH(AT111,'Rate &amp; Vol Update'!$B$6:$B$127,1)),'Rate &amp; Vol Update'!$B$6:$B$127,0)+IF('Adjustment Surface'!$C$11='Data Validation'!$E$3,-1,0)):INDEX('Rate &amp; Vol Update'!$C$6:$C$127,MATCH(INDEX('Rate &amp; Vol Update'!$B$6:$B$127,MATCH(AT111,'Rate &amp; Vol Update'!$B$6:$B$127,1)+1),'Rate &amp; Vol Update'!$B$6:$B$127,0)+IF('Adjustment Surface'!$C$11='Data Validation'!$E$3,-1,0)),INDEX('Rate &amp; Vol Update'!$B$6:$B$127,MATCH(AT111,'Rate &amp; Vol Update'!$B$6:$B$127,1)):INDEX('Rate &amp; Vol Update'!$B$6:$B$127,MATCH(AT111,'Rate &amp; Vol Update'!$B$6:$B$127,1)+1))/100)</f>
        <v/>
      </c>
      <c r="BA111" s="16" t="str" cm="1">
        <f t="array" ref="BA111">IF(AS111="","",IF(AT111&lt;'Rate &amp; Vol Update'!$C$2,0.001%,(1/((INDEX('Rate &amp; Vol Update'!$E$6:$Z$6,1,MATCH(AY111,'Rate &amp; Vol Update'!$E$6:$Z$6,1)+1)-INDEX('Rate &amp; Vol Update'!$E$6:$Z$6,1,MATCH(AY111,'Rate &amp; Vol Update'!$E$6:$Z$6,1)))*(INDEX('Rate &amp; Vol Update'!$B$8:$B$127,MATCH(AT111,'Rate &amp; Vol Update'!$B$8:$B$127,1)+1)-INDEX('Rate &amp; Vol Update'!$B$8:$B$127,MATCH(AT111,'Rate &amp; Vol Update'!$B$8:$B$127,1))))*(INDEX('Rate &amp; Vol Update'!$E$8:$Z$127,MATCH(INDEX('Rate &amp; Vol Update'!$B$8:$B$127,MATCH(AT111,'Rate &amp; Vol Update'!$B$8:$B$127,1)),'Rate &amp; Vol Update'!$B$8:$B$127,0),MATCH(INDEX('Rate &amp; Vol Update'!$E$6:$Z$6,1,MATCH(AY111,'Rate &amp; Vol Update'!$E$6:$Z$6,1)),'Rate &amp; Vol Update'!$E$6:$Z$6,0))*(INDEX('Rate &amp; Vol Update'!$E$6:$Z$6,1,MATCH(AY111,'Rate &amp; Vol Update'!$E$6:$Z$6,1)+1)-AY111)*(INDEX('Rate &amp; Vol Update'!$B$8:$B$127,MATCH(AT111,'Rate &amp; Vol Update'!$B$8:$B$127,1)+1)-AT111)+INDEX('Rate &amp; Vol Update'!$E$8:$Z$127,MATCH(INDEX('Rate &amp; Vol Update'!$B$8:$B$127,MATCH(AT111,'Rate &amp; Vol Update'!$B$8:$B$127,1)),'Rate &amp; Vol Update'!$B$8:$B$127,0),MATCH(INDEX('Rate &amp; Vol Update'!$E$6:$Z$6,1,MATCH(AY111,'Rate &amp; Vol Update'!$E$6:$Z$6,1)+1),'Rate &amp; Vol Update'!$E$6:$Z$6,0))*(AY111-INDEX('Rate &amp; Vol Update'!$E$6:$Z$6,1,MATCH(AY111,'Rate &amp; Vol Update'!$E$6:$Z$6,1)))*(INDEX('Rate &amp; Vol Update'!$B$8:$B$127,MATCH(AT111,'Rate &amp; Vol Update'!$B$8:$B$127,1)+1)-AT111)+INDEX('Rate &amp; Vol Update'!$E$8:$Z$127,MATCH(INDEX('Rate &amp; Vol Update'!$B$8:$B$127,MATCH(AT111,'Rate &amp; Vol Update'!$B$8:$B$127,1)+1),'Rate &amp; Vol Update'!$B$8:$B$127,0),MATCH(INDEX('Rate &amp; Vol Update'!$E$6:$Z$6,1,MATCH(AY111,'Rate &amp; Vol Update'!$E$6:$Z$6,1)),'Rate &amp; Vol Update'!$E$6:$Z$6,0))*(INDEX('Rate &amp; Vol Update'!$E$6:$Z$6,1,MATCH(AY111,'Rate &amp; Vol Update'!$E$6:$Z$6,1)+1)-AY111)*(AT111-INDEX('Rate &amp; Vol Update'!$B$8:$B$127,MATCH(AT111,'Rate &amp; Vol Update'!$B$8:$B$127,1)))+INDEX('Rate &amp; Vol Update'!$E$8:$Z$127,MATCH(INDEX('Rate &amp; Vol Update'!$B$8:$B$127,MATCH(AT111,'Rate &amp; Vol Update'!$B$8:$B$127,1)+1),'Rate &amp; Vol Update'!$B$8:$B$127,0),MATCH(INDEX('Rate &amp; Vol Update'!$E$6:$Z$6,1,MATCH(AY111,'Rate &amp; Vol Update'!$E$6:$Z$6,1)+1),'Rate &amp; Vol Update'!$E$6:$Z$6,0))*(AY111-INDEX('Rate &amp; Vol Update'!$E$6:$Z$6,1,MATCH(AY111,'Rate &amp; Vol Update'!$E$6:$Z$6,1)))*(AT111-INDEX('Rate &amp; Vol Update'!$B$8:$B$127,MATCH(AT111,'Rate &amp; Vol Update'!$B$8:$B$127,1)))))*0.01%))</f>
        <v/>
      </c>
      <c r="BB111" s="5" t="str">
        <f>IF(AS111="","",1/((1+AZ111)^((AU111-'Rate &amp; Vol Update'!$C$2)/360)))</f>
        <v/>
      </c>
      <c r="BD111" s="15" t="str">
        <f>IF(AS111="","",IF(AT111&lt;'Rate &amp; Vol Update'!$C$2,MAX(0,AZ111-AY111)*(AV111/360)*AX111,(((IF('Adjustment Surface'!$C$2='Data Validation'!$A$2,AZ111,IF('Adjustment Surface'!$C$2='Data Validation'!$A$3,AY111,"Unknown Option Type"))-IF('Adjustment Surface'!$C$2='Data Validation'!$A$2,AY111,IF('Adjustment Surface'!$C$2='Data Validation'!$A$3,AZ111,"Unknown Option Type")))*(NORMDIST((IF('Adjustment Surface'!$C$2='Data Validation'!$A$2,AZ111,IF('Adjustment Surface'!$C$2='Data Validation'!$A$3,AY111,"Unknown Option Type"))-IF('Adjustment Surface'!$C$2='Data Validation'!$A$2,AY111,IF('Adjustment Surface'!$C$2='Data Validation'!$A$3,AZ111,"Unknown Option Type")))/(BA111*SQRT(AW111)),0,1,TRUE)))+((BA111*SQRT(AW111))*(NORMDIST((IF('Adjustment Surface'!$C$2='Data Validation'!$A$2,AZ111,IF('Adjustment Surface'!$C$2='Data Validation'!$A$3,AY111,"Unknown Option Type"))-IF('Adjustment Surface'!$C$2='Data Validation'!$A$2,AY111,IF('Adjustment Surface'!$C$2='Data Validation'!$A$3,AZ111,"Unknown Option Type")))/(BA111*SQRT(AW111)),0,1,FALSE))))*BB111*(AV111/360)*AX111))</f>
        <v/>
      </c>
      <c r="BE111" s="15" t="str">
        <f>IF(AS111="","",SUM(BD$4:BD111))</f>
        <v/>
      </c>
      <c r="BG111" s="15" t="str">
        <f>IF(AS111="","",IF(AT111&lt;'Rate &amp; Vol Update'!$C$2,0,((((((IF('Adjustment Surface'!$C$2='Data Validation'!$A$2,AZ111,IF('Adjustment Surface'!$C$2='Data Validation'!$A$3,AY111,"Unknown Option Type"))-IF('Adjustment Surface'!$C$2='Data Validation'!$A$2,AY111,IF('Adjustment Surface'!$C$2='Data Validation'!$A$3,AZ111,"Unknown Option Type")))*(NORMDIST((IF('Adjustment Surface'!$C$2='Data Validation'!$A$2,AZ111,IF('Adjustment Surface'!$C$2='Data Validation'!$A$3,AY111,"Unknown Option Type"))-IF('Adjustment Surface'!$C$2='Data Validation'!$A$2,AY111,IF('Adjustment Surface'!$C$2='Data Validation'!$A$3,AZ111,"Unknown Option Type")))/((BA111+0.01%)*SQRT(AW111)),0,1,TRUE)))+(((BA111+0.01%)*SQRT(AW111))*(NORMDIST((IF('Adjustment Surface'!$C$2='Data Validation'!$A$2,AZ111,IF('Adjustment Surface'!$C$2='Data Validation'!$A$3,AY111,"Unknown Option Type"))-IF('Adjustment Surface'!$C$2='Data Validation'!$A$2,AY111,IF('Adjustment Surface'!$C$2='Data Validation'!$A$3,AZ111,"Unknown Option Type")))/((BA111+0.01%)*SQRT(AW111)),0,1,FALSE))))*BB111*(AV111/360))-(BD111/AX111))*AX111)*BB111))</f>
        <v/>
      </c>
      <c r="BH111" s="15" t="str">
        <f>IF(AS111="","",SUM(BG$4:BG111))</f>
        <v/>
      </c>
      <c r="BI111" s="15"/>
      <c r="BJ111" s="20"/>
      <c r="BL111" s="4" t="str">
        <f>IF(BM110=MAX('Adjustment Surface'!$C$14:$F$14),"",BM110)</f>
        <v/>
      </c>
      <c r="BM111" s="4" t="str">
        <f>IF(BL111="","",IF(BL111&lt;EDATE('Adjustment Surface'!$C$6,DATEDIF('Adjustment Surface'!$C$6,MAX('Adjustment Surface'!$C$14:$F$14),"M")),EDATE(BL$5,COUNT(BL$5:BL111)),IF(BL111=EDATE('Adjustment Surface'!$C$6,DATEDIF('Adjustment Surface'!$C$6,MAX('Adjustment Surface'!$C$14:$F$14),"M")),MAX('Adjustment Surface'!$C$14:$F$14),EDATE('Adjustment Surface'!$C$6,DATEDIF('Adjustment Surface'!$C$6,MAX('Adjustment Surface'!$C$14:$F$14),"M")))))</f>
        <v/>
      </c>
      <c r="BN111" s="3" t="str">
        <f t="shared" si="9"/>
        <v/>
      </c>
      <c r="BO111" s="5" t="str">
        <f>IF(BK111="","",(BM111-'Rate &amp; Vol Update'!$C$2)/360)</f>
        <v/>
      </c>
      <c r="BP111" s="15" t="str">
        <f>IF(BK111="","",IF('Adjustment Surface'!$C$3='Data Validation'!$C$2,'Adjustment Surface'!$C$4,_xlfn.IFNA(IF(INDEX(Schedules!$E$3:$E$123,MATCH('Bachelier Model'!BL111,Schedules!$B$3:$B$123,0))="",BP110,INDEX(Schedules!$E$3:$E$123,MATCH('Bachelier Model'!BL111,Schedules!$B$3:$B$123,0))),BP110)))</f>
        <v/>
      </c>
      <c r="BQ111" s="16" t="str">
        <f>IF(BK111="","",'Adjustment Surface'!B$17)</f>
        <v/>
      </c>
      <c r="BR111" s="16" t="str" cm="1">
        <f t="array" ref="BR111">IF(BK111="","",FORECAST(BL111,INDEX('Rate &amp; Vol Update'!$C$6:$C$127,MATCH(INDEX('Rate &amp; Vol Update'!$B$6:$B$127,MATCH(BL111,'Rate &amp; Vol Update'!$B$6:$B$127,1)),'Rate &amp; Vol Update'!$B$6:$B$127,0)+IF('Adjustment Surface'!$C$11='Data Validation'!$E$3,-1,0)):INDEX('Rate &amp; Vol Update'!$C$6:$C$127,MATCH(INDEX('Rate &amp; Vol Update'!$B$6:$B$127,MATCH(BL111,'Rate &amp; Vol Update'!$B$6:$B$127,1)+1),'Rate &amp; Vol Update'!$B$6:$B$127,0)+IF('Adjustment Surface'!$C$11='Data Validation'!$E$3,-1,0)),INDEX('Rate &amp; Vol Update'!$B$6:$B$127,MATCH(BL111,'Rate &amp; Vol Update'!$B$6:$B$127,1)):INDEX('Rate &amp; Vol Update'!$B$6:$B$127,MATCH(BL111,'Rate &amp; Vol Update'!$B$6:$B$127,1)+1))/100)</f>
        <v/>
      </c>
      <c r="BS111" s="16" t="str" cm="1">
        <f t="array" ref="BS111">IF(BK111="","",IF(BL111&lt;'Rate &amp; Vol Update'!$C$2,0.001%,(1/((INDEX('Rate &amp; Vol Update'!$E$6:$Z$6,1,MATCH(BQ111,'Rate &amp; Vol Update'!$E$6:$Z$6,1)+1)-INDEX('Rate &amp; Vol Update'!$E$6:$Z$6,1,MATCH(BQ111,'Rate &amp; Vol Update'!$E$6:$Z$6,1)))*(INDEX('Rate &amp; Vol Update'!$B$8:$B$127,MATCH(BL111,'Rate &amp; Vol Update'!$B$8:$B$127,1)+1)-INDEX('Rate &amp; Vol Update'!$B$8:$B$127,MATCH(BL111,'Rate &amp; Vol Update'!$B$8:$B$127,1))))*(INDEX('Rate &amp; Vol Update'!$E$8:$Z$127,MATCH(INDEX('Rate &amp; Vol Update'!$B$8:$B$127,MATCH(BL111,'Rate &amp; Vol Update'!$B$8:$B$127,1)),'Rate &amp; Vol Update'!$B$8:$B$127,0),MATCH(INDEX('Rate &amp; Vol Update'!$E$6:$Z$6,1,MATCH(BQ111,'Rate &amp; Vol Update'!$E$6:$Z$6,1)),'Rate &amp; Vol Update'!$E$6:$Z$6,0))*(INDEX('Rate &amp; Vol Update'!$E$6:$Z$6,1,MATCH(BQ111,'Rate &amp; Vol Update'!$E$6:$Z$6,1)+1)-BQ111)*(INDEX('Rate &amp; Vol Update'!$B$8:$B$127,MATCH(BL111,'Rate &amp; Vol Update'!$B$8:$B$127,1)+1)-BL111)+INDEX('Rate &amp; Vol Update'!$E$8:$Z$127,MATCH(INDEX('Rate &amp; Vol Update'!$B$8:$B$127,MATCH(BL111,'Rate &amp; Vol Update'!$B$8:$B$127,1)),'Rate &amp; Vol Update'!$B$8:$B$127,0),MATCH(INDEX('Rate &amp; Vol Update'!$E$6:$Z$6,1,MATCH(BQ111,'Rate &amp; Vol Update'!$E$6:$Z$6,1)+1),'Rate &amp; Vol Update'!$E$6:$Z$6,0))*(BQ111-INDEX('Rate &amp; Vol Update'!$E$6:$Z$6,1,MATCH(BQ111,'Rate &amp; Vol Update'!$E$6:$Z$6,1)))*(INDEX('Rate &amp; Vol Update'!$B$8:$B$127,MATCH(BL111,'Rate &amp; Vol Update'!$B$8:$B$127,1)+1)-BL111)+INDEX('Rate &amp; Vol Update'!$E$8:$Z$127,MATCH(INDEX('Rate &amp; Vol Update'!$B$8:$B$127,MATCH(BL111,'Rate &amp; Vol Update'!$B$8:$B$127,1)+1),'Rate &amp; Vol Update'!$B$8:$B$127,0),MATCH(INDEX('Rate &amp; Vol Update'!$E$6:$Z$6,1,MATCH(BQ111,'Rate &amp; Vol Update'!$E$6:$Z$6,1)),'Rate &amp; Vol Update'!$E$6:$Z$6,0))*(INDEX('Rate &amp; Vol Update'!$E$6:$Z$6,1,MATCH(BQ111,'Rate &amp; Vol Update'!$E$6:$Z$6,1)+1)-BQ111)*(BL111-INDEX('Rate &amp; Vol Update'!$B$8:$B$127,MATCH(BL111,'Rate &amp; Vol Update'!$B$8:$B$127,1)))+INDEX('Rate &amp; Vol Update'!$E$8:$Z$127,MATCH(INDEX('Rate &amp; Vol Update'!$B$8:$B$127,MATCH(BL111,'Rate &amp; Vol Update'!$B$8:$B$127,1)+1),'Rate &amp; Vol Update'!$B$8:$B$127,0),MATCH(INDEX('Rate &amp; Vol Update'!$E$6:$Z$6,1,MATCH(BQ111,'Rate &amp; Vol Update'!$E$6:$Z$6,1)+1),'Rate &amp; Vol Update'!$E$6:$Z$6,0))*(BQ111-INDEX('Rate &amp; Vol Update'!$E$6:$Z$6,1,MATCH(BQ111,'Rate &amp; Vol Update'!$E$6:$Z$6,1)))*(BL111-INDEX('Rate &amp; Vol Update'!$B$8:$B$127,MATCH(BL111,'Rate &amp; Vol Update'!$B$8:$B$127,1)))))*0.01%))</f>
        <v/>
      </c>
      <c r="BT111" s="5" t="str">
        <f>IF(BK111="","",1/((1+BR111)^((BM111-'Rate &amp; Vol Update'!$C$2)/360)))</f>
        <v/>
      </c>
      <c r="BV111" s="15" t="str">
        <f>IF(BK111="","",IF(BL111&lt;'Rate &amp; Vol Update'!$C$2,MAX(0,BR111-BQ111)*(BN111/360)*BP111,(((IF('Adjustment Surface'!$C$2='Data Validation'!$A$2,BR111,IF('Adjustment Surface'!$C$2='Data Validation'!$A$3,BQ111,"Unknown Option Type"))-IF('Adjustment Surface'!$C$2='Data Validation'!$A$2,BQ111,IF('Adjustment Surface'!$C$2='Data Validation'!$A$3,BR111,"Unknown Option Type")))*(NORMDIST((IF('Adjustment Surface'!$C$2='Data Validation'!$A$2,BR111,IF('Adjustment Surface'!$C$2='Data Validation'!$A$3,BQ111,"Unknown Option Type"))-IF('Adjustment Surface'!$C$2='Data Validation'!$A$2,BQ111,IF('Adjustment Surface'!$C$2='Data Validation'!$A$3,BR111,"Unknown Option Type")))/(BS111*SQRT(BO111)),0,1,TRUE)))+((BS111*SQRT(BO111))*(NORMDIST((IF('Adjustment Surface'!$C$2='Data Validation'!$A$2,BR111,IF('Adjustment Surface'!$C$2='Data Validation'!$A$3,BQ111,"Unknown Option Type"))-IF('Adjustment Surface'!$C$2='Data Validation'!$A$2,BQ111,IF('Adjustment Surface'!$C$2='Data Validation'!$A$3,BR111,"Unknown Option Type")))/(BS111*SQRT(BO111)),0,1,FALSE))))*BT111*(BN111/360)*BP111))</f>
        <v/>
      </c>
      <c r="BW111" s="15" t="str">
        <f>IF(BK111="","",SUM(BV$4:BV111))</f>
        <v/>
      </c>
      <c r="BY111" s="15" t="str">
        <f>IF(BK111="","",IF(BL111&lt;'Rate &amp; Vol Update'!$C$2,0,((((((IF('Adjustment Surface'!$C$2='Data Validation'!$A$2,BR111,IF('Adjustment Surface'!$C$2='Data Validation'!$A$3,BQ111,"Unknown Option Type"))-IF('Adjustment Surface'!$C$2='Data Validation'!$A$2,BQ111,IF('Adjustment Surface'!$C$2='Data Validation'!$A$3,BR111,"Unknown Option Type")))*(NORMDIST((IF('Adjustment Surface'!$C$2='Data Validation'!$A$2,BR111,IF('Adjustment Surface'!$C$2='Data Validation'!$A$3,BQ111,"Unknown Option Type"))-IF('Adjustment Surface'!$C$2='Data Validation'!$A$2,BQ111,IF('Adjustment Surface'!$C$2='Data Validation'!$A$3,BR111,"Unknown Option Type")))/((BS111+0.01%)*SQRT(BO111)),0,1,TRUE)))+(((BS111+0.01%)*SQRT(BO111))*(NORMDIST((IF('Adjustment Surface'!$C$2='Data Validation'!$A$2,BR111,IF('Adjustment Surface'!$C$2='Data Validation'!$A$3,BQ111,"Unknown Option Type"))-IF('Adjustment Surface'!$C$2='Data Validation'!$A$2,BQ111,IF('Adjustment Surface'!$C$2='Data Validation'!$A$3,BR111,"Unknown Option Type")))/((BS111+0.01%)*SQRT(BO111)),0,1,FALSE))))*BT111*(BN111/360))-(BV111/BP111))*BP111)*BT111))</f>
        <v/>
      </c>
      <c r="BZ111" s="15" t="str">
        <f>IF(BK111="","",SUM(BY$4:BY111))</f>
        <v/>
      </c>
      <c r="CA111" s="15"/>
      <c r="CB111" s="20"/>
      <c r="CD111" s="4" t="str">
        <f>IF(CE110=MAX('Adjustment Surface'!$C$14:$F$14),"",CE110)</f>
        <v/>
      </c>
      <c r="CE111" s="4" t="str">
        <f>IF(CD111="","",IF(CD111&lt;EDATE('Adjustment Surface'!$C$6,DATEDIF('Adjustment Surface'!$C$6,MAX('Adjustment Surface'!$C$14:$F$14),"M")),EDATE(CD$5,COUNT(CD$5:CD111)),IF(CD111=EDATE('Adjustment Surface'!$C$6,DATEDIF('Adjustment Surface'!$C$6,MAX('Adjustment Surface'!$C$14:$F$14),"M")),MAX('Adjustment Surface'!$C$14:$F$14),EDATE('Adjustment Surface'!$C$6,DATEDIF('Adjustment Surface'!$C$6,MAX('Adjustment Surface'!$C$14:$F$14),"M")))))</f>
        <v/>
      </c>
      <c r="CF111" s="3" t="str">
        <f t="shared" si="10"/>
        <v/>
      </c>
      <c r="CG111" s="5" t="str">
        <f>IF(CC111="","",(CE111-'Rate &amp; Vol Update'!$C$2)/360)</f>
        <v/>
      </c>
      <c r="CH111" s="15" t="str">
        <f>IF(CC111="","",IF('Adjustment Surface'!$C$3='Data Validation'!$C$2,'Adjustment Surface'!$C$4,_xlfn.IFNA(IF(INDEX(Schedules!$E$3:$E$123,MATCH('Bachelier Model'!CD111,Schedules!$B$3:$B$123,0))="",CH110,INDEX(Schedules!$E$3:$E$123,MATCH('Bachelier Model'!CD111,Schedules!$B$3:$B$123,0))),CH110)))</f>
        <v/>
      </c>
      <c r="CI111" s="16" t="str">
        <f>IF(CC111="","",'Adjustment Surface'!B$18)</f>
        <v/>
      </c>
      <c r="CJ111" s="16" t="str" cm="1">
        <f t="array" ref="CJ111">IF(CC111="","",FORECAST(CD111,INDEX('Rate &amp; Vol Update'!$C$6:$C$127,MATCH(INDEX('Rate &amp; Vol Update'!$B$6:$B$127,MATCH(CD111,'Rate &amp; Vol Update'!$B$6:$B$127,1)),'Rate &amp; Vol Update'!$B$6:$B$127,0)+IF('Adjustment Surface'!$C$11='Data Validation'!$E$3,-1,0)):INDEX('Rate &amp; Vol Update'!$C$6:$C$127,MATCH(INDEX('Rate &amp; Vol Update'!$B$6:$B$127,MATCH(CD111,'Rate &amp; Vol Update'!$B$6:$B$127,1)+1),'Rate &amp; Vol Update'!$B$6:$B$127,0)+IF('Adjustment Surface'!$C$11='Data Validation'!$E$3,-1,0)),INDEX('Rate &amp; Vol Update'!$B$6:$B$127,MATCH(CD111,'Rate &amp; Vol Update'!$B$6:$B$127,1)):INDEX('Rate &amp; Vol Update'!$B$6:$B$127,MATCH(CD111,'Rate &amp; Vol Update'!$B$6:$B$127,1)+1))/100)</f>
        <v/>
      </c>
      <c r="CK111" s="16" t="str" cm="1">
        <f t="array" ref="CK111">IF(CC111="","",IF(CD111&lt;'Rate &amp; Vol Update'!$C$2,0.001%,(1/((INDEX('Rate &amp; Vol Update'!$E$6:$Z$6,1,MATCH(CI111,'Rate &amp; Vol Update'!$E$6:$Z$6,1)+1)-INDEX('Rate &amp; Vol Update'!$E$6:$Z$6,1,MATCH(CI111,'Rate &amp; Vol Update'!$E$6:$Z$6,1)))*(INDEX('Rate &amp; Vol Update'!$B$8:$B$127,MATCH(CD111,'Rate &amp; Vol Update'!$B$8:$B$127,1)+1)-INDEX('Rate &amp; Vol Update'!$B$8:$B$127,MATCH(CD111,'Rate &amp; Vol Update'!$B$8:$B$127,1))))*(INDEX('Rate &amp; Vol Update'!$E$8:$Z$127,MATCH(INDEX('Rate &amp; Vol Update'!$B$8:$B$127,MATCH(CD111,'Rate &amp; Vol Update'!$B$8:$B$127,1)),'Rate &amp; Vol Update'!$B$8:$B$127,0),MATCH(INDEX('Rate &amp; Vol Update'!$E$6:$Z$6,1,MATCH(CI111,'Rate &amp; Vol Update'!$E$6:$Z$6,1)),'Rate &amp; Vol Update'!$E$6:$Z$6,0))*(INDEX('Rate &amp; Vol Update'!$E$6:$Z$6,1,MATCH(CI111,'Rate &amp; Vol Update'!$E$6:$Z$6,1)+1)-CI111)*(INDEX('Rate &amp; Vol Update'!$B$8:$B$127,MATCH(CD111,'Rate &amp; Vol Update'!$B$8:$B$127,1)+1)-CD111)+INDEX('Rate &amp; Vol Update'!$E$8:$Z$127,MATCH(INDEX('Rate &amp; Vol Update'!$B$8:$B$127,MATCH(CD111,'Rate &amp; Vol Update'!$B$8:$B$127,1)),'Rate &amp; Vol Update'!$B$8:$B$127,0),MATCH(INDEX('Rate &amp; Vol Update'!$E$6:$Z$6,1,MATCH(CI111,'Rate &amp; Vol Update'!$E$6:$Z$6,1)+1),'Rate &amp; Vol Update'!$E$6:$Z$6,0))*(CI111-INDEX('Rate &amp; Vol Update'!$E$6:$Z$6,1,MATCH(CI111,'Rate &amp; Vol Update'!$E$6:$Z$6,1)))*(INDEX('Rate &amp; Vol Update'!$B$8:$B$127,MATCH(CD111,'Rate &amp; Vol Update'!$B$8:$B$127,1)+1)-CD111)+INDEX('Rate &amp; Vol Update'!$E$8:$Z$127,MATCH(INDEX('Rate &amp; Vol Update'!$B$8:$B$127,MATCH(CD111,'Rate &amp; Vol Update'!$B$8:$B$127,1)+1),'Rate &amp; Vol Update'!$B$8:$B$127,0),MATCH(INDEX('Rate &amp; Vol Update'!$E$6:$Z$6,1,MATCH(CI111,'Rate &amp; Vol Update'!$E$6:$Z$6,1)),'Rate &amp; Vol Update'!$E$6:$Z$6,0))*(INDEX('Rate &amp; Vol Update'!$E$6:$Z$6,1,MATCH(CI111,'Rate &amp; Vol Update'!$E$6:$Z$6,1)+1)-CI111)*(CD111-INDEX('Rate &amp; Vol Update'!$B$8:$B$127,MATCH(CD111,'Rate &amp; Vol Update'!$B$8:$B$127,1)))+INDEX('Rate &amp; Vol Update'!$E$8:$Z$127,MATCH(INDEX('Rate &amp; Vol Update'!$B$8:$B$127,MATCH(CD111,'Rate &amp; Vol Update'!$B$8:$B$127,1)+1),'Rate &amp; Vol Update'!$B$8:$B$127,0),MATCH(INDEX('Rate &amp; Vol Update'!$E$6:$Z$6,1,MATCH(CI111,'Rate &amp; Vol Update'!$E$6:$Z$6,1)+1),'Rate &amp; Vol Update'!$E$6:$Z$6,0))*(CI111-INDEX('Rate &amp; Vol Update'!$E$6:$Z$6,1,MATCH(CI111,'Rate &amp; Vol Update'!$E$6:$Z$6,1)))*(CD111-INDEX('Rate &amp; Vol Update'!$B$8:$B$127,MATCH(CD111,'Rate &amp; Vol Update'!$B$8:$B$127,1)))))*0.01%))</f>
        <v/>
      </c>
      <c r="CL111" s="5" t="str">
        <f>IF(CC111="","",1/((1+CJ111)^((CE111-'Rate &amp; Vol Update'!$C$2)/360)))</f>
        <v/>
      </c>
      <c r="CN111" s="15" t="str">
        <f>IF(CC111="","",IF(CD111&lt;'Rate &amp; Vol Update'!$C$2,MAX(0,CJ111-CI111)*(CF111/360)*CH111,(((IF('Adjustment Surface'!$C$2='Data Validation'!$A$2,CJ111,IF('Adjustment Surface'!$C$2='Data Validation'!$A$3,CI111,"Unknown Option Type"))-IF('Adjustment Surface'!$C$2='Data Validation'!$A$2,CI111,IF('Adjustment Surface'!$C$2='Data Validation'!$A$3,CJ111,"Unknown Option Type")))*(NORMDIST((IF('Adjustment Surface'!$C$2='Data Validation'!$A$2,CJ111,IF('Adjustment Surface'!$C$2='Data Validation'!$A$3,CI111,"Unknown Option Type"))-IF('Adjustment Surface'!$C$2='Data Validation'!$A$2,CI111,IF('Adjustment Surface'!$C$2='Data Validation'!$A$3,CJ111,"Unknown Option Type")))/(CK111*SQRT(CG111)),0,1,TRUE)))+((CK111*SQRT(CG111))*(NORMDIST((IF('Adjustment Surface'!$C$2='Data Validation'!$A$2,CJ111,IF('Adjustment Surface'!$C$2='Data Validation'!$A$3,CI111,"Unknown Option Type"))-IF('Adjustment Surface'!$C$2='Data Validation'!$A$2,CI111,IF('Adjustment Surface'!$C$2='Data Validation'!$A$3,CJ111,"Unknown Option Type")))/(CK111*SQRT(CG111)),0,1,FALSE))))*CL111*(CF111/360)*CH111))</f>
        <v/>
      </c>
      <c r="CO111" s="15" t="str">
        <f>IF(CC111="","",SUM(CN$4:CN111))</f>
        <v/>
      </c>
      <c r="CQ111" s="15" t="str">
        <f>IF(CC111="","",IF(CD111&lt;'Rate &amp; Vol Update'!$C$2,0,((((((IF('Adjustment Surface'!$C$2='Data Validation'!$A$2,CJ111,IF('Adjustment Surface'!$C$2='Data Validation'!$A$3,CI111,"Unknown Option Type"))-IF('Adjustment Surface'!$C$2='Data Validation'!$A$2,CI111,IF('Adjustment Surface'!$C$2='Data Validation'!$A$3,CJ111,"Unknown Option Type")))*(NORMDIST((IF('Adjustment Surface'!$C$2='Data Validation'!$A$2,CJ111,IF('Adjustment Surface'!$C$2='Data Validation'!$A$3,CI111,"Unknown Option Type"))-IF('Adjustment Surface'!$C$2='Data Validation'!$A$2,CI111,IF('Adjustment Surface'!$C$2='Data Validation'!$A$3,CJ111,"Unknown Option Type")))/((CK111+0.01%)*SQRT(CG111)),0,1,TRUE)))+(((CK111+0.01%)*SQRT(CG111))*(NORMDIST((IF('Adjustment Surface'!$C$2='Data Validation'!$A$2,CJ111,IF('Adjustment Surface'!$C$2='Data Validation'!$A$3,CI111,"Unknown Option Type"))-IF('Adjustment Surface'!$C$2='Data Validation'!$A$2,CI111,IF('Adjustment Surface'!$C$2='Data Validation'!$A$3,CJ111,"Unknown Option Type")))/((CK111+0.01%)*SQRT(CG111)),0,1,FALSE))))*CL111*(CF111/360))-(CN111/CH111))*CH111)*CL111))</f>
        <v/>
      </c>
      <c r="CR111" s="15" t="str">
        <f>IF(CC111="","",SUM(CQ$4:CQ111))</f>
        <v/>
      </c>
    </row>
    <row r="112" spans="7:96" x14ac:dyDescent="0.25">
      <c r="G112" s="28"/>
      <c r="J112" s="4" t="str">
        <f>IF(K111='Adjustment Surface'!C$8,"",K111)</f>
        <v/>
      </c>
      <c r="K112" s="4" t="str">
        <f>IF(J112="","",IF(J112&lt;'Adjustment Surface'!C$7,EDATE(J$5,COUNT(J$5:J112)),IF(J112='Adjustment Surface'!C$7,'Adjustment Surface'!C$8,'Adjustment Surface'!C$7)))</f>
        <v/>
      </c>
      <c r="L112" s="3" t="str">
        <f t="shared" si="6"/>
        <v/>
      </c>
      <c r="M112" s="5" t="str">
        <f>IF(I112="","",(K112-'Rate &amp; Vol Update'!$C$2)/360)</f>
        <v/>
      </c>
      <c r="N112" s="15" t="str">
        <f>IF(I112="","",IF('Adjustment Surface'!C$3='Data Validation'!$C$2,'Adjustment Surface'!C$4,IF(INDEX(Schedules!$E$3:$E$123,MATCH('Bachelier Model'!J112,Schedules!$B$3:$B$123,0))="",N111,INDEX(Schedules!$E$3:$E$123,MATCH('Bachelier Model'!J112,Schedules!$B$3:$B$123,0)))))</f>
        <v/>
      </c>
      <c r="O112" s="16" t="str">
        <f>IF(I112="","",IF('Adjustment Surface'!C$9='Data Validation'!$D$2,'Adjustment Surface'!C$10,IF(INDEX(Schedules!$H$3:$H$123,MATCH('Bachelier Model'!J112,Schedules!$B$3:$B$123,0))="",O111,INDEX(Schedules!$H$3:$H$123,MATCH('Bachelier Model'!J112,Schedules!$B$3:$B$123,0)))))</f>
        <v/>
      </c>
      <c r="P112" s="16" t="str" cm="1">
        <f t="array" ref="P112">IF(I112="","",FORECAST(J112,INDEX('Rate &amp; Vol Update'!$C$6:$C$127,MATCH(INDEX('Rate &amp; Vol Update'!$B$6:$B$127,MATCH(J112,'Rate &amp; Vol Update'!$B$6:$B$127,1)),'Rate &amp; Vol Update'!$B$6:$B$127,0)+IF('Adjustment Surface'!C$11='Data Validation'!$E$3,-1,0)):INDEX('Rate &amp; Vol Update'!$C$6:$C$127,MATCH(INDEX('Rate &amp; Vol Update'!$B$6:$B$127,MATCH(J112,'Rate &amp; Vol Update'!$B$6:$B$127,1)+1),'Rate &amp; Vol Update'!$B$6:$B$127,0)+IF('Adjustment Surface'!C$11='Data Validation'!$E$3,-1,0)),INDEX('Rate &amp; Vol Update'!$B$6:$B$127,MATCH(J112,'Rate &amp; Vol Update'!$B$6:$B$127,1)):INDEX('Rate &amp; Vol Update'!$B$6:$B$127,MATCH(J112,'Rate &amp; Vol Update'!$B$6:$B$127,1)+1))/100)</f>
        <v/>
      </c>
      <c r="Q112" s="16" t="str" cm="1">
        <f t="array" ref="Q112">IF(I112="","",IF(J112&lt;'Rate &amp; Vol Update'!$C$2,0.001%,(1/((INDEX('Rate &amp; Vol Update'!$E$6:$Z$6,1,MATCH(O112,'Rate &amp; Vol Update'!$E$6:$Z$6,1)+1)-INDEX('Rate &amp; Vol Update'!$E$6:$Z$6,1,MATCH(O112,'Rate &amp; Vol Update'!$E$6:$Z$6,1)))*(INDEX('Rate &amp; Vol Update'!$B$8:$B$127,MATCH(J112,'Rate &amp; Vol Update'!$B$8:$B$127,1)+1)-INDEX('Rate &amp; Vol Update'!$B$8:$B$127,MATCH(J112,'Rate &amp; Vol Update'!$B$8:$B$127,1))))*(INDEX('Rate &amp; Vol Update'!$E$8:$Z$127,MATCH(INDEX('Rate &amp; Vol Update'!$B$8:$B$127,MATCH(J112,'Rate &amp; Vol Update'!$B$8:$B$127,1)),'Rate &amp; Vol Update'!$B$8:$B$127,0),MATCH(INDEX('Rate &amp; Vol Update'!$E$6:$Z$6,1,MATCH(O112,'Rate &amp; Vol Update'!$E$6:$Z$6,1)),'Rate &amp; Vol Update'!$E$6:$Z$6,0))*(INDEX('Rate &amp; Vol Update'!$E$6:$Z$6,1,MATCH(O112,'Rate &amp; Vol Update'!$E$6:$Z$6,1)+1)-O112)*(INDEX('Rate &amp; Vol Update'!$B$8:$B$127,MATCH(J112,'Rate &amp; Vol Update'!$B$8:$B$127,1)+1)-J112)+INDEX('Rate &amp; Vol Update'!$E$8:$Z$127,MATCH(INDEX('Rate &amp; Vol Update'!$B$8:$B$127,MATCH(J112,'Rate &amp; Vol Update'!$B$8:$B$127,1)),'Rate &amp; Vol Update'!$B$8:$B$127,0),MATCH(INDEX('Rate &amp; Vol Update'!$E$6:$Z$6,1,MATCH(O112,'Rate &amp; Vol Update'!$E$6:$Z$6,1)+1),'Rate &amp; Vol Update'!$E$6:$Z$6,0))*(O112-INDEX('Rate &amp; Vol Update'!$E$6:$Z$6,1,MATCH(O112,'Rate &amp; Vol Update'!$E$6:$Z$6,1)))*(INDEX('Rate &amp; Vol Update'!$B$8:$B$127,MATCH(J112,'Rate &amp; Vol Update'!$B$8:$B$127,1)+1)-J112)+INDEX('Rate &amp; Vol Update'!$E$8:$Z$127,MATCH(INDEX('Rate &amp; Vol Update'!$B$8:$B$127,MATCH(J112,'Rate &amp; Vol Update'!$B$8:$B$127,1)+1),'Rate &amp; Vol Update'!$B$8:$B$127,0),MATCH(INDEX('Rate &amp; Vol Update'!$E$6:$Z$6,1,MATCH(O112,'Rate &amp; Vol Update'!$E$6:$Z$6,1)),'Rate &amp; Vol Update'!$E$6:$Z$6,0))*(INDEX('Rate &amp; Vol Update'!$E$6:$Z$6,1,MATCH(O112,'Rate &amp; Vol Update'!$E$6:$Z$6,1)+1)-O112)*(J112-INDEX('Rate &amp; Vol Update'!$B$8:$B$127,MATCH(J112,'Rate &amp; Vol Update'!$B$8:$B$127,1)))+INDEX('Rate &amp; Vol Update'!$E$8:$Z$127,MATCH(INDEX('Rate &amp; Vol Update'!$B$8:$B$127,MATCH(J112,'Rate &amp; Vol Update'!$B$8:$B$127,1)+1),'Rate &amp; Vol Update'!$B$8:$B$127,0),MATCH(INDEX('Rate &amp; Vol Update'!$E$6:$Z$6,1,MATCH(O112,'Rate &amp; Vol Update'!$E$6:$Z$6,1)+1),'Rate &amp; Vol Update'!$E$6:$Z$6,0))*(O112-INDEX('Rate &amp; Vol Update'!$E$6:$Z$6,1,MATCH(O112,'Rate &amp; Vol Update'!$E$6:$Z$6,1)))*(J112-INDEX('Rate &amp; Vol Update'!$B$8:$B$127,MATCH(J112,'Rate &amp; Vol Update'!$B$8:$B$127,1)))))*0.01%))</f>
        <v/>
      </c>
      <c r="R112" s="5" t="str">
        <f>IF(I112="","",1/((1+P112)^((K112-'Rate &amp; Vol Update'!$C$2)/360)))</f>
        <v/>
      </c>
      <c r="T112" s="15" t="str">
        <f>IF(I112="","",IF(J112&lt;'Rate &amp; Vol Update'!$C$2,MAX(0,P112-O112)*(L112/360)*N112,(((IF('Adjustment Surface'!C$2='Data Validation'!$A$2,P112,IF('Adjustment Surface'!C$2='Data Validation'!$A$3,O112,"Unknown Option Type"))-IF('Adjustment Surface'!C$2='Data Validation'!$A$2,O112,IF('Adjustment Surface'!C$2='Data Validation'!$A$3,P112,"Unknown Option Type")))*(NORMDIST((IF('Adjustment Surface'!C$2='Data Validation'!$A$2,P112,IF('Adjustment Surface'!C$2='Data Validation'!$A$3,O112,"Unknown Option Type"))-IF('Adjustment Surface'!C$2='Data Validation'!$A$2,O112,IF('Adjustment Surface'!C$2='Data Validation'!$A$3,P112,"Unknown Option Type")))/(Q112*SQRT(M112)),0,1,TRUE)))+((Q112*SQRT(M112))*(NORMDIST((IF('Adjustment Surface'!C$2='Data Validation'!$A$2,P112,IF('Adjustment Surface'!C$2='Data Validation'!$A$3,O112,"Unknown Option Type"))-IF('Adjustment Surface'!C$2='Data Validation'!$A$2,O112,IF('Adjustment Surface'!C$2='Data Validation'!$A$3,P112,"Unknown Option Type")))/(Q112*SQRT(M112)),0,1,FALSE))))*R112*(L112/360)*N112))</f>
        <v/>
      </c>
      <c r="U112" s="15" t="str">
        <f>IF(I112="","",SUM(T$4:T112))</f>
        <v/>
      </c>
      <c r="W112" s="15" t="str">
        <f>IF(I112="","",IF(J112&lt;'Rate &amp; Vol Update'!$C$2,0,((((((IF('Adjustment Surface'!C$2='Data Validation'!$A$2,P112,IF('Adjustment Surface'!C$2='Data Validation'!$A$3,O112,"Unknown Option Type"))-IF('Adjustment Surface'!C$2='Data Validation'!$A$2,O112,IF('Adjustment Surface'!C$2='Data Validation'!$A$3,P112,"Unknown Option Type")))*(NORMDIST((IF('Adjustment Surface'!C$2='Data Validation'!$A$2,P112,IF('Adjustment Surface'!C$2='Data Validation'!$A$3,O112,"Unknown Option Type"))-IF('Adjustment Surface'!C$2='Data Validation'!$A$2,O112,IF('Adjustment Surface'!C$2='Data Validation'!$A$3,P112,"Unknown Option Type")))/((Q112+0.01%)*SQRT(M112)),0,1,TRUE)))+(((Q112+0.01%)*SQRT(M112))*(NORMDIST((IF('Adjustment Surface'!C$2='Data Validation'!$A$2,P112,IF('Adjustment Surface'!C$2='Data Validation'!$A$3,O112,"Unknown Option Type"))-IF('Adjustment Surface'!C$2='Data Validation'!$A$2,O112,IF('Adjustment Surface'!C$2='Data Validation'!$A$3,P112,"Unknown Option Type")))/((Q112+0.01%)*SQRT(M112)),0,1,FALSE))))*R112*(L112/360))-(T112/N112))*N112)*R112))</f>
        <v/>
      </c>
      <c r="X112" s="15" t="str">
        <f>IF(I112="","",SUM(W$4:W112))</f>
        <v/>
      </c>
      <c r="Y112" s="15"/>
      <c r="Z112" s="20"/>
      <c r="AB112" s="4" t="str">
        <f>IF(AC111=MAX('Adjustment Surface'!$C$14:$F$14),"",AC111)</f>
        <v/>
      </c>
      <c r="AC112" s="4" t="str">
        <f>IF(AB112="","",IF(AB112&lt;EDATE('Adjustment Surface'!$C$6,DATEDIF('Adjustment Surface'!$C$6,MAX('Adjustment Surface'!$C$14:$F$14),"M")),EDATE(AB$5,COUNT(AB$5:AB112)),IF(AB112=EDATE('Adjustment Surface'!$C$6,DATEDIF('Adjustment Surface'!$C$6,MAX('Adjustment Surface'!$C$14:$F$14),"M")),MAX('Adjustment Surface'!$C$14:$F$14),EDATE('Adjustment Surface'!$C$6,DATEDIF('Adjustment Surface'!$C$6,MAX('Adjustment Surface'!$C$14:$F$14),"M")))))</f>
        <v/>
      </c>
      <c r="AD112" s="3" t="str">
        <f t="shared" si="7"/>
        <v/>
      </c>
      <c r="AE112" s="5" t="str">
        <f>IF(AA112="","",(AC112-'Rate &amp; Vol Update'!$C$2)/360)</f>
        <v/>
      </c>
      <c r="AF112" s="15" t="str">
        <f>IF(AA112="","",IF('Adjustment Surface'!$C$3='Data Validation'!$C$2,'Adjustment Surface'!$C$4,_xlfn.IFNA(IF(INDEX(Schedules!$E$3:$E$123,MATCH('Bachelier Model'!AB112,Schedules!$B$3:$B$123,0))="",AF111,INDEX(Schedules!$E$3:$E$123,MATCH('Bachelier Model'!AB112,Schedules!$B$3:$B$123,0))),AF111)))</f>
        <v/>
      </c>
      <c r="AG112" s="16" t="str">
        <f>IF(AA112="","",'Adjustment Surface'!B$15)</f>
        <v/>
      </c>
      <c r="AH112" s="16" t="str" cm="1">
        <f t="array" ref="AH112">IF(AA112="","",FORECAST(AB112,INDEX('Rate &amp; Vol Update'!$C$6:$C$127,MATCH(INDEX('Rate &amp; Vol Update'!$B$6:$B$127,MATCH(AB112,'Rate &amp; Vol Update'!$B$6:$B$127,1)),'Rate &amp; Vol Update'!$B$6:$B$127,0)+IF('Adjustment Surface'!$C$11='Data Validation'!$E$3,-1,0)):INDEX('Rate &amp; Vol Update'!$C$6:$C$127,MATCH(INDEX('Rate &amp; Vol Update'!$B$6:$B$127,MATCH(AB112,'Rate &amp; Vol Update'!$B$6:$B$127,1)+1),'Rate &amp; Vol Update'!$B$6:$B$127,0)+IF('Adjustment Surface'!$C$11='Data Validation'!$E$3,-1,0)),INDEX('Rate &amp; Vol Update'!$B$6:$B$127,MATCH(AB112,'Rate &amp; Vol Update'!$B$6:$B$127,1)):INDEX('Rate &amp; Vol Update'!$B$6:$B$127,MATCH(AB112,'Rate &amp; Vol Update'!$B$6:$B$127,1)+1))/100)</f>
        <v/>
      </c>
      <c r="AI112" s="16" t="str" cm="1">
        <f t="array" ref="AI112">IF(AA112="","",IF(AB112&lt;'Rate &amp; Vol Update'!$C$2,0.001%,(1/((INDEX('Rate &amp; Vol Update'!$E$6:$Z$6,1,MATCH(AG112,'Rate &amp; Vol Update'!$E$6:$Z$6,1)+1)-INDEX('Rate &amp; Vol Update'!$E$6:$Z$6,1,MATCH(AG112,'Rate &amp; Vol Update'!$E$6:$Z$6,1)))*(INDEX('Rate &amp; Vol Update'!$B$8:$B$127,MATCH(AB112,'Rate &amp; Vol Update'!$B$8:$B$127,1)+1)-INDEX('Rate &amp; Vol Update'!$B$8:$B$127,MATCH(AB112,'Rate &amp; Vol Update'!$B$8:$B$127,1))))*(INDEX('Rate &amp; Vol Update'!$E$8:$Z$127,MATCH(INDEX('Rate &amp; Vol Update'!$B$8:$B$127,MATCH(AB112,'Rate &amp; Vol Update'!$B$8:$B$127,1)),'Rate &amp; Vol Update'!$B$8:$B$127,0),MATCH(INDEX('Rate &amp; Vol Update'!$E$6:$Z$6,1,MATCH(AG112,'Rate &amp; Vol Update'!$E$6:$Z$6,1)),'Rate &amp; Vol Update'!$E$6:$Z$6,0))*(INDEX('Rate &amp; Vol Update'!$E$6:$Z$6,1,MATCH(AG112,'Rate &amp; Vol Update'!$E$6:$Z$6,1)+1)-AG112)*(INDEX('Rate &amp; Vol Update'!$B$8:$B$127,MATCH(AB112,'Rate &amp; Vol Update'!$B$8:$B$127,1)+1)-AB112)+INDEX('Rate &amp; Vol Update'!$E$8:$Z$127,MATCH(INDEX('Rate &amp; Vol Update'!$B$8:$B$127,MATCH(AB112,'Rate &amp; Vol Update'!$B$8:$B$127,1)),'Rate &amp; Vol Update'!$B$8:$B$127,0),MATCH(INDEX('Rate &amp; Vol Update'!$E$6:$Z$6,1,MATCH(AG112,'Rate &amp; Vol Update'!$E$6:$Z$6,1)+1),'Rate &amp; Vol Update'!$E$6:$Z$6,0))*(AG112-INDEX('Rate &amp; Vol Update'!$E$6:$Z$6,1,MATCH(AG112,'Rate &amp; Vol Update'!$E$6:$Z$6,1)))*(INDEX('Rate &amp; Vol Update'!$B$8:$B$127,MATCH(AB112,'Rate &amp; Vol Update'!$B$8:$B$127,1)+1)-AB112)+INDEX('Rate &amp; Vol Update'!$E$8:$Z$127,MATCH(INDEX('Rate &amp; Vol Update'!$B$8:$B$127,MATCH(AB112,'Rate &amp; Vol Update'!$B$8:$B$127,1)+1),'Rate &amp; Vol Update'!$B$8:$B$127,0),MATCH(INDEX('Rate &amp; Vol Update'!$E$6:$Z$6,1,MATCH(AG112,'Rate &amp; Vol Update'!$E$6:$Z$6,1)),'Rate &amp; Vol Update'!$E$6:$Z$6,0))*(INDEX('Rate &amp; Vol Update'!$E$6:$Z$6,1,MATCH(AG112,'Rate &amp; Vol Update'!$E$6:$Z$6,1)+1)-AG112)*(AB112-INDEX('Rate &amp; Vol Update'!$B$8:$B$127,MATCH(AB112,'Rate &amp; Vol Update'!$B$8:$B$127,1)))+INDEX('Rate &amp; Vol Update'!$E$8:$Z$127,MATCH(INDEX('Rate &amp; Vol Update'!$B$8:$B$127,MATCH(AB112,'Rate &amp; Vol Update'!$B$8:$B$127,1)+1),'Rate &amp; Vol Update'!$B$8:$B$127,0),MATCH(INDEX('Rate &amp; Vol Update'!$E$6:$Z$6,1,MATCH(AG112,'Rate &amp; Vol Update'!$E$6:$Z$6,1)+1),'Rate &amp; Vol Update'!$E$6:$Z$6,0))*(AG112-INDEX('Rate &amp; Vol Update'!$E$6:$Z$6,1,MATCH(AG112,'Rate &amp; Vol Update'!$E$6:$Z$6,1)))*(AB112-INDEX('Rate &amp; Vol Update'!$B$8:$B$127,MATCH(AB112,'Rate &amp; Vol Update'!$B$8:$B$127,1)))))*0.01%))</f>
        <v/>
      </c>
      <c r="AJ112" s="5" t="str">
        <f>IF(AA112="","",1/((1+AH112)^((AC112-'Rate &amp; Vol Update'!$C$2)/360)))</f>
        <v/>
      </c>
      <c r="AL112" s="15" t="str">
        <f>IF(AA112="","",IF(AB112&lt;'Rate &amp; Vol Update'!$C$2,MAX(0,AH112-AG112)*(AD112/360)*AF112,(((IF('Adjustment Surface'!$C$2='Data Validation'!$A$2,AH112,IF('Adjustment Surface'!$C$2='Data Validation'!$A$3,AG112,"Unknown Option Type"))-IF('Adjustment Surface'!$C$2='Data Validation'!$A$2,AG112,IF('Adjustment Surface'!$C$2='Data Validation'!$A$3,AH112,"Unknown Option Type")))*(NORMDIST((IF('Adjustment Surface'!$C$2='Data Validation'!$A$2,AH112,IF('Adjustment Surface'!$C$2='Data Validation'!$A$3,AG112,"Unknown Option Type"))-IF('Adjustment Surface'!$C$2='Data Validation'!$A$2,AG112,IF('Adjustment Surface'!$C$2='Data Validation'!$A$3,AH112,"Unknown Option Type")))/(AI112*SQRT(AE112)),0,1,TRUE)))+((AI112*SQRT(AE112))*(NORMDIST((IF('Adjustment Surface'!$C$2='Data Validation'!$A$2,AH112,IF('Adjustment Surface'!$C$2='Data Validation'!$A$3,AG112,"Unknown Option Type"))-IF('Adjustment Surface'!$C$2='Data Validation'!$A$2,AG112,IF('Adjustment Surface'!$C$2='Data Validation'!$A$3,AH112,"Unknown Option Type")))/(AI112*SQRT(AE112)),0,1,FALSE))))*AJ112*(AD112/360)*AF112))</f>
        <v/>
      </c>
      <c r="AM112" s="15" t="str">
        <f>IF(AA112="","",SUM(AL$4:AL112))</f>
        <v/>
      </c>
      <c r="AO112" s="15" t="str">
        <f>IF(AA112="","",IF(AB112&lt;'Rate &amp; Vol Update'!$C$2,0,((((((IF('Adjustment Surface'!$C$2='Data Validation'!$A$2,AH112,IF('Adjustment Surface'!$C$2='Data Validation'!$A$3,AG112,"Unknown Option Type"))-IF('Adjustment Surface'!$C$2='Data Validation'!$A$2,AG112,IF('Adjustment Surface'!$C$2='Data Validation'!$A$3,AH112,"Unknown Option Type")))*(NORMDIST((IF('Adjustment Surface'!$C$2='Data Validation'!$A$2,AH112,IF('Adjustment Surface'!$C$2='Data Validation'!$A$3,AG112,"Unknown Option Type"))-IF('Adjustment Surface'!$C$2='Data Validation'!$A$2,AG112,IF('Adjustment Surface'!$C$2='Data Validation'!$A$3,AH112,"Unknown Option Type")))/((AI112+0.01%)*SQRT(AE112)),0,1,TRUE)))+(((AI112+0.01%)*SQRT(AE112))*(NORMDIST((IF('Adjustment Surface'!$C$2='Data Validation'!$A$2,AH112,IF('Adjustment Surface'!$C$2='Data Validation'!$A$3,AG112,"Unknown Option Type"))-IF('Adjustment Surface'!$C$2='Data Validation'!$A$2,AG112,IF('Adjustment Surface'!$C$2='Data Validation'!$A$3,AH112,"Unknown Option Type")))/((AI112+0.01%)*SQRT(AE112)),0,1,FALSE))))*AJ112*(AD112/360))-(AL112/AF112))*AF112)*AJ112))</f>
        <v/>
      </c>
      <c r="AP112" s="15" t="str">
        <f>IF(AA112="","",SUM(AO$4:AO112))</f>
        <v/>
      </c>
      <c r="AQ112" s="15"/>
      <c r="AR112" s="20"/>
      <c r="AT112" s="4" t="str">
        <f>IF(AU111=MAX('Adjustment Surface'!$C$14:$F$14),"",AU111)</f>
        <v/>
      </c>
      <c r="AU112" s="4" t="str">
        <f>IF(AT112="","",IF(AT112&lt;EDATE('Adjustment Surface'!$C$6,DATEDIF('Adjustment Surface'!$C$6,MAX('Adjustment Surface'!$C$14:$F$14),"M")),EDATE(AT$5,COUNT(AT$5:AT112)),IF(AT112=EDATE('Adjustment Surface'!$C$6,DATEDIF('Adjustment Surface'!$C$6,MAX('Adjustment Surface'!$C$14:$F$14),"M")),MAX('Adjustment Surface'!$C$14:$F$14),EDATE('Adjustment Surface'!$C$6,DATEDIF('Adjustment Surface'!$C$6,MAX('Adjustment Surface'!$C$14:$F$14),"M")))))</f>
        <v/>
      </c>
      <c r="AV112" s="3" t="str">
        <f t="shared" si="8"/>
        <v/>
      </c>
      <c r="AW112" s="5" t="str">
        <f>IF(AS112="","",(AU112-'Rate &amp; Vol Update'!$C$2)/360)</f>
        <v/>
      </c>
      <c r="AX112" s="15" t="str">
        <f>IF(AS112="","",IF('Adjustment Surface'!$C$3='Data Validation'!$C$2,'Adjustment Surface'!$C$4,_xlfn.IFNA(IF(INDEX(Schedules!$E$3:$E$123,MATCH('Bachelier Model'!AT112,Schedules!$B$3:$B$123,0))="",AX111,INDEX(Schedules!$E$3:$E$123,MATCH('Bachelier Model'!AT112,Schedules!$B$3:$B$123,0))),AX111)))</f>
        <v/>
      </c>
      <c r="AY112" s="16" t="str">
        <f>IF(AS112="","",'Adjustment Surface'!B$16)</f>
        <v/>
      </c>
      <c r="AZ112" s="16" t="str" cm="1">
        <f t="array" ref="AZ112">IF(AS112="","",FORECAST(AT112,INDEX('Rate &amp; Vol Update'!$C$6:$C$127,MATCH(INDEX('Rate &amp; Vol Update'!$B$6:$B$127,MATCH(AT112,'Rate &amp; Vol Update'!$B$6:$B$127,1)),'Rate &amp; Vol Update'!$B$6:$B$127,0)+IF('Adjustment Surface'!$C$11='Data Validation'!$E$3,-1,0)):INDEX('Rate &amp; Vol Update'!$C$6:$C$127,MATCH(INDEX('Rate &amp; Vol Update'!$B$6:$B$127,MATCH(AT112,'Rate &amp; Vol Update'!$B$6:$B$127,1)+1),'Rate &amp; Vol Update'!$B$6:$B$127,0)+IF('Adjustment Surface'!$C$11='Data Validation'!$E$3,-1,0)),INDEX('Rate &amp; Vol Update'!$B$6:$B$127,MATCH(AT112,'Rate &amp; Vol Update'!$B$6:$B$127,1)):INDEX('Rate &amp; Vol Update'!$B$6:$B$127,MATCH(AT112,'Rate &amp; Vol Update'!$B$6:$B$127,1)+1))/100)</f>
        <v/>
      </c>
      <c r="BA112" s="16" t="str" cm="1">
        <f t="array" ref="BA112">IF(AS112="","",IF(AT112&lt;'Rate &amp; Vol Update'!$C$2,0.001%,(1/((INDEX('Rate &amp; Vol Update'!$E$6:$Z$6,1,MATCH(AY112,'Rate &amp; Vol Update'!$E$6:$Z$6,1)+1)-INDEX('Rate &amp; Vol Update'!$E$6:$Z$6,1,MATCH(AY112,'Rate &amp; Vol Update'!$E$6:$Z$6,1)))*(INDEX('Rate &amp; Vol Update'!$B$8:$B$127,MATCH(AT112,'Rate &amp; Vol Update'!$B$8:$B$127,1)+1)-INDEX('Rate &amp; Vol Update'!$B$8:$B$127,MATCH(AT112,'Rate &amp; Vol Update'!$B$8:$B$127,1))))*(INDEX('Rate &amp; Vol Update'!$E$8:$Z$127,MATCH(INDEX('Rate &amp; Vol Update'!$B$8:$B$127,MATCH(AT112,'Rate &amp; Vol Update'!$B$8:$B$127,1)),'Rate &amp; Vol Update'!$B$8:$B$127,0),MATCH(INDEX('Rate &amp; Vol Update'!$E$6:$Z$6,1,MATCH(AY112,'Rate &amp; Vol Update'!$E$6:$Z$6,1)),'Rate &amp; Vol Update'!$E$6:$Z$6,0))*(INDEX('Rate &amp; Vol Update'!$E$6:$Z$6,1,MATCH(AY112,'Rate &amp; Vol Update'!$E$6:$Z$6,1)+1)-AY112)*(INDEX('Rate &amp; Vol Update'!$B$8:$B$127,MATCH(AT112,'Rate &amp; Vol Update'!$B$8:$B$127,1)+1)-AT112)+INDEX('Rate &amp; Vol Update'!$E$8:$Z$127,MATCH(INDEX('Rate &amp; Vol Update'!$B$8:$B$127,MATCH(AT112,'Rate &amp; Vol Update'!$B$8:$B$127,1)),'Rate &amp; Vol Update'!$B$8:$B$127,0),MATCH(INDEX('Rate &amp; Vol Update'!$E$6:$Z$6,1,MATCH(AY112,'Rate &amp; Vol Update'!$E$6:$Z$6,1)+1),'Rate &amp; Vol Update'!$E$6:$Z$6,0))*(AY112-INDEX('Rate &amp; Vol Update'!$E$6:$Z$6,1,MATCH(AY112,'Rate &amp; Vol Update'!$E$6:$Z$6,1)))*(INDEX('Rate &amp; Vol Update'!$B$8:$B$127,MATCH(AT112,'Rate &amp; Vol Update'!$B$8:$B$127,1)+1)-AT112)+INDEX('Rate &amp; Vol Update'!$E$8:$Z$127,MATCH(INDEX('Rate &amp; Vol Update'!$B$8:$B$127,MATCH(AT112,'Rate &amp; Vol Update'!$B$8:$B$127,1)+1),'Rate &amp; Vol Update'!$B$8:$B$127,0),MATCH(INDEX('Rate &amp; Vol Update'!$E$6:$Z$6,1,MATCH(AY112,'Rate &amp; Vol Update'!$E$6:$Z$6,1)),'Rate &amp; Vol Update'!$E$6:$Z$6,0))*(INDEX('Rate &amp; Vol Update'!$E$6:$Z$6,1,MATCH(AY112,'Rate &amp; Vol Update'!$E$6:$Z$6,1)+1)-AY112)*(AT112-INDEX('Rate &amp; Vol Update'!$B$8:$B$127,MATCH(AT112,'Rate &amp; Vol Update'!$B$8:$B$127,1)))+INDEX('Rate &amp; Vol Update'!$E$8:$Z$127,MATCH(INDEX('Rate &amp; Vol Update'!$B$8:$B$127,MATCH(AT112,'Rate &amp; Vol Update'!$B$8:$B$127,1)+1),'Rate &amp; Vol Update'!$B$8:$B$127,0),MATCH(INDEX('Rate &amp; Vol Update'!$E$6:$Z$6,1,MATCH(AY112,'Rate &amp; Vol Update'!$E$6:$Z$6,1)+1),'Rate &amp; Vol Update'!$E$6:$Z$6,0))*(AY112-INDEX('Rate &amp; Vol Update'!$E$6:$Z$6,1,MATCH(AY112,'Rate &amp; Vol Update'!$E$6:$Z$6,1)))*(AT112-INDEX('Rate &amp; Vol Update'!$B$8:$B$127,MATCH(AT112,'Rate &amp; Vol Update'!$B$8:$B$127,1)))))*0.01%))</f>
        <v/>
      </c>
      <c r="BB112" s="5" t="str">
        <f>IF(AS112="","",1/((1+AZ112)^((AU112-'Rate &amp; Vol Update'!$C$2)/360)))</f>
        <v/>
      </c>
      <c r="BD112" s="15" t="str">
        <f>IF(AS112="","",IF(AT112&lt;'Rate &amp; Vol Update'!$C$2,MAX(0,AZ112-AY112)*(AV112/360)*AX112,(((IF('Adjustment Surface'!$C$2='Data Validation'!$A$2,AZ112,IF('Adjustment Surface'!$C$2='Data Validation'!$A$3,AY112,"Unknown Option Type"))-IF('Adjustment Surface'!$C$2='Data Validation'!$A$2,AY112,IF('Adjustment Surface'!$C$2='Data Validation'!$A$3,AZ112,"Unknown Option Type")))*(NORMDIST((IF('Adjustment Surface'!$C$2='Data Validation'!$A$2,AZ112,IF('Adjustment Surface'!$C$2='Data Validation'!$A$3,AY112,"Unknown Option Type"))-IF('Adjustment Surface'!$C$2='Data Validation'!$A$2,AY112,IF('Adjustment Surface'!$C$2='Data Validation'!$A$3,AZ112,"Unknown Option Type")))/(BA112*SQRT(AW112)),0,1,TRUE)))+((BA112*SQRT(AW112))*(NORMDIST((IF('Adjustment Surface'!$C$2='Data Validation'!$A$2,AZ112,IF('Adjustment Surface'!$C$2='Data Validation'!$A$3,AY112,"Unknown Option Type"))-IF('Adjustment Surface'!$C$2='Data Validation'!$A$2,AY112,IF('Adjustment Surface'!$C$2='Data Validation'!$A$3,AZ112,"Unknown Option Type")))/(BA112*SQRT(AW112)),0,1,FALSE))))*BB112*(AV112/360)*AX112))</f>
        <v/>
      </c>
      <c r="BE112" s="15" t="str">
        <f>IF(AS112="","",SUM(BD$4:BD112))</f>
        <v/>
      </c>
      <c r="BG112" s="15" t="str">
        <f>IF(AS112="","",IF(AT112&lt;'Rate &amp; Vol Update'!$C$2,0,((((((IF('Adjustment Surface'!$C$2='Data Validation'!$A$2,AZ112,IF('Adjustment Surface'!$C$2='Data Validation'!$A$3,AY112,"Unknown Option Type"))-IF('Adjustment Surface'!$C$2='Data Validation'!$A$2,AY112,IF('Adjustment Surface'!$C$2='Data Validation'!$A$3,AZ112,"Unknown Option Type")))*(NORMDIST((IF('Adjustment Surface'!$C$2='Data Validation'!$A$2,AZ112,IF('Adjustment Surface'!$C$2='Data Validation'!$A$3,AY112,"Unknown Option Type"))-IF('Adjustment Surface'!$C$2='Data Validation'!$A$2,AY112,IF('Adjustment Surface'!$C$2='Data Validation'!$A$3,AZ112,"Unknown Option Type")))/((BA112+0.01%)*SQRT(AW112)),0,1,TRUE)))+(((BA112+0.01%)*SQRT(AW112))*(NORMDIST((IF('Adjustment Surface'!$C$2='Data Validation'!$A$2,AZ112,IF('Adjustment Surface'!$C$2='Data Validation'!$A$3,AY112,"Unknown Option Type"))-IF('Adjustment Surface'!$C$2='Data Validation'!$A$2,AY112,IF('Adjustment Surface'!$C$2='Data Validation'!$A$3,AZ112,"Unknown Option Type")))/((BA112+0.01%)*SQRT(AW112)),0,1,FALSE))))*BB112*(AV112/360))-(BD112/AX112))*AX112)*BB112))</f>
        <v/>
      </c>
      <c r="BH112" s="15" t="str">
        <f>IF(AS112="","",SUM(BG$4:BG112))</f>
        <v/>
      </c>
      <c r="BI112" s="15"/>
      <c r="BJ112" s="20"/>
      <c r="BL112" s="4" t="str">
        <f>IF(BM111=MAX('Adjustment Surface'!$C$14:$F$14),"",BM111)</f>
        <v/>
      </c>
      <c r="BM112" s="4" t="str">
        <f>IF(BL112="","",IF(BL112&lt;EDATE('Adjustment Surface'!$C$6,DATEDIF('Adjustment Surface'!$C$6,MAX('Adjustment Surface'!$C$14:$F$14),"M")),EDATE(BL$5,COUNT(BL$5:BL112)),IF(BL112=EDATE('Adjustment Surface'!$C$6,DATEDIF('Adjustment Surface'!$C$6,MAX('Adjustment Surface'!$C$14:$F$14),"M")),MAX('Adjustment Surface'!$C$14:$F$14),EDATE('Adjustment Surface'!$C$6,DATEDIF('Adjustment Surface'!$C$6,MAX('Adjustment Surface'!$C$14:$F$14),"M")))))</f>
        <v/>
      </c>
      <c r="BN112" s="3" t="str">
        <f t="shared" si="9"/>
        <v/>
      </c>
      <c r="BO112" s="5" t="str">
        <f>IF(BK112="","",(BM112-'Rate &amp; Vol Update'!$C$2)/360)</f>
        <v/>
      </c>
      <c r="BP112" s="15" t="str">
        <f>IF(BK112="","",IF('Adjustment Surface'!$C$3='Data Validation'!$C$2,'Adjustment Surface'!$C$4,_xlfn.IFNA(IF(INDEX(Schedules!$E$3:$E$123,MATCH('Bachelier Model'!BL112,Schedules!$B$3:$B$123,0))="",BP111,INDEX(Schedules!$E$3:$E$123,MATCH('Bachelier Model'!BL112,Schedules!$B$3:$B$123,0))),BP111)))</f>
        <v/>
      </c>
      <c r="BQ112" s="16" t="str">
        <f>IF(BK112="","",'Adjustment Surface'!B$17)</f>
        <v/>
      </c>
      <c r="BR112" s="16" t="str" cm="1">
        <f t="array" ref="BR112">IF(BK112="","",FORECAST(BL112,INDEX('Rate &amp; Vol Update'!$C$6:$C$127,MATCH(INDEX('Rate &amp; Vol Update'!$B$6:$B$127,MATCH(BL112,'Rate &amp; Vol Update'!$B$6:$B$127,1)),'Rate &amp; Vol Update'!$B$6:$B$127,0)+IF('Adjustment Surface'!$C$11='Data Validation'!$E$3,-1,0)):INDEX('Rate &amp; Vol Update'!$C$6:$C$127,MATCH(INDEX('Rate &amp; Vol Update'!$B$6:$B$127,MATCH(BL112,'Rate &amp; Vol Update'!$B$6:$B$127,1)+1),'Rate &amp; Vol Update'!$B$6:$B$127,0)+IF('Adjustment Surface'!$C$11='Data Validation'!$E$3,-1,0)),INDEX('Rate &amp; Vol Update'!$B$6:$B$127,MATCH(BL112,'Rate &amp; Vol Update'!$B$6:$B$127,1)):INDEX('Rate &amp; Vol Update'!$B$6:$B$127,MATCH(BL112,'Rate &amp; Vol Update'!$B$6:$B$127,1)+1))/100)</f>
        <v/>
      </c>
      <c r="BS112" s="16" t="str" cm="1">
        <f t="array" ref="BS112">IF(BK112="","",IF(BL112&lt;'Rate &amp; Vol Update'!$C$2,0.001%,(1/((INDEX('Rate &amp; Vol Update'!$E$6:$Z$6,1,MATCH(BQ112,'Rate &amp; Vol Update'!$E$6:$Z$6,1)+1)-INDEX('Rate &amp; Vol Update'!$E$6:$Z$6,1,MATCH(BQ112,'Rate &amp; Vol Update'!$E$6:$Z$6,1)))*(INDEX('Rate &amp; Vol Update'!$B$8:$B$127,MATCH(BL112,'Rate &amp; Vol Update'!$B$8:$B$127,1)+1)-INDEX('Rate &amp; Vol Update'!$B$8:$B$127,MATCH(BL112,'Rate &amp; Vol Update'!$B$8:$B$127,1))))*(INDEX('Rate &amp; Vol Update'!$E$8:$Z$127,MATCH(INDEX('Rate &amp; Vol Update'!$B$8:$B$127,MATCH(BL112,'Rate &amp; Vol Update'!$B$8:$B$127,1)),'Rate &amp; Vol Update'!$B$8:$B$127,0),MATCH(INDEX('Rate &amp; Vol Update'!$E$6:$Z$6,1,MATCH(BQ112,'Rate &amp; Vol Update'!$E$6:$Z$6,1)),'Rate &amp; Vol Update'!$E$6:$Z$6,0))*(INDEX('Rate &amp; Vol Update'!$E$6:$Z$6,1,MATCH(BQ112,'Rate &amp; Vol Update'!$E$6:$Z$6,1)+1)-BQ112)*(INDEX('Rate &amp; Vol Update'!$B$8:$B$127,MATCH(BL112,'Rate &amp; Vol Update'!$B$8:$B$127,1)+1)-BL112)+INDEX('Rate &amp; Vol Update'!$E$8:$Z$127,MATCH(INDEX('Rate &amp; Vol Update'!$B$8:$B$127,MATCH(BL112,'Rate &amp; Vol Update'!$B$8:$B$127,1)),'Rate &amp; Vol Update'!$B$8:$B$127,0),MATCH(INDEX('Rate &amp; Vol Update'!$E$6:$Z$6,1,MATCH(BQ112,'Rate &amp; Vol Update'!$E$6:$Z$6,1)+1),'Rate &amp; Vol Update'!$E$6:$Z$6,0))*(BQ112-INDEX('Rate &amp; Vol Update'!$E$6:$Z$6,1,MATCH(BQ112,'Rate &amp; Vol Update'!$E$6:$Z$6,1)))*(INDEX('Rate &amp; Vol Update'!$B$8:$B$127,MATCH(BL112,'Rate &amp; Vol Update'!$B$8:$B$127,1)+1)-BL112)+INDEX('Rate &amp; Vol Update'!$E$8:$Z$127,MATCH(INDEX('Rate &amp; Vol Update'!$B$8:$B$127,MATCH(BL112,'Rate &amp; Vol Update'!$B$8:$B$127,1)+1),'Rate &amp; Vol Update'!$B$8:$B$127,0),MATCH(INDEX('Rate &amp; Vol Update'!$E$6:$Z$6,1,MATCH(BQ112,'Rate &amp; Vol Update'!$E$6:$Z$6,1)),'Rate &amp; Vol Update'!$E$6:$Z$6,0))*(INDEX('Rate &amp; Vol Update'!$E$6:$Z$6,1,MATCH(BQ112,'Rate &amp; Vol Update'!$E$6:$Z$6,1)+1)-BQ112)*(BL112-INDEX('Rate &amp; Vol Update'!$B$8:$B$127,MATCH(BL112,'Rate &amp; Vol Update'!$B$8:$B$127,1)))+INDEX('Rate &amp; Vol Update'!$E$8:$Z$127,MATCH(INDEX('Rate &amp; Vol Update'!$B$8:$B$127,MATCH(BL112,'Rate &amp; Vol Update'!$B$8:$B$127,1)+1),'Rate &amp; Vol Update'!$B$8:$B$127,0),MATCH(INDEX('Rate &amp; Vol Update'!$E$6:$Z$6,1,MATCH(BQ112,'Rate &amp; Vol Update'!$E$6:$Z$6,1)+1),'Rate &amp; Vol Update'!$E$6:$Z$6,0))*(BQ112-INDEX('Rate &amp; Vol Update'!$E$6:$Z$6,1,MATCH(BQ112,'Rate &amp; Vol Update'!$E$6:$Z$6,1)))*(BL112-INDEX('Rate &amp; Vol Update'!$B$8:$B$127,MATCH(BL112,'Rate &amp; Vol Update'!$B$8:$B$127,1)))))*0.01%))</f>
        <v/>
      </c>
      <c r="BT112" s="5" t="str">
        <f>IF(BK112="","",1/((1+BR112)^((BM112-'Rate &amp; Vol Update'!$C$2)/360)))</f>
        <v/>
      </c>
      <c r="BV112" s="15" t="str">
        <f>IF(BK112="","",IF(BL112&lt;'Rate &amp; Vol Update'!$C$2,MAX(0,BR112-BQ112)*(BN112/360)*BP112,(((IF('Adjustment Surface'!$C$2='Data Validation'!$A$2,BR112,IF('Adjustment Surface'!$C$2='Data Validation'!$A$3,BQ112,"Unknown Option Type"))-IF('Adjustment Surface'!$C$2='Data Validation'!$A$2,BQ112,IF('Adjustment Surface'!$C$2='Data Validation'!$A$3,BR112,"Unknown Option Type")))*(NORMDIST((IF('Adjustment Surface'!$C$2='Data Validation'!$A$2,BR112,IF('Adjustment Surface'!$C$2='Data Validation'!$A$3,BQ112,"Unknown Option Type"))-IF('Adjustment Surface'!$C$2='Data Validation'!$A$2,BQ112,IF('Adjustment Surface'!$C$2='Data Validation'!$A$3,BR112,"Unknown Option Type")))/(BS112*SQRT(BO112)),0,1,TRUE)))+((BS112*SQRT(BO112))*(NORMDIST((IF('Adjustment Surface'!$C$2='Data Validation'!$A$2,BR112,IF('Adjustment Surface'!$C$2='Data Validation'!$A$3,BQ112,"Unknown Option Type"))-IF('Adjustment Surface'!$C$2='Data Validation'!$A$2,BQ112,IF('Adjustment Surface'!$C$2='Data Validation'!$A$3,BR112,"Unknown Option Type")))/(BS112*SQRT(BO112)),0,1,FALSE))))*BT112*(BN112/360)*BP112))</f>
        <v/>
      </c>
      <c r="BW112" s="15" t="str">
        <f>IF(BK112="","",SUM(BV$4:BV112))</f>
        <v/>
      </c>
      <c r="BY112" s="15" t="str">
        <f>IF(BK112="","",IF(BL112&lt;'Rate &amp; Vol Update'!$C$2,0,((((((IF('Adjustment Surface'!$C$2='Data Validation'!$A$2,BR112,IF('Adjustment Surface'!$C$2='Data Validation'!$A$3,BQ112,"Unknown Option Type"))-IF('Adjustment Surface'!$C$2='Data Validation'!$A$2,BQ112,IF('Adjustment Surface'!$C$2='Data Validation'!$A$3,BR112,"Unknown Option Type")))*(NORMDIST((IF('Adjustment Surface'!$C$2='Data Validation'!$A$2,BR112,IF('Adjustment Surface'!$C$2='Data Validation'!$A$3,BQ112,"Unknown Option Type"))-IF('Adjustment Surface'!$C$2='Data Validation'!$A$2,BQ112,IF('Adjustment Surface'!$C$2='Data Validation'!$A$3,BR112,"Unknown Option Type")))/((BS112+0.01%)*SQRT(BO112)),0,1,TRUE)))+(((BS112+0.01%)*SQRT(BO112))*(NORMDIST((IF('Adjustment Surface'!$C$2='Data Validation'!$A$2,BR112,IF('Adjustment Surface'!$C$2='Data Validation'!$A$3,BQ112,"Unknown Option Type"))-IF('Adjustment Surface'!$C$2='Data Validation'!$A$2,BQ112,IF('Adjustment Surface'!$C$2='Data Validation'!$A$3,BR112,"Unknown Option Type")))/((BS112+0.01%)*SQRT(BO112)),0,1,FALSE))))*BT112*(BN112/360))-(BV112/BP112))*BP112)*BT112))</f>
        <v/>
      </c>
      <c r="BZ112" s="15" t="str">
        <f>IF(BK112="","",SUM(BY$4:BY112))</f>
        <v/>
      </c>
      <c r="CA112" s="15"/>
      <c r="CB112" s="20"/>
      <c r="CD112" s="4" t="str">
        <f>IF(CE111=MAX('Adjustment Surface'!$C$14:$F$14),"",CE111)</f>
        <v/>
      </c>
      <c r="CE112" s="4" t="str">
        <f>IF(CD112="","",IF(CD112&lt;EDATE('Adjustment Surface'!$C$6,DATEDIF('Adjustment Surface'!$C$6,MAX('Adjustment Surface'!$C$14:$F$14),"M")),EDATE(CD$5,COUNT(CD$5:CD112)),IF(CD112=EDATE('Adjustment Surface'!$C$6,DATEDIF('Adjustment Surface'!$C$6,MAX('Adjustment Surface'!$C$14:$F$14),"M")),MAX('Adjustment Surface'!$C$14:$F$14),EDATE('Adjustment Surface'!$C$6,DATEDIF('Adjustment Surface'!$C$6,MAX('Adjustment Surface'!$C$14:$F$14),"M")))))</f>
        <v/>
      </c>
      <c r="CF112" s="3" t="str">
        <f t="shared" si="10"/>
        <v/>
      </c>
      <c r="CG112" s="5" t="str">
        <f>IF(CC112="","",(CE112-'Rate &amp; Vol Update'!$C$2)/360)</f>
        <v/>
      </c>
      <c r="CH112" s="15" t="str">
        <f>IF(CC112="","",IF('Adjustment Surface'!$C$3='Data Validation'!$C$2,'Adjustment Surface'!$C$4,_xlfn.IFNA(IF(INDEX(Schedules!$E$3:$E$123,MATCH('Bachelier Model'!CD112,Schedules!$B$3:$B$123,0))="",CH111,INDEX(Schedules!$E$3:$E$123,MATCH('Bachelier Model'!CD112,Schedules!$B$3:$B$123,0))),CH111)))</f>
        <v/>
      </c>
      <c r="CI112" s="16" t="str">
        <f>IF(CC112="","",'Adjustment Surface'!B$18)</f>
        <v/>
      </c>
      <c r="CJ112" s="16" t="str" cm="1">
        <f t="array" ref="CJ112">IF(CC112="","",FORECAST(CD112,INDEX('Rate &amp; Vol Update'!$C$6:$C$127,MATCH(INDEX('Rate &amp; Vol Update'!$B$6:$B$127,MATCH(CD112,'Rate &amp; Vol Update'!$B$6:$B$127,1)),'Rate &amp; Vol Update'!$B$6:$B$127,0)+IF('Adjustment Surface'!$C$11='Data Validation'!$E$3,-1,0)):INDEX('Rate &amp; Vol Update'!$C$6:$C$127,MATCH(INDEX('Rate &amp; Vol Update'!$B$6:$B$127,MATCH(CD112,'Rate &amp; Vol Update'!$B$6:$B$127,1)+1),'Rate &amp; Vol Update'!$B$6:$B$127,0)+IF('Adjustment Surface'!$C$11='Data Validation'!$E$3,-1,0)),INDEX('Rate &amp; Vol Update'!$B$6:$B$127,MATCH(CD112,'Rate &amp; Vol Update'!$B$6:$B$127,1)):INDEX('Rate &amp; Vol Update'!$B$6:$B$127,MATCH(CD112,'Rate &amp; Vol Update'!$B$6:$B$127,1)+1))/100)</f>
        <v/>
      </c>
      <c r="CK112" s="16" t="str" cm="1">
        <f t="array" ref="CK112">IF(CC112="","",IF(CD112&lt;'Rate &amp; Vol Update'!$C$2,0.001%,(1/((INDEX('Rate &amp; Vol Update'!$E$6:$Z$6,1,MATCH(CI112,'Rate &amp; Vol Update'!$E$6:$Z$6,1)+1)-INDEX('Rate &amp; Vol Update'!$E$6:$Z$6,1,MATCH(CI112,'Rate &amp; Vol Update'!$E$6:$Z$6,1)))*(INDEX('Rate &amp; Vol Update'!$B$8:$B$127,MATCH(CD112,'Rate &amp; Vol Update'!$B$8:$B$127,1)+1)-INDEX('Rate &amp; Vol Update'!$B$8:$B$127,MATCH(CD112,'Rate &amp; Vol Update'!$B$8:$B$127,1))))*(INDEX('Rate &amp; Vol Update'!$E$8:$Z$127,MATCH(INDEX('Rate &amp; Vol Update'!$B$8:$B$127,MATCH(CD112,'Rate &amp; Vol Update'!$B$8:$B$127,1)),'Rate &amp; Vol Update'!$B$8:$B$127,0),MATCH(INDEX('Rate &amp; Vol Update'!$E$6:$Z$6,1,MATCH(CI112,'Rate &amp; Vol Update'!$E$6:$Z$6,1)),'Rate &amp; Vol Update'!$E$6:$Z$6,0))*(INDEX('Rate &amp; Vol Update'!$E$6:$Z$6,1,MATCH(CI112,'Rate &amp; Vol Update'!$E$6:$Z$6,1)+1)-CI112)*(INDEX('Rate &amp; Vol Update'!$B$8:$B$127,MATCH(CD112,'Rate &amp; Vol Update'!$B$8:$B$127,1)+1)-CD112)+INDEX('Rate &amp; Vol Update'!$E$8:$Z$127,MATCH(INDEX('Rate &amp; Vol Update'!$B$8:$B$127,MATCH(CD112,'Rate &amp; Vol Update'!$B$8:$B$127,1)),'Rate &amp; Vol Update'!$B$8:$B$127,0),MATCH(INDEX('Rate &amp; Vol Update'!$E$6:$Z$6,1,MATCH(CI112,'Rate &amp; Vol Update'!$E$6:$Z$6,1)+1),'Rate &amp; Vol Update'!$E$6:$Z$6,0))*(CI112-INDEX('Rate &amp; Vol Update'!$E$6:$Z$6,1,MATCH(CI112,'Rate &amp; Vol Update'!$E$6:$Z$6,1)))*(INDEX('Rate &amp; Vol Update'!$B$8:$B$127,MATCH(CD112,'Rate &amp; Vol Update'!$B$8:$B$127,1)+1)-CD112)+INDEX('Rate &amp; Vol Update'!$E$8:$Z$127,MATCH(INDEX('Rate &amp; Vol Update'!$B$8:$B$127,MATCH(CD112,'Rate &amp; Vol Update'!$B$8:$B$127,1)+1),'Rate &amp; Vol Update'!$B$8:$B$127,0),MATCH(INDEX('Rate &amp; Vol Update'!$E$6:$Z$6,1,MATCH(CI112,'Rate &amp; Vol Update'!$E$6:$Z$6,1)),'Rate &amp; Vol Update'!$E$6:$Z$6,0))*(INDEX('Rate &amp; Vol Update'!$E$6:$Z$6,1,MATCH(CI112,'Rate &amp; Vol Update'!$E$6:$Z$6,1)+1)-CI112)*(CD112-INDEX('Rate &amp; Vol Update'!$B$8:$B$127,MATCH(CD112,'Rate &amp; Vol Update'!$B$8:$B$127,1)))+INDEX('Rate &amp; Vol Update'!$E$8:$Z$127,MATCH(INDEX('Rate &amp; Vol Update'!$B$8:$B$127,MATCH(CD112,'Rate &amp; Vol Update'!$B$8:$B$127,1)+1),'Rate &amp; Vol Update'!$B$8:$B$127,0),MATCH(INDEX('Rate &amp; Vol Update'!$E$6:$Z$6,1,MATCH(CI112,'Rate &amp; Vol Update'!$E$6:$Z$6,1)+1),'Rate &amp; Vol Update'!$E$6:$Z$6,0))*(CI112-INDEX('Rate &amp; Vol Update'!$E$6:$Z$6,1,MATCH(CI112,'Rate &amp; Vol Update'!$E$6:$Z$6,1)))*(CD112-INDEX('Rate &amp; Vol Update'!$B$8:$B$127,MATCH(CD112,'Rate &amp; Vol Update'!$B$8:$B$127,1)))))*0.01%))</f>
        <v/>
      </c>
      <c r="CL112" s="5" t="str">
        <f>IF(CC112="","",1/((1+CJ112)^((CE112-'Rate &amp; Vol Update'!$C$2)/360)))</f>
        <v/>
      </c>
      <c r="CN112" s="15" t="str">
        <f>IF(CC112="","",IF(CD112&lt;'Rate &amp; Vol Update'!$C$2,MAX(0,CJ112-CI112)*(CF112/360)*CH112,(((IF('Adjustment Surface'!$C$2='Data Validation'!$A$2,CJ112,IF('Adjustment Surface'!$C$2='Data Validation'!$A$3,CI112,"Unknown Option Type"))-IF('Adjustment Surface'!$C$2='Data Validation'!$A$2,CI112,IF('Adjustment Surface'!$C$2='Data Validation'!$A$3,CJ112,"Unknown Option Type")))*(NORMDIST((IF('Adjustment Surface'!$C$2='Data Validation'!$A$2,CJ112,IF('Adjustment Surface'!$C$2='Data Validation'!$A$3,CI112,"Unknown Option Type"))-IF('Adjustment Surface'!$C$2='Data Validation'!$A$2,CI112,IF('Adjustment Surface'!$C$2='Data Validation'!$A$3,CJ112,"Unknown Option Type")))/(CK112*SQRT(CG112)),0,1,TRUE)))+((CK112*SQRT(CG112))*(NORMDIST((IF('Adjustment Surface'!$C$2='Data Validation'!$A$2,CJ112,IF('Adjustment Surface'!$C$2='Data Validation'!$A$3,CI112,"Unknown Option Type"))-IF('Adjustment Surface'!$C$2='Data Validation'!$A$2,CI112,IF('Adjustment Surface'!$C$2='Data Validation'!$A$3,CJ112,"Unknown Option Type")))/(CK112*SQRT(CG112)),0,1,FALSE))))*CL112*(CF112/360)*CH112))</f>
        <v/>
      </c>
      <c r="CO112" s="15" t="str">
        <f>IF(CC112="","",SUM(CN$4:CN112))</f>
        <v/>
      </c>
      <c r="CQ112" s="15" t="str">
        <f>IF(CC112="","",IF(CD112&lt;'Rate &amp; Vol Update'!$C$2,0,((((((IF('Adjustment Surface'!$C$2='Data Validation'!$A$2,CJ112,IF('Adjustment Surface'!$C$2='Data Validation'!$A$3,CI112,"Unknown Option Type"))-IF('Adjustment Surface'!$C$2='Data Validation'!$A$2,CI112,IF('Adjustment Surface'!$C$2='Data Validation'!$A$3,CJ112,"Unknown Option Type")))*(NORMDIST((IF('Adjustment Surface'!$C$2='Data Validation'!$A$2,CJ112,IF('Adjustment Surface'!$C$2='Data Validation'!$A$3,CI112,"Unknown Option Type"))-IF('Adjustment Surface'!$C$2='Data Validation'!$A$2,CI112,IF('Adjustment Surface'!$C$2='Data Validation'!$A$3,CJ112,"Unknown Option Type")))/((CK112+0.01%)*SQRT(CG112)),0,1,TRUE)))+(((CK112+0.01%)*SQRT(CG112))*(NORMDIST((IF('Adjustment Surface'!$C$2='Data Validation'!$A$2,CJ112,IF('Adjustment Surface'!$C$2='Data Validation'!$A$3,CI112,"Unknown Option Type"))-IF('Adjustment Surface'!$C$2='Data Validation'!$A$2,CI112,IF('Adjustment Surface'!$C$2='Data Validation'!$A$3,CJ112,"Unknown Option Type")))/((CK112+0.01%)*SQRT(CG112)),0,1,FALSE))))*CL112*(CF112/360))-(CN112/CH112))*CH112)*CL112))</f>
        <v/>
      </c>
      <c r="CR112" s="15" t="str">
        <f>IF(CC112="","",SUM(CQ$4:CQ112))</f>
        <v/>
      </c>
    </row>
    <row r="113" spans="7:96" x14ac:dyDescent="0.25">
      <c r="G113" s="28"/>
      <c r="J113" s="4" t="str">
        <f>IF(K112='Adjustment Surface'!C$8,"",K112)</f>
        <v/>
      </c>
      <c r="K113" s="4" t="str">
        <f>IF(J113="","",IF(J113&lt;'Adjustment Surface'!C$7,EDATE(J$5,COUNT(J$5:J113)),IF(J113='Adjustment Surface'!C$7,'Adjustment Surface'!C$8,'Adjustment Surface'!C$7)))</f>
        <v/>
      </c>
      <c r="L113" s="3" t="str">
        <f t="shared" si="6"/>
        <v/>
      </c>
      <c r="M113" s="5" t="str">
        <f>IF(I113="","",(K113-'Rate &amp; Vol Update'!$C$2)/360)</f>
        <v/>
      </c>
      <c r="N113" s="15" t="str">
        <f>IF(I113="","",IF('Adjustment Surface'!C$3='Data Validation'!$C$2,'Adjustment Surface'!C$4,IF(INDEX(Schedules!$E$3:$E$123,MATCH('Bachelier Model'!J113,Schedules!$B$3:$B$123,0))="",N112,INDEX(Schedules!$E$3:$E$123,MATCH('Bachelier Model'!J113,Schedules!$B$3:$B$123,0)))))</f>
        <v/>
      </c>
      <c r="O113" s="16" t="str">
        <f>IF(I113="","",IF('Adjustment Surface'!C$9='Data Validation'!$D$2,'Adjustment Surface'!C$10,IF(INDEX(Schedules!$H$3:$H$123,MATCH('Bachelier Model'!J113,Schedules!$B$3:$B$123,0))="",O112,INDEX(Schedules!$H$3:$H$123,MATCH('Bachelier Model'!J113,Schedules!$B$3:$B$123,0)))))</f>
        <v/>
      </c>
      <c r="P113" s="16" t="str" cm="1">
        <f t="array" ref="P113">IF(I113="","",FORECAST(J113,INDEX('Rate &amp; Vol Update'!$C$6:$C$127,MATCH(INDEX('Rate &amp; Vol Update'!$B$6:$B$127,MATCH(J113,'Rate &amp; Vol Update'!$B$6:$B$127,1)),'Rate &amp; Vol Update'!$B$6:$B$127,0)+IF('Adjustment Surface'!C$11='Data Validation'!$E$3,-1,0)):INDEX('Rate &amp; Vol Update'!$C$6:$C$127,MATCH(INDEX('Rate &amp; Vol Update'!$B$6:$B$127,MATCH(J113,'Rate &amp; Vol Update'!$B$6:$B$127,1)+1),'Rate &amp; Vol Update'!$B$6:$B$127,0)+IF('Adjustment Surface'!C$11='Data Validation'!$E$3,-1,0)),INDEX('Rate &amp; Vol Update'!$B$6:$B$127,MATCH(J113,'Rate &amp; Vol Update'!$B$6:$B$127,1)):INDEX('Rate &amp; Vol Update'!$B$6:$B$127,MATCH(J113,'Rate &amp; Vol Update'!$B$6:$B$127,1)+1))/100)</f>
        <v/>
      </c>
      <c r="Q113" s="16" t="str" cm="1">
        <f t="array" ref="Q113">IF(I113="","",IF(J113&lt;'Rate &amp; Vol Update'!$C$2,0.001%,(1/((INDEX('Rate &amp; Vol Update'!$E$6:$Z$6,1,MATCH(O113,'Rate &amp; Vol Update'!$E$6:$Z$6,1)+1)-INDEX('Rate &amp; Vol Update'!$E$6:$Z$6,1,MATCH(O113,'Rate &amp; Vol Update'!$E$6:$Z$6,1)))*(INDEX('Rate &amp; Vol Update'!$B$8:$B$127,MATCH(J113,'Rate &amp; Vol Update'!$B$8:$B$127,1)+1)-INDEX('Rate &amp; Vol Update'!$B$8:$B$127,MATCH(J113,'Rate &amp; Vol Update'!$B$8:$B$127,1))))*(INDEX('Rate &amp; Vol Update'!$E$8:$Z$127,MATCH(INDEX('Rate &amp; Vol Update'!$B$8:$B$127,MATCH(J113,'Rate &amp; Vol Update'!$B$8:$B$127,1)),'Rate &amp; Vol Update'!$B$8:$B$127,0),MATCH(INDEX('Rate &amp; Vol Update'!$E$6:$Z$6,1,MATCH(O113,'Rate &amp; Vol Update'!$E$6:$Z$6,1)),'Rate &amp; Vol Update'!$E$6:$Z$6,0))*(INDEX('Rate &amp; Vol Update'!$E$6:$Z$6,1,MATCH(O113,'Rate &amp; Vol Update'!$E$6:$Z$6,1)+1)-O113)*(INDEX('Rate &amp; Vol Update'!$B$8:$B$127,MATCH(J113,'Rate &amp; Vol Update'!$B$8:$B$127,1)+1)-J113)+INDEX('Rate &amp; Vol Update'!$E$8:$Z$127,MATCH(INDEX('Rate &amp; Vol Update'!$B$8:$B$127,MATCH(J113,'Rate &amp; Vol Update'!$B$8:$B$127,1)),'Rate &amp; Vol Update'!$B$8:$B$127,0),MATCH(INDEX('Rate &amp; Vol Update'!$E$6:$Z$6,1,MATCH(O113,'Rate &amp; Vol Update'!$E$6:$Z$6,1)+1),'Rate &amp; Vol Update'!$E$6:$Z$6,0))*(O113-INDEX('Rate &amp; Vol Update'!$E$6:$Z$6,1,MATCH(O113,'Rate &amp; Vol Update'!$E$6:$Z$6,1)))*(INDEX('Rate &amp; Vol Update'!$B$8:$B$127,MATCH(J113,'Rate &amp; Vol Update'!$B$8:$B$127,1)+1)-J113)+INDEX('Rate &amp; Vol Update'!$E$8:$Z$127,MATCH(INDEX('Rate &amp; Vol Update'!$B$8:$B$127,MATCH(J113,'Rate &amp; Vol Update'!$B$8:$B$127,1)+1),'Rate &amp; Vol Update'!$B$8:$B$127,0),MATCH(INDEX('Rate &amp; Vol Update'!$E$6:$Z$6,1,MATCH(O113,'Rate &amp; Vol Update'!$E$6:$Z$6,1)),'Rate &amp; Vol Update'!$E$6:$Z$6,0))*(INDEX('Rate &amp; Vol Update'!$E$6:$Z$6,1,MATCH(O113,'Rate &amp; Vol Update'!$E$6:$Z$6,1)+1)-O113)*(J113-INDEX('Rate &amp; Vol Update'!$B$8:$B$127,MATCH(J113,'Rate &amp; Vol Update'!$B$8:$B$127,1)))+INDEX('Rate &amp; Vol Update'!$E$8:$Z$127,MATCH(INDEX('Rate &amp; Vol Update'!$B$8:$B$127,MATCH(J113,'Rate &amp; Vol Update'!$B$8:$B$127,1)+1),'Rate &amp; Vol Update'!$B$8:$B$127,0),MATCH(INDEX('Rate &amp; Vol Update'!$E$6:$Z$6,1,MATCH(O113,'Rate &amp; Vol Update'!$E$6:$Z$6,1)+1),'Rate &amp; Vol Update'!$E$6:$Z$6,0))*(O113-INDEX('Rate &amp; Vol Update'!$E$6:$Z$6,1,MATCH(O113,'Rate &amp; Vol Update'!$E$6:$Z$6,1)))*(J113-INDEX('Rate &amp; Vol Update'!$B$8:$B$127,MATCH(J113,'Rate &amp; Vol Update'!$B$8:$B$127,1)))))*0.01%))</f>
        <v/>
      </c>
      <c r="R113" s="5" t="str">
        <f>IF(I113="","",1/((1+P113)^((K113-'Rate &amp; Vol Update'!$C$2)/360)))</f>
        <v/>
      </c>
      <c r="T113" s="15" t="str">
        <f>IF(I113="","",IF(J113&lt;'Rate &amp; Vol Update'!$C$2,MAX(0,P113-O113)*(L113/360)*N113,(((IF('Adjustment Surface'!C$2='Data Validation'!$A$2,P113,IF('Adjustment Surface'!C$2='Data Validation'!$A$3,O113,"Unknown Option Type"))-IF('Adjustment Surface'!C$2='Data Validation'!$A$2,O113,IF('Adjustment Surface'!C$2='Data Validation'!$A$3,P113,"Unknown Option Type")))*(NORMDIST((IF('Adjustment Surface'!C$2='Data Validation'!$A$2,P113,IF('Adjustment Surface'!C$2='Data Validation'!$A$3,O113,"Unknown Option Type"))-IF('Adjustment Surface'!C$2='Data Validation'!$A$2,O113,IF('Adjustment Surface'!C$2='Data Validation'!$A$3,P113,"Unknown Option Type")))/(Q113*SQRT(M113)),0,1,TRUE)))+((Q113*SQRT(M113))*(NORMDIST((IF('Adjustment Surface'!C$2='Data Validation'!$A$2,P113,IF('Adjustment Surface'!C$2='Data Validation'!$A$3,O113,"Unknown Option Type"))-IF('Adjustment Surface'!C$2='Data Validation'!$A$2,O113,IF('Adjustment Surface'!C$2='Data Validation'!$A$3,P113,"Unknown Option Type")))/(Q113*SQRT(M113)),0,1,FALSE))))*R113*(L113/360)*N113))</f>
        <v/>
      </c>
      <c r="U113" s="15" t="str">
        <f>IF(I113="","",SUM(T$4:T113))</f>
        <v/>
      </c>
      <c r="W113" s="15" t="str">
        <f>IF(I113="","",IF(J113&lt;'Rate &amp; Vol Update'!$C$2,0,((((((IF('Adjustment Surface'!C$2='Data Validation'!$A$2,P113,IF('Adjustment Surface'!C$2='Data Validation'!$A$3,O113,"Unknown Option Type"))-IF('Adjustment Surface'!C$2='Data Validation'!$A$2,O113,IF('Adjustment Surface'!C$2='Data Validation'!$A$3,P113,"Unknown Option Type")))*(NORMDIST((IF('Adjustment Surface'!C$2='Data Validation'!$A$2,P113,IF('Adjustment Surface'!C$2='Data Validation'!$A$3,O113,"Unknown Option Type"))-IF('Adjustment Surface'!C$2='Data Validation'!$A$2,O113,IF('Adjustment Surface'!C$2='Data Validation'!$A$3,P113,"Unknown Option Type")))/((Q113+0.01%)*SQRT(M113)),0,1,TRUE)))+(((Q113+0.01%)*SQRT(M113))*(NORMDIST((IF('Adjustment Surface'!C$2='Data Validation'!$A$2,P113,IF('Adjustment Surface'!C$2='Data Validation'!$A$3,O113,"Unknown Option Type"))-IF('Adjustment Surface'!C$2='Data Validation'!$A$2,O113,IF('Adjustment Surface'!C$2='Data Validation'!$A$3,P113,"Unknown Option Type")))/((Q113+0.01%)*SQRT(M113)),0,1,FALSE))))*R113*(L113/360))-(T113/N113))*N113)*R113))</f>
        <v/>
      </c>
      <c r="X113" s="15" t="str">
        <f>IF(I113="","",SUM(W$4:W113))</f>
        <v/>
      </c>
      <c r="Y113" s="15"/>
      <c r="Z113" s="20"/>
      <c r="AB113" s="4" t="str">
        <f>IF(AC112=MAX('Adjustment Surface'!$C$14:$F$14),"",AC112)</f>
        <v/>
      </c>
      <c r="AC113" s="4" t="str">
        <f>IF(AB113="","",IF(AB113&lt;EDATE('Adjustment Surface'!$C$6,DATEDIF('Adjustment Surface'!$C$6,MAX('Adjustment Surface'!$C$14:$F$14),"M")),EDATE(AB$5,COUNT(AB$5:AB113)),IF(AB113=EDATE('Adjustment Surface'!$C$6,DATEDIF('Adjustment Surface'!$C$6,MAX('Adjustment Surface'!$C$14:$F$14),"M")),MAX('Adjustment Surface'!$C$14:$F$14),EDATE('Adjustment Surface'!$C$6,DATEDIF('Adjustment Surface'!$C$6,MAX('Adjustment Surface'!$C$14:$F$14),"M")))))</f>
        <v/>
      </c>
      <c r="AD113" s="3" t="str">
        <f t="shared" si="7"/>
        <v/>
      </c>
      <c r="AE113" s="5" t="str">
        <f>IF(AA113="","",(AC113-'Rate &amp; Vol Update'!$C$2)/360)</f>
        <v/>
      </c>
      <c r="AF113" s="15" t="str">
        <f>IF(AA113="","",IF('Adjustment Surface'!$C$3='Data Validation'!$C$2,'Adjustment Surface'!$C$4,_xlfn.IFNA(IF(INDEX(Schedules!$E$3:$E$123,MATCH('Bachelier Model'!AB113,Schedules!$B$3:$B$123,0))="",AF112,INDEX(Schedules!$E$3:$E$123,MATCH('Bachelier Model'!AB113,Schedules!$B$3:$B$123,0))),AF112)))</f>
        <v/>
      </c>
      <c r="AG113" s="16" t="str">
        <f>IF(AA113="","",'Adjustment Surface'!B$15)</f>
        <v/>
      </c>
      <c r="AH113" s="16" t="str" cm="1">
        <f t="array" ref="AH113">IF(AA113="","",FORECAST(AB113,INDEX('Rate &amp; Vol Update'!$C$6:$C$127,MATCH(INDEX('Rate &amp; Vol Update'!$B$6:$B$127,MATCH(AB113,'Rate &amp; Vol Update'!$B$6:$B$127,1)),'Rate &amp; Vol Update'!$B$6:$B$127,0)+IF('Adjustment Surface'!$C$11='Data Validation'!$E$3,-1,0)):INDEX('Rate &amp; Vol Update'!$C$6:$C$127,MATCH(INDEX('Rate &amp; Vol Update'!$B$6:$B$127,MATCH(AB113,'Rate &amp; Vol Update'!$B$6:$B$127,1)+1),'Rate &amp; Vol Update'!$B$6:$B$127,0)+IF('Adjustment Surface'!$C$11='Data Validation'!$E$3,-1,0)),INDEX('Rate &amp; Vol Update'!$B$6:$B$127,MATCH(AB113,'Rate &amp; Vol Update'!$B$6:$B$127,1)):INDEX('Rate &amp; Vol Update'!$B$6:$B$127,MATCH(AB113,'Rate &amp; Vol Update'!$B$6:$B$127,1)+1))/100)</f>
        <v/>
      </c>
      <c r="AI113" s="16" t="str" cm="1">
        <f t="array" ref="AI113">IF(AA113="","",IF(AB113&lt;'Rate &amp; Vol Update'!$C$2,0.001%,(1/((INDEX('Rate &amp; Vol Update'!$E$6:$Z$6,1,MATCH(AG113,'Rate &amp; Vol Update'!$E$6:$Z$6,1)+1)-INDEX('Rate &amp; Vol Update'!$E$6:$Z$6,1,MATCH(AG113,'Rate &amp; Vol Update'!$E$6:$Z$6,1)))*(INDEX('Rate &amp; Vol Update'!$B$8:$B$127,MATCH(AB113,'Rate &amp; Vol Update'!$B$8:$B$127,1)+1)-INDEX('Rate &amp; Vol Update'!$B$8:$B$127,MATCH(AB113,'Rate &amp; Vol Update'!$B$8:$B$127,1))))*(INDEX('Rate &amp; Vol Update'!$E$8:$Z$127,MATCH(INDEX('Rate &amp; Vol Update'!$B$8:$B$127,MATCH(AB113,'Rate &amp; Vol Update'!$B$8:$B$127,1)),'Rate &amp; Vol Update'!$B$8:$B$127,0),MATCH(INDEX('Rate &amp; Vol Update'!$E$6:$Z$6,1,MATCH(AG113,'Rate &amp; Vol Update'!$E$6:$Z$6,1)),'Rate &amp; Vol Update'!$E$6:$Z$6,0))*(INDEX('Rate &amp; Vol Update'!$E$6:$Z$6,1,MATCH(AG113,'Rate &amp; Vol Update'!$E$6:$Z$6,1)+1)-AG113)*(INDEX('Rate &amp; Vol Update'!$B$8:$B$127,MATCH(AB113,'Rate &amp; Vol Update'!$B$8:$B$127,1)+1)-AB113)+INDEX('Rate &amp; Vol Update'!$E$8:$Z$127,MATCH(INDEX('Rate &amp; Vol Update'!$B$8:$B$127,MATCH(AB113,'Rate &amp; Vol Update'!$B$8:$B$127,1)),'Rate &amp; Vol Update'!$B$8:$B$127,0),MATCH(INDEX('Rate &amp; Vol Update'!$E$6:$Z$6,1,MATCH(AG113,'Rate &amp; Vol Update'!$E$6:$Z$6,1)+1),'Rate &amp; Vol Update'!$E$6:$Z$6,0))*(AG113-INDEX('Rate &amp; Vol Update'!$E$6:$Z$6,1,MATCH(AG113,'Rate &amp; Vol Update'!$E$6:$Z$6,1)))*(INDEX('Rate &amp; Vol Update'!$B$8:$B$127,MATCH(AB113,'Rate &amp; Vol Update'!$B$8:$B$127,1)+1)-AB113)+INDEX('Rate &amp; Vol Update'!$E$8:$Z$127,MATCH(INDEX('Rate &amp; Vol Update'!$B$8:$B$127,MATCH(AB113,'Rate &amp; Vol Update'!$B$8:$B$127,1)+1),'Rate &amp; Vol Update'!$B$8:$B$127,0),MATCH(INDEX('Rate &amp; Vol Update'!$E$6:$Z$6,1,MATCH(AG113,'Rate &amp; Vol Update'!$E$6:$Z$6,1)),'Rate &amp; Vol Update'!$E$6:$Z$6,0))*(INDEX('Rate &amp; Vol Update'!$E$6:$Z$6,1,MATCH(AG113,'Rate &amp; Vol Update'!$E$6:$Z$6,1)+1)-AG113)*(AB113-INDEX('Rate &amp; Vol Update'!$B$8:$B$127,MATCH(AB113,'Rate &amp; Vol Update'!$B$8:$B$127,1)))+INDEX('Rate &amp; Vol Update'!$E$8:$Z$127,MATCH(INDEX('Rate &amp; Vol Update'!$B$8:$B$127,MATCH(AB113,'Rate &amp; Vol Update'!$B$8:$B$127,1)+1),'Rate &amp; Vol Update'!$B$8:$B$127,0),MATCH(INDEX('Rate &amp; Vol Update'!$E$6:$Z$6,1,MATCH(AG113,'Rate &amp; Vol Update'!$E$6:$Z$6,1)+1),'Rate &amp; Vol Update'!$E$6:$Z$6,0))*(AG113-INDEX('Rate &amp; Vol Update'!$E$6:$Z$6,1,MATCH(AG113,'Rate &amp; Vol Update'!$E$6:$Z$6,1)))*(AB113-INDEX('Rate &amp; Vol Update'!$B$8:$B$127,MATCH(AB113,'Rate &amp; Vol Update'!$B$8:$B$127,1)))))*0.01%))</f>
        <v/>
      </c>
      <c r="AJ113" s="5" t="str">
        <f>IF(AA113="","",1/((1+AH113)^((AC113-'Rate &amp; Vol Update'!$C$2)/360)))</f>
        <v/>
      </c>
      <c r="AL113" s="15" t="str">
        <f>IF(AA113="","",IF(AB113&lt;'Rate &amp; Vol Update'!$C$2,MAX(0,AH113-AG113)*(AD113/360)*AF113,(((IF('Adjustment Surface'!$C$2='Data Validation'!$A$2,AH113,IF('Adjustment Surface'!$C$2='Data Validation'!$A$3,AG113,"Unknown Option Type"))-IF('Adjustment Surface'!$C$2='Data Validation'!$A$2,AG113,IF('Adjustment Surface'!$C$2='Data Validation'!$A$3,AH113,"Unknown Option Type")))*(NORMDIST((IF('Adjustment Surface'!$C$2='Data Validation'!$A$2,AH113,IF('Adjustment Surface'!$C$2='Data Validation'!$A$3,AG113,"Unknown Option Type"))-IF('Adjustment Surface'!$C$2='Data Validation'!$A$2,AG113,IF('Adjustment Surface'!$C$2='Data Validation'!$A$3,AH113,"Unknown Option Type")))/(AI113*SQRT(AE113)),0,1,TRUE)))+((AI113*SQRT(AE113))*(NORMDIST((IF('Adjustment Surface'!$C$2='Data Validation'!$A$2,AH113,IF('Adjustment Surface'!$C$2='Data Validation'!$A$3,AG113,"Unknown Option Type"))-IF('Adjustment Surface'!$C$2='Data Validation'!$A$2,AG113,IF('Adjustment Surface'!$C$2='Data Validation'!$A$3,AH113,"Unknown Option Type")))/(AI113*SQRT(AE113)),0,1,FALSE))))*AJ113*(AD113/360)*AF113))</f>
        <v/>
      </c>
      <c r="AM113" s="15" t="str">
        <f>IF(AA113="","",SUM(AL$4:AL113))</f>
        <v/>
      </c>
      <c r="AO113" s="15" t="str">
        <f>IF(AA113="","",IF(AB113&lt;'Rate &amp; Vol Update'!$C$2,0,((((((IF('Adjustment Surface'!$C$2='Data Validation'!$A$2,AH113,IF('Adjustment Surface'!$C$2='Data Validation'!$A$3,AG113,"Unknown Option Type"))-IF('Adjustment Surface'!$C$2='Data Validation'!$A$2,AG113,IF('Adjustment Surface'!$C$2='Data Validation'!$A$3,AH113,"Unknown Option Type")))*(NORMDIST((IF('Adjustment Surface'!$C$2='Data Validation'!$A$2,AH113,IF('Adjustment Surface'!$C$2='Data Validation'!$A$3,AG113,"Unknown Option Type"))-IF('Adjustment Surface'!$C$2='Data Validation'!$A$2,AG113,IF('Adjustment Surface'!$C$2='Data Validation'!$A$3,AH113,"Unknown Option Type")))/((AI113+0.01%)*SQRT(AE113)),0,1,TRUE)))+(((AI113+0.01%)*SQRT(AE113))*(NORMDIST((IF('Adjustment Surface'!$C$2='Data Validation'!$A$2,AH113,IF('Adjustment Surface'!$C$2='Data Validation'!$A$3,AG113,"Unknown Option Type"))-IF('Adjustment Surface'!$C$2='Data Validation'!$A$2,AG113,IF('Adjustment Surface'!$C$2='Data Validation'!$A$3,AH113,"Unknown Option Type")))/((AI113+0.01%)*SQRT(AE113)),0,1,FALSE))))*AJ113*(AD113/360))-(AL113/AF113))*AF113)*AJ113))</f>
        <v/>
      </c>
      <c r="AP113" s="15" t="str">
        <f>IF(AA113="","",SUM(AO$4:AO113))</f>
        <v/>
      </c>
      <c r="AQ113" s="15"/>
      <c r="AR113" s="20"/>
      <c r="AT113" s="4" t="str">
        <f>IF(AU112=MAX('Adjustment Surface'!$C$14:$F$14),"",AU112)</f>
        <v/>
      </c>
      <c r="AU113" s="4" t="str">
        <f>IF(AT113="","",IF(AT113&lt;EDATE('Adjustment Surface'!$C$6,DATEDIF('Adjustment Surface'!$C$6,MAX('Adjustment Surface'!$C$14:$F$14),"M")),EDATE(AT$5,COUNT(AT$5:AT113)),IF(AT113=EDATE('Adjustment Surface'!$C$6,DATEDIF('Adjustment Surface'!$C$6,MAX('Adjustment Surface'!$C$14:$F$14),"M")),MAX('Adjustment Surface'!$C$14:$F$14),EDATE('Adjustment Surface'!$C$6,DATEDIF('Adjustment Surface'!$C$6,MAX('Adjustment Surface'!$C$14:$F$14),"M")))))</f>
        <v/>
      </c>
      <c r="AV113" s="3" t="str">
        <f t="shared" si="8"/>
        <v/>
      </c>
      <c r="AW113" s="5" t="str">
        <f>IF(AS113="","",(AU113-'Rate &amp; Vol Update'!$C$2)/360)</f>
        <v/>
      </c>
      <c r="AX113" s="15" t="str">
        <f>IF(AS113="","",IF('Adjustment Surface'!$C$3='Data Validation'!$C$2,'Adjustment Surface'!$C$4,_xlfn.IFNA(IF(INDEX(Schedules!$E$3:$E$123,MATCH('Bachelier Model'!AT113,Schedules!$B$3:$B$123,0))="",AX112,INDEX(Schedules!$E$3:$E$123,MATCH('Bachelier Model'!AT113,Schedules!$B$3:$B$123,0))),AX112)))</f>
        <v/>
      </c>
      <c r="AY113" s="16" t="str">
        <f>IF(AS113="","",'Adjustment Surface'!B$16)</f>
        <v/>
      </c>
      <c r="AZ113" s="16" t="str" cm="1">
        <f t="array" ref="AZ113">IF(AS113="","",FORECAST(AT113,INDEX('Rate &amp; Vol Update'!$C$6:$C$127,MATCH(INDEX('Rate &amp; Vol Update'!$B$6:$B$127,MATCH(AT113,'Rate &amp; Vol Update'!$B$6:$B$127,1)),'Rate &amp; Vol Update'!$B$6:$B$127,0)+IF('Adjustment Surface'!$C$11='Data Validation'!$E$3,-1,0)):INDEX('Rate &amp; Vol Update'!$C$6:$C$127,MATCH(INDEX('Rate &amp; Vol Update'!$B$6:$B$127,MATCH(AT113,'Rate &amp; Vol Update'!$B$6:$B$127,1)+1),'Rate &amp; Vol Update'!$B$6:$B$127,0)+IF('Adjustment Surface'!$C$11='Data Validation'!$E$3,-1,0)),INDEX('Rate &amp; Vol Update'!$B$6:$B$127,MATCH(AT113,'Rate &amp; Vol Update'!$B$6:$B$127,1)):INDEX('Rate &amp; Vol Update'!$B$6:$B$127,MATCH(AT113,'Rate &amp; Vol Update'!$B$6:$B$127,1)+1))/100)</f>
        <v/>
      </c>
      <c r="BA113" s="16" t="str" cm="1">
        <f t="array" ref="BA113">IF(AS113="","",IF(AT113&lt;'Rate &amp; Vol Update'!$C$2,0.001%,(1/((INDEX('Rate &amp; Vol Update'!$E$6:$Z$6,1,MATCH(AY113,'Rate &amp; Vol Update'!$E$6:$Z$6,1)+1)-INDEX('Rate &amp; Vol Update'!$E$6:$Z$6,1,MATCH(AY113,'Rate &amp; Vol Update'!$E$6:$Z$6,1)))*(INDEX('Rate &amp; Vol Update'!$B$8:$B$127,MATCH(AT113,'Rate &amp; Vol Update'!$B$8:$B$127,1)+1)-INDEX('Rate &amp; Vol Update'!$B$8:$B$127,MATCH(AT113,'Rate &amp; Vol Update'!$B$8:$B$127,1))))*(INDEX('Rate &amp; Vol Update'!$E$8:$Z$127,MATCH(INDEX('Rate &amp; Vol Update'!$B$8:$B$127,MATCH(AT113,'Rate &amp; Vol Update'!$B$8:$B$127,1)),'Rate &amp; Vol Update'!$B$8:$B$127,0),MATCH(INDEX('Rate &amp; Vol Update'!$E$6:$Z$6,1,MATCH(AY113,'Rate &amp; Vol Update'!$E$6:$Z$6,1)),'Rate &amp; Vol Update'!$E$6:$Z$6,0))*(INDEX('Rate &amp; Vol Update'!$E$6:$Z$6,1,MATCH(AY113,'Rate &amp; Vol Update'!$E$6:$Z$6,1)+1)-AY113)*(INDEX('Rate &amp; Vol Update'!$B$8:$B$127,MATCH(AT113,'Rate &amp; Vol Update'!$B$8:$B$127,1)+1)-AT113)+INDEX('Rate &amp; Vol Update'!$E$8:$Z$127,MATCH(INDEX('Rate &amp; Vol Update'!$B$8:$B$127,MATCH(AT113,'Rate &amp; Vol Update'!$B$8:$B$127,1)),'Rate &amp; Vol Update'!$B$8:$B$127,0),MATCH(INDEX('Rate &amp; Vol Update'!$E$6:$Z$6,1,MATCH(AY113,'Rate &amp; Vol Update'!$E$6:$Z$6,1)+1),'Rate &amp; Vol Update'!$E$6:$Z$6,0))*(AY113-INDEX('Rate &amp; Vol Update'!$E$6:$Z$6,1,MATCH(AY113,'Rate &amp; Vol Update'!$E$6:$Z$6,1)))*(INDEX('Rate &amp; Vol Update'!$B$8:$B$127,MATCH(AT113,'Rate &amp; Vol Update'!$B$8:$B$127,1)+1)-AT113)+INDEX('Rate &amp; Vol Update'!$E$8:$Z$127,MATCH(INDEX('Rate &amp; Vol Update'!$B$8:$B$127,MATCH(AT113,'Rate &amp; Vol Update'!$B$8:$B$127,1)+1),'Rate &amp; Vol Update'!$B$8:$B$127,0),MATCH(INDEX('Rate &amp; Vol Update'!$E$6:$Z$6,1,MATCH(AY113,'Rate &amp; Vol Update'!$E$6:$Z$6,1)),'Rate &amp; Vol Update'!$E$6:$Z$6,0))*(INDEX('Rate &amp; Vol Update'!$E$6:$Z$6,1,MATCH(AY113,'Rate &amp; Vol Update'!$E$6:$Z$6,1)+1)-AY113)*(AT113-INDEX('Rate &amp; Vol Update'!$B$8:$B$127,MATCH(AT113,'Rate &amp; Vol Update'!$B$8:$B$127,1)))+INDEX('Rate &amp; Vol Update'!$E$8:$Z$127,MATCH(INDEX('Rate &amp; Vol Update'!$B$8:$B$127,MATCH(AT113,'Rate &amp; Vol Update'!$B$8:$B$127,1)+1),'Rate &amp; Vol Update'!$B$8:$B$127,0),MATCH(INDEX('Rate &amp; Vol Update'!$E$6:$Z$6,1,MATCH(AY113,'Rate &amp; Vol Update'!$E$6:$Z$6,1)+1),'Rate &amp; Vol Update'!$E$6:$Z$6,0))*(AY113-INDEX('Rate &amp; Vol Update'!$E$6:$Z$6,1,MATCH(AY113,'Rate &amp; Vol Update'!$E$6:$Z$6,1)))*(AT113-INDEX('Rate &amp; Vol Update'!$B$8:$B$127,MATCH(AT113,'Rate &amp; Vol Update'!$B$8:$B$127,1)))))*0.01%))</f>
        <v/>
      </c>
      <c r="BB113" s="5" t="str">
        <f>IF(AS113="","",1/((1+AZ113)^((AU113-'Rate &amp; Vol Update'!$C$2)/360)))</f>
        <v/>
      </c>
      <c r="BD113" s="15" t="str">
        <f>IF(AS113="","",IF(AT113&lt;'Rate &amp; Vol Update'!$C$2,MAX(0,AZ113-AY113)*(AV113/360)*AX113,(((IF('Adjustment Surface'!$C$2='Data Validation'!$A$2,AZ113,IF('Adjustment Surface'!$C$2='Data Validation'!$A$3,AY113,"Unknown Option Type"))-IF('Adjustment Surface'!$C$2='Data Validation'!$A$2,AY113,IF('Adjustment Surface'!$C$2='Data Validation'!$A$3,AZ113,"Unknown Option Type")))*(NORMDIST((IF('Adjustment Surface'!$C$2='Data Validation'!$A$2,AZ113,IF('Adjustment Surface'!$C$2='Data Validation'!$A$3,AY113,"Unknown Option Type"))-IF('Adjustment Surface'!$C$2='Data Validation'!$A$2,AY113,IF('Adjustment Surface'!$C$2='Data Validation'!$A$3,AZ113,"Unknown Option Type")))/(BA113*SQRT(AW113)),0,1,TRUE)))+((BA113*SQRT(AW113))*(NORMDIST((IF('Adjustment Surface'!$C$2='Data Validation'!$A$2,AZ113,IF('Adjustment Surface'!$C$2='Data Validation'!$A$3,AY113,"Unknown Option Type"))-IF('Adjustment Surface'!$C$2='Data Validation'!$A$2,AY113,IF('Adjustment Surface'!$C$2='Data Validation'!$A$3,AZ113,"Unknown Option Type")))/(BA113*SQRT(AW113)),0,1,FALSE))))*BB113*(AV113/360)*AX113))</f>
        <v/>
      </c>
      <c r="BE113" s="15" t="str">
        <f>IF(AS113="","",SUM(BD$4:BD113))</f>
        <v/>
      </c>
      <c r="BG113" s="15" t="str">
        <f>IF(AS113="","",IF(AT113&lt;'Rate &amp; Vol Update'!$C$2,0,((((((IF('Adjustment Surface'!$C$2='Data Validation'!$A$2,AZ113,IF('Adjustment Surface'!$C$2='Data Validation'!$A$3,AY113,"Unknown Option Type"))-IF('Adjustment Surface'!$C$2='Data Validation'!$A$2,AY113,IF('Adjustment Surface'!$C$2='Data Validation'!$A$3,AZ113,"Unknown Option Type")))*(NORMDIST((IF('Adjustment Surface'!$C$2='Data Validation'!$A$2,AZ113,IF('Adjustment Surface'!$C$2='Data Validation'!$A$3,AY113,"Unknown Option Type"))-IF('Adjustment Surface'!$C$2='Data Validation'!$A$2,AY113,IF('Adjustment Surface'!$C$2='Data Validation'!$A$3,AZ113,"Unknown Option Type")))/((BA113+0.01%)*SQRT(AW113)),0,1,TRUE)))+(((BA113+0.01%)*SQRT(AW113))*(NORMDIST((IF('Adjustment Surface'!$C$2='Data Validation'!$A$2,AZ113,IF('Adjustment Surface'!$C$2='Data Validation'!$A$3,AY113,"Unknown Option Type"))-IF('Adjustment Surface'!$C$2='Data Validation'!$A$2,AY113,IF('Adjustment Surface'!$C$2='Data Validation'!$A$3,AZ113,"Unknown Option Type")))/((BA113+0.01%)*SQRT(AW113)),0,1,FALSE))))*BB113*(AV113/360))-(BD113/AX113))*AX113)*BB113))</f>
        <v/>
      </c>
      <c r="BH113" s="15" t="str">
        <f>IF(AS113="","",SUM(BG$4:BG113))</f>
        <v/>
      </c>
      <c r="BI113" s="15"/>
      <c r="BJ113" s="20"/>
      <c r="BL113" s="4" t="str">
        <f>IF(BM112=MAX('Adjustment Surface'!$C$14:$F$14),"",BM112)</f>
        <v/>
      </c>
      <c r="BM113" s="4" t="str">
        <f>IF(BL113="","",IF(BL113&lt;EDATE('Adjustment Surface'!$C$6,DATEDIF('Adjustment Surface'!$C$6,MAX('Adjustment Surface'!$C$14:$F$14),"M")),EDATE(BL$5,COUNT(BL$5:BL113)),IF(BL113=EDATE('Adjustment Surface'!$C$6,DATEDIF('Adjustment Surface'!$C$6,MAX('Adjustment Surface'!$C$14:$F$14),"M")),MAX('Adjustment Surface'!$C$14:$F$14),EDATE('Adjustment Surface'!$C$6,DATEDIF('Adjustment Surface'!$C$6,MAX('Adjustment Surface'!$C$14:$F$14),"M")))))</f>
        <v/>
      </c>
      <c r="BN113" s="3" t="str">
        <f t="shared" si="9"/>
        <v/>
      </c>
      <c r="BO113" s="5" t="str">
        <f>IF(BK113="","",(BM113-'Rate &amp; Vol Update'!$C$2)/360)</f>
        <v/>
      </c>
      <c r="BP113" s="15" t="str">
        <f>IF(BK113="","",IF('Adjustment Surface'!$C$3='Data Validation'!$C$2,'Adjustment Surface'!$C$4,_xlfn.IFNA(IF(INDEX(Schedules!$E$3:$E$123,MATCH('Bachelier Model'!BL113,Schedules!$B$3:$B$123,0))="",BP112,INDEX(Schedules!$E$3:$E$123,MATCH('Bachelier Model'!BL113,Schedules!$B$3:$B$123,0))),BP112)))</f>
        <v/>
      </c>
      <c r="BQ113" s="16" t="str">
        <f>IF(BK113="","",'Adjustment Surface'!B$17)</f>
        <v/>
      </c>
      <c r="BR113" s="16" t="str" cm="1">
        <f t="array" ref="BR113">IF(BK113="","",FORECAST(BL113,INDEX('Rate &amp; Vol Update'!$C$6:$C$127,MATCH(INDEX('Rate &amp; Vol Update'!$B$6:$B$127,MATCH(BL113,'Rate &amp; Vol Update'!$B$6:$B$127,1)),'Rate &amp; Vol Update'!$B$6:$B$127,0)+IF('Adjustment Surface'!$C$11='Data Validation'!$E$3,-1,0)):INDEX('Rate &amp; Vol Update'!$C$6:$C$127,MATCH(INDEX('Rate &amp; Vol Update'!$B$6:$B$127,MATCH(BL113,'Rate &amp; Vol Update'!$B$6:$B$127,1)+1),'Rate &amp; Vol Update'!$B$6:$B$127,0)+IF('Adjustment Surface'!$C$11='Data Validation'!$E$3,-1,0)),INDEX('Rate &amp; Vol Update'!$B$6:$B$127,MATCH(BL113,'Rate &amp; Vol Update'!$B$6:$B$127,1)):INDEX('Rate &amp; Vol Update'!$B$6:$B$127,MATCH(BL113,'Rate &amp; Vol Update'!$B$6:$B$127,1)+1))/100)</f>
        <v/>
      </c>
      <c r="BS113" s="16" t="str" cm="1">
        <f t="array" ref="BS113">IF(BK113="","",IF(BL113&lt;'Rate &amp; Vol Update'!$C$2,0.001%,(1/((INDEX('Rate &amp; Vol Update'!$E$6:$Z$6,1,MATCH(BQ113,'Rate &amp; Vol Update'!$E$6:$Z$6,1)+1)-INDEX('Rate &amp; Vol Update'!$E$6:$Z$6,1,MATCH(BQ113,'Rate &amp; Vol Update'!$E$6:$Z$6,1)))*(INDEX('Rate &amp; Vol Update'!$B$8:$B$127,MATCH(BL113,'Rate &amp; Vol Update'!$B$8:$B$127,1)+1)-INDEX('Rate &amp; Vol Update'!$B$8:$B$127,MATCH(BL113,'Rate &amp; Vol Update'!$B$8:$B$127,1))))*(INDEX('Rate &amp; Vol Update'!$E$8:$Z$127,MATCH(INDEX('Rate &amp; Vol Update'!$B$8:$B$127,MATCH(BL113,'Rate &amp; Vol Update'!$B$8:$B$127,1)),'Rate &amp; Vol Update'!$B$8:$B$127,0),MATCH(INDEX('Rate &amp; Vol Update'!$E$6:$Z$6,1,MATCH(BQ113,'Rate &amp; Vol Update'!$E$6:$Z$6,1)),'Rate &amp; Vol Update'!$E$6:$Z$6,0))*(INDEX('Rate &amp; Vol Update'!$E$6:$Z$6,1,MATCH(BQ113,'Rate &amp; Vol Update'!$E$6:$Z$6,1)+1)-BQ113)*(INDEX('Rate &amp; Vol Update'!$B$8:$B$127,MATCH(BL113,'Rate &amp; Vol Update'!$B$8:$B$127,1)+1)-BL113)+INDEX('Rate &amp; Vol Update'!$E$8:$Z$127,MATCH(INDEX('Rate &amp; Vol Update'!$B$8:$B$127,MATCH(BL113,'Rate &amp; Vol Update'!$B$8:$B$127,1)),'Rate &amp; Vol Update'!$B$8:$B$127,0),MATCH(INDEX('Rate &amp; Vol Update'!$E$6:$Z$6,1,MATCH(BQ113,'Rate &amp; Vol Update'!$E$6:$Z$6,1)+1),'Rate &amp; Vol Update'!$E$6:$Z$6,0))*(BQ113-INDEX('Rate &amp; Vol Update'!$E$6:$Z$6,1,MATCH(BQ113,'Rate &amp; Vol Update'!$E$6:$Z$6,1)))*(INDEX('Rate &amp; Vol Update'!$B$8:$B$127,MATCH(BL113,'Rate &amp; Vol Update'!$B$8:$B$127,1)+1)-BL113)+INDEX('Rate &amp; Vol Update'!$E$8:$Z$127,MATCH(INDEX('Rate &amp; Vol Update'!$B$8:$B$127,MATCH(BL113,'Rate &amp; Vol Update'!$B$8:$B$127,1)+1),'Rate &amp; Vol Update'!$B$8:$B$127,0),MATCH(INDEX('Rate &amp; Vol Update'!$E$6:$Z$6,1,MATCH(BQ113,'Rate &amp; Vol Update'!$E$6:$Z$6,1)),'Rate &amp; Vol Update'!$E$6:$Z$6,0))*(INDEX('Rate &amp; Vol Update'!$E$6:$Z$6,1,MATCH(BQ113,'Rate &amp; Vol Update'!$E$6:$Z$6,1)+1)-BQ113)*(BL113-INDEX('Rate &amp; Vol Update'!$B$8:$B$127,MATCH(BL113,'Rate &amp; Vol Update'!$B$8:$B$127,1)))+INDEX('Rate &amp; Vol Update'!$E$8:$Z$127,MATCH(INDEX('Rate &amp; Vol Update'!$B$8:$B$127,MATCH(BL113,'Rate &amp; Vol Update'!$B$8:$B$127,1)+1),'Rate &amp; Vol Update'!$B$8:$B$127,0),MATCH(INDEX('Rate &amp; Vol Update'!$E$6:$Z$6,1,MATCH(BQ113,'Rate &amp; Vol Update'!$E$6:$Z$6,1)+1),'Rate &amp; Vol Update'!$E$6:$Z$6,0))*(BQ113-INDEX('Rate &amp; Vol Update'!$E$6:$Z$6,1,MATCH(BQ113,'Rate &amp; Vol Update'!$E$6:$Z$6,1)))*(BL113-INDEX('Rate &amp; Vol Update'!$B$8:$B$127,MATCH(BL113,'Rate &amp; Vol Update'!$B$8:$B$127,1)))))*0.01%))</f>
        <v/>
      </c>
      <c r="BT113" s="5" t="str">
        <f>IF(BK113="","",1/((1+BR113)^((BM113-'Rate &amp; Vol Update'!$C$2)/360)))</f>
        <v/>
      </c>
      <c r="BV113" s="15" t="str">
        <f>IF(BK113="","",IF(BL113&lt;'Rate &amp; Vol Update'!$C$2,MAX(0,BR113-BQ113)*(BN113/360)*BP113,(((IF('Adjustment Surface'!$C$2='Data Validation'!$A$2,BR113,IF('Adjustment Surface'!$C$2='Data Validation'!$A$3,BQ113,"Unknown Option Type"))-IF('Adjustment Surface'!$C$2='Data Validation'!$A$2,BQ113,IF('Adjustment Surface'!$C$2='Data Validation'!$A$3,BR113,"Unknown Option Type")))*(NORMDIST((IF('Adjustment Surface'!$C$2='Data Validation'!$A$2,BR113,IF('Adjustment Surface'!$C$2='Data Validation'!$A$3,BQ113,"Unknown Option Type"))-IF('Adjustment Surface'!$C$2='Data Validation'!$A$2,BQ113,IF('Adjustment Surface'!$C$2='Data Validation'!$A$3,BR113,"Unknown Option Type")))/(BS113*SQRT(BO113)),0,1,TRUE)))+((BS113*SQRT(BO113))*(NORMDIST((IF('Adjustment Surface'!$C$2='Data Validation'!$A$2,BR113,IF('Adjustment Surface'!$C$2='Data Validation'!$A$3,BQ113,"Unknown Option Type"))-IF('Adjustment Surface'!$C$2='Data Validation'!$A$2,BQ113,IF('Adjustment Surface'!$C$2='Data Validation'!$A$3,BR113,"Unknown Option Type")))/(BS113*SQRT(BO113)),0,1,FALSE))))*BT113*(BN113/360)*BP113))</f>
        <v/>
      </c>
      <c r="BW113" s="15" t="str">
        <f>IF(BK113="","",SUM(BV$4:BV113))</f>
        <v/>
      </c>
      <c r="BY113" s="15" t="str">
        <f>IF(BK113="","",IF(BL113&lt;'Rate &amp; Vol Update'!$C$2,0,((((((IF('Adjustment Surface'!$C$2='Data Validation'!$A$2,BR113,IF('Adjustment Surface'!$C$2='Data Validation'!$A$3,BQ113,"Unknown Option Type"))-IF('Adjustment Surface'!$C$2='Data Validation'!$A$2,BQ113,IF('Adjustment Surface'!$C$2='Data Validation'!$A$3,BR113,"Unknown Option Type")))*(NORMDIST((IF('Adjustment Surface'!$C$2='Data Validation'!$A$2,BR113,IF('Adjustment Surface'!$C$2='Data Validation'!$A$3,BQ113,"Unknown Option Type"))-IF('Adjustment Surface'!$C$2='Data Validation'!$A$2,BQ113,IF('Adjustment Surface'!$C$2='Data Validation'!$A$3,BR113,"Unknown Option Type")))/((BS113+0.01%)*SQRT(BO113)),0,1,TRUE)))+(((BS113+0.01%)*SQRT(BO113))*(NORMDIST((IF('Adjustment Surface'!$C$2='Data Validation'!$A$2,BR113,IF('Adjustment Surface'!$C$2='Data Validation'!$A$3,BQ113,"Unknown Option Type"))-IF('Adjustment Surface'!$C$2='Data Validation'!$A$2,BQ113,IF('Adjustment Surface'!$C$2='Data Validation'!$A$3,BR113,"Unknown Option Type")))/((BS113+0.01%)*SQRT(BO113)),0,1,FALSE))))*BT113*(BN113/360))-(BV113/BP113))*BP113)*BT113))</f>
        <v/>
      </c>
      <c r="BZ113" s="15" t="str">
        <f>IF(BK113="","",SUM(BY$4:BY113))</f>
        <v/>
      </c>
      <c r="CA113" s="15"/>
      <c r="CB113" s="20"/>
      <c r="CD113" s="4" t="str">
        <f>IF(CE112=MAX('Adjustment Surface'!$C$14:$F$14),"",CE112)</f>
        <v/>
      </c>
      <c r="CE113" s="4" t="str">
        <f>IF(CD113="","",IF(CD113&lt;EDATE('Adjustment Surface'!$C$6,DATEDIF('Adjustment Surface'!$C$6,MAX('Adjustment Surface'!$C$14:$F$14),"M")),EDATE(CD$5,COUNT(CD$5:CD113)),IF(CD113=EDATE('Adjustment Surface'!$C$6,DATEDIF('Adjustment Surface'!$C$6,MAX('Adjustment Surface'!$C$14:$F$14),"M")),MAX('Adjustment Surface'!$C$14:$F$14),EDATE('Adjustment Surface'!$C$6,DATEDIF('Adjustment Surface'!$C$6,MAX('Adjustment Surface'!$C$14:$F$14),"M")))))</f>
        <v/>
      </c>
      <c r="CF113" s="3" t="str">
        <f t="shared" si="10"/>
        <v/>
      </c>
      <c r="CG113" s="5" t="str">
        <f>IF(CC113="","",(CE113-'Rate &amp; Vol Update'!$C$2)/360)</f>
        <v/>
      </c>
      <c r="CH113" s="15" t="str">
        <f>IF(CC113="","",IF('Adjustment Surface'!$C$3='Data Validation'!$C$2,'Adjustment Surface'!$C$4,_xlfn.IFNA(IF(INDEX(Schedules!$E$3:$E$123,MATCH('Bachelier Model'!CD113,Schedules!$B$3:$B$123,0))="",CH112,INDEX(Schedules!$E$3:$E$123,MATCH('Bachelier Model'!CD113,Schedules!$B$3:$B$123,0))),CH112)))</f>
        <v/>
      </c>
      <c r="CI113" s="16" t="str">
        <f>IF(CC113="","",'Adjustment Surface'!B$18)</f>
        <v/>
      </c>
      <c r="CJ113" s="16" t="str" cm="1">
        <f t="array" ref="CJ113">IF(CC113="","",FORECAST(CD113,INDEX('Rate &amp; Vol Update'!$C$6:$C$127,MATCH(INDEX('Rate &amp; Vol Update'!$B$6:$B$127,MATCH(CD113,'Rate &amp; Vol Update'!$B$6:$B$127,1)),'Rate &amp; Vol Update'!$B$6:$B$127,0)+IF('Adjustment Surface'!$C$11='Data Validation'!$E$3,-1,0)):INDEX('Rate &amp; Vol Update'!$C$6:$C$127,MATCH(INDEX('Rate &amp; Vol Update'!$B$6:$B$127,MATCH(CD113,'Rate &amp; Vol Update'!$B$6:$B$127,1)+1),'Rate &amp; Vol Update'!$B$6:$B$127,0)+IF('Adjustment Surface'!$C$11='Data Validation'!$E$3,-1,0)),INDEX('Rate &amp; Vol Update'!$B$6:$B$127,MATCH(CD113,'Rate &amp; Vol Update'!$B$6:$B$127,1)):INDEX('Rate &amp; Vol Update'!$B$6:$B$127,MATCH(CD113,'Rate &amp; Vol Update'!$B$6:$B$127,1)+1))/100)</f>
        <v/>
      </c>
      <c r="CK113" s="16" t="str" cm="1">
        <f t="array" ref="CK113">IF(CC113="","",IF(CD113&lt;'Rate &amp; Vol Update'!$C$2,0.001%,(1/((INDEX('Rate &amp; Vol Update'!$E$6:$Z$6,1,MATCH(CI113,'Rate &amp; Vol Update'!$E$6:$Z$6,1)+1)-INDEX('Rate &amp; Vol Update'!$E$6:$Z$6,1,MATCH(CI113,'Rate &amp; Vol Update'!$E$6:$Z$6,1)))*(INDEX('Rate &amp; Vol Update'!$B$8:$B$127,MATCH(CD113,'Rate &amp; Vol Update'!$B$8:$B$127,1)+1)-INDEX('Rate &amp; Vol Update'!$B$8:$B$127,MATCH(CD113,'Rate &amp; Vol Update'!$B$8:$B$127,1))))*(INDEX('Rate &amp; Vol Update'!$E$8:$Z$127,MATCH(INDEX('Rate &amp; Vol Update'!$B$8:$B$127,MATCH(CD113,'Rate &amp; Vol Update'!$B$8:$B$127,1)),'Rate &amp; Vol Update'!$B$8:$B$127,0),MATCH(INDEX('Rate &amp; Vol Update'!$E$6:$Z$6,1,MATCH(CI113,'Rate &amp; Vol Update'!$E$6:$Z$6,1)),'Rate &amp; Vol Update'!$E$6:$Z$6,0))*(INDEX('Rate &amp; Vol Update'!$E$6:$Z$6,1,MATCH(CI113,'Rate &amp; Vol Update'!$E$6:$Z$6,1)+1)-CI113)*(INDEX('Rate &amp; Vol Update'!$B$8:$B$127,MATCH(CD113,'Rate &amp; Vol Update'!$B$8:$B$127,1)+1)-CD113)+INDEX('Rate &amp; Vol Update'!$E$8:$Z$127,MATCH(INDEX('Rate &amp; Vol Update'!$B$8:$B$127,MATCH(CD113,'Rate &amp; Vol Update'!$B$8:$B$127,1)),'Rate &amp; Vol Update'!$B$8:$B$127,0),MATCH(INDEX('Rate &amp; Vol Update'!$E$6:$Z$6,1,MATCH(CI113,'Rate &amp; Vol Update'!$E$6:$Z$6,1)+1),'Rate &amp; Vol Update'!$E$6:$Z$6,0))*(CI113-INDEX('Rate &amp; Vol Update'!$E$6:$Z$6,1,MATCH(CI113,'Rate &amp; Vol Update'!$E$6:$Z$6,1)))*(INDEX('Rate &amp; Vol Update'!$B$8:$B$127,MATCH(CD113,'Rate &amp; Vol Update'!$B$8:$B$127,1)+1)-CD113)+INDEX('Rate &amp; Vol Update'!$E$8:$Z$127,MATCH(INDEX('Rate &amp; Vol Update'!$B$8:$B$127,MATCH(CD113,'Rate &amp; Vol Update'!$B$8:$B$127,1)+1),'Rate &amp; Vol Update'!$B$8:$B$127,0),MATCH(INDEX('Rate &amp; Vol Update'!$E$6:$Z$6,1,MATCH(CI113,'Rate &amp; Vol Update'!$E$6:$Z$6,1)),'Rate &amp; Vol Update'!$E$6:$Z$6,0))*(INDEX('Rate &amp; Vol Update'!$E$6:$Z$6,1,MATCH(CI113,'Rate &amp; Vol Update'!$E$6:$Z$6,1)+1)-CI113)*(CD113-INDEX('Rate &amp; Vol Update'!$B$8:$B$127,MATCH(CD113,'Rate &amp; Vol Update'!$B$8:$B$127,1)))+INDEX('Rate &amp; Vol Update'!$E$8:$Z$127,MATCH(INDEX('Rate &amp; Vol Update'!$B$8:$B$127,MATCH(CD113,'Rate &amp; Vol Update'!$B$8:$B$127,1)+1),'Rate &amp; Vol Update'!$B$8:$B$127,0),MATCH(INDEX('Rate &amp; Vol Update'!$E$6:$Z$6,1,MATCH(CI113,'Rate &amp; Vol Update'!$E$6:$Z$6,1)+1),'Rate &amp; Vol Update'!$E$6:$Z$6,0))*(CI113-INDEX('Rate &amp; Vol Update'!$E$6:$Z$6,1,MATCH(CI113,'Rate &amp; Vol Update'!$E$6:$Z$6,1)))*(CD113-INDEX('Rate &amp; Vol Update'!$B$8:$B$127,MATCH(CD113,'Rate &amp; Vol Update'!$B$8:$B$127,1)))))*0.01%))</f>
        <v/>
      </c>
      <c r="CL113" s="5" t="str">
        <f>IF(CC113="","",1/((1+CJ113)^((CE113-'Rate &amp; Vol Update'!$C$2)/360)))</f>
        <v/>
      </c>
      <c r="CN113" s="15" t="str">
        <f>IF(CC113="","",IF(CD113&lt;'Rate &amp; Vol Update'!$C$2,MAX(0,CJ113-CI113)*(CF113/360)*CH113,(((IF('Adjustment Surface'!$C$2='Data Validation'!$A$2,CJ113,IF('Adjustment Surface'!$C$2='Data Validation'!$A$3,CI113,"Unknown Option Type"))-IF('Adjustment Surface'!$C$2='Data Validation'!$A$2,CI113,IF('Adjustment Surface'!$C$2='Data Validation'!$A$3,CJ113,"Unknown Option Type")))*(NORMDIST((IF('Adjustment Surface'!$C$2='Data Validation'!$A$2,CJ113,IF('Adjustment Surface'!$C$2='Data Validation'!$A$3,CI113,"Unknown Option Type"))-IF('Adjustment Surface'!$C$2='Data Validation'!$A$2,CI113,IF('Adjustment Surface'!$C$2='Data Validation'!$A$3,CJ113,"Unknown Option Type")))/(CK113*SQRT(CG113)),0,1,TRUE)))+((CK113*SQRT(CG113))*(NORMDIST((IF('Adjustment Surface'!$C$2='Data Validation'!$A$2,CJ113,IF('Adjustment Surface'!$C$2='Data Validation'!$A$3,CI113,"Unknown Option Type"))-IF('Adjustment Surface'!$C$2='Data Validation'!$A$2,CI113,IF('Adjustment Surface'!$C$2='Data Validation'!$A$3,CJ113,"Unknown Option Type")))/(CK113*SQRT(CG113)),0,1,FALSE))))*CL113*(CF113/360)*CH113))</f>
        <v/>
      </c>
      <c r="CO113" s="15" t="str">
        <f>IF(CC113="","",SUM(CN$4:CN113))</f>
        <v/>
      </c>
      <c r="CQ113" s="15" t="str">
        <f>IF(CC113="","",IF(CD113&lt;'Rate &amp; Vol Update'!$C$2,0,((((((IF('Adjustment Surface'!$C$2='Data Validation'!$A$2,CJ113,IF('Adjustment Surface'!$C$2='Data Validation'!$A$3,CI113,"Unknown Option Type"))-IF('Adjustment Surface'!$C$2='Data Validation'!$A$2,CI113,IF('Adjustment Surface'!$C$2='Data Validation'!$A$3,CJ113,"Unknown Option Type")))*(NORMDIST((IF('Adjustment Surface'!$C$2='Data Validation'!$A$2,CJ113,IF('Adjustment Surface'!$C$2='Data Validation'!$A$3,CI113,"Unknown Option Type"))-IF('Adjustment Surface'!$C$2='Data Validation'!$A$2,CI113,IF('Adjustment Surface'!$C$2='Data Validation'!$A$3,CJ113,"Unknown Option Type")))/((CK113+0.01%)*SQRT(CG113)),0,1,TRUE)))+(((CK113+0.01%)*SQRT(CG113))*(NORMDIST((IF('Adjustment Surface'!$C$2='Data Validation'!$A$2,CJ113,IF('Adjustment Surface'!$C$2='Data Validation'!$A$3,CI113,"Unknown Option Type"))-IF('Adjustment Surface'!$C$2='Data Validation'!$A$2,CI113,IF('Adjustment Surface'!$C$2='Data Validation'!$A$3,CJ113,"Unknown Option Type")))/((CK113+0.01%)*SQRT(CG113)),0,1,FALSE))))*CL113*(CF113/360))-(CN113/CH113))*CH113)*CL113))</f>
        <v/>
      </c>
      <c r="CR113" s="15" t="str">
        <f>IF(CC113="","",SUM(CQ$4:CQ113))</f>
        <v/>
      </c>
    </row>
    <row r="114" spans="7:96" x14ac:dyDescent="0.25">
      <c r="G114" s="28"/>
      <c r="J114" s="4" t="str">
        <f>IF(K113='Adjustment Surface'!C$8,"",K113)</f>
        <v/>
      </c>
      <c r="K114" s="4" t="str">
        <f>IF(J114="","",IF(J114&lt;'Adjustment Surface'!C$7,EDATE(J$5,COUNT(J$5:J114)),IF(J114='Adjustment Surface'!C$7,'Adjustment Surface'!C$8,'Adjustment Surface'!C$7)))</f>
        <v/>
      </c>
      <c r="L114" s="3" t="str">
        <f t="shared" si="6"/>
        <v/>
      </c>
      <c r="M114" s="5" t="str">
        <f>IF(I114="","",(K114-'Rate &amp; Vol Update'!$C$2)/360)</f>
        <v/>
      </c>
      <c r="N114" s="15" t="str">
        <f>IF(I114="","",IF('Adjustment Surface'!C$3='Data Validation'!$C$2,'Adjustment Surface'!C$4,IF(INDEX(Schedules!$E$3:$E$123,MATCH('Bachelier Model'!J114,Schedules!$B$3:$B$123,0))="",N113,INDEX(Schedules!$E$3:$E$123,MATCH('Bachelier Model'!J114,Schedules!$B$3:$B$123,0)))))</f>
        <v/>
      </c>
      <c r="O114" s="16" t="str">
        <f>IF(I114="","",IF('Adjustment Surface'!C$9='Data Validation'!$D$2,'Adjustment Surface'!C$10,IF(INDEX(Schedules!$H$3:$H$123,MATCH('Bachelier Model'!J114,Schedules!$B$3:$B$123,0))="",O113,INDEX(Schedules!$H$3:$H$123,MATCH('Bachelier Model'!J114,Schedules!$B$3:$B$123,0)))))</f>
        <v/>
      </c>
      <c r="P114" s="16" t="str" cm="1">
        <f t="array" ref="P114">IF(I114="","",FORECAST(J114,INDEX('Rate &amp; Vol Update'!$C$6:$C$127,MATCH(INDEX('Rate &amp; Vol Update'!$B$6:$B$127,MATCH(J114,'Rate &amp; Vol Update'!$B$6:$B$127,1)),'Rate &amp; Vol Update'!$B$6:$B$127,0)+IF('Adjustment Surface'!C$11='Data Validation'!$E$3,-1,0)):INDEX('Rate &amp; Vol Update'!$C$6:$C$127,MATCH(INDEX('Rate &amp; Vol Update'!$B$6:$B$127,MATCH(J114,'Rate &amp; Vol Update'!$B$6:$B$127,1)+1),'Rate &amp; Vol Update'!$B$6:$B$127,0)+IF('Adjustment Surface'!C$11='Data Validation'!$E$3,-1,0)),INDEX('Rate &amp; Vol Update'!$B$6:$B$127,MATCH(J114,'Rate &amp; Vol Update'!$B$6:$B$127,1)):INDEX('Rate &amp; Vol Update'!$B$6:$B$127,MATCH(J114,'Rate &amp; Vol Update'!$B$6:$B$127,1)+1))/100)</f>
        <v/>
      </c>
      <c r="Q114" s="16" t="str" cm="1">
        <f t="array" ref="Q114">IF(I114="","",IF(J114&lt;'Rate &amp; Vol Update'!$C$2,0.001%,(1/((INDEX('Rate &amp; Vol Update'!$E$6:$Z$6,1,MATCH(O114,'Rate &amp; Vol Update'!$E$6:$Z$6,1)+1)-INDEX('Rate &amp; Vol Update'!$E$6:$Z$6,1,MATCH(O114,'Rate &amp; Vol Update'!$E$6:$Z$6,1)))*(INDEX('Rate &amp; Vol Update'!$B$8:$B$127,MATCH(J114,'Rate &amp; Vol Update'!$B$8:$B$127,1)+1)-INDEX('Rate &amp; Vol Update'!$B$8:$B$127,MATCH(J114,'Rate &amp; Vol Update'!$B$8:$B$127,1))))*(INDEX('Rate &amp; Vol Update'!$E$8:$Z$127,MATCH(INDEX('Rate &amp; Vol Update'!$B$8:$B$127,MATCH(J114,'Rate &amp; Vol Update'!$B$8:$B$127,1)),'Rate &amp; Vol Update'!$B$8:$B$127,0),MATCH(INDEX('Rate &amp; Vol Update'!$E$6:$Z$6,1,MATCH(O114,'Rate &amp; Vol Update'!$E$6:$Z$6,1)),'Rate &amp; Vol Update'!$E$6:$Z$6,0))*(INDEX('Rate &amp; Vol Update'!$E$6:$Z$6,1,MATCH(O114,'Rate &amp; Vol Update'!$E$6:$Z$6,1)+1)-O114)*(INDEX('Rate &amp; Vol Update'!$B$8:$B$127,MATCH(J114,'Rate &amp; Vol Update'!$B$8:$B$127,1)+1)-J114)+INDEX('Rate &amp; Vol Update'!$E$8:$Z$127,MATCH(INDEX('Rate &amp; Vol Update'!$B$8:$B$127,MATCH(J114,'Rate &amp; Vol Update'!$B$8:$B$127,1)),'Rate &amp; Vol Update'!$B$8:$B$127,0),MATCH(INDEX('Rate &amp; Vol Update'!$E$6:$Z$6,1,MATCH(O114,'Rate &amp; Vol Update'!$E$6:$Z$6,1)+1),'Rate &amp; Vol Update'!$E$6:$Z$6,0))*(O114-INDEX('Rate &amp; Vol Update'!$E$6:$Z$6,1,MATCH(O114,'Rate &amp; Vol Update'!$E$6:$Z$6,1)))*(INDEX('Rate &amp; Vol Update'!$B$8:$B$127,MATCH(J114,'Rate &amp; Vol Update'!$B$8:$B$127,1)+1)-J114)+INDEX('Rate &amp; Vol Update'!$E$8:$Z$127,MATCH(INDEX('Rate &amp; Vol Update'!$B$8:$B$127,MATCH(J114,'Rate &amp; Vol Update'!$B$8:$B$127,1)+1),'Rate &amp; Vol Update'!$B$8:$B$127,0),MATCH(INDEX('Rate &amp; Vol Update'!$E$6:$Z$6,1,MATCH(O114,'Rate &amp; Vol Update'!$E$6:$Z$6,1)),'Rate &amp; Vol Update'!$E$6:$Z$6,0))*(INDEX('Rate &amp; Vol Update'!$E$6:$Z$6,1,MATCH(O114,'Rate &amp; Vol Update'!$E$6:$Z$6,1)+1)-O114)*(J114-INDEX('Rate &amp; Vol Update'!$B$8:$B$127,MATCH(J114,'Rate &amp; Vol Update'!$B$8:$B$127,1)))+INDEX('Rate &amp; Vol Update'!$E$8:$Z$127,MATCH(INDEX('Rate &amp; Vol Update'!$B$8:$B$127,MATCH(J114,'Rate &amp; Vol Update'!$B$8:$B$127,1)+1),'Rate &amp; Vol Update'!$B$8:$B$127,0),MATCH(INDEX('Rate &amp; Vol Update'!$E$6:$Z$6,1,MATCH(O114,'Rate &amp; Vol Update'!$E$6:$Z$6,1)+1),'Rate &amp; Vol Update'!$E$6:$Z$6,0))*(O114-INDEX('Rate &amp; Vol Update'!$E$6:$Z$6,1,MATCH(O114,'Rate &amp; Vol Update'!$E$6:$Z$6,1)))*(J114-INDEX('Rate &amp; Vol Update'!$B$8:$B$127,MATCH(J114,'Rate &amp; Vol Update'!$B$8:$B$127,1)))))*0.01%))</f>
        <v/>
      </c>
      <c r="R114" s="5" t="str">
        <f>IF(I114="","",1/((1+P114)^((K114-'Rate &amp; Vol Update'!$C$2)/360)))</f>
        <v/>
      </c>
      <c r="T114" s="15" t="str">
        <f>IF(I114="","",IF(J114&lt;'Rate &amp; Vol Update'!$C$2,MAX(0,P114-O114)*(L114/360)*N114,(((IF('Adjustment Surface'!C$2='Data Validation'!$A$2,P114,IF('Adjustment Surface'!C$2='Data Validation'!$A$3,O114,"Unknown Option Type"))-IF('Adjustment Surface'!C$2='Data Validation'!$A$2,O114,IF('Adjustment Surface'!C$2='Data Validation'!$A$3,P114,"Unknown Option Type")))*(NORMDIST((IF('Adjustment Surface'!C$2='Data Validation'!$A$2,P114,IF('Adjustment Surface'!C$2='Data Validation'!$A$3,O114,"Unknown Option Type"))-IF('Adjustment Surface'!C$2='Data Validation'!$A$2,O114,IF('Adjustment Surface'!C$2='Data Validation'!$A$3,P114,"Unknown Option Type")))/(Q114*SQRT(M114)),0,1,TRUE)))+((Q114*SQRT(M114))*(NORMDIST((IF('Adjustment Surface'!C$2='Data Validation'!$A$2,P114,IF('Adjustment Surface'!C$2='Data Validation'!$A$3,O114,"Unknown Option Type"))-IF('Adjustment Surface'!C$2='Data Validation'!$A$2,O114,IF('Adjustment Surface'!C$2='Data Validation'!$A$3,P114,"Unknown Option Type")))/(Q114*SQRT(M114)),0,1,FALSE))))*R114*(L114/360)*N114))</f>
        <v/>
      </c>
      <c r="U114" s="15" t="str">
        <f>IF(I114="","",SUM(T$4:T114))</f>
        <v/>
      </c>
      <c r="W114" s="15" t="str">
        <f>IF(I114="","",IF(J114&lt;'Rate &amp; Vol Update'!$C$2,0,((((((IF('Adjustment Surface'!C$2='Data Validation'!$A$2,P114,IF('Adjustment Surface'!C$2='Data Validation'!$A$3,O114,"Unknown Option Type"))-IF('Adjustment Surface'!C$2='Data Validation'!$A$2,O114,IF('Adjustment Surface'!C$2='Data Validation'!$A$3,P114,"Unknown Option Type")))*(NORMDIST((IF('Adjustment Surface'!C$2='Data Validation'!$A$2,P114,IF('Adjustment Surface'!C$2='Data Validation'!$A$3,O114,"Unknown Option Type"))-IF('Adjustment Surface'!C$2='Data Validation'!$A$2,O114,IF('Adjustment Surface'!C$2='Data Validation'!$A$3,P114,"Unknown Option Type")))/((Q114+0.01%)*SQRT(M114)),0,1,TRUE)))+(((Q114+0.01%)*SQRT(M114))*(NORMDIST((IF('Adjustment Surface'!C$2='Data Validation'!$A$2,P114,IF('Adjustment Surface'!C$2='Data Validation'!$A$3,O114,"Unknown Option Type"))-IF('Adjustment Surface'!C$2='Data Validation'!$A$2,O114,IF('Adjustment Surface'!C$2='Data Validation'!$A$3,P114,"Unknown Option Type")))/((Q114+0.01%)*SQRT(M114)),0,1,FALSE))))*R114*(L114/360))-(T114/N114))*N114)*R114))</f>
        <v/>
      </c>
      <c r="X114" s="15" t="str">
        <f>IF(I114="","",SUM(W$4:W114))</f>
        <v/>
      </c>
      <c r="Y114" s="15"/>
      <c r="Z114" s="20"/>
      <c r="AB114" s="4" t="str">
        <f>IF(AC113=MAX('Adjustment Surface'!$C$14:$F$14),"",AC113)</f>
        <v/>
      </c>
      <c r="AC114" s="4" t="str">
        <f>IF(AB114="","",IF(AB114&lt;EDATE('Adjustment Surface'!$C$6,DATEDIF('Adjustment Surface'!$C$6,MAX('Adjustment Surface'!$C$14:$F$14),"M")),EDATE(AB$5,COUNT(AB$5:AB114)),IF(AB114=EDATE('Adjustment Surface'!$C$6,DATEDIF('Adjustment Surface'!$C$6,MAX('Adjustment Surface'!$C$14:$F$14),"M")),MAX('Adjustment Surface'!$C$14:$F$14),EDATE('Adjustment Surface'!$C$6,DATEDIF('Adjustment Surface'!$C$6,MAX('Adjustment Surface'!$C$14:$F$14),"M")))))</f>
        <v/>
      </c>
      <c r="AD114" s="3" t="str">
        <f t="shared" si="7"/>
        <v/>
      </c>
      <c r="AE114" s="5" t="str">
        <f>IF(AA114="","",(AC114-'Rate &amp; Vol Update'!$C$2)/360)</f>
        <v/>
      </c>
      <c r="AF114" s="15" t="str">
        <f>IF(AA114="","",IF('Adjustment Surface'!$C$3='Data Validation'!$C$2,'Adjustment Surface'!$C$4,_xlfn.IFNA(IF(INDEX(Schedules!$E$3:$E$123,MATCH('Bachelier Model'!AB114,Schedules!$B$3:$B$123,0))="",AF113,INDEX(Schedules!$E$3:$E$123,MATCH('Bachelier Model'!AB114,Schedules!$B$3:$B$123,0))),AF113)))</f>
        <v/>
      </c>
      <c r="AG114" s="16" t="str">
        <f>IF(AA114="","",'Adjustment Surface'!B$15)</f>
        <v/>
      </c>
      <c r="AH114" s="16" t="str" cm="1">
        <f t="array" ref="AH114">IF(AA114="","",FORECAST(AB114,INDEX('Rate &amp; Vol Update'!$C$6:$C$127,MATCH(INDEX('Rate &amp; Vol Update'!$B$6:$B$127,MATCH(AB114,'Rate &amp; Vol Update'!$B$6:$B$127,1)),'Rate &amp; Vol Update'!$B$6:$B$127,0)+IF('Adjustment Surface'!$C$11='Data Validation'!$E$3,-1,0)):INDEX('Rate &amp; Vol Update'!$C$6:$C$127,MATCH(INDEX('Rate &amp; Vol Update'!$B$6:$B$127,MATCH(AB114,'Rate &amp; Vol Update'!$B$6:$B$127,1)+1),'Rate &amp; Vol Update'!$B$6:$B$127,0)+IF('Adjustment Surface'!$C$11='Data Validation'!$E$3,-1,0)),INDEX('Rate &amp; Vol Update'!$B$6:$B$127,MATCH(AB114,'Rate &amp; Vol Update'!$B$6:$B$127,1)):INDEX('Rate &amp; Vol Update'!$B$6:$B$127,MATCH(AB114,'Rate &amp; Vol Update'!$B$6:$B$127,1)+1))/100)</f>
        <v/>
      </c>
      <c r="AI114" s="16" t="str" cm="1">
        <f t="array" ref="AI114">IF(AA114="","",IF(AB114&lt;'Rate &amp; Vol Update'!$C$2,0.001%,(1/((INDEX('Rate &amp; Vol Update'!$E$6:$Z$6,1,MATCH(AG114,'Rate &amp; Vol Update'!$E$6:$Z$6,1)+1)-INDEX('Rate &amp; Vol Update'!$E$6:$Z$6,1,MATCH(AG114,'Rate &amp; Vol Update'!$E$6:$Z$6,1)))*(INDEX('Rate &amp; Vol Update'!$B$8:$B$127,MATCH(AB114,'Rate &amp; Vol Update'!$B$8:$B$127,1)+1)-INDEX('Rate &amp; Vol Update'!$B$8:$B$127,MATCH(AB114,'Rate &amp; Vol Update'!$B$8:$B$127,1))))*(INDEX('Rate &amp; Vol Update'!$E$8:$Z$127,MATCH(INDEX('Rate &amp; Vol Update'!$B$8:$B$127,MATCH(AB114,'Rate &amp; Vol Update'!$B$8:$B$127,1)),'Rate &amp; Vol Update'!$B$8:$B$127,0),MATCH(INDEX('Rate &amp; Vol Update'!$E$6:$Z$6,1,MATCH(AG114,'Rate &amp; Vol Update'!$E$6:$Z$6,1)),'Rate &amp; Vol Update'!$E$6:$Z$6,0))*(INDEX('Rate &amp; Vol Update'!$E$6:$Z$6,1,MATCH(AG114,'Rate &amp; Vol Update'!$E$6:$Z$6,1)+1)-AG114)*(INDEX('Rate &amp; Vol Update'!$B$8:$B$127,MATCH(AB114,'Rate &amp; Vol Update'!$B$8:$B$127,1)+1)-AB114)+INDEX('Rate &amp; Vol Update'!$E$8:$Z$127,MATCH(INDEX('Rate &amp; Vol Update'!$B$8:$B$127,MATCH(AB114,'Rate &amp; Vol Update'!$B$8:$B$127,1)),'Rate &amp; Vol Update'!$B$8:$B$127,0),MATCH(INDEX('Rate &amp; Vol Update'!$E$6:$Z$6,1,MATCH(AG114,'Rate &amp; Vol Update'!$E$6:$Z$6,1)+1),'Rate &amp; Vol Update'!$E$6:$Z$6,0))*(AG114-INDEX('Rate &amp; Vol Update'!$E$6:$Z$6,1,MATCH(AG114,'Rate &amp; Vol Update'!$E$6:$Z$6,1)))*(INDEX('Rate &amp; Vol Update'!$B$8:$B$127,MATCH(AB114,'Rate &amp; Vol Update'!$B$8:$B$127,1)+1)-AB114)+INDEX('Rate &amp; Vol Update'!$E$8:$Z$127,MATCH(INDEX('Rate &amp; Vol Update'!$B$8:$B$127,MATCH(AB114,'Rate &amp; Vol Update'!$B$8:$B$127,1)+1),'Rate &amp; Vol Update'!$B$8:$B$127,0),MATCH(INDEX('Rate &amp; Vol Update'!$E$6:$Z$6,1,MATCH(AG114,'Rate &amp; Vol Update'!$E$6:$Z$6,1)),'Rate &amp; Vol Update'!$E$6:$Z$6,0))*(INDEX('Rate &amp; Vol Update'!$E$6:$Z$6,1,MATCH(AG114,'Rate &amp; Vol Update'!$E$6:$Z$6,1)+1)-AG114)*(AB114-INDEX('Rate &amp; Vol Update'!$B$8:$B$127,MATCH(AB114,'Rate &amp; Vol Update'!$B$8:$B$127,1)))+INDEX('Rate &amp; Vol Update'!$E$8:$Z$127,MATCH(INDEX('Rate &amp; Vol Update'!$B$8:$B$127,MATCH(AB114,'Rate &amp; Vol Update'!$B$8:$B$127,1)+1),'Rate &amp; Vol Update'!$B$8:$B$127,0),MATCH(INDEX('Rate &amp; Vol Update'!$E$6:$Z$6,1,MATCH(AG114,'Rate &amp; Vol Update'!$E$6:$Z$6,1)+1),'Rate &amp; Vol Update'!$E$6:$Z$6,0))*(AG114-INDEX('Rate &amp; Vol Update'!$E$6:$Z$6,1,MATCH(AG114,'Rate &amp; Vol Update'!$E$6:$Z$6,1)))*(AB114-INDEX('Rate &amp; Vol Update'!$B$8:$B$127,MATCH(AB114,'Rate &amp; Vol Update'!$B$8:$B$127,1)))))*0.01%))</f>
        <v/>
      </c>
      <c r="AJ114" s="5" t="str">
        <f>IF(AA114="","",1/((1+AH114)^((AC114-'Rate &amp; Vol Update'!$C$2)/360)))</f>
        <v/>
      </c>
      <c r="AL114" s="15" t="str">
        <f>IF(AA114="","",IF(AB114&lt;'Rate &amp; Vol Update'!$C$2,MAX(0,AH114-AG114)*(AD114/360)*AF114,(((IF('Adjustment Surface'!$C$2='Data Validation'!$A$2,AH114,IF('Adjustment Surface'!$C$2='Data Validation'!$A$3,AG114,"Unknown Option Type"))-IF('Adjustment Surface'!$C$2='Data Validation'!$A$2,AG114,IF('Adjustment Surface'!$C$2='Data Validation'!$A$3,AH114,"Unknown Option Type")))*(NORMDIST((IF('Adjustment Surface'!$C$2='Data Validation'!$A$2,AH114,IF('Adjustment Surface'!$C$2='Data Validation'!$A$3,AG114,"Unknown Option Type"))-IF('Adjustment Surface'!$C$2='Data Validation'!$A$2,AG114,IF('Adjustment Surface'!$C$2='Data Validation'!$A$3,AH114,"Unknown Option Type")))/(AI114*SQRT(AE114)),0,1,TRUE)))+((AI114*SQRT(AE114))*(NORMDIST((IF('Adjustment Surface'!$C$2='Data Validation'!$A$2,AH114,IF('Adjustment Surface'!$C$2='Data Validation'!$A$3,AG114,"Unknown Option Type"))-IF('Adjustment Surface'!$C$2='Data Validation'!$A$2,AG114,IF('Adjustment Surface'!$C$2='Data Validation'!$A$3,AH114,"Unknown Option Type")))/(AI114*SQRT(AE114)),0,1,FALSE))))*AJ114*(AD114/360)*AF114))</f>
        <v/>
      </c>
      <c r="AM114" s="15" t="str">
        <f>IF(AA114="","",SUM(AL$4:AL114))</f>
        <v/>
      </c>
      <c r="AO114" s="15" t="str">
        <f>IF(AA114="","",IF(AB114&lt;'Rate &amp; Vol Update'!$C$2,0,((((((IF('Adjustment Surface'!$C$2='Data Validation'!$A$2,AH114,IF('Adjustment Surface'!$C$2='Data Validation'!$A$3,AG114,"Unknown Option Type"))-IF('Adjustment Surface'!$C$2='Data Validation'!$A$2,AG114,IF('Adjustment Surface'!$C$2='Data Validation'!$A$3,AH114,"Unknown Option Type")))*(NORMDIST((IF('Adjustment Surface'!$C$2='Data Validation'!$A$2,AH114,IF('Adjustment Surface'!$C$2='Data Validation'!$A$3,AG114,"Unknown Option Type"))-IF('Adjustment Surface'!$C$2='Data Validation'!$A$2,AG114,IF('Adjustment Surface'!$C$2='Data Validation'!$A$3,AH114,"Unknown Option Type")))/((AI114+0.01%)*SQRT(AE114)),0,1,TRUE)))+(((AI114+0.01%)*SQRT(AE114))*(NORMDIST((IF('Adjustment Surface'!$C$2='Data Validation'!$A$2,AH114,IF('Adjustment Surface'!$C$2='Data Validation'!$A$3,AG114,"Unknown Option Type"))-IF('Adjustment Surface'!$C$2='Data Validation'!$A$2,AG114,IF('Adjustment Surface'!$C$2='Data Validation'!$A$3,AH114,"Unknown Option Type")))/((AI114+0.01%)*SQRT(AE114)),0,1,FALSE))))*AJ114*(AD114/360))-(AL114/AF114))*AF114)*AJ114))</f>
        <v/>
      </c>
      <c r="AP114" s="15" t="str">
        <f>IF(AA114="","",SUM(AO$4:AO114))</f>
        <v/>
      </c>
      <c r="AQ114" s="15"/>
      <c r="AR114" s="20"/>
      <c r="AT114" s="4" t="str">
        <f>IF(AU113=MAX('Adjustment Surface'!$C$14:$F$14),"",AU113)</f>
        <v/>
      </c>
      <c r="AU114" s="4" t="str">
        <f>IF(AT114="","",IF(AT114&lt;EDATE('Adjustment Surface'!$C$6,DATEDIF('Adjustment Surface'!$C$6,MAX('Adjustment Surface'!$C$14:$F$14),"M")),EDATE(AT$5,COUNT(AT$5:AT114)),IF(AT114=EDATE('Adjustment Surface'!$C$6,DATEDIF('Adjustment Surface'!$C$6,MAX('Adjustment Surface'!$C$14:$F$14),"M")),MAX('Adjustment Surface'!$C$14:$F$14),EDATE('Adjustment Surface'!$C$6,DATEDIF('Adjustment Surface'!$C$6,MAX('Adjustment Surface'!$C$14:$F$14),"M")))))</f>
        <v/>
      </c>
      <c r="AV114" s="3" t="str">
        <f t="shared" si="8"/>
        <v/>
      </c>
      <c r="AW114" s="5" t="str">
        <f>IF(AS114="","",(AU114-'Rate &amp; Vol Update'!$C$2)/360)</f>
        <v/>
      </c>
      <c r="AX114" s="15" t="str">
        <f>IF(AS114="","",IF('Adjustment Surface'!$C$3='Data Validation'!$C$2,'Adjustment Surface'!$C$4,_xlfn.IFNA(IF(INDEX(Schedules!$E$3:$E$123,MATCH('Bachelier Model'!AT114,Schedules!$B$3:$B$123,0))="",AX113,INDEX(Schedules!$E$3:$E$123,MATCH('Bachelier Model'!AT114,Schedules!$B$3:$B$123,0))),AX113)))</f>
        <v/>
      </c>
      <c r="AY114" s="16" t="str">
        <f>IF(AS114="","",'Adjustment Surface'!B$16)</f>
        <v/>
      </c>
      <c r="AZ114" s="16" t="str" cm="1">
        <f t="array" ref="AZ114">IF(AS114="","",FORECAST(AT114,INDEX('Rate &amp; Vol Update'!$C$6:$C$127,MATCH(INDEX('Rate &amp; Vol Update'!$B$6:$B$127,MATCH(AT114,'Rate &amp; Vol Update'!$B$6:$B$127,1)),'Rate &amp; Vol Update'!$B$6:$B$127,0)+IF('Adjustment Surface'!$C$11='Data Validation'!$E$3,-1,0)):INDEX('Rate &amp; Vol Update'!$C$6:$C$127,MATCH(INDEX('Rate &amp; Vol Update'!$B$6:$B$127,MATCH(AT114,'Rate &amp; Vol Update'!$B$6:$B$127,1)+1),'Rate &amp; Vol Update'!$B$6:$B$127,0)+IF('Adjustment Surface'!$C$11='Data Validation'!$E$3,-1,0)),INDEX('Rate &amp; Vol Update'!$B$6:$B$127,MATCH(AT114,'Rate &amp; Vol Update'!$B$6:$B$127,1)):INDEX('Rate &amp; Vol Update'!$B$6:$B$127,MATCH(AT114,'Rate &amp; Vol Update'!$B$6:$B$127,1)+1))/100)</f>
        <v/>
      </c>
      <c r="BA114" s="16" t="str" cm="1">
        <f t="array" ref="BA114">IF(AS114="","",IF(AT114&lt;'Rate &amp; Vol Update'!$C$2,0.001%,(1/((INDEX('Rate &amp; Vol Update'!$E$6:$Z$6,1,MATCH(AY114,'Rate &amp; Vol Update'!$E$6:$Z$6,1)+1)-INDEX('Rate &amp; Vol Update'!$E$6:$Z$6,1,MATCH(AY114,'Rate &amp; Vol Update'!$E$6:$Z$6,1)))*(INDEX('Rate &amp; Vol Update'!$B$8:$B$127,MATCH(AT114,'Rate &amp; Vol Update'!$B$8:$B$127,1)+1)-INDEX('Rate &amp; Vol Update'!$B$8:$B$127,MATCH(AT114,'Rate &amp; Vol Update'!$B$8:$B$127,1))))*(INDEX('Rate &amp; Vol Update'!$E$8:$Z$127,MATCH(INDEX('Rate &amp; Vol Update'!$B$8:$B$127,MATCH(AT114,'Rate &amp; Vol Update'!$B$8:$B$127,1)),'Rate &amp; Vol Update'!$B$8:$B$127,0),MATCH(INDEX('Rate &amp; Vol Update'!$E$6:$Z$6,1,MATCH(AY114,'Rate &amp; Vol Update'!$E$6:$Z$6,1)),'Rate &amp; Vol Update'!$E$6:$Z$6,0))*(INDEX('Rate &amp; Vol Update'!$E$6:$Z$6,1,MATCH(AY114,'Rate &amp; Vol Update'!$E$6:$Z$6,1)+1)-AY114)*(INDEX('Rate &amp; Vol Update'!$B$8:$B$127,MATCH(AT114,'Rate &amp; Vol Update'!$B$8:$B$127,1)+1)-AT114)+INDEX('Rate &amp; Vol Update'!$E$8:$Z$127,MATCH(INDEX('Rate &amp; Vol Update'!$B$8:$B$127,MATCH(AT114,'Rate &amp; Vol Update'!$B$8:$B$127,1)),'Rate &amp; Vol Update'!$B$8:$B$127,0),MATCH(INDEX('Rate &amp; Vol Update'!$E$6:$Z$6,1,MATCH(AY114,'Rate &amp; Vol Update'!$E$6:$Z$6,1)+1),'Rate &amp; Vol Update'!$E$6:$Z$6,0))*(AY114-INDEX('Rate &amp; Vol Update'!$E$6:$Z$6,1,MATCH(AY114,'Rate &amp; Vol Update'!$E$6:$Z$6,1)))*(INDEX('Rate &amp; Vol Update'!$B$8:$B$127,MATCH(AT114,'Rate &amp; Vol Update'!$B$8:$B$127,1)+1)-AT114)+INDEX('Rate &amp; Vol Update'!$E$8:$Z$127,MATCH(INDEX('Rate &amp; Vol Update'!$B$8:$B$127,MATCH(AT114,'Rate &amp; Vol Update'!$B$8:$B$127,1)+1),'Rate &amp; Vol Update'!$B$8:$B$127,0),MATCH(INDEX('Rate &amp; Vol Update'!$E$6:$Z$6,1,MATCH(AY114,'Rate &amp; Vol Update'!$E$6:$Z$6,1)),'Rate &amp; Vol Update'!$E$6:$Z$6,0))*(INDEX('Rate &amp; Vol Update'!$E$6:$Z$6,1,MATCH(AY114,'Rate &amp; Vol Update'!$E$6:$Z$6,1)+1)-AY114)*(AT114-INDEX('Rate &amp; Vol Update'!$B$8:$B$127,MATCH(AT114,'Rate &amp; Vol Update'!$B$8:$B$127,1)))+INDEX('Rate &amp; Vol Update'!$E$8:$Z$127,MATCH(INDEX('Rate &amp; Vol Update'!$B$8:$B$127,MATCH(AT114,'Rate &amp; Vol Update'!$B$8:$B$127,1)+1),'Rate &amp; Vol Update'!$B$8:$B$127,0),MATCH(INDEX('Rate &amp; Vol Update'!$E$6:$Z$6,1,MATCH(AY114,'Rate &amp; Vol Update'!$E$6:$Z$6,1)+1),'Rate &amp; Vol Update'!$E$6:$Z$6,0))*(AY114-INDEX('Rate &amp; Vol Update'!$E$6:$Z$6,1,MATCH(AY114,'Rate &amp; Vol Update'!$E$6:$Z$6,1)))*(AT114-INDEX('Rate &amp; Vol Update'!$B$8:$B$127,MATCH(AT114,'Rate &amp; Vol Update'!$B$8:$B$127,1)))))*0.01%))</f>
        <v/>
      </c>
      <c r="BB114" s="5" t="str">
        <f>IF(AS114="","",1/((1+AZ114)^((AU114-'Rate &amp; Vol Update'!$C$2)/360)))</f>
        <v/>
      </c>
      <c r="BD114" s="15" t="str">
        <f>IF(AS114="","",IF(AT114&lt;'Rate &amp; Vol Update'!$C$2,MAX(0,AZ114-AY114)*(AV114/360)*AX114,(((IF('Adjustment Surface'!$C$2='Data Validation'!$A$2,AZ114,IF('Adjustment Surface'!$C$2='Data Validation'!$A$3,AY114,"Unknown Option Type"))-IF('Adjustment Surface'!$C$2='Data Validation'!$A$2,AY114,IF('Adjustment Surface'!$C$2='Data Validation'!$A$3,AZ114,"Unknown Option Type")))*(NORMDIST((IF('Adjustment Surface'!$C$2='Data Validation'!$A$2,AZ114,IF('Adjustment Surface'!$C$2='Data Validation'!$A$3,AY114,"Unknown Option Type"))-IF('Adjustment Surface'!$C$2='Data Validation'!$A$2,AY114,IF('Adjustment Surface'!$C$2='Data Validation'!$A$3,AZ114,"Unknown Option Type")))/(BA114*SQRT(AW114)),0,1,TRUE)))+((BA114*SQRT(AW114))*(NORMDIST((IF('Adjustment Surface'!$C$2='Data Validation'!$A$2,AZ114,IF('Adjustment Surface'!$C$2='Data Validation'!$A$3,AY114,"Unknown Option Type"))-IF('Adjustment Surface'!$C$2='Data Validation'!$A$2,AY114,IF('Adjustment Surface'!$C$2='Data Validation'!$A$3,AZ114,"Unknown Option Type")))/(BA114*SQRT(AW114)),0,1,FALSE))))*BB114*(AV114/360)*AX114))</f>
        <v/>
      </c>
      <c r="BE114" s="15" t="str">
        <f>IF(AS114="","",SUM(BD$4:BD114))</f>
        <v/>
      </c>
      <c r="BG114" s="15" t="str">
        <f>IF(AS114="","",IF(AT114&lt;'Rate &amp; Vol Update'!$C$2,0,((((((IF('Adjustment Surface'!$C$2='Data Validation'!$A$2,AZ114,IF('Adjustment Surface'!$C$2='Data Validation'!$A$3,AY114,"Unknown Option Type"))-IF('Adjustment Surface'!$C$2='Data Validation'!$A$2,AY114,IF('Adjustment Surface'!$C$2='Data Validation'!$A$3,AZ114,"Unknown Option Type")))*(NORMDIST((IF('Adjustment Surface'!$C$2='Data Validation'!$A$2,AZ114,IF('Adjustment Surface'!$C$2='Data Validation'!$A$3,AY114,"Unknown Option Type"))-IF('Adjustment Surface'!$C$2='Data Validation'!$A$2,AY114,IF('Adjustment Surface'!$C$2='Data Validation'!$A$3,AZ114,"Unknown Option Type")))/((BA114+0.01%)*SQRT(AW114)),0,1,TRUE)))+(((BA114+0.01%)*SQRT(AW114))*(NORMDIST((IF('Adjustment Surface'!$C$2='Data Validation'!$A$2,AZ114,IF('Adjustment Surface'!$C$2='Data Validation'!$A$3,AY114,"Unknown Option Type"))-IF('Adjustment Surface'!$C$2='Data Validation'!$A$2,AY114,IF('Adjustment Surface'!$C$2='Data Validation'!$A$3,AZ114,"Unknown Option Type")))/((BA114+0.01%)*SQRT(AW114)),0,1,FALSE))))*BB114*(AV114/360))-(BD114/AX114))*AX114)*BB114))</f>
        <v/>
      </c>
      <c r="BH114" s="15" t="str">
        <f>IF(AS114="","",SUM(BG$4:BG114))</f>
        <v/>
      </c>
      <c r="BI114" s="15"/>
      <c r="BJ114" s="20"/>
      <c r="BL114" s="4" t="str">
        <f>IF(BM113=MAX('Adjustment Surface'!$C$14:$F$14),"",BM113)</f>
        <v/>
      </c>
      <c r="BM114" s="4" t="str">
        <f>IF(BL114="","",IF(BL114&lt;EDATE('Adjustment Surface'!$C$6,DATEDIF('Adjustment Surface'!$C$6,MAX('Adjustment Surface'!$C$14:$F$14),"M")),EDATE(BL$5,COUNT(BL$5:BL114)),IF(BL114=EDATE('Adjustment Surface'!$C$6,DATEDIF('Adjustment Surface'!$C$6,MAX('Adjustment Surface'!$C$14:$F$14),"M")),MAX('Adjustment Surface'!$C$14:$F$14),EDATE('Adjustment Surface'!$C$6,DATEDIF('Adjustment Surface'!$C$6,MAX('Adjustment Surface'!$C$14:$F$14),"M")))))</f>
        <v/>
      </c>
      <c r="BN114" s="3" t="str">
        <f t="shared" si="9"/>
        <v/>
      </c>
      <c r="BO114" s="5" t="str">
        <f>IF(BK114="","",(BM114-'Rate &amp; Vol Update'!$C$2)/360)</f>
        <v/>
      </c>
      <c r="BP114" s="15" t="str">
        <f>IF(BK114="","",IF('Adjustment Surface'!$C$3='Data Validation'!$C$2,'Adjustment Surface'!$C$4,_xlfn.IFNA(IF(INDEX(Schedules!$E$3:$E$123,MATCH('Bachelier Model'!BL114,Schedules!$B$3:$B$123,0))="",BP113,INDEX(Schedules!$E$3:$E$123,MATCH('Bachelier Model'!BL114,Schedules!$B$3:$B$123,0))),BP113)))</f>
        <v/>
      </c>
      <c r="BQ114" s="16" t="str">
        <f>IF(BK114="","",'Adjustment Surface'!B$17)</f>
        <v/>
      </c>
      <c r="BR114" s="16" t="str" cm="1">
        <f t="array" ref="BR114">IF(BK114="","",FORECAST(BL114,INDEX('Rate &amp; Vol Update'!$C$6:$C$127,MATCH(INDEX('Rate &amp; Vol Update'!$B$6:$B$127,MATCH(BL114,'Rate &amp; Vol Update'!$B$6:$B$127,1)),'Rate &amp; Vol Update'!$B$6:$B$127,0)+IF('Adjustment Surface'!$C$11='Data Validation'!$E$3,-1,0)):INDEX('Rate &amp; Vol Update'!$C$6:$C$127,MATCH(INDEX('Rate &amp; Vol Update'!$B$6:$B$127,MATCH(BL114,'Rate &amp; Vol Update'!$B$6:$B$127,1)+1),'Rate &amp; Vol Update'!$B$6:$B$127,0)+IF('Adjustment Surface'!$C$11='Data Validation'!$E$3,-1,0)),INDEX('Rate &amp; Vol Update'!$B$6:$B$127,MATCH(BL114,'Rate &amp; Vol Update'!$B$6:$B$127,1)):INDEX('Rate &amp; Vol Update'!$B$6:$B$127,MATCH(BL114,'Rate &amp; Vol Update'!$B$6:$B$127,1)+1))/100)</f>
        <v/>
      </c>
      <c r="BS114" s="16" t="str" cm="1">
        <f t="array" ref="BS114">IF(BK114="","",IF(BL114&lt;'Rate &amp; Vol Update'!$C$2,0.001%,(1/((INDEX('Rate &amp; Vol Update'!$E$6:$Z$6,1,MATCH(BQ114,'Rate &amp; Vol Update'!$E$6:$Z$6,1)+1)-INDEX('Rate &amp; Vol Update'!$E$6:$Z$6,1,MATCH(BQ114,'Rate &amp; Vol Update'!$E$6:$Z$6,1)))*(INDEX('Rate &amp; Vol Update'!$B$8:$B$127,MATCH(BL114,'Rate &amp; Vol Update'!$B$8:$B$127,1)+1)-INDEX('Rate &amp; Vol Update'!$B$8:$B$127,MATCH(BL114,'Rate &amp; Vol Update'!$B$8:$B$127,1))))*(INDEX('Rate &amp; Vol Update'!$E$8:$Z$127,MATCH(INDEX('Rate &amp; Vol Update'!$B$8:$B$127,MATCH(BL114,'Rate &amp; Vol Update'!$B$8:$B$127,1)),'Rate &amp; Vol Update'!$B$8:$B$127,0),MATCH(INDEX('Rate &amp; Vol Update'!$E$6:$Z$6,1,MATCH(BQ114,'Rate &amp; Vol Update'!$E$6:$Z$6,1)),'Rate &amp; Vol Update'!$E$6:$Z$6,0))*(INDEX('Rate &amp; Vol Update'!$E$6:$Z$6,1,MATCH(BQ114,'Rate &amp; Vol Update'!$E$6:$Z$6,1)+1)-BQ114)*(INDEX('Rate &amp; Vol Update'!$B$8:$B$127,MATCH(BL114,'Rate &amp; Vol Update'!$B$8:$B$127,1)+1)-BL114)+INDEX('Rate &amp; Vol Update'!$E$8:$Z$127,MATCH(INDEX('Rate &amp; Vol Update'!$B$8:$B$127,MATCH(BL114,'Rate &amp; Vol Update'!$B$8:$B$127,1)),'Rate &amp; Vol Update'!$B$8:$B$127,0),MATCH(INDEX('Rate &amp; Vol Update'!$E$6:$Z$6,1,MATCH(BQ114,'Rate &amp; Vol Update'!$E$6:$Z$6,1)+1),'Rate &amp; Vol Update'!$E$6:$Z$6,0))*(BQ114-INDEX('Rate &amp; Vol Update'!$E$6:$Z$6,1,MATCH(BQ114,'Rate &amp; Vol Update'!$E$6:$Z$6,1)))*(INDEX('Rate &amp; Vol Update'!$B$8:$B$127,MATCH(BL114,'Rate &amp; Vol Update'!$B$8:$B$127,1)+1)-BL114)+INDEX('Rate &amp; Vol Update'!$E$8:$Z$127,MATCH(INDEX('Rate &amp; Vol Update'!$B$8:$B$127,MATCH(BL114,'Rate &amp; Vol Update'!$B$8:$B$127,1)+1),'Rate &amp; Vol Update'!$B$8:$B$127,0),MATCH(INDEX('Rate &amp; Vol Update'!$E$6:$Z$6,1,MATCH(BQ114,'Rate &amp; Vol Update'!$E$6:$Z$6,1)),'Rate &amp; Vol Update'!$E$6:$Z$6,0))*(INDEX('Rate &amp; Vol Update'!$E$6:$Z$6,1,MATCH(BQ114,'Rate &amp; Vol Update'!$E$6:$Z$6,1)+1)-BQ114)*(BL114-INDEX('Rate &amp; Vol Update'!$B$8:$B$127,MATCH(BL114,'Rate &amp; Vol Update'!$B$8:$B$127,1)))+INDEX('Rate &amp; Vol Update'!$E$8:$Z$127,MATCH(INDEX('Rate &amp; Vol Update'!$B$8:$B$127,MATCH(BL114,'Rate &amp; Vol Update'!$B$8:$B$127,1)+1),'Rate &amp; Vol Update'!$B$8:$B$127,0),MATCH(INDEX('Rate &amp; Vol Update'!$E$6:$Z$6,1,MATCH(BQ114,'Rate &amp; Vol Update'!$E$6:$Z$6,1)+1),'Rate &amp; Vol Update'!$E$6:$Z$6,0))*(BQ114-INDEX('Rate &amp; Vol Update'!$E$6:$Z$6,1,MATCH(BQ114,'Rate &amp; Vol Update'!$E$6:$Z$6,1)))*(BL114-INDEX('Rate &amp; Vol Update'!$B$8:$B$127,MATCH(BL114,'Rate &amp; Vol Update'!$B$8:$B$127,1)))))*0.01%))</f>
        <v/>
      </c>
      <c r="BT114" s="5" t="str">
        <f>IF(BK114="","",1/((1+BR114)^((BM114-'Rate &amp; Vol Update'!$C$2)/360)))</f>
        <v/>
      </c>
      <c r="BV114" s="15" t="str">
        <f>IF(BK114="","",IF(BL114&lt;'Rate &amp; Vol Update'!$C$2,MAX(0,BR114-BQ114)*(BN114/360)*BP114,(((IF('Adjustment Surface'!$C$2='Data Validation'!$A$2,BR114,IF('Adjustment Surface'!$C$2='Data Validation'!$A$3,BQ114,"Unknown Option Type"))-IF('Adjustment Surface'!$C$2='Data Validation'!$A$2,BQ114,IF('Adjustment Surface'!$C$2='Data Validation'!$A$3,BR114,"Unknown Option Type")))*(NORMDIST((IF('Adjustment Surface'!$C$2='Data Validation'!$A$2,BR114,IF('Adjustment Surface'!$C$2='Data Validation'!$A$3,BQ114,"Unknown Option Type"))-IF('Adjustment Surface'!$C$2='Data Validation'!$A$2,BQ114,IF('Adjustment Surface'!$C$2='Data Validation'!$A$3,BR114,"Unknown Option Type")))/(BS114*SQRT(BO114)),0,1,TRUE)))+((BS114*SQRT(BO114))*(NORMDIST((IF('Adjustment Surface'!$C$2='Data Validation'!$A$2,BR114,IF('Adjustment Surface'!$C$2='Data Validation'!$A$3,BQ114,"Unknown Option Type"))-IF('Adjustment Surface'!$C$2='Data Validation'!$A$2,BQ114,IF('Adjustment Surface'!$C$2='Data Validation'!$A$3,BR114,"Unknown Option Type")))/(BS114*SQRT(BO114)),0,1,FALSE))))*BT114*(BN114/360)*BP114))</f>
        <v/>
      </c>
      <c r="BW114" s="15" t="str">
        <f>IF(BK114="","",SUM(BV$4:BV114))</f>
        <v/>
      </c>
      <c r="BY114" s="15" t="str">
        <f>IF(BK114="","",IF(BL114&lt;'Rate &amp; Vol Update'!$C$2,0,((((((IF('Adjustment Surface'!$C$2='Data Validation'!$A$2,BR114,IF('Adjustment Surface'!$C$2='Data Validation'!$A$3,BQ114,"Unknown Option Type"))-IF('Adjustment Surface'!$C$2='Data Validation'!$A$2,BQ114,IF('Adjustment Surface'!$C$2='Data Validation'!$A$3,BR114,"Unknown Option Type")))*(NORMDIST((IF('Adjustment Surface'!$C$2='Data Validation'!$A$2,BR114,IF('Adjustment Surface'!$C$2='Data Validation'!$A$3,BQ114,"Unknown Option Type"))-IF('Adjustment Surface'!$C$2='Data Validation'!$A$2,BQ114,IF('Adjustment Surface'!$C$2='Data Validation'!$A$3,BR114,"Unknown Option Type")))/((BS114+0.01%)*SQRT(BO114)),0,1,TRUE)))+(((BS114+0.01%)*SQRT(BO114))*(NORMDIST((IF('Adjustment Surface'!$C$2='Data Validation'!$A$2,BR114,IF('Adjustment Surface'!$C$2='Data Validation'!$A$3,BQ114,"Unknown Option Type"))-IF('Adjustment Surface'!$C$2='Data Validation'!$A$2,BQ114,IF('Adjustment Surface'!$C$2='Data Validation'!$A$3,BR114,"Unknown Option Type")))/((BS114+0.01%)*SQRT(BO114)),0,1,FALSE))))*BT114*(BN114/360))-(BV114/BP114))*BP114)*BT114))</f>
        <v/>
      </c>
      <c r="BZ114" s="15" t="str">
        <f>IF(BK114="","",SUM(BY$4:BY114))</f>
        <v/>
      </c>
      <c r="CA114" s="15"/>
      <c r="CB114" s="20"/>
      <c r="CD114" s="4" t="str">
        <f>IF(CE113=MAX('Adjustment Surface'!$C$14:$F$14),"",CE113)</f>
        <v/>
      </c>
      <c r="CE114" s="4" t="str">
        <f>IF(CD114="","",IF(CD114&lt;EDATE('Adjustment Surface'!$C$6,DATEDIF('Adjustment Surface'!$C$6,MAX('Adjustment Surface'!$C$14:$F$14),"M")),EDATE(CD$5,COUNT(CD$5:CD114)),IF(CD114=EDATE('Adjustment Surface'!$C$6,DATEDIF('Adjustment Surface'!$C$6,MAX('Adjustment Surface'!$C$14:$F$14),"M")),MAX('Adjustment Surface'!$C$14:$F$14),EDATE('Adjustment Surface'!$C$6,DATEDIF('Adjustment Surface'!$C$6,MAX('Adjustment Surface'!$C$14:$F$14),"M")))))</f>
        <v/>
      </c>
      <c r="CF114" s="3" t="str">
        <f t="shared" si="10"/>
        <v/>
      </c>
      <c r="CG114" s="5" t="str">
        <f>IF(CC114="","",(CE114-'Rate &amp; Vol Update'!$C$2)/360)</f>
        <v/>
      </c>
      <c r="CH114" s="15" t="str">
        <f>IF(CC114="","",IF('Adjustment Surface'!$C$3='Data Validation'!$C$2,'Adjustment Surface'!$C$4,_xlfn.IFNA(IF(INDEX(Schedules!$E$3:$E$123,MATCH('Bachelier Model'!CD114,Schedules!$B$3:$B$123,0))="",CH113,INDEX(Schedules!$E$3:$E$123,MATCH('Bachelier Model'!CD114,Schedules!$B$3:$B$123,0))),CH113)))</f>
        <v/>
      </c>
      <c r="CI114" s="16" t="str">
        <f>IF(CC114="","",'Adjustment Surface'!B$18)</f>
        <v/>
      </c>
      <c r="CJ114" s="16" t="str" cm="1">
        <f t="array" ref="CJ114">IF(CC114="","",FORECAST(CD114,INDEX('Rate &amp; Vol Update'!$C$6:$C$127,MATCH(INDEX('Rate &amp; Vol Update'!$B$6:$B$127,MATCH(CD114,'Rate &amp; Vol Update'!$B$6:$B$127,1)),'Rate &amp; Vol Update'!$B$6:$B$127,0)+IF('Adjustment Surface'!$C$11='Data Validation'!$E$3,-1,0)):INDEX('Rate &amp; Vol Update'!$C$6:$C$127,MATCH(INDEX('Rate &amp; Vol Update'!$B$6:$B$127,MATCH(CD114,'Rate &amp; Vol Update'!$B$6:$B$127,1)+1),'Rate &amp; Vol Update'!$B$6:$B$127,0)+IF('Adjustment Surface'!$C$11='Data Validation'!$E$3,-1,0)),INDEX('Rate &amp; Vol Update'!$B$6:$B$127,MATCH(CD114,'Rate &amp; Vol Update'!$B$6:$B$127,1)):INDEX('Rate &amp; Vol Update'!$B$6:$B$127,MATCH(CD114,'Rate &amp; Vol Update'!$B$6:$B$127,1)+1))/100)</f>
        <v/>
      </c>
      <c r="CK114" s="16" t="str" cm="1">
        <f t="array" ref="CK114">IF(CC114="","",IF(CD114&lt;'Rate &amp; Vol Update'!$C$2,0.001%,(1/((INDEX('Rate &amp; Vol Update'!$E$6:$Z$6,1,MATCH(CI114,'Rate &amp; Vol Update'!$E$6:$Z$6,1)+1)-INDEX('Rate &amp; Vol Update'!$E$6:$Z$6,1,MATCH(CI114,'Rate &amp; Vol Update'!$E$6:$Z$6,1)))*(INDEX('Rate &amp; Vol Update'!$B$8:$B$127,MATCH(CD114,'Rate &amp; Vol Update'!$B$8:$B$127,1)+1)-INDEX('Rate &amp; Vol Update'!$B$8:$B$127,MATCH(CD114,'Rate &amp; Vol Update'!$B$8:$B$127,1))))*(INDEX('Rate &amp; Vol Update'!$E$8:$Z$127,MATCH(INDEX('Rate &amp; Vol Update'!$B$8:$B$127,MATCH(CD114,'Rate &amp; Vol Update'!$B$8:$B$127,1)),'Rate &amp; Vol Update'!$B$8:$B$127,0),MATCH(INDEX('Rate &amp; Vol Update'!$E$6:$Z$6,1,MATCH(CI114,'Rate &amp; Vol Update'!$E$6:$Z$6,1)),'Rate &amp; Vol Update'!$E$6:$Z$6,0))*(INDEX('Rate &amp; Vol Update'!$E$6:$Z$6,1,MATCH(CI114,'Rate &amp; Vol Update'!$E$6:$Z$6,1)+1)-CI114)*(INDEX('Rate &amp; Vol Update'!$B$8:$B$127,MATCH(CD114,'Rate &amp; Vol Update'!$B$8:$B$127,1)+1)-CD114)+INDEX('Rate &amp; Vol Update'!$E$8:$Z$127,MATCH(INDEX('Rate &amp; Vol Update'!$B$8:$B$127,MATCH(CD114,'Rate &amp; Vol Update'!$B$8:$B$127,1)),'Rate &amp; Vol Update'!$B$8:$B$127,0),MATCH(INDEX('Rate &amp; Vol Update'!$E$6:$Z$6,1,MATCH(CI114,'Rate &amp; Vol Update'!$E$6:$Z$6,1)+1),'Rate &amp; Vol Update'!$E$6:$Z$6,0))*(CI114-INDEX('Rate &amp; Vol Update'!$E$6:$Z$6,1,MATCH(CI114,'Rate &amp; Vol Update'!$E$6:$Z$6,1)))*(INDEX('Rate &amp; Vol Update'!$B$8:$B$127,MATCH(CD114,'Rate &amp; Vol Update'!$B$8:$B$127,1)+1)-CD114)+INDEX('Rate &amp; Vol Update'!$E$8:$Z$127,MATCH(INDEX('Rate &amp; Vol Update'!$B$8:$B$127,MATCH(CD114,'Rate &amp; Vol Update'!$B$8:$B$127,1)+1),'Rate &amp; Vol Update'!$B$8:$B$127,0),MATCH(INDEX('Rate &amp; Vol Update'!$E$6:$Z$6,1,MATCH(CI114,'Rate &amp; Vol Update'!$E$6:$Z$6,1)),'Rate &amp; Vol Update'!$E$6:$Z$6,0))*(INDEX('Rate &amp; Vol Update'!$E$6:$Z$6,1,MATCH(CI114,'Rate &amp; Vol Update'!$E$6:$Z$6,1)+1)-CI114)*(CD114-INDEX('Rate &amp; Vol Update'!$B$8:$B$127,MATCH(CD114,'Rate &amp; Vol Update'!$B$8:$B$127,1)))+INDEX('Rate &amp; Vol Update'!$E$8:$Z$127,MATCH(INDEX('Rate &amp; Vol Update'!$B$8:$B$127,MATCH(CD114,'Rate &amp; Vol Update'!$B$8:$B$127,1)+1),'Rate &amp; Vol Update'!$B$8:$B$127,0),MATCH(INDEX('Rate &amp; Vol Update'!$E$6:$Z$6,1,MATCH(CI114,'Rate &amp; Vol Update'!$E$6:$Z$6,1)+1),'Rate &amp; Vol Update'!$E$6:$Z$6,0))*(CI114-INDEX('Rate &amp; Vol Update'!$E$6:$Z$6,1,MATCH(CI114,'Rate &amp; Vol Update'!$E$6:$Z$6,1)))*(CD114-INDEX('Rate &amp; Vol Update'!$B$8:$B$127,MATCH(CD114,'Rate &amp; Vol Update'!$B$8:$B$127,1)))))*0.01%))</f>
        <v/>
      </c>
      <c r="CL114" s="5" t="str">
        <f>IF(CC114="","",1/((1+CJ114)^((CE114-'Rate &amp; Vol Update'!$C$2)/360)))</f>
        <v/>
      </c>
      <c r="CN114" s="15" t="str">
        <f>IF(CC114="","",IF(CD114&lt;'Rate &amp; Vol Update'!$C$2,MAX(0,CJ114-CI114)*(CF114/360)*CH114,(((IF('Adjustment Surface'!$C$2='Data Validation'!$A$2,CJ114,IF('Adjustment Surface'!$C$2='Data Validation'!$A$3,CI114,"Unknown Option Type"))-IF('Adjustment Surface'!$C$2='Data Validation'!$A$2,CI114,IF('Adjustment Surface'!$C$2='Data Validation'!$A$3,CJ114,"Unknown Option Type")))*(NORMDIST((IF('Adjustment Surface'!$C$2='Data Validation'!$A$2,CJ114,IF('Adjustment Surface'!$C$2='Data Validation'!$A$3,CI114,"Unknown Option Type"))-IF('Adjustment Surface'!$C$2='Data Validation'!$A$2,CI114,IF('Adjustment Surface'!$C$2='Data Validation'!$A$3,CJ114,"Unknown Option Type")))/(CK114*SQRT(CG114)),0,1,TRUE)))+((CK114*SQRT(CG114))*(NORMDIST((IF('Adjustment Surface'!$C$2='Data Validation'!$A$2,CJ114,IF('Adjustment Surface'!$C$2='Data Validation'!$A$3,CI114,"Unknown Option Type"))-IF('Adjustment Surface'!$C$2='Data Validation'!$A$2,CI114,IF('Adjustment Surface'!$C$2='Data Validation'!$A$3,CJ114,"Unknown Option Type")))/(CK114*SQRT(CG114)),0,1,FALSE))))*CL114*(CF114/360)*CH114))</f>
        <v/>
      </c>
      <c r="CO114" s="15" t="str">
        <f>IF(CC114="","",SUM(CN$4:CN114))</f>
        <v/>
      </c>
      <c r="CQ114" s="15" t="str">
        <f>IF(CC114="","",IF(CD114&lt;'Rate &amp; Vol Update'!$C$2,0,((((((IF('Adjustment Surface'!$C$2='Data Validation'!$A$2,CJ114,IF('Adjustment Surface'!$C$2='Data Validation'!$A$3,CI114,"Unknown Option Type"))-IF('Adjustment Surface'!$C$2='Data Validation'!$A$2,CI114,IF('Adjustment Surface'!$C$2='Data Validation'!$A$3,CJ114,"Unknown Option Type")))*(NORMDIST((IF('Adjustment Surface'!$C$2='Data Validation'!$A$2,CJ114,IF('Adjustment Surface'!$C$2='Data Validation'!$A$3,CI114,"Unknown Option Type"))-IF('Adjustment Surface'!$C$2='Data Validation'!$A$2,CI114,IF('Adjustment Surface'!$C$2='Data Validation'!$A$3,CJ114,"Unknown Option Type")))/((CK114+0.01%)*SQRT(CG114)),0,1,TRUE)))+(((CK114+0.01%)*SQRT(CG114))*(NORMDIST((IF('Adjustment Surface'!$C$2='Data Validation'!$A$2,CJ114,IF('Adjustment Surface'!$C$2='Data Validation'!$A$3,CI114,"Unknown Option Type"))-IF('Adjustment Surface'!$C$2='Data Validation'!$A$2,CI114,IF('Adjustment Surface'!$C$2='Data Validation'!$A$3,CJ114,"Unknown Option Type")))/((CK114+0.01%)*SQRT(CG114)),0,1,FALSE))))*CL114*(CF114/360))-(CN114/CH114))*CH114)*CL114))</f>
        <v/>
      </c>
      <c r="CR114" s="15" t="str">
        <f>IF(CC114="","",SUM(CQ$4:CQ114))</f>
        <v/>
      </c>
    </row>
    <row r="115" spans="7:96" x14ac:dyDescent="0.25">
      <c r="G115" s="28"/>
      <c r="J115" s="4" t="str">
        <f>IF(K114='Adjustment Surface'!C$8,"",K114)</f>
        <v/>
      </c>
      <c r="K115" s="4" t="str">
        <f>IF(J115="","",IF(J115&lt;'Adjustment Surface'!C$7,EDATE(J$5,COUNT(J$5:J115)),IF(J115='Adjustment Surface'!C$7,'Adjustment Surface'!C$8,'Adjustment Surface'!C$7)))</f>
        <v/>
      </c>
      <c r="L115" s="3" t="str">
        <f t="shared" si="6"/>
        <v/>
      </c>
      <c r="M115" s="5" t="str">
        <f>IF(I115="","",(K115-'Rate &amp; Vol Update'!$C$2)/360)</f>
        <v/>
      </c>
      <c r="N115" s="15" t="str">
        <f>IF(I115="","",IF('Adjustment Surface'!C$3='Data Validation'!$C$2,'Adjustment Surface'!C$4,IF(INDEX(Schedules!$E$3:$E$123,MATCH('Bachelier Model'!J115,Schedules!$B$3:$B$123,0))="",N114,INDEX(Schedules!$E$3:$E$123,MATCH('Bachelier Model'!J115,Schedules!$B$3:$B$123,0)))))</f>
        <v/>
      </c>
      <c r="O115" s="16" t="str">
        <f>IF(I115="","",IF('Adjustment Surface'!C$9='Data Validation'!$D$2,'Adjustment Surface'!C$10,IF(INDEX(Schedules!$H$3:$H$123,MATCH('Bachelier Model'!J115,Schedules!$B$3:$B$123,0))="",O114,INDEX(Schedules!$H$3:$H$123,MATCH('Bachelier Model'!J115,Schedules!$B$3:$B$123,0)))))</f>
        <v/>
      </c>
      <c r="P115" s="16" t="str" cm="1">
        <f t="array" ref="P115">IF(I115="","",FORECAST(J115,INDEX('Rate &amp; Vol Update'!$C$6:$C$127,MATCH(INDEX('Rate &amp; Vol Update'!$B$6:$B$127,MATCH(J115,'Rate &amp; Vol Update'!$B$6:$B$127,1)),'Rate &amp; Vol Update'!$B$6:$B$127,0)+IF('Adjustment Surface'!C$11='Data Validation'!$E$3,-1,0)):INDEX('Rate &amp; Vol Update'!$C$6:$C$127,MATCH(INDEX('Rate &amp; Vol Update'!$B$6:$B$127,MATCH(J115,'Rate &amp; Vol Update'!$B$6:$B$127,1)+1),'Rate &amp; Vol Update'!$B$6:$B$127,0)+IF('Adjustment Surface'!C$11='Data Validation'!$E$3,-1,0)),INDEX('Rate &amp; Vol Update'!$B$6:$B$127,MATCH(J115,'Rate &amp; Vol Update'!$B$6:$B$127,1)):INDEX('Rate &amp; Vol Update'!$B$6:$B$127,MATCH(J115,'Rate &amp; Vol Update'!$B$6:$B$127,1)+1))/100)</f>
        <v/>
      </c>
      <c r="Q115" s="16" t="str" cm="1">
        <f t="array" ref="Q115">IF(I115="","",IF(J115&lt;'Rate &amp; Vol Update'!$C$2,0.001%,(1/((INDEX('Rate &amp; Vol Update'!$E$6:$Z$6,1,MATCH(O115,'Rate &amp; Vol Update'!$E$6:$Z$6,1)+1)-INDEX('Rate &amp; Vol Update'!$E$6:$Z$6,1,MATCH(O115,'Rate &amp; Vol Update'!$E$6:$Z$6,1)))*(INDEX('Rate &amp; Vol Update'!$B$8:$B$127,MATCH(J115,'Rate &amp; Vol Update'!$B$8:$B$127,1)+1)-INDEX('Rate &amp; Vol Update'!$B$8:$B$127,MATCH(J115,'Rate &amp; Vol Update'!$B$8:$B$127,1))))*(INDEX('Rate &amp; Vol Update'!$E$8:$Z$127,MATCH(INDEX('Rate &amp; Vol Update'!$B$8:$B$127,MATCH(J115,'Rate &amp; Vol Update'!$B$8:$B$127,1)),'Rate &amp; Vol Update'!$B$8:$B$127,0),MATCH(INDEX('Rate &amp; Vol Update'!$E$6:$Z$6,1,MATCH(O115,'Rate &amp; Vol Update'!$E$6:$Z$6,1)),'Rate &amp; Vol Update'!$E$6:$Z$6,0))*(INDEX('Rate &amp; Vol Update'!$E$6:$Z$6,1,MATCH(O115,'Rate &amp; Vol Update'!$E$6:$Z$6,1)+1)-O115)*(INDEX('Rate &amp; Vol Update'!$B$8:$B$127,MATCH(J115,'Rate &amp; Vol Update'!$B$8:$B$127,1)+1)-J115)+INDEX('Rate &amp; Vol Update'!$E$8:$Z$127,MATCH(INDEX('Rate &amp; Vol Update'!$B$8:$B$127,MATCH(J115,'Rate &amp; Vol Update'!$B$8:$B$127,1)),'Rate &amp; Vol Update'!$B$8:$B$127,0),MATCH(INDEX('Rate &amp; Vol Update'!$E$6:$Z$6,1,MATCH(O115,'Rate &amp; Vol Update'!$E$6:$Z$6,1)+1),'Rate &amp; Vol Update'!$E$6:$Z$6,0))*(O115-INDEX('Rate &amp; Vol Update'!$E$6:$Z$6,1,MATCH(O115,'Rate &amp; Vol Update'!$E$6:$Z$6,1)))*(INDEX('Rate &amp; Vol Update'!$B$8:$B$127,MATCH(J115,'Rate &amp; Vol Update'!$B$8:$B$127,1)+1)-J115)+INDEX('Rate &amp; Vol Update'!$E$8:$Z$127,MATCH(INDEX('Rate &amp; Vol Update'!$B$8:$B$127,MATCH(J115,'Rate &amp; Vol Update'!$B$8:$B$127,1)+1),'Rate &amp; Vol Update'!$B$8:$B$127,0),MATCH(INDEX('Rate &amp; Vol Update'!$E$6:$Z$6,1,MATCH(O115,'Rate &amp; Vol Update'!$E$6:$Z$6,1)),'Rate &amp; Vol Update'!$E$6:$Z$6,0))*(INDEX('Rate &amp; Vol Update'!$E$6:$Z$6,1,MATCH(O115,'Rate &amp; Vol Update'!$E$6:$Z$6,1)+1)-O115)*(J115-INDEX('Rate &amp; Vol Update'!$B$8:$B$127,MATCH(J115,'Rate &amp; Vol Update'!$B$8:$B$127,1)))+INDEX('Rate &amp; Vol Update'!$E$8:$Z$127,MATCH(INDEX('Rate &amp; Vol Update'!$B$8:$B$127,MATCH(J115,'Rate &amp; Vol Update'!$B$8:$B$127,1)+1),'Rate &amp; Vol Update'!$B$8:$B$127,0),MATCH(INDEX('Rate &amp; Vol Update'!$E$6:$Z$6,1,MATCH(O115,'Rate &amp; Vol Update'!$E$6:$Z$6,1)+1),'Rate &amp; Vol Update'!$E$6:$Z$6,0))*(O115-INDEX('Rate &amp; Vol Update'!$E$6:$Z$6,1,MATCH(O115,'Rate &amp; Vol Update'!$E$6:$Z$6,1)))*(J115-INDEX('Rate &amp; Vol Update'!$B$8:$B$127,MATCH(J115,'Rate &amp; Vol Update'!$B$8:$B$127,1)))))*0.01%))</f>
        <v/>
      </c>
      <c r="R115" s="5" t="str">
        <f>IF(I115="","",1/((1+P115)^((K115-'Rate &amp; Vol Update'!$C$2)/360)))</f>
        <v/>
      </c>
      <c r="T115" s="15" t="str">
        <f>IF(I115="","",IF(J115&lt;'Rate &amp; Vol Update'!$C$2,MAX(0,P115-O115)*(L115/360)*N115,(((IF('Adjustment Surface'!C$2='Data Validation'!$A$2,P115,IF('Adjustment Surface'!C$2='Data Validation'!$A$3,O115,"Unknown Option Type"))-IF('Adjustment Surface'!C$2='Data Validation'!$A$2,O115,IF('Adjustment Surface'!C$2='Data Validation'!$A$3,P115,"Unknown Option Type")))*(NORMDIST((IF('Adjustment Surface'!C$2='Data Validation'!$A$2,P115,IF('Adjustment Surface'!C$2='Data Validation'!$A$3,O115,"Unknown Option Type"))-IF('Adjustment Surface'!C$2='Data Validation'!$A$2,O115,IF('Adjustment Surface'!C$2='Data Validation'!$A$3,P115,"Unknown Option Type")))/(Q115*SQRT(M115)),0,1,TRUE)))+((Q115*SQRT(M115))*(NORMDIST((IF('Adjustment Surface'!C$2='Data Validation'!$A$2,P115,IF('Adjustment Surface'!C$2='Data Validation'!$A$3,O115,"Unknown Option Type"))-IF('Adjustment Surface'!C$2='Data Validation'!$A$2,O115,IF('Adjustment Surface'!C$2='Data Validation'!$A$3,P115,"Unknown Option Type")))/(Q115*SQRT(M115)),0,1,FALSE))))*R115*(L115/360)*N115))</f>
        <v/>
      </c>
      <c r="U115" s="15" t="str">
        <f>IF(I115="","",SUM(T$4:T115))</f>
        <v/>
      </c>
      <c r="W115" s="15" t="str">
        <f>IF(I115="","",IF(J115&lt;'Rate &amp; Vol Update'!$C$2,0,((((((IF('Adjustment Surface'!C$2='Data Validation'!$A$2,P115,IF('Adjustment Surface'!C$2='Data Validation'!$A$3,O115,"Unknown Option Type"))-IF('Adjustment Surface'!C$2='Data Validation'!$A$2,O115,IF('Adjustment Surface'!C$2='Data Validation'!$A$3,P115,"Unknown Option Type")))*(NORMDIST((IF('Adjustment Surface'!C$2='Data Validation'!$A$2,P115,IF('Adjustment Surface'!C$2='Data Validation'!$A$3,O115,"Unknown Option Type"))-IF('Adjustment Surface'!C$2='Data Validation'!$A$2,O115,IF('Adjustment Surface'!C$2='Data Validation'!$A$3,P115,"Unknown Option Type")))/((Q115+0.01%)*SQRT(M115)),0,1,TRUE)))+(((Q115+0.01%)*SQRT(M115))*(NORMDIST((IF('Adjustment Surface'!C$2='Data Validation'!$A$2,P115,IF('Adjustment Surface'!C$2='Data Validation'!$A$3,O115,"Unknown Option Type"))-IF('Adjustment Surface'!C$2='Data Validation'!$A$2,O115,IF('Adjustment Surface'!C$2='Data Validation'!$A$3,P115,"Unknown Option Type")))/((Q115+0.01%)*SQRT(M115)),0,1,FALSE))))*R115*(L115/360))-(T115/N115))*N115)*R115))</f>
        <v/>
      </c>
      <c r="X115" s="15" t="str">
        <f>IF(I115="","",SUM(W$4:W115))</f>
        <v/>
      </c>
      <c r="Y115" s="15"/>
      <c r="Z115" s="20"/>
      <c r="AB115" s="4" t="str">
        <f>IF(AC114=MAX('Adjustment Surface'!$C$14:$F$14),"",AC114)</f>
        <v/>
      </c>
      <c r="AC115" s="4" t="str">
        <f>IF(AB115="","",IF(AB115&lt;EDATE('Adjustment Surface'!$C$6,DATEDIF('Adjustment Surface'!$C$6,MAX('Adjustment Surface'!$C$14:$F$14),"M")),EDATE(AB$5,COUNT(AB$5:AB115)),IF(AB115=EDATE('Adjustment Surface'!$C$6,DATEDIF('Adjustment Surface'!$C$6,MAX('Adjustment Surface'!$C$14:$F$14),"M")),MAX('Adjustment Surface'!$C$14:$F$14),EDATE('Adjustment Surface'!$C$6,DATEDIF('Adjustment Surface'!$C$6,MAX('Adjustment Surface'!$C$14:$F$14),"M")))))</f>
        <v/>
      </c>
      <c r="AD115" s="3" t="str">
        <f t="shared" si="7"/>
        <v/>
      </c>
      <c r="AE115" s="5" t="str">
        <f>IF(AA115="","",(AC115-'Rate &amp; Vol Update'!$C$2)/360)</f>
        <v/>
      </c>
      <c r="AF115" s="15" t="str">
        <f>IF(AA115="","",IF('Adjustment Surface'!$C$3='Data Validation'!$C$2,'Adjustment Surface'!$C$4,_xlfn.IFNA(IF(INDEX(Schedules!$E$3:$E$123,MATCH('Bachelier Model'!AB115,Schedules!$B$3:$B$123,0))="",AF114,INDEX(Schedules!$E$3:$E$123,MATCH('Bachelier Model'!AB115,Schedules!$B$3:$B$123,0))),AF114)))</f>
        <v/>
      </c>
      <c r="AG115" s="16" t="str">
        <f>IF(AA115="","",'Adjustment Surface'!B$15)</f>
        <v/>
      </c>
      <c r="AH115" s="16" t="str" cm="1">
        <f t="array" ref="AH115">IF(AA115="","",FORECAST(AB115,INDEX('Rate &amp; Vol Update'!$C$6:$C$127,MATCH(INDEX('Rate &amp; Vol Update'!$B$6:$B$127,MATCH(AB115,'Rate &amp; Vol Update'!$B$6:$B$127,1)),'Rate &amp; Vol Update'!$B$6:$B$127,0)+IF('Adjustment Surface'!$C$11='Data Validation'!$E$3,-1,0)):INDEX('Rate &amp; Vol Update'!$C$6:$C$127,MATCH(INDEX('Rate &amp; Vol Update'!$B$6:$B$127,MATCH(AB115,'Rate &amp; Vol Update'!$B$6:$B$127,1)+1),'Rate &amp; Vol Update'!$B$6:$B$127,0)+IF('Adjustment Surface'!$C$11='Data Validation'!$E$3,-1,0)),INDEX('Rate &amp; Vol Update'!$B$6:$B$127,MATCH(AB115,'Rate &amp; Vol Update'!$B$6:$B$127,1)):INDEX('Rate &amp; Vol Update'!$B$6:$B$127,MATCH(AB115,'Rate &amp; Vol Update'!$B$6:$B$127,1)+1))/100)</f>
        <v/>
      </c>
      <c r="AI115" s="16" t="str" cm="1">
        <f t="array" ref="AI115">IF(AA115="","",IF(AB115&lt;'Rate &amp; Vol Update'!$C$2,0.001%,(1/((INDEX('Rate &amp; Vol Update'!$E$6:$Z$6,1,MATCH(AG115,'Rate &amp; Vol Update'!$E$6:$Z$6,1)+1)-INDEX('Rate &amp; Vol Update'!$E$6:$Z$6,1,MATCH(AG115,'Rate &amp; Vol Update'!$E$6:$Z$6,1)))*(INDEX('Rate &amp; Vol Update'!$B$8:$B$127,MATCH(AB115,'Rate &amp; Vol Update'!$B$8:$B$127,1)+1)-INDEX('Rate &amp; Vol Update'!$B$8:$B$127,MATCH(AB115,'Rate &amp; Vol Update'!$B$8:$B$127,1))))*(INDEX('Rate &amp; Vol Update'!$E$8:$Z$127,MATCH(INDEX('Rate &amp; Vol Update'!$B$8:$B$127,MATCH(AB115,'Rate &amp; Vol Update'!$B$8:$B$127,1)),'Rate &amp; Vol Update'!$B$8:$B$127,0),MATCH(INDEX('Rate &amp; Vol Update'!$E$6:$Z$6,1,MATCH(AG115,'Rate &amp; Vol Update'!$E$6:$Z$6,1)),'Rate &amp; Vol Update'!$E$6:$Z$6,0))*(INDEX('Rate &amp; Vol Update'!$E$6:$Z$6,1,MATCH(AG115,'Rate &amp; Vol Update'!$E$6:$Z$6,1)+1)-AG115)*(INDEX('Rate &amp; Vol Update'!$B$8:$B$127,MATCH(AB115,'Rate &amp; Vol Update'!$B$8:$B$127,1)+1)-AB115)+INDEX('Rate &amp; Vol Update'!$E$8:$Z$127,MATCH(INDEX('Rate &amp; Vol Update'!$B$8:$B$127,MATCH(AB115,'Rate &amp; Vol Update'!$B$8:$B$127,1)),'Rate &amp; Vol Update'!$B$8:$B$127,0),MATCH(INDEX('Rate &amp; Vol Update'!$E$6:$Z$6,1,MATCH(AG115,'Rate &amp; Vol Update'!$E$6:$Z$6,1)+1),'Rate &amp; Vol Update'!$E$6:$Z$6,0))*(AG115-INDEX('Rate &amp; Vol Update'!$E$6:$Z$6,1,MATCH(AG115,'Rate &amp; Vol Update'!$E$6:$Z$6,1)))*(INDEX('Rate &amp; Vol Update'!$B$8:$B$127,MATCH(AB115,'Rate &amp; Vol Update'!$B$8:$B$127,1)+1)-AB115)+INDEX('Rate &amp; Vol Update'!$E$8:$Z$127,MATCH(INDEX('Rate &amp; Vol Update'!$B$8:$B$127,MATCH(AB115,'Rate &amp; Vol Update'!$B$8:$B$127,1)+1),'Rate &amp; Vol Update'!$B$8:$B$127,0),MATCH(INDEX('Rate &amp; Vol Update'!$E$6:$Z$6,1,MATCH(AG115,'Rate &amp; Vol Update'!$E$6:$Z$6,1)),'Rate &amp; Vol Update'!$E$6:$Z$6,0))*(INDEX('Rate &amp; Vol Update'!$E$6:$Z$6,1,MATCH(AG115,'Rate &amp; Vol Update'!$E$6:$Z$6,1)+1)-AG115)*(AB115-INDEX('Rate &amp; Vol Update'!$B$8:$B$127,MATCH(AB115,'Rate &amp; Vol Update'!$B$8:$B$127,1)))+INDEX('Rate &amp; Vol Update'!$E$8:$Z$127,MATCH(INDEX('Rate &amp; Vol Update'!$B$8:$B$127,MATCH(AB115,'Rate &amp; Vol Update'!$B$8:$B$127,1)+1),'Rate &amp; Vol Update'!$B$8:$B$127,0),MATCH(INDEX('Rate &amp; Vol Update'!$E$6:$Z$6,1,MATCH(AG115,'Rate &amp; Vol Update'!$E$6:$Z$6,1)+1),'Rate &amp; Vol Update'!$E$6:$Z$6,0))*(AG115-INDEX('Rate &amp; Vol Update'!$E$6:$Z$6,1,MATCH(AG115,'Rate &amp; Vol Update'!$E$6:$Z$6,1)))*(AB115-INDEX('Rate &amp; Vol Update'!$B$8:$B$127,MATCH(AB115,'Rate &amp; Vol Update'!$B$8:$B$127,1)))))*0.01%))</f>
        <v/>
      </c>
      <c r="AJ115" s="5" t="str">
        <f>IF(AA115="","",1/((1+AH115)^((AC115-'Rate &amp; Vol Update'!$C$2)/360)))</f>
        <v/>
      </c>
      <c r="AL115" s="15" t="str">
        <f>IF(AA115="","",IF(AB115&lt;'Rate &amp; Vol Update'!$C$2,MAX(0,AH115-AG115)*(AD115/360)*AF115,(((IF('Adjustment Surface'!$C$2='Data Validation'!$A$2,AH115,IF('Adjustment Surface'!$C$2='Data Validation'!$A$3,AG115,"Unknown Option Type"))-IF('Adjustment Surface'!$C$2='Data Validation'!$A$2,AG115,IF('Adjustment Surface'!$C$2='Data Validation'!$A$3,AH115,"Unknown Option Type")))*(NORMDIST((IF('Adjustment Surface'!$C$2='Data Validation'!$A$2,AH115,IF('Adjustment Surface'!$C$2='Data Validation'!$A$3,AG115,"Unknown Option Type"))-IF('Adjustment Surface'!$C$2='Data Validation'!$A$2,AG115,IF('Adjustment Surface'!$C$2='Data Validation'!$A$3,AH115,"Unknown Option Type")))/(AI115*SQRT(AE115)),0,1,TRUE)))+((AI115*SQRT(AE115))*(NORMDIST((IF('Adjustment Surface'!$C$2='Data Validation'!$A$2,AH115,IF('Adjustment Surface'!$C$2='Data Validation'!$A$3,AG115,"Unknown Option Type"))-IF('Adjustment Surface'!$C$2='Data Validation'!$A$2,AG115,IF('Adjustment Surface'!$C$2='Data Validation'!$A$3,AH115,"Unknown Option Type")))/(AI115*SQRT(AE115)),0,1,FALSE))))*AJ115*(AD115/360)*AF115))</f>
        <v/>
      </c>
      <c r="AM115" s="15" t="str">
        <f>IF(AA115="","",SUM(AL$4:AL115))</f>
        <v/>
      </c>
      <c r="AO115" s="15" t="str">
        <f>IF(AA115="","",IF(AB115&lt;'Rate &amp; Vol Update'!$C$2,0,((((((IF('Adjustment Surface'!$C$2='Data Validation'!$A$2,AH115,IF('Adjustment Surface'!$C$2='Data Validation'!$A$3,AG115,"Unknown Option Type"))-IF('Adjustment Surface'!$C$2='Data Validation'!$A$2,AG115,IF('Adjustment Surface'!$C$2='Data Validation'!$A$3,AH115,"Unknown Option Type")))*(NORMDIST((IF('Adjustment Surface'!$C$2='Data Validation'!$A$2,AH115,IF('Adjustment Surface'!$C$2='Data Validation'!$A$3,AG115,"Unknown Option Type"))-IF('Adjustment Surface'!$C$2='Data Validation'!$A$2,AG115,IF('Adjustment Surface'!$C$2='Data Validation'!$A$3,AH115,"Unknown Option Type")))/((AI115+0.01%)*SQRT(AE115)),0,1,TRUE)))+(((AI115+0.01%)*SQRT(AE115))*(NORMDIST((IF('Adjustment Surface'!$C$2='Data Validation'!$A$2,AH115,IF('Adjustment Surface'!$C$2='Data Validation'!$A$3,AG115,"Unknown Option Type"))-IF('Adjustment Surface'!$C$2='Data Validation'!$A$2,AG115,IF('Adjustment Surface'!$C$2='Data Validation'!$A$3,AH115,"Unknown Option Type")))/((AI115+0.01%)*SQRT(AE115)),0,1,FALSE))))*AJ115*(AD115/360))-(AL115/AF115))*AF115)*AJ115))</f>
        <v/>
      </c>
      <c r="AP115" s="15" t="str">
        <f>IF(AA115="","",SUM(AO$4:AO115))</f>
        <v/>
      </c>
      <c r="AQ115" s="15"/>
      <c r="AR115" s="20"/>
      <c r="AT115" s="4" t="str">
        <f>IF(AU114=MAX('Adjustment Surface'!$C$14:$F$14),"",AU114)</f>
        <v/>
      </c>
      <c r="AU115" s="4" t="str">
        <f>IF(AT115="","",IF(AT115&lt;EDATE('Adjustment Surface'!$C$6,DATEDIF('Adjustment Surface'!$C$6,MAX('Adjustment Surface'!$C$14:$F$14),"M")),EDATE(AT$5,COUNT(AT$5:AT115)),IF(AT115=EDATE('Adjustment Surface'!$C$6,DATEDIF('Adjustment Surface'!$C$6,MAX('Adjustment Surface'!$C$14:$F$14),"M")),MAX('Adjustment Surface'!$C$14:$F$14),EDATE('Adjustment Surface'!$C$6,DATEDIF('Adjustment Surface'!$C$6,MAX('Adjustment Surface'!$C$14:$F$14),"M")))))</f>
        <v/>
      </c>
      <c r="AV115" s="3" t="str">
        <f t="shared" si="8"/>
        <v/>
      </c>
      <c r="AW115" s="5" t="str">
        <f>IF(AS115="","",(AU115-'Rate &amp; Vol Update'!$C$2)/360)</f>
        <v/>
      </c>
      <c r="AX115" s="15" t="str">
        <f>IF(AS115="","",IF('Adjustment Surface'!$C$3='Data Validation'!$C$2,'Adjustment Surface'!$C$4,_xlfn.IFNA(IF(INDEX(Schedules!$E$3:$E$123,MATCH('Bachelier Model'!AT115,Schedules!$B$3:$B$123,0))="",AX114,INDEX(Schedules!$E$3:$E$123,MATCH('Bachelier Model'!AT115,Schedules!$B$3:$B$123,0))),AX114)))</f>
        <v/>
      </c>
      <c r="AY115" s="16" t="str">
        <f>IF(AS115="","",'Adjustment Surface'!B$16)</f>
        <v/>
      </c>
      <c r="AZ115" s="16" t="str" cm="1">
        <f t="array" ref="AZ115">IF(AS115="","",FORECAST(AT115,INDEX('Rate &amp; Vol Update'!$C$6:$C$127,MATCH(INDEX('Rate &amp; Vol Update'!$B$6:$B$127,MATCH(AT115,'Rate &amp; Vol Update'!$B$6:$B$127,1)),'Rate &amp; Vol Update'!$B$6:$B$127,0)+IF('Adjustment Surface'!$C$11='Data Validation'!$E$3,-1,0)):INDEX('Rate &amp; Vol Update'!$C$6:$C$127,MATCH(INDEX('Rate &amp; Vol Update'!$B$6:$B$127,MATCH(AT115,'Rate &amp; Vol Update'!$B$6:$B$127,1)+1),'Rate &amp; Vol Update'!$B$6:$B$127,0)+IF('Adjustment Surface'!$C$11='Data Validation'!$E$3,-1,0)),INDEX('Rate &amp; Vol Update'!$B$6:$B$127,MATCH(AT115,'Rate &amp; Vol Update'!$B$6:$B$127,1)):INDEX('Rate &amp; Vol Update'!$B$6:$B$127,MATCH(AT115,'Rate &amp; Vol Update'!$B$6:$B$127,1)+1))/100)</f>
        <v/>
      </c>
      <c r="BA115" s="16" t="str" cm="1">
        <f t="array" ref="BA115">IF(AS115="","",IF(AT115&lt;'Rate &amp; Vol Update'!$C$2,0.001%,(1/((INDEX('Rate &amp; Vol Update'!$E$6:$Z$6,1,MATCH(AY115,'Rate &amp; Vol Update'!$E$6:$Z$6,1)+1)-INDEX('Rate &amp; Vol Update'!$E$6:$Z$6,1,MATCH(AY115,'Rate &amp; Vol Update'!$E$6:$Z$6,1)))*(INDEX('Rate &amp; Vol Update'!$B$8:$B$127,MATCH(AT115,'Rate &amp; Vol Update'!$B$8:$B$127,1)+1)-INDEX('Rate &amp; Vol Update'!$B$8:$B$127,MATCH(AT115,'Rate &amp; Vol Update'!$B$8:$B$127,1))))*(INDEX('Rate &amp; Vol Update'!$E$8:$Z$127,MATCH(INDEX('Rate &amp; Vol Update'!$B$8:$B$127,MATCH(AT115,'Rate &amp; Vol Update'!$B$8:$B$127,1)),'Rate &amp; Vol Update'!$B$8:$B$127,0),MATCH(INDEX('Rate &amp; Vol Update'!$E$6:$Z$6,1,MATCH(AY115,'Rate &amp; Vol Update'!$E$6:$Z$6,1)),'Rate &amp; Vol Update'!$E$6:$Z$6,0))*(INDEX('Rate &amp; Vol Update'!$E$6:$Z$6,1,MATCH(AY115,'Rate &amp; Vol Update'!$E$6:$Z$6,1)+1)-AY115)*(INDEX('Rate &amp; Vol Update'!$B$8:$B$127,MATCH(AT115,'Rate &amp; Vol Update'!$B$8:$B$127,1)+1)-AT115)+INDEX('Rate &amp; Vol Update'!$E$8:$Z$127,MATCH(INDEX('Rate &amp; Vol Update'!$B$8:$B$127,MATCH(AT115,'Rate &amp; Vol Update'!$B$8:$B$127,1)),'Rate &amp; Vol Update'!$B$8:$B$127,0),MATCH(INDEX('Rate &amp; Vol Update'!$E$6:$Z$6,1,MATCH(AY115,'Rate &amp; Vol Update'!$E$6:$Z$6,1)+1),'Rate &amp; Vol Update'!$E$6:$Z$6,0))*(AY115-INDEX('Rate &amp; Vol Update'!$E$6:$Z$6,1,MATCH(AY115,'Rate &amp; Vol Update'!$E$6:$Z$6,1)))*(INDEX('Rate &amp; Vol Update'!$B$8:$B$127,MATCH(AT115,'Rate &amp; Vol Update'!$B$8:$B$127,1)+1)-AT115)+INDEX('Rate &amp; Vol Update'!$E$8:$Z$127,MATCH(INDEX('Rate &amp; Vol Update'!$B$8:$B$127,MATCH(AT115,'Rate &amp; Vol Update'!$B$8:$B$127,1)+1),'Rate &amp; Vol Update'!$B$8:$B$127,0),MATCH(INDEX('Rate &amp; Vol Update'!$E$6:$Z$6,1,MATCH(AY115,'Rate &amp; Vol Update'!$E$6:$Z$6,1)),'Rate &amp; Vol Update'!$E$6:$Z$6,0))*(INDEX('Rate &amp; Vol Update'!$E$6:$Z$6,1,MATCH(AY115,'Rate &amp; Vol Update'!$E$6:$Z$6,1)+1)-AY115)*(AT115-INDEX('Rate &amp; Vol Update'!$B$8:$B$127,MATCH(AT115,'Rate &amp; Vol Update'!$B$8:$B$127,1)))+INDEX('Rate &amp; Vol Update'!$E$8:$Z$127,MATCH(INDEX('Rate &amp; Vol Update'!$B$8:$B$127,MATCH(AT115,'Rate &amp; Vol Update'!$B$8:$B$127,1)+1),'Rate &amp; Vol Update'!$B$8:$B$127,0),MATCH(INDEX('Rate &amp; Vol Update'!$E$6:$Z$6,1,MATCH(AY115,'Rate &amp; Vol Update'!$E$6:$Z$6,1)+1),'Rate &amp; Vol Update'!$E$6:$Z$6,0))*(AY115-INDEX('Rate &amp; Vol Update'!$E$6:$Z$6,1,MATCH(AY115,'Rate &amp; Vol Update'!$E$6:$Z$6,1)))*(AT115-INDEX('Rate &amp; Vol Update'!$B$8:$B$127,MATCH(AT115,'Rate &amp; Vol Update'!$B$8:$B$127,1)))))*0.01%))</f>
        <v/>
      </c>
      <c r="BB115" s="5" t="str">
        <f>IF(AS115="","",1/((1+AZ115)^((AU115-'Rate &amp; Vol Update'!$C$2)/360)))</f>
        <v/>
      </c>
      <c r="BD115" s="15" t="str">
        <f>IF(AS115="","",IF(AT115&lt;'Rate &amp; Vol Update'!$C$2,MAX(0,AZ115-AY115)*(AV115/360)*AX115,(((IF('Adjustment Surface'!$C$2='Data Validation'!$A$2,AZ115,IF('Adjustment Surface'!$C$2='Data Validation'!$A$3,AY115,"Unknown Option Type"))-IF('Adjustment Surface'!$C$2='Data Validation'!$A$2,AY115,IF('Adjustment Surface'!$C$2='Data Validation'!$A$3,AZ115,"Unknown Option Type")))*(NORMDIST((IF('Adjustment Surface'!$C$2='Data Validation'!$A$2,AZ115,IF('Adjustment Surface'!$C$2='Data Validation'!$A$3,AY115,"Unknown Option Type"))-IF('Adjustment Surface'!$C$2='Data Validation'!$A$2,AY115,IF('Adjustment Surface'!$C$2='Data Validation'!$A$3,AZ115,"Unknown Option Type")))/(BA115*SQRT(AW115)),0,1,TRUE)))+((BA115*SQRT(AW115))*(NORMDIST((IF('Adjustment Surface'!$C$2='Data Validation'!$A$2,AZ115,IF('Adjustment Surface'!$C$2='Data Validation'!$A$3,AY115,"Unknown Option Type"))-IF('Adjustment Surface'!$C$2='Data Validation'!$A$2,AY115,IF('Adjustment Surface'!$C$2='Data Validation'!$A$3,AZ115,"Unknown Option Type")))/(BA115*SQRT(AW115)),0,1,FALSE))))*BB115*(AV115/360)*AX115))</f>
        <v/>
      </c>
      <c r="BE115" s="15" t="str">
        <f>IF(AS115="","",SUM(BD$4:BD115))</f>
        <v/>
      </c>
      <c r="BG115" s="15" t="str">
        <f>IF(AS115="","",IF(AT115&lt;'Rate &amp; Vol Update'!$C$2,0,((((((IF('Adjustment Surface'!$C$2='Data Validation'!$A$2,AZ115,IF('Adjustment Surface'!$C$2='Data Validation'!$A$3,AY115,"Unknown Option Type"))-IF('Adjustment Surface'!$C$2='Data Validation'!$A$2,AY115,IF('Adjustment Surface'!$C$2='Data Validation'!$A$3,AZ115,"Unknown Option Type")))*(NORMDIST((IF('Adjustment Surface'!$C$2='Data Validation'!$A$2,AZ115,IF('Adjustment Surface'!$C$2='Data Validation'!$A$3,AY115,"Unknown Option Type"))-IF('Adjustment Surface'!$C$2='Data Validation'!$A$2,AY115,IF('Adjustment Surface'!$C$2='Data Validation'!$A$3,AZ115,"Unknown Option Type")))/((BA115+0.01%)*SQRT(AW115)),0,1,TRUE)))+(((BA115+0.01%)*SQRT(AW115))*(NORMDIST((IF('Adjustment Surface'!$C$2='Data Validation'!$A$2,AZ115,IF('Adjustment Surface'!$C$2='Data Validation'!$A$3,AY115,"Unknown Option Type"))-IF('Adjustment Surface'!$C$2='Data Validation'!$A$2,AY115,IF('Adjustment Surface'!$C$2='Data Validation'!$A$3,AZ115,"Unknown Option Type")))/((BA115+0.01%)*SQRT(AW115)),0,1,FALSE))))*BB115*(AV115/360))-(BD115/AX115))*AX115)*BB115))</f>
        <v/>
      </c>
      <c r="BH115" s="15" t="str">
        <f>IF(AS115="","",SUM(BG$4:BG115))</f>
        <v/>
      </c>
      <c r="BI115" s="15"/>
      <c r="BJ115" s="20"/>
      <c r="BL115" s="4" t="str">
        <f>IF(BM114=MAX('Adjustment Surface'!$C$14:$F$14),"",BM114)</f>
        <v/>
      </c>
      <c r="BM115" s="4" t="str">
        <f>IF(BL115="","",IF(BL115&lt;EDATE('Adjustment Surface'!$C$6,DATEDIF('Adjustment Surface'!$C$6,MAX('Adjustment Surface'!$C$14:$F$14),"M")),EDATE(BL$5,COUNT(BL$5:BL115)),IF(BL115=EDATE('Adjustment Surface'!$C$6,DATEDIF('Adjustment Surface'!$C$6,MAX('Adjustment Surface'!$C$14:$F$14),"M")),MAX('Adjustment Surface'!$C$14:$F$14),EDATE('Adjustment Surface'!$C$6,DATEDIF('Adjustment Surface'!$C$6,MAX('Adjustment Surface'!$C$14:$F$14),"M")))))</f>
        <v/>
      </c>
      <c r="BN115" s="3" t="str">
        <f t="shared" si="9"/>
        <v/>
      </c>
      <c r="BO115" s="5" t="str">
        <f>IF(BK115="","",(BM115-'Rate &amp; Vol Update'!$C$2)/360)</f>
        <v/>
      </c>
      <c r="BP115" s="15" t="str">
        <f>IF(BK115="","",IF('Adjustment Surface'!$C$3='Data Validation'!$C$2,'Adjustment Surface'!$C$4,_xlfn.IFNA(IF(INDEX(Schedules!$E$3:$E$123,MATCH('Bachelier Model'!BL115,Schedules!$B$3:$B$123,0))="",BP114,INDEX(Schedules!$E$3:$E$123,MATCH('Bachelier Model'!BL115,Schedules!$B$3:$B$123,0))),BP114)))</f>
        <v/>
      </c>
      <c r="BQ115" s="16" t="str">
        <f>IF(BK115="","",'Adjustment Surface'!B$17)</f>
        <v/>
      </c>
      <c r="BR115" s="16" t="str" cm="1">
        <f t="array" ref="BR115">IF(BK115="","",FORECAST(BL115,INDEX('Rate &amp; Vol Update'!$C$6:$C$127,MATCH(INDEX('Rate &amp; Vol Update'!$B$6:$B$127,MATCH(BL115,'Rate &amp; Vol Update'!$B$6:$B$127,1)),'Rate &amp; Vol Update'!$B$6:$B$127,0)+IF('Adjustment Surface'!$C$11='Data Validation'!$E$3,-1,0)):INDEX('Rate &amp; Vol Update'!$C$6:$C$127,MATCH(INDEX('Rate &amp; Vol Update'!$B$6:$B$127,MATCH(BL115,'Rate &amp; Vol Update'!$B$6:$B$127,1)+1),'Rate &amp; Vol Update'!$B$6:$B$127,0)+IF('Adjustment Surface'!$C$11='Data Validation'!$E$3,-1,0)),INDEX('Rate &amp; Vol Update'!$B$6:$B$127,MATCH(BL115,'Rate &amp; Vol Update'!$B$6:$B$127,1)):INDEX('Rate &amp; Vol Update'!$B$6:$B$127,MATCH(BL115,'Rate &amp; Vol Update'!$B$6:$B$127,1)+1))/100)</f>
        <v/>
      </c>
      <c r="BS115" s="16" t="str" cm="1">
        <f t="array" ref="BS115">IF(BK115="","",IF(BL115&lt;'Rate &amp; Vol Update'!$C$2,0.001%,(1/((INDEX('Rate &amp; Vol Update'!$E$6:$Z$6,1,MATCH(BQ115,'Rate &amp; Vol Update'!$E$6:$Z$6,1)+1)-INDEX('Rate &amp; Vol Update'!$E$6:$Z$6,1,MATCH(BQ115,'Rate &amp; Vol Update'!$E$6:$Z$6,1)))*(INDEX('Rate &amp; Vol Update'!$B$8:$B$127,MATCH(BL115,'Rate &amp; Vol Update'!$B$8:$B$127,1)+1)-INDEX('Rate &amp; Vol Update'!$B$8:$B$127,MATCH(BL115,'Rate &amp; Vol Update'!$B$8:$B$127,1))))*(INDEX('Rate &amp; Vol Update'!$E$8:$Z$127,MATCH(INDEX('Rate &amp; Vol Update'!$B$8:$B$127,MATCH(BL115,'Rate &amp; Vol Update'!$B$8:$B$127,1)),'Rate &amp; Vol Update'!$B$8:$B$127,0),MATCH(INDEX('Rate &amp; Vol Update'!$E$6:$Z$6,1,MATCH(BQ115,'Rate &amp; Vol Update'!$E$6:$Z$6,1)),'Rate &amp; Vol Update'!$E$6:$Z$6,0))*(INDEX('Rate &amp; Vol Update'!$E$6:$Z$6,1,MATCH(BQ115,'Rate &amp; Vol Update'!$E$6:$Z$6,1)+1)-BQ115)*(INDEX('Rate &amp; Vol Update'!$B$8:$B$127,MATCH(BL115,'Rate &amp; Vol Update'!$B$8:$B$127,1)+1)-BL115)+INDEX('Rate &amp; Vol Update'!$E$8:$Z$127,MATCH(INDEX('Rate &amp; Vol Update'!$B$8:$B$127,MATCH(BL115,'Rate &amp; Vol Update'!$B$8:$B$127,1)),'Rate &amp; Vol Update'!$B$8:$B$127,0),MATCH(INDEX('Rate &amp; Vol Update'!$E$6:$Z$6,1,MATCH(BQ115,'Rate &amp; Vol Update'!$E$6:$Z$6,1)+1),'Rate &amp; Vol Update'!$E$6:$Z$6,0))*(BQ115-INDEX('Rate &amp; Vol Update'!$E$6:$Z$6,1,MATCH(BQ115,'Rate &amp; Vol Update'!$E$6:$Z$6,1)))*(INDEX('Rate &amp; Vol Update'!$B$8:$B$127,MATCH(BL115,'Rate &amp; Vol Update'!$B$8:$B$127,1)+1)-BL115)+INDEX('Rate &amp; Vol Update'!$E$8:$Z$127,MATCH(INDEX('Rate &amp; Vol Update'!$B$8:$B$127,MATCH(BL115,'Rate &amp; Vol Update'!$B$8:$B$127,1)+1),'Rate &amp; Vol Update'!$B$8:$B$127,0),MATCH(INDEX('Rate &amp; Vol Update'!$E$6:$Z$6,1,MATCH(BQ115,'Rate &amp; Vol Update'!$E$6:$Z$6,1)),'Rate &amp; Vol Update'!$E$6:$Z$6,0))*(INDEX('Rate &amp; Vol Update'!$E$6:$Z$6,1,MATCH(BQ115,'Rate &amp; Vol Update'!$E$6:$Z$6,1)+1)-BQ115)*(BL115-INDEX('Rate &amp; Vol Update'!$B$8:$B$127,MATCH(BL115,'Rate &amp; Vol Update'!$B$8:$B$127,1)))+INDEX('Rate &amp; Vol Update'!$E$8:$Z$127,MATCH(INDEX('Rate &amp; Vol Update'!$B$8:$B$127,MATCH(BL115,'Rate &amp; Vol Update'!$B$8:$B$127,1)+1),'Rate &amp; Vol Update'!$B$8:$B$127,0),MATCH(INDEX('Rate &amp; Vol Update'!$E$6:$Z$6,1,MATCH(BQ115,'Rate &amp; Vol Update'!$E$6:$Z$6,1)+1),'Rate &amp; Vol Update'!$E$6:$Z$6,0))*(BQ115-INDEX('Rate &amp; Vol Update'!$E$6:$Z$6,1,MATCH(BQ115,'Rate &amp; Vol Update'!$E$6:$Z$6,1)))*(BL115-INDEX('Rate &amp; Vol Update'!$B$8:$B$127,MATCH(BL115,'Rate &amp; Vol Update'!$B$8:$B$127,1)))))*0.01%))</f>
        <v/>
      </c>
      <c r="BT115" s="5" t="str">
        <f>IF(BK115="","",1/((1+BR115)^((BM115-'Rate &amp; Vol Update'!$C$2)/360)))</f>
        <v/>
      </c>
      <c r="BV115" s="15" t="str">
        <f>IF(BK115="","",IF(BL115&lt;'Rate &amp; Vol Update'!$C$2,MAX(0,BR115-BQ115)*(BN115/360)*BP115,(((IF('Adjustment Surface'!$C$2='Data Validation'!$A$2,BR115,IF('Adjustment Surface'!$C$2='Data Validation'!$A$3,BQ115,"Unknown Option Type"))-IF('Adjustment Surface'!$C$2='Data Validation'!$A$2,BQ115,IF('Adjustment Surface'!$C$2='Data Validation'!$A$3,BR115,"Unknown Option Type")))*(NORMDIST((IF('Adjustment Surface'!$C$2='Data Validation'!$A$2,BR115,IF('Adjustment Surface'!$C$2='Data Validation'!$A$3,BQ115,"Unknown Option Type"))-IF('Adjustment Surface'!$C$2='Data Validation'!$A$2,BQ115,IF('Adjustment Surface'!$C$2='Data Validation'!$A$3,BR115,"Unknown Option Type")))/(BS115*SQRT(BO115)),0,1,TRUE)))+((BS115*SQRT(BO115))*(NORMDIST((IF('Adjustment Surface'!$C$2='Data Validation'!$A$2,BR115,IF('Adjustment Surface'!$C$2='Data Validation'!$A$3,BQ115,"Unknown Option Type"))-IF('Adjustment Surface'!$C$2='Data Validation'!$A$2,BQ115,IF('Adjustment Surface'!$C$2='Data Validation'!$A$3,BR115,"Unknown Option Type")))/(BS115*SQRT(BO115)),0,1,FALSE))))*BT115*(BN115/360)*BP115))</f>
        <v/>
      </c>
      <c r="BW115" s="15" t="str">
        <f>IF(BK115="","",SUM(BV$4:BV115))</f>
        <v/>
      </c>
      <c r="BY115" s="15" t="str">
        <f>IF(BK115="","",IF(BL115&lt;'Rate &amp; Vol Update'!$C$2,0,((((((IF('Adjustment Surface'!$C$2='Data Validation'!$A$2,BR115,IF('Adjustment Surface'!$C$2='Data Validation'!$A$3,BQ115,"Unknown Option Type"))-IF('Adjustment Surface'!$C$2='Data Validation'!$A$2,BQ115,IF('Adjustment Surface'!$C$2='Data Validation'!$A$3,BR115,"Unknown Option Type")))*(NORMDIST((IF('Adjustment Surface'!$C$2='Data Validation'!$A$2,BR115,IF('Adjustment Surface'!$C$2='Data Validation'!$A$3,BQ115,"Unknown Option Type"))-IF('Adjustment Surface'!$C$2='Data Validation'!$A$2,BQ115,IF('Adjustment Surface'!$C$2='Data Validation'!$A$3,BR115,"Unknown Option Type")))/((BS115+0.01%)*SQRT(BO115)),0,1,TRUE)))+(((BS115+0.01%)*SQRT(BO115))*(NORMDIST((IF('Adjustment Surface'!$C$2='Data Validation'!$A$2,BR115,IF('Adjustment Surface'!$C$2='Data Validation'!$A$3,BQ115,"Unknown Option Type"))-IF('Adjustment Surface'!$C$2='Data Validation'!$A$2,BQ115,IF('Adjustment Surface'!$C$2='Data Validation'!$A$3,BR115,"Unknown Option Type")))/((BS115+0.01%)*SQRT(BO115)),0,1,FALSE))))*BT115*(BN115/360))-(BV115/BP115))*BP115)*BT115))</f>
        <v/>
      </c>
      <c r="BZ115" s="15" t="str">
        <f>IF(BK115="","",SUM(BY$4:BY115))</f>
        <v/>
      </c>
      <c r="CA115" s="15"/>
      <c r="CB115" s="20"/>
      <c r="CD115" s="4" t="str">
        <f>IF(CE114=MAX('Adjustment Surface'!$C$14:$F$14),"",CE114)</f>
        <v/>
      </c>
      <c r="CE115" s="4" t="str">
        <f>IF(CD115="","",IF(CD115&lt;EDATE('Adjustment Surface'!$C$6,DATEDIF('Adjustment Surface'!$C$6,MAX('Adjustment Surface'!$C$14:$F$14),"M")),EDATE(CD$5,COUNT(CD$5:CD115)),IF(CD115=EDATE('Adjustment Surface'!$C$6,DATEDIF('Adjustment Surface'!$C$6,MAX('Adjustment Surface'!$C$14:$F$14),"M")),MAX('Adjustment Surface'!$C$14:$F$14),EDATE('Adjustment Surface'!$C$6,DATEDIF('Adjustment Surface'!$C$6,MAX('Adjustment Surface'!$C$14:$F$14),"M")))))</f>
        <v/>
      </c>
      <c r="CF115" s="3" t="str">
        <f t="shared" si="10"/>
        <v/>
      </c>
      <c r="CG115" s="5" t="str">
        <f>IF(CC115="","",(CE115-'Rate &amp; Vol Update'!$C$2)/360)</f>
        <v/>
      </c>
      <c r="CH115" s="15" t="str">
        <f>IF(CC115="","",IF('Adjustment Surface'!$C$3='Data Validation'!$C$2,'Adjustment Surface'!$C$4,_xlfn.IFNA(IF(INDEX(Schedules!$E$3:$E$123,MATCH('Bachelier Model'!CD115,Schedules!$B$3:$B$123,0))="",CH114,INDEX(Schedules!$E$3:$E$123,MATCH('Bachelier Model'!CD115,Schedules!$B$3:$B$123,0))),CH114)))</f>
        <v/>
      </c>
      <c r="CI115" s="16" t="str">
        <f>IF(CC115="","",'Adjustment Surface'!B$18)</f>
        <v/>
      </c>
      <c r="CJ115" s="16" t="str" cm="1">
        <f t="array" ref="CJ115">IF(CC115="","",FORECAST(CD115,INDEX('Rate &amp; Vol Update'!$C$6:$C$127,MATCH(INDEX('Rate &amp; Vol Update'!$B$6:$B$127,MATCH(CD115,'Rate &amp; Vol Update'!$B$6:$B$127,1)),'Rate &amp; Vol Update'!$B$6:$B$127,0)+IF('Adjustment Surface'!$C$11='Data Validation'!$E$3,-1,0)):INDEX('Rate &amp; Vol Update'!$C$6:$C$127,MATCH(INDEX('Rate &amp; Vol Update'!$B$6:$B$127,MATCH(CD115,'Rate &amp; Vol Update'!$B$6:$B$127,1)+1),'Rate &amp; Vol Update'!$B$6:$B$127,0)+IF('Adjustment Surface'!$C$11='Data Validation'!$E$3,-1,0)),INDEX('Rate &amp; Vol Update'!$B$6:$B$127,MATCH(CD115,'Rate &amp; Vol Update'!$B$6:$B$127,1)):INDEX('Rate &amp; Vol Update'!$B$6:$B$127,MATCH(CD115,'Rate &amp; Vol Update'!$B$6:$B$127,1)+1))/100)</f>
        <v/>
      </c>
      <c r="CK115" s="16" t="str" cm="1">
        <f t="array" ref="CK115">IF(CC115="","",IF(CD115&lt;'Rate &amp; Vol Update'!$C$2,0.001%,(1/((INDEX('Rate &amp; Vol Update'!$E$6:$Z$6,1,MATCH(CI115,'Rate &amp; Vol Update'!$E$6:$Z$6,1)+1)-INDEX('Rate &amp; Vol Update'!$E$6:$Z$6,1,MATCH(CI115,'Rate &amp; Vol Update'!$E$6:$Z$6,1)))*(INDEX('Rate &amp; Vol Update'!$B$8:$B$127,MATCH(CD115,'Rate &amp; Vol Update'!$B$8:$B$127,1)+1)-INDEX('Rate &amp; Vol Update'!$B$8:$B$127,MATCH(CD115,'Rate &amp; Vol Update'!$B$8:$B$127,1))))*(INDEX('Rate &amp; Vol Update'!$E$8:$Z$127,MATCH(INDEX('Rate &amp; Vol Update'!$B$8:$B$127,MATCH(CD115,'Rate &amp; Vol Update'!$B$8:$B$127,1)),'Rate &amp; Vol Update'!$B$8:$B$127,0),MATCH(INDEX('Rate &amp; Vol Update'!$E$6:$Z$6,1,MATCH(CI115,'Rate &amp; Vol Update'!$E$6:$Z$6,1)),'Rate &amp; Vol Update'!$E$6:$Z$6,0))*(INDEX('Rate &amp; Vol Update'!$E$6:$Z$6,1,MATCH(CI115,'Rate &amp; Vol Update'!$E$6:$Z$6,1)+1)-CI115)*(INDEX('Rate &amp; Vol Update'!$B$8:$B$127,MATCH(CD115,'Rate &amp; Vol Update'!$B$8:$B$127,1)+1)-CD115)+INDEX('Rate &amp; Vol Update'!$E$8:$Z$127,MATCH(INDEX('Rate &amp; Vol Update'!$B$8:$B$127,MATCH(CD115,'Rate &amp; Vol Update'!$B$8:$B$127,1)),'Rate &amp; Vol Update'!$B$8:$B$127,0),MATCH(INDEX('Rate &amp; Vol Update'!$E$6:$Z$6,1,MATCH(CI115,'Rate &amp; Vol Update'!$E$6:$Z$6,1)+1),'Rate &amp; Vol Update'!$E$6:$Z$6,0))*(CI115-INDEX('Rate &amp; Vol Update'!$E$6:$Z$6,1,MATCH(CI115,'Rate &amp; Vol Update'!$E$6:$Z$6,1)))*(INDEX('Rate &amp; Vol Update'!$B$8:$B$127,MATCH(CD115,'Rate &amp; Vol Update'!$B$8:$B$127,1)+1)-CD115)+INDEX('Rate &amp; Vol Update'!$E$8:$Z$127,MATCH(INDEX('Rate &amp; Vol Update'!$B$8:$B$127,MATCH(CD115,'Rate &amp; Vol Update'!$B$8:$B$127,1)+1),'Rate &amp; Vol Update'!$B$8:$B$127,0),MATCH(INDEX('Rate &amp; Vol Update'!$E$6:$Z$6,1,MATCH(CI115,'Rate &amp; Vol Update'!$E$6:$Z$6,1)),'Rate &amp; Vol Update'!$E$6:$Z$6,0))*(INDEX('Rate &amp; Vol Update'!$E$6:$Z$6,1,MATCH(CI115,'Rate &amp; Vol Update'!$E$6:$Z$6,1)+1)-CI115)*(CD115-INDEX('Rate &amp; Vol Update'!$B$8:$B$127,MATCH(CD115,'Rate &amp; Vol Update'!$B$8:$B$127,1)))+INDEX('Rate &amp; Vol Update'!$E$8:$Z$127,MATCH(INDEX('Rate &amp; Vol Update'!$B$8:$B$127,MATCH(CD115,'Rate &amp; Vol Update'!$B$8:$B$127,1)+1),'Rate &amp; Vol Update'!$B$8:$B$127,0),MATCH(INDEX('Rate &amp; Vol Update'!$E$6:$Z$6,1,MATCH(CI115,'Rate &amp; Vol Update'!$E$6:$Z$6,1)+1),'Rate &amp; Vol Update'!$E$6:$Z$6,0))*(CI115-INDEX('Rate &amp; Vol Update'!$E$6:$Z$6,1,MATCH(CI115,'Rate &amp; Vol Update'!$E$6:$Z$6,1)))*(CD115-INDEX('Rate &amp; Vol Update'!$B$8:$B$127,MATCH(CD115,'Rate &amp; Vol Update'!$B$8:$B$127,1)))))*0.01%))</f>
        <v/>
      </c>
      <c r="CL115" s="5" t="str">
        <f>IF(CC115="","",1/((1+CJ115)^((CE115-'Rate &amp; Vol Update'!$C$2)/360)))</f>
        <v/>
      </c>
      <c r="CN115" s="15" t="str">
        <f>IF(CC115="","",IF(CD115&lt;'Rate &amp; Vol Update'!$C$2,MAX(0,CJ115-CI115)*(CF115/360)*CH115,(((IF('Adjustment Surface'!$C$2='Data Validation'!$A$2,CJ115,IF('Adjustment Surface'!$C$2='Data Validation'!$A$3,CI115,"Unknown Option Type"))-IF('Adjustment Surface'!$C$2='Data Validation'!$A$2,CI115,IF('Adjustment Surface'!$C$2='Data Validation'!$A$3,CJ115,"Unknown Option Type")))*(NORMDIST((IF('Adjustment Surface'!$C$2='Data Validation'!$A$2,CJ115,IF('Adjustment Surface'!$C$2='Data Validation'!$A$3,CI115,"Unknown Option Type"))-IF('Adjustment Surface'!$C$2='Data Validation'!$A$2,CI115,IF('Adjustment Surface'!$C$2='Data Validation'!$A$3,CJ115,"Unknown Option Type")))/(CK115*SQRT(CG115)),0,1,TRUE)))+((CK115*SQRT(CG115))*(NORMDIST((IF('Adjustment Surface'!$C$2='Data Validation'!$A$2,CJ115,IF('Adjustment Surface'!$C$2='Data Validation'!$A$3,CI115,"Unknown Option Type"))-IF('Adjustment Surface'!$C$2='Data Validation'!$A$2,CI115,IF('Adjustment Surface'!$C$2='Data Validation'!$A$3,CJ115,"Unknown Option Type")))/(CK115*SQRT(CG115)),0,1,FALSE))))*CL115*(CF115/360)*CH115))</f>
        <v/>
      </c>
      <c r="CO115" s="15" t="str">
        <f>IF(CC115="","",SUM(CN$4:CN115))</f>
        <v/>
      </c>
      <c r="CQ115" s="15" t="str">
        <f>IF(CC115="","",IF(CD115&lt;'Rate &amp; Vol Update'!$C$2,0,((((((IF('Adjustment Surface'!$C$2='Data Validation'!$A$2,CJ115,IF('Adjustment Surface'!$C$2='Data Validation'!$A$3,CI115,"Unknown Option Type"))-IF('Adjustment Surface'!$C$2='Data Validation'!$A$2,CI115,IF('Adjustment Surface'!$C$2='Data Validation'!$A$3,CJ115,"Unknown Option Type")))*(NORMDIST((IF('Adjustment Surface'!$C$2='Data Validation'!$A$2,CJ115,IF('Adjustment Surface'!$C$2='Data Validation'!$A$3,CI115,"Unknown Option Type"))-IF('Adjustment Surface'!$C$2='Data Validation'!$A$2,CI115,IF('Adjustment Surface'!$C$2='Data Validation'!$A$3,CJ115,"Unknown Option Type")))/((CK115+0.01%)*SQRT(CG115)),0,1,TRUE)))+(((CK115+0.01%)*SQRT(CG115))*(NORMDIST((IF('Adjustment Surface'!$C$2='Data Validation'!$A$2,CJ115,IF('Adjustment Surface'!$C$2='Data Validation'!$A$3,CI115,"Unknown Option Type"))-IF('Adjustment Surface'!$C$2='Data Validation'!$A$2,CI115,IF('Adjustment Surface'!$C$2='Data Validation'!$A$3,CJ115,"Unknown Option Type")))/((CK115+0.01%)*SQRT(CG115)),0,1,FALSE))))*CL115*(CF115/360))-(CN115/CH115))*CH115)*CL115))</f>
        <v/>
      </c>
      <c r="CR115" s="15" t="str">
        <f>IF(CC115="","",SUM(CQ$4:CQ115))</f>
        <v/>
      </c>
    </row>
    <row r="116" spans="7:96" x14ac:dyDescent="0.25">
      <c r="G116" s="28"/>
      <c r="J116" s="4" t="str">
        <f>IF(K115='Adjustment Surface'!C$8,"",K115)</f>
        <v/>
      </c>
      <c r="K116" s="4" t="str">
        <f>IF(J116="","",IF(J116&lt;'Adjustment Surface'!C$7,EDATE(J$5,COUNT(J$5:J116)),IF(J116='Adjustment Surface'!C$7,'Adjustment Surface'!C$8,'Adjustment Surface'!C$7)))</f>
        <v/>
      </c>
      <c r="L116" s="3" t="str">
        <f t="shared" si="6"/>
        <v/>
      </c>
      <c r="M116" s="5" t="str">
        <f>IF(I116="","",(K116-'Rate &amp; Vol Update'!$C$2)/360)</f>
        <v/>
      </c>
      <c r="N116" s="15" t="str">
        <f>IF(I116="","",IF('Adjustment Surface'!C$3='Data Validation'!$C$2,'Adjustment Surface'!C$4,IF(INDEX(Schedules!$E$3:$E$123,MATCH('Bachelier Model'!J116,Schedules!$B$3:$B$123,0))="",N115,INDEX(Schedules!$E$3:$E$123,MATCH('Bachelier Model'!J116,Schedules!$B$3:$B$123,0)))))</f>
        <v/>
      </c>
      <c r="O116" s="16" t="str">
        <f>IF(I116="","",IF('Adjustment Surface'!C$9='Data Validation'!$D$2,'Adjustment Surface'!C$10,IF(INDEX(Schedules!$H$3:$H$123,MATCH('Bachelier Model'!J116,Schedules!$B$3:$B$123,0))="",O115,INDEX(Schedules!$H$3:$H$123,MATCH('Bachelier Model'!J116,Schedules!$B$3:$B$123,0)))))</f>
        <v/>
      </c>
      <c r="P116" s="16" t="str" cm="1">
        <f t="array" ref="P116">IF(I116="","",FORECAST(J116,INDEX('Rate &amp; Vol Update'!$C$6:$C$127,MATCH(INDEX('Rate &amp; Vol Update'!$B$6:$B$127,MATCH(J116,'Rate &amp; Vol Update'!$B$6:$B$127,1)),'Rate &amp; Vol Update'!$B$6:$B$127,0)+IF('Adjustment Surface'!C$11='Data Validation'!$E$3,-1,0)):INDEX('Rate &amp; Vol Update'!$C$6:$C$127,MATCH(INDEX('Rate &amp; Vol Update'!$B$6:$B$127,MATCH(J116,'Rate &amp; Vol Update'!$B$6:$B$127,1)+1),'Rate &amp; Vol Update'!$B$6:$B$127,0)+IF('Adjustment Surface'!C$11='Data Validation'!$E$3,-1,0)),INDEX('Rate &amp; Vol Update'!$B$6:$B$127,MATCH(J116,'Rate &amp; Vol Update'!$B$6:$B$127,1)):INDEX('Rate &amp; Vol Update'!$B$6:$B$127,MATCH(J116,'Rate &amp; Vol Update'!$B$6:$B$127,1)+1))/100)</f>
        <v/>
      </c>
      <c r="Q116" s="16" t="str" cm="1">
        <f t="array" ref="Q116">IF(I116="","",IF(J116&lt;'Rate &amp; Vol Update'!$C$2,0.001%,(1/((INDEX('Rate &amp; Vol Update'!$E$6:$Z$6,1,MATCH(O116,'Rate &amp; Vol Update'!$E$6:$Z$6,1)+1)-INDEX('Rate &amp; Vol Update'!$E$6:$Z$6,1,MATCH(O116,'Rate &amp; Vol Update'!$E$6:$Z$6,1)))*(INDEX('Rate &amp; Vol Update'!$B$8:$B$127,MATCH(J116,'Rate &amp; Vol Update'!$B$8:$B$127,1)+1)-INDEX('Rate &amp; Vol Update'!$B$8:$B$127,MATCH(J116,'Rate &amp; Vol Update'!$B$8:$B$127,1))))*(INDEX('Rate &amp; Vol Update'!$E$8:$Z$127,MATCH(INDEX('Rate &amp; Vol Update'!$B$8:$B$127,MATCH(J116,'Rate &amp; Vol Update'!$B$8:$B$127,1)),'Rate &amp; Vol Update'!$B$8:$B$127,0),MATCH(INDEX('Rate &amp; Vol Update'!$E$6:$Z$6,1,MATCH(O116,'Rate &amp; Vol Update'!$E$6:$Z$6,1)),'Rate &amp; Vol Update'!$E$6:$Z$6,0))*(INDEX('Rate &amp; Vol Update'!$E$6:$Z$6,1,MATCH(O116,'Rate &amp; Vol Update'!$E$6:$Z$6,1)+1)-O116)*(INDEX('Rate &amp; Vol Update'!$B$8:$B$127,MATCH(J116,'Rate &amp; Vol Update'!$B$8:$B$127,1)+1)-J116)+INDEX('Rate &amp; Vol Update'!$E$8:$Z$127,MATCH(INDEX('Rate &amp; Vol Update'!$B$8:$B$127,MATCH(J116,'Rate &amp; Vol Update'!$B$8:$B$127,1)),'Rate &amp; Vol Update'!$B$8:$B$127,0),MATCH(INDEX('Rate &amp; Vol Update'!$E$6:$Z$6,1,MATCH(O116,'Rate &amp; Vol Update'!$E$6:$Z$6,1)+1),'Rate &amp; Vol Update'!$E$6:$Z$6,0))*(O116-INDEX('Rate &amp; Vol Update'!$E$6:$Z$6,1,MATCH(O116,'Rate &amp; Vol Update'!$E$6:$Z$6,1)))*(INDEX('Rate &amp; Vol Update'!$B$8:$B$127,MATCH(J116,'Rate &amp; Vol Update'!$B$8:$B$127,1)+1)-J116)+INDEX('Rate &amp; Vol Update'!$E$8:$Z$127,MATCH(INDEX('Rate &amp; Vol Update'!$B$8:$B$127,MATCH(J116,'Rate &amp; Vol Update'!$B$8:$B$127,1)+1),'Rate &amp; Vol Update'!$B$8:$B$127,0),MATCH(INDEX('Rate &amp; Vol Update'!$E$6:$Z$6,1,MATCH(O116,'Rate &amp; Vol Update'!$E$6:$Z$6,1)),'Rate &amp; Vol Update'!$E$6:$Z$6,0))*(INDEX('Rate &amp; Vol Update'!$E$6:$Z$6,1,MATCH(O116,'Rate &amp; Vol Update'!$E$6:$Z$6,1)+1)-O116)*(J116-INDEX('Rate &amp; Vol Update'!$B$8:$B$127,MATCH(J116,'Rate &amp; Vol Update'!$B$8:$B$127,1)))+INDEX('Rate &amp; Vol Update'!$E$8:$Z$127,MATCH(INDEX('Rate &amp; Vol Update'!$B$8:$B$127,MATCH(J116,'Rate &amp; Vol Update'!$B$8:$B$127,1)+1),'Rate &amp; Vol Update'!$B$8:$B$127,0),MATCH(INDEX('Rate &amp; Vol Update'!$E$6:$Z$6,1,MATCH(O116,'Rate &amp; Vol Update'!$E$6:$Z$6,1)+1),'Rate &amp; Vol Update'!$E$6:$Z$6,0))*(O116-INDEX('Rate &amp; Vol Update'!$E$6:$Z$6,1,MATCH(O116,'Rate &amp; Vol Update'!$E$6:$Z$6,1)))*(J116-INDEX('Rate &amp; Vol Update'!$B$8:$B$127,MATCH(J116,'Rate &amp; Vol Update'!$B$8:$B$127,1)))))*0.01%))</f>
        <v/>
      </c>
      <c r="R116" s="5" t="str">
        <f>IF(I116="","",1/((1+P116)^((K116-'Rate &amp; Vol Update'!$C$2)/360)))</f>
        <v/>
      </c>
      <c r="T116" s="15" t="str">
        <f>IF(I116="","",IF(J116&lt;'Rate &amp; Vol Update'!$C$2,MAX(0,P116-O116)*(L116/360)*N116,(((IF('Adjustment Surface'!C$2='Data Validation'!$A$2,P116,IF('Adjustment Surface'!C$2='Data Validation'!$A$3,O116,"Unknown Option Type"))-IF('Adjustment Surface'!C$2='Data Validation'!$A$2,O116,IF('Adjustment Surface'!C$2='Data Validation'!$A$3,P116,"Unknown Option Type")))*(NORMDIST((IF('Adjustment Surface'!C$2='Data Validation'!$A$2,P116,IF('Adjustment Surface'!C$2='Data Validation'!$A$3,O116,"Unknown Option Type"))-IF('Adjustment Surface'!C$2='Data Validation'!$A$2,O116,IF('Adjustment Surface'!C$2='Data Validation'!$A$3,P116,"Unknown Option Type")))/(Q116*SQRT(M116)),0,1,TRUE)))+((Q116*SQRT(M116))*(NORMDIST((IF('Adjustment Surface'!C$2='Data Validation'!$A$2,P116,IF('Adjustment Surface'!C$2='Data Validation'!$A$3,O116,"Unknown Option Type"))-IF('Adjustment Surface'!C$2='Data Validation'!$A$2,O116,IF('Adjustment Surface'!C$2='Data Validation'!$A$3,P116,"Unknown Option Type")))/(Q116*SQRT(M116)),0,1,FALSE))))*R116*(L116/360)*N116))</f>
        <v/>
      </c>
      <c r="U116" s="15" t="str">
        <f>IF(I116="","",SUM(T$4:T116))</f>
        <v/>
      </c>
      <c r="W116" s="15" t="str">
        <f>IF(I116="","",IF(J116&lt;'Rate &amp; Vol Update'!$C$2,0,((((((IF('Adjustment Surface'!C$2='Data Validation'!$A$2,P116,IF('Adjustment Surface'!C$2='Data Validation'!$A$3,O116,"Unknown Option Type"))-IF('Adjustment Surface'!C$2='Data Validation'!$A$2,O116,IF('Adjustment Surface'!C$2='Data Validation'!$A$3,P116,"Unknown Option Type")))*(NORMDIST((IF('Adjustment Surface'!C$2='Data Validation'!$A$2,P116,IF('Adjustment Surface'!C$2='Data Validation'!$A$3,O116,"Unknown Option Type"))-IF('Adjustment Surface'!C$2='Data Validation'!$A$2,O116,IF('Adjustment Surface'!C$2='Data Validation'!$A$3,P116,"Unknown Option Type")))/((Q116+0.01%)*SQRT(M116)),0,1,TRUE)))+(((Q116+0.01%)*SQRT(M116))*(NORMDIST((IF('Adjustment Surface'!C$2='Data Validation'!$A$2,P116,IF('Adjustment Surface'!C$2='Data Validation'!$A$3,O116,"Unknown Option Type"))-IF('Adjustment Surface'!C$2='Data Validation'!$A$2,O116,IF('Adjustment Surface'!C$2='Data Validation'!$A$3,P116,"Unknown Option Type")))/((Q116+0.01%)*SQRT(M116)),0,1,FALSE))))*R116*(L116/360))-(T116/N116))*N116)*R116))</f>
        <v/>
      </c>
      <c r="X116" s="15" t="str">
        <f>IF(I116="","",SUM(W$4:W116))</f>
        <v/>
      </c>
      <c r="Y116" s="15"/>
      <c r="Z116" s="20"/>
      <c r="AB116" s="4" t="str">
        <f>IF(AC115=MAX('Adjustment Surface'!$C$14:$F$14),"",AC115)</f>
        <v/>
      </c>
      <c r="AC116" s="4" t="str">
        <f>IF(AB116="","",IF(AB116&lt;EDATE('Adjustment Surface'!$C$6,DATEDIF('Adjustment Surface'!$C$6,MAX('Adjustment Surface'!$C$14:$F$14),"M")),EDATE(AB$5,COUNT(AB$5:AB116)),IF(AB116=EDATE('Adjustment Surface'!$C$6,DATEDIF('Adjustment Surface'!$C$6,MAX('Adjustment Surface'!$C$14:$F$14),"M")),MAX('Adjustment Surface'!$C$14:$F$14),EDATE('Adjustment Surface'!$C$6,DATEDIF('Adjustment Surface'!$C$6,MAX('Adjustment Surface'!$C$14:$F$14),"M")))))</f>
        <v/>
      </c>
      <c r="AD116" s="3" t="str">
        <f t="shared" si="7"/>
        <v/>
      </c>
      <c r="AE116" s="5" t="str">
        <f>IF(AA116="","",(AC116-'Rate &amp; Vol Update'!$C$2)/360)</f>
        <v/>
      </c>
      <c r="AF116" s="15" t="str">
        <f>IF(AA116="","",IF('Adjustment Surface'!$C$3='Data Validation'!$C$2,'Adjustment Surface'!$C$4,_xlfn.IFNA(IF(INDEX(Schedules!$E$3:$E$123,MATCH('Bachelier Model'!AB116,Schedules!$B$3:$B$123,0))="",AF115,INDEX(Schedules!$E$3:$E$123,MATCH('Bachelier Model'!AB116,Schedules!$B$3:$B$123,0))),AF115)))</f>
        <v/>
      </c>
      <c r="AG116" s="16" t="str">
        <f>IF(AA116="","",'Adjustment Surface'!B$15)</f>
        <v/>
      </c>
      <c r="AH116" s="16" t="str" cm="1">
        <f t="array" ref="AH116">IF(AA116="","",FORECAST(AB116,INDEX('Rate &amp; Vol Update'!$C$6:$C$127,MATCH(INDEX('Rate &amp; Vol Update'!$B$6:$B$127,MATCH(AB116,'Rate &amp; Vol Update'!$B$6:$B$127,1)),'Rate &amp; Vol Update'!$B$6:$B$127,0)+IF('Adjustment Surface'!$C$11='Data Validation'!$E$3,-1,0)):INDEX('Rate &amp; Vol Update'!$C$6:$C$127,MATCH(INDEX('Rate &amp; Vol Update'!$B$6:$B$127,MATCH(AB116,'Rate &amp; Vol Update'!$B$6:$B$127,1)+1),'Rate &amp; Vol Update'!$B$6:$B$127,0)+IF('Adjustment Surface'!$C$11='Data Validation'!$E$3,-1,0)),INDEX('Rate &amp; Vol Update'!$B$6:$B$127,MATCH(AB116,'Rate &amp; Vol Update'!$B$6:$B$127,1)):INDEX('Rate &amp; Vol Update'!$B$6:$B$127,MATCH(AB116,'Rate &amp; Vol Update'!$B$6:$B$127,1)+1))/100)</f>
        <v/>
      </c>
      <c r="AI116" s="16" t="str" cm="1">
        <f t="array" ref="AI116">IF(AA116="","",IF(AB116&lt;'Rate &amp; Vol Update'!$C$2,0.001%,(1/((INDEX('Rate &amp; Vol Update'!$E$6:$Z$6,1,MATCH(AG116,'Rate &amp; Vol Update'!$E$6:$Z$6,1)+1)-INDEX('Rate &amp; Vol Update'!$E$6:$Z$6,1,MATCH(AG116,'Rate &amp; Vol Update'!$E$6:$Z$6,1)))*(INDEX('Rate &amp; Vol Update'!$B$8:$B$127,MATCH(AB116,'Rate &amp; Vol Update'!$B$8:$B$127,1)+1)-INDEX('Rate &amp; Vol Update'!$B$8:$B$127,MATCH(AB116,'Rate &amp; Vol Update'!$B$8:$B$127,1))))*(INDEX('Rate &amp; Vol Update'!$E$8:$Z$127,MATCH(INDEX('Rate &amp; Vol Update'!$B$8:$B$127,MATCH(AB116,'Rate &amp; Vol Update'!$B$8:$B$127,1)),'Rate &amp; Vol Update'!$B$8:$B$127,0),MATCH(INDEX('Rate &amp; Vol Update'!$E$6:$Z$6,1,MATCH(AG116,'Rate &amp; Vol Update'!$E$6:$Z$6,1)),'Rate &amp; Vol Update'!$E$6:$Z$6,0))*(INDEX('Rate &amp; Vol Update'!$E$6:$Z$6,1,MATCH(AG116,'Rate &amp; Vol Update'!$E$6:$Z$6,1)+1)-AG116)*(INDEX('Rate &amp; Vol Update'!$B$8:$B$127,MATCH(AB116,'Rate &amp; Vol Update'!$B$8:$B$127,1)+1)-AB116)+INDEX('Rate &amp; Vol Update'!$E$8:$Z$127,MATCH(INDEX('Rate &amp; Vol Update'!$B$8:$B$127,MATCH(AB116,'Rate &amp; Vol Update'!$B$8:$B$127,1)),'Rate &amp; Vol Update'!$B$8:$B$127,0),MATCH(INDEX('Rate &amp; Vol Update'!$E$6:$Z$6,1,MATCH(AG116,'Rate &amp; Vol Update'!$E$6:$Z$6,1)+1),'Rate &amp; Vol Update'!$E$6:$Z$6,0))*(AG116-INDEX('Rate &amp; Vol Update'!$E$6:$Z$6,1,MATCH(AG116,'Rate &amp; Vol Update'!$E$6:$Z$6,1)))*(INDEX('Rate &amp; Vol Update'!$B$8:$B$127,MATCH(AB116,'Rate &amp; Vol Update'!$B$8:$B$127,1)+1)-AB116)+INDEX('Rate &amp; Vol Update'!$E$8:$Z$127,MATCH(INDEX('Rate &amp; Vol Update'!$B$8:$B$127,MATCH(AB116,'Rate &amp; Vol Update'!$B$8:$B$127,1)+1),'Rate &amp; Vol Update'!$B$8:$B$127,0),MATCH(INDEX('Rate &amp; Vol Update'!$E$6:$Z$6,1,MATCH(AG116,'Rate &amp; Vol Update'!$E$6:$Z$6,1)),'Rate &amp; Vol Update'!$E$6:$Z$6,0))*(INDEX('Rate &amp; Vol Update'!$E$6:$Z$6,1,MATCH(AG116,'Rate &amp; Vol Update'!$E$6:$Z$6,1)+1)-AG116)*(AB116-INDEX('Rate &amp; Vol Update'!$B$8:$B$127,MATCH(AB116,'Rate &amp; Vol Update'!$B$8:$B$127,1)))+INDEX('Rate &amp; Vol Update'!$E$8:$Z$127,MATCH(INDEX('Rate &amp; Vol Update'!$B$8:$B$127,MATCH(AB116,'Rate &amp; Vol Update'!$B$8:$B$127,1)+1),'Rate &amp; Vol Update'!$B$8:$B$127,0),MATCH(INDEX('Rate &amp; Vol Update'!$E$6:$Z$6,1,MATCH(AG116,'Rate &amp; Vol Update'!$E$6:$Z$6,1)+1),'Rate &amp; Vol Update'!$E$6:$Z$6,0))*(AG116-INDEX('Rate &amp; Vol Update'!$E$6:$Z$6,1,MATCH(AG116,'Rate &amp; Vol Update'!$E$6:$Z$6,1)))*(AB116-INDEX('Rate &amp; Vol Update'!$B$8:$B$127,MATCH(AB116,'Rate &amp; Vol Update'!$B$8:$B$127,1)))))*0.01%))</f>
        <v/>
      </c>
      <c r="AJ116" s="5" t="str">
        <f>IF(AA116="","",1/((1+AH116)^((AC116-'Rate &amp; Vol Update'!$C$2)/360)))</f>
        <v/>
      </c>
      <c r="AL116" s="15" t="str">
        <f>IF(AA116="","",IF(AB116&lt;'Rate &amp; Vol Update'!$C$2,MAX(0,AH116-AG116)*(AD116/360)*AF116,(((IF('Adjustment Surface'!$C$2='Data Validation'!$A$2,AH116,IF('Adjustment Surface'!$C$2='Data Validation'!$A$3,AG116,"Unknown Option Type"))-IF('Adjustment Surface'!$C$2='Data Validation'!$A$2,AG116,IF('Adjustment Surface'!$C$2='Data Validation'!$A$3,AH116,"Unknown Option Type")))*(NORMDIST((IF('Adjustment Surface'!$C$2='Data Validation'!$A$2,AH116,IF('Adjustment Surface'!$C$2='Data Validation'!$A$3,AG116,"Unknown Option Type"))-IF('Adjustment Surface'!$C$2='Data Validation'!$A$2,AG116,IF('Adjustment Surface'!$C$2='Data Validation'!$A$3,AH116,"Unknown Option Type")))/(AI116*SQRT(AE116)),0,1,TRUE)))+((AI116*SQRT(AE116))*(NORMDIST((IF('Adjustment Surface'!$C$2='Data Validation'!$A$2,AH116,IF('Adjustment Surface'!$C$2='Data Validation'!$A$3,AG116,"Unknown Option Type"))-IF('Adjustment Surface'!$C$2='Data Validation'!$A$2,AG116,IF('Adjustment Surface'!$C$2='Data Validation'!$A$3,AH116,"Unknown Option Type")))/(AI116*SQRT(AE116)),0,1,FALSE))))*AJ116*(AD116/360)*AF116))</f>
        <v/>
      </c>
      <c r="AM116" s="15" t="str">
        <f>IF(AA116="","",SUM(AL$4:AL116))</f>
        <v/>
      </c>
      <c r="AO116" s="15" t="str">
        <f>IF(AA116="","",IF(AB116&lt;'Rate &amp; Vol Update'!$C$2,0,((((((IF('Adjustment Surface'!$C$2='Data Validation'!$A$2,AH116,IF('Adjustment Surface'!$C$2='Data Validation'!$A$3,AG116,"Unknown Option Type"))-IF('Adjustment Surface'!$C$2='Data Validation'!$A$2,AG116,IF('Adjustment Surface'!$C$2='Data Validation'!$A$3,AH116,"Unknown Option Type")))*(NORMDIST((IF('Adjustment Surface'!$C$2='Data Validation'!$A$2,AH116,IF('Adjustment Surface'!$C$2='Data Validation'!$A$3,AG116,"Unknown Option Type"))-IF('Adjustment Surface'!$C$2='Data Validation'!$A$2,AG116,IF('Adjustment Surface'!$C$2='Data Validation'!$A$3,AH116,"Unknown Option Type")))/((AI116+0.01%)*SQRT(AE116)),0,1,TRUE)))+(((AI116+0.01%)*SQRT(AE116))*(NORMDIST((IF('Adjustment Surface'!$C$2='Data Validation'!$A$2,AH116,IF('Adjustment Surface'!$C$2='Data Validation'!$A$3,AG116,"Unknown Option Type"))-IF('Adjustment Surface'!$C$2='Data Validation'!$A$2,AG116,IF('Adjustment Surface'!$C$2='Data Validation'!$A$3,AH116,"Unknown Option Type")))/((AI116+0.01%)*SQRT(AE116)),0,1,FALSE))))*AJ116*(AD116/360))-(AL116/AF116))*AF116)*AJ116))</f>
        <v/>
      </c>
      <c r="AP116" s="15" t="str">
        <f>IF(AA116="","",SUM(AO$4:AO116))</f>
        <v/>
      </c>
      <c r="AQ116" s="15"/>
      <c r="AR116" s="20"/>
      <c r="AT116" s="4" t="str">
        <f>IF(AU115=MAX('Adjustment Surface'!$C$14:$F$14),"",AU115)</f>
        <v/>
      </c>
      <c r="AU116" s="4" t="str">
        <f>IF(AT116="","",IF(AT116&lt;EDATE('Adjustment Surface'!$C$6,DATEDIF('Adjustment Surface'!$C$6,MAX('Adjustment Surface'!$C$14:$F$14),"M")),EDATE(AT$5,COUNT(AT$5:AT116)),IF(AT116=EDATE('Adjustment Surface'!$C$6,DATEDIF('Adjustment Surface'!$C$6,MAX('Adjustment Surface'!$C$14:$F$14),"M")),MAX('Adjustment Surface'!$C$14:$F$14),EDATE('Adjustment Surface'!$C$6,DATEDIF('Adjustment Surface'!$C$6,MAX('Adjustment Surface'!$C$14:$F$14),"M")))))</f>
        <v/>
      </c>
      <c r="AV116" s="3" t="str">
        <f t="shared" si="8"/>
        <v/>
      </c>
      <c r="AW116" s="5" t="str">
        <f>IF(AS116="","",(AU116-'Rate &amp; Vol Update'!$C$2)/360)</f>
        <v/>
      </c>
      <c r="AX116" s="15" t="str">
        <f>IF(AS116="","",IF('Adjustment Surface'!$C$3='Data Validation'!$C$2,'Adjustment Surface'!$C$4,_xlfn.IFNA(IF(INDEX(Schedules!$E$3:$E$123,MATCH('Bachelier Model'!AT116,Schedules!$B$3:$B$123,0))="",AX115,INDEX(Schedules!$E$3:$E$123,MATCH('Bachelier Model'!AT116,Schedules!$B$3:$B$123,0))),AX115)))</f>
        <v/>
      </c>
      <c r="AY116" s="16" t="str">
        <f>IF(AS116="","",'Adjustment Surface'!B$16)</f>
        <v/>
      </c>
      <c r="AZ116" s="16" t="str" cm="1">
        <f t="array" ref="AZ116">IF(AS116="","",FORECAST(AT116,INDEX('Rate &amp; Vol Update'!$C$6:$C$127,MATCH(INDEX('Rate &amp; Vol Update'!$B$6:$B$127,MATCH(AT116,'Rate &amp; Vol Update'!$B$6:$B$127,1)),'Rate &amp; Vol Update'!$B$6:$B$127,0)+IF('Adjustment Surface'!$C$11='Data Validation'!$E$3,-1,0)):INDEX('Rate &amp; Vol Update'!$C$6:$C$127,MATCH(INDEX('Rate &amp; Vol Update'!$B$6:$B$127,MATCH(AT116,'Rate &amp; Vol Update'!$B$6:$B$127,1)+1),'Rate &amp; Vol Update'!$B$6:$B$127,0)+IF('Adjustment Surface'!$C$11='Data Validation'!$E$3,-1,0)),INDEX('Rate &amp; Vol Update'!$B$6:$B$127,MATCH(AT116,'Rate &amp; Vol Update'!$B$6:$B$127,1)):INDEX('Rate &amp; Vol Update'!$B$6:$B$127,MATCH(AT116,'Rate &amp; Vol Update'!$B$6:$B$127,1)+1))/100)</f>
        <v/>
      </c>
      <c r="BA116" s="16" t="str" cm="1">
        <f t="array" ref="BA116">IF(AS116="","",IF(AT116&lt;'Rate &amp; Vol Update'!$C$2,0.001%,(1/((INDEX('Rate &amp; Vol Update'!$E$6:$Z$6,1,MATCH(AY116,'Rate &amp; Vol Update'!$E$6:$Z$6,1)+1)-INDEX('Rate &amp; Vol Update'!$E$6:$Z$6,1,MATCH(AY116,'Rate &amp; Vol Update'!$E$6:$Z$6,1)))*(INDEX('Rate &amp; Vol Update'!$B$8:$B$127,MATCH(AT116,'Rate &amp; Vol Update'!$B$8:$B$127,1)+1)-INDEX('Rate &amp; Vol Update'!$B$8:$B$127,MATCH(AT116,'Rate &amp; Vol Update'!$B$8:$B$127,1))))*(INDEX('Rate &amp; Vol Update'!$E$8:$Z$127,MATCH(INDEX('Rate &amp; Vol Update'!$B$8:$B$127,MATCH(AT116,'Rate &amp; Vol Update'!$B$8:$B$127,1)),'Rate &amp; Vol Update'!$B$8:$B$127,0),MATCH(INDEX('Rate &amp; Vol Update'!$E$6:$Z$6,1,MATCH(AY116,'Rate &amp; Vol Update'!$E$6:$Z$6,1)),'Rate &amp; Vol Update'!$E$6:$Z$6,0))*(INDEX('Rate &amp; Vol Update'!$E$6:$Z$6,1,MATCH(AY116,'Rate &amp; Vol Update'!$E$6:$Z$6,1)+1)-AY116)*(INDEX('Rate &amp; Vol Update'!$B$8:$B$127,MATCH(AT116,'Rate &amp; Vol Update'!$B$8:$B$127,1)+1)-AT116)+INDEX('Rate &amp; Vol Update'!$E$8:$Z$127,MATCH(INDEX('Rate &amp; Vol Update'!$B$8:$B$127,MATCH(AT116,'Rate &amp; Vol Update'!$B$8:$B$127,1)),'Rate &amp; Vol Update'!$B$8:$B$127,0),MATCH(INDEX('Rate &amp; Vol Update'!$E$6:$Z$6,1,MATCH(AY116,'Rate &amp; Vol Update'!$E$6:$Z$6,1)+1),'Rate &amp; Vol Update'!$E$6:$Z$6,0))*(AY116-INDEX('Rate &amp; Vol Update'!$E$6:$Z$6,1,MATCH(AY116,'Rate &amp; Vol Update'!$E$6:$Z$6,1)))*(INDEX('Rate &amp; Vol Update'!$B$8:$B$127,MATCH(AT116,'Rate &amp; Vol Update'!$B$8:$B$127,1)+1)-AT116)+INDEX('Rate &amp; Vol Update'!$E$8:$Z$127,MATCH(INDEX('Rate &amp; Vol Update'!$B$8:$B$127,MATCH(AT116,'Rate &amp; Vol Update'!$B$8:$B$127,1)+1),'Rate &amp; Vol Update'!$B$8:$B$127,0),MATCH(INDEX('Rate &amp; Vol Update'!$E$6:$Z$6,1,MATCH(AY116,'Rate &amp; Vol Update'!$E$6:$Z$6,1)),'Rate &amp; Vol Update'!$E$6:$Z$6,0))*(INDEX('Rate &amp; Vol Update'!$E$6:$Z$6,1,MATCH(AY116,'Rate &amp; Vol Update'!$E$6:$Z$6,1)+1)-AY116)*(AT116-INDEX('Rate &amp; Vol Update'!$B$8:$B$127,MATCH(AT116,'Rate &amp; Vol Update'!$B$8:$B$127,1)))+INDEX('Rate &amp; Vol Update'!$E$8:$Z$127,MATCH(INDEX('Rate &amp; Vol Update'!$B$8:$B$127,MATCH(AT116,'Rate &amp; Vol Update'!$B$8:$B$127,1)+1),'Rate &amp; Vol Update'!$B$8:$B$127,0),MATCH(INDEX('Rate &amp; Vol Update'!$E$6:$Z$6,1,MATCH(AY116,'Rate &amp; Vol Update'!$E$6:$Z$6,1)+1),'Rate &amp; Vol Update'!$E$6:$Z$6,0))*(AY116-INDEX('Rate &amp; Vol Update'!$E$6:$Z$6,1,MATCH(AY116,'Rate &amp; Vol Update'!$E$6:$Z$6,1)))*(AT116-INDEX('Rate &amp; Vol Update'!$B$8:$B$127,MATCH(AT116,'Rate &amp; Vol Update'!$B$8:$B$127,1)))))*0.01%))</f>
        <v/>
      </c>
      <c r="BB116" s="5" t="str">
        <f>IF(AS116="","",1/((1+AZ116)^((AU116-'Rate &amp; Vol Update'!$C$2)/360)))</f>
        <v/>
      </c>
      <c r="BD116" s="15" t="str">
        <f>IF(AS116="","",IF(AT116&lt;'Rate &amp; Vol Update'!$C$2,MAX(0,AZ116-AY116)*(AV116/360)*AX116,(((IF('Adjustment Surface'!$C$2='Data Validation'!$A$2,AZ116,IF('Adjustment Surface'!$C$2='Data Validation'!$A$3,AY116,"Unknown Option Type"))-IF('Adjustment Surface'!$C$2='Data Validation'!$A$2,AY116,IF('Adjustment Surface'!$C$2='Data Validation'!$A$3,AZ116,"Unknown Option Type")))*(NORMDIST((IF('Adjustment Surface'!$C$2='Data Validation'!$A$2,AZ116,IF('Adjustment Surface'!$C$2='Data Validation'!$A$3,AY116,"Unknown Option Type"))-IF('Adjustment Surface'!$C$2='Data Validation'!$A$2,AY116,IF('Adjustment Surface'!$C$2='Data Validation'!$A$3,AZ116,"Unknown Option Type")))/(BA116*SQRT(AW116)),0,1,TRUE)))+((BA116*SQRT(AW116))*(NORMDIST((IF('Adjustment Surface'!$C$2='Data Validation'!$A$2,AZ116,IF('Adjustment Surface'!$C$2='Data Validation'!$A$3,AY116,"Unknown Option Type"))-IF('Adjustment Surface'!$C$2='Data Validation'!$A$2,AY116,IF('Adjustment Surface'!$C$2='Data Validation'!$A$3,AZ116,"Unknown Option Type")))/(BA116*SQRT(AW116)),0,1,FALSE))))*BB116*(AV116/360)*AX116))</f>
        <v/>
      </c>
      <c r="BE116" s="15" t="str">
        <f>IF(AS116="","",SUM(BD$4:BD116))</f>
        <v/>
      </c>
      <c r="BG116" s="15" t="str">
        <f>IF(AS116="","",IF(AT116&lt;'Rate &amp; Vol Update'!$C$2,0,((((((IF('Adjustment Surface'!$C$2='Data Validation'!$A$2,AZ116,IF('Adjustment Surface'!$C$2='Data Validation'!$A$3,AY116,"Unknown Option Type"))-IF('Adjustment Surface'!$C$2='Data Validation'!$A$2,AY116,IF('Adjustment Surface'!$C$2='Data Validation'!$A$3,AZ116,"Unknown Option Type")))*(NORMDIST((IF('Adjustment Surface'!$C$2='Data Validation'!$A$2,AZ116,IF('Adjustment Surface'!$C$2='Data Validation'!$A$3,AY116,"Unknown Option Type"))-IF('Adjustment Surface'!$C$2='Data Validation'!$A$2,AY116,IF('Adjustment Surface'!$C$2='Data Validation'!$A$3,AZ116,"Unknown Option Type")))/((BA116+0.01%)*SQRT(AW116)),0,1,TRUE)))+(((BA116+0.01%)*SQRT(AW116))*(NORMDIST((IF('Adjustment Surface'!$C$2='Data Validation'!$A$2,AZ116,IF('Adjustment Surface'!$C$2='Data Validation'!$A$3,AY116,"Unknown Option Type"))-IF('Adjustment Surface'!$C$2='Data Validation'!$A$2,AY116,IF('Adjustment Surface'!$C$2='Data Validation'!$A$3,AZ116,"Unknown Option Type")))/((BA116+0.01%)*SQRT(AW116)),0,1,FALSE))))*BB116*(AV116/360))-(BD116/AX116))*AX116)*BB116))</f>
        <v/>
      </c>
      <c r="BH116" s="15" t="str">
        <f>IF(AS116="","",SUM(BG$4:BG116))</f>
        <v/>
      </c>
      <c r="BI116" s="15"/>
      <c r="BJ116" s="20"/>
      <c r="BL116" s="4" t="str">
        <f>IF(BM115=MAX('Adjustment Surface'!$C$14:$F$14),"",BM115)</f>
        <v/>
      </c>
      <c r="BM116" s="4" t="str">
        <f>IF(BL116="","",IF(BL116&lt;EDATE('Adjustment Surface'!$C$6,DATEDIF('Adjustment Surface'!$C$6,MAX('Adjustment Surface'!$C$14:$F$14),"M")),EDATE(BL$5,COUNT(BL$5:BL116)),IF(BL116=EDATE('Adjustment Surface'!$C$6,DATEDIF('Adjustment Surface'!$C$6,MAX('Adjustment Surface'!$C$14:$F$14),"M")),MAX('Adjustment Surface'!$C$14:$F$14),EDATE('Adjustment Surface'!$C$6,DATEDIF('Adjustment Surface'!$C$6,MAX('Adjustment Surface'!$C$14:$F$14),"M")))))</f>
        <v/>
      </c>
      <c r="BN116" s="3" t="str">
        <f t="shared" si="9"/>
        <v/>
      </c>
      <c r="BO116" s="5" t="str">
        <f>IF(BK116="","",(BM116-'Rate &amp; Vol Update'!$C$2)/360)</f>
        <v/>
      </c>
      <c r="BP116" s="15" t="str">
        <f>IF(BK116="","",IF('Adjustment Surface'!$C$3='Data Validation'!$C$2,'Adjustment Surface'!$C$4,_xlfn.IFNA(IF(INDEX(Schedules!$E$3:$E$123,MATCH('Bachelier Model'!BL116,Schedules!$B$3:$B$123,0))="",BP115,INDEX(Schedules!$E$3:$E$123,MATCH('Bachelier Model'!BL116,Schedules!$B$3:$B$123,0))),BP115)))</f>
        <v/>
      </c>
      <c r="BQ116" s="16" t="str">
        <f>IF(BK116="","",'Adjustment Surface'!B$17)</f>
        <v/>
      </c>
      <c r="BR116" s="16" t="str" cm="1">
        <f t="array" ref="BR116">IF(BK116="","",FORECAST(BL116,INDEX('Rate &amp; Vol Update'!$C$6:$C$127,MATCH(INDEX('Rate &amp; Vol Update'!$B$6:$B$127,MATCH(BL116,'Rate &amp; Vol Update'!$B$6:$B$127,1)),'Rate &amp; Vol Update'!$B$6:$B$127,0)+IF('Adjustment Surface'!$C$11='Data Validation'!$E$3,-1,0)):INDEX('Rate &amp; Vol Update'!$C$6:$C$127,MATCH(INDEX('Rate &amp; Vol Update'!$B$6:$B$127,MATCH(BL116,'Rate &amp; Vol Update'!$B$6:$B$127,1)+1),'Rate &amp; Vol Update'!$B$6:$B$127,0)+IF('Adjustment Surface'!$C$11='Data Validation'!$E$3,-1,0)),INDEX('Rate &amp; Vol Update'!$B$6:$B$127,MATCH(BL116,'Rate &amp; Vol Update'!$B$6:$B$127,1)):INDEX('Rate &amp; Vol Update'!$B$6:$B$127,MATCH(BL116,'Rate &amp; Vol Update'!$B$6:$B$127,1)+1))/100)</f>
        <v/>
      </c>
      <c r="BS116" s="16" t="str" cm="1">
        <f t="array" ref="BS116">IF(BK116="","",IF(BL116&lt;'Rate &amp; Vol Update'!$C$2,0.001%,(1/((INDEX('Rate &amp; Vol Update'!$E$6:$Z$6,1,MATCH(BQ116,'Rate &amp; Vol Update'!$E$6:$Z$6,1)+1)-INDEX('Rate &amp; Vol Update'!$E$6:$Z$6,1,MATCH(BQ116,'Rate &amp; Vol Update'!$E$6:$Z$6,1)))*(INDEX('Rate &amp; Vol Update'!$B$8:$B$127,MATCH(BL116,'Rate &amp; Vol Update'!$B$8:$B$127,1)+1)-INDEX('Rate &amp; Vol Update'!$B$8:$B$127,MATCH(BL116,'Rate &amp; Vol Update'!$B$8:$B$127,1))))*(INDEX('Rate &amp; Vol Update'!$E$8:$Z$127,MATCH(INDEX('Rate &amp; Vol Update'!$B$8:$B$127,MATCH(BL116,'Rate &amp; Vol Update'!$B$8:$B$127,1)),'Rate &amp; Vol Update'!$B$8:$B$127,0),MATCH(INDEX('Rate &amp; Vol Update'!$E$6:$Z$6,1,MATCH(BQ116,'Rate &amp; Vol Update'!$E$6:$Z$6,1)),'Rate &amp; Vol Update'!$E$6:$Z$6,0))*(INDEX('Rate &amp; Vol Update'!$E$6:$Z$6,1,MATCH(BQ116,'Rate &amp; Vol Update'!$E$6:$Z$6,1)+1)-BQ116)*(INDEX('Rate &amp; Vol Update'!$B$8:$B$127,MATCH(BL116,'Rate &amp; Vol Update'!$B$8:$B$127,1)+1)-BL116)+INDEX('Rate &amp; Vol Update'!$E$8:$Z$127,MATCH(INDEX('Rate &amp; Vol Update'!$B$8:$B$127,MATCH(BL116,'Rate &amp; Vol Update'!$B$8:$B$127,1)),'Rate &amp; Vol Update'!$B$8:$B$127,0),MATCH(INDEX('Rate &amp; Vol Update'!$E$6:$Z$6,1,MATCH(BQ116,'Rate &amp; Vol Update'!$E$6:$Z$6,1)+1),'Rate &amp; Vol Update'!$E$6:$Z$6,0))*(BQ116-INDEX('Rate &amp; Vol Update'!$E$6:$Z$6,1,MATCH(BQ116,'Rate &amp; Vol Update'!$E$6:$Z$6,1)))*(INDEX('Rate &amp; Vol Update'!$B$8:$B$127,MATCH(BL116,'Rate &amp; Vol Update'!$B$8:$B$127,1)+1)-BL116)+INDEX('Rate &amp; Vol Update'!$E$8:$Z$127,MATCH(INDEX('Rate &amp; Vol Update'!$B$8:$B$127,MATCH(BL116,'Rate &amp; Vol Update'!$B$8:$B$127,1)+1),'Rate &amp; Vol Update'!$B$8:$B$127,0),MATCH(INDEX('Rate &amp; Vol Update'!$E$6:$Z$6,1,MATCH(BQ116,'Rate &amp; Vol Update'!$E$6:$Z$6,1)),'Rate &amp; Vol Update'!$E$6:$Z$6,0))*(INDEX('Rate &amp; Vol Update'!$E$6:$Z$6,1,MATCH(BQ116,'Rate &amp; Vol Update'!$E$6:$Z$6,1)+1)-BQ116)*(BL116-INDEX('Rate &amp; Vol Update'!$B$8:$B$127,MATCH(BL116,'Rate &amp; Vol Update'!$B$8:$B$127,1)))+INDEX('Rate &amp; Vol Update'!$E$8:$Z$127,MATCH(INDEX('Rate &amp; Vol Update'!$B$8:$B$127,MATCH(BL116,'Rate &amp; Vol Update'!$B$8:$B$127,1)+1),'Rate &amp; Vol Update'!$B$8:$B$127,0),MATCH(INDEX('Rate &amp; Vol Update'!$E$6:$Z$6,1,MATCH(BQ116,'Rate &amp; Vol Update'!$E$6:$Z$6,1)+1),'Rate &amp; Vol Update'!$E$6:$Z$6,0))*(BQ116-INDEX('Rate &amp; Vol Update'!$E$6:$Z$6,1,MATCH(BQ116,'Rate &amp; Vol Update'!$E$6:$Z$6,1)))*(BL116-INDEX('Rate &amp; Vol Update'!$B$8:$B$127,MATCH(BL116,'Rate &amp; Vol Update'!$B$8:$B$127,1)))))*0.01%))</f>
        <v/>
      </c>
      <c r="BT116" s="5" t="str">
        <f>IF(BK116="","",1/((1+BR116)^((BM116-'Rate &amp; Vol Update'!$C$2)/360)))</f>
        <v/>
      </c>
      <c r="BV116" s="15" t="str">
        <f>IF(BK116="","",IF(BL116&lt;'Rate &amp; Vol Update'!$C$2,MAX(0,BR116-BQ116)*(BN116/360)*BP116,(((IF('Adjustment Surface'!$C$2='Data Validation'!$A$2,BR116,IF('Adjustment Surface'!$C$2='Data Validation'!$A$3,BQ116,"Unknown Option Type"))-IF('Adjustment Surface'!$C$2='Data Validation'!$A$2,BQ116,IF('Adjustment Surface'!$C$2='Data Validation'!$A$3,BR116,"Unknown Option Type")))*(NORMDIST((IF('Adjustment Surface'!$C$2='Data Validation'!$A$2,BR116,IF('Adjustment Surface'!$C$2='Data Validation'!$A$3,BQ116,"Unknown Option Type"))-IF('Adjustment Surface'!$C$2='Data Validation'!$A$2,BQ116,IF('Adjustment Surface'!$C$2='Data Validation'!$A$3,BR116,"Unknown Option Type")))/(BS116*SQRT(BO116)),0,1,TRUE)))+((BS116*SQRT(BO116))*(NORMDIST((IF('Adjustment Surface'!$C$2='Data Validation'!$A$2,BR116,IF('Adjustment Surface'!$C$2='Data Validation'!$A$3,BQ116,"Unknown Option Type"))-IF('Adjustment Surface'!$C$2='Data Validation'!$A$2,BQ116,IF('Adjustment Surface'!$C$2='Data Validation'!$A$3,BR116,"Unknown Option Type")))/(BS116*SQRT(BO116)),0,1,FALSE))))*BT116*(BN116/360)*BP116))</f>
        <v/>
      </c>
      <c r="BW116" s="15" t="str">
        <f>IF(BK116="","",SUM(BV$4:BV116))</f>
        <v/>
      </c>
      <c r="BY116" s="15" t="str">
        <f>IF(BK116="","",IF(BL116&lt;'Rate &amp; Vol Update'!$C$2,0,((((((IF('Adjustment Surface'!$C$2='Data Validation'!$A$2,BR116,IF('Adjustment Surface'!$C$2='Data Validation'!$A$3,BQ116,"Unknown Option Type"))-IF('Adjustment Surface'!$C$2='Data Validation'!$A$2,BQ116,IF('Adjustment Surface'!$C$2='Data Validation'!$A$3,BR116,"Unknown Option Type")))*(NORMDIST((IF('Adjustment Surface'!$C$2='Data Validation'!$A$2,BR116,IF('Adjustment Surface'!$C$2='Data Validation'!$A$3,BQ116,"Unknown Option Type"))-IF('Adjustment Surface'!$C$2='Data Validation'!$A$2,BQ116,IF('Adjustment Surface'!$C$2='Data Validation'!$A$3,BR116,"Unknown Option Type")))/((BS116+0.01%)*SQRT(BO116)),0,1,TRUE)))+(((BS116+0.01%)*SQRT(BO116))*(NORMDIST((IF('Adjustment Surface'!$C$2='Data Validation'!$A$2,BR116,IF('Adjustment Surface'!$C$2='Data Validation'!$A$3,BQ116,"Unknown Option Type"))-IF('Adjustment Surface'!$C$2='Data Validation'!$A$2,BQ116,IF('Adjustment Surface'!$C$2='Data Validation'!$A$3,BR116,"Unknown Option Type")))/((BS116+0.01%)*SQRT(BO116)),0,1,FALSE))))*BT116*(BN116/360))-(BV116/BP116))*BP116)*BT116))</f>
        <v/>
      </c>
      <c r="BZ116" s="15" t="str">
        <f>IF(BK116="","",SUM(BY$4:BY116))</f>
        <v/>
      </c>
      <c r="CA116" s="15"/>
      <c r="CB116" s="20"/>
      <c r="CD116" s="4" t="str">
        <f>IF(CE115=MAX('Adjustment Surface'!$C$14:$F$14),"",CE115)</f>
        <v/>
      </c>
      <c r="CE116" s="4" t="str">
        <f>IF(CD116="","",IF(CD116&lt;EDATE('Adjustment Surface'!$C$6,DATEDIF('Adjustment Surface'!$C$6,MAX('Adjustment Surface'!$C$14:$F$14),"M")),EDATE(CD$5,COUNT(CD$5:CD116)),IF(CD116=EDATE('Adjustment Surface'!$C$6,DATEDIF('Adjustment Surface'!$C$6,MAX('Adjustment Surface'!$C$14:$F$14),"M")),MAX('Adjustment Surface'!$C$14:$F$14),EDATE('Adjustment Surface'!$C$6,DATEDIF('Adjustment Surface'!$C$6,MAX('Adjustment Surface'!$C$14:$F$14),"M")))))</f>
        <v/>
      </c>
      <c r="CF116" s="3" t="str">
        <f t="shared" si="10"/>
        <v/>
      </c>
      <c r="CG116" s="5" t="str">
        <f>IF(CC116="","",(CE116-'Rate &amp; Vol Update'!$C$2)/360)</f>
        <v/>
      </c>
      <c r="CH116" s="15" t="str">
        <f>IF(CC116="","",IF('Adjustment Surface'!$C$3='Data Validation'!$C$2,'Adjustment Surface'!$C$4,_xlfn.IFNA(IF(INDEX(Schedules!$E$3:$E$123,MATCH('Bachelier Model'!CD116,Schedules!$B$3:$B$123,0))="",CH115,INDEX(Schedules!$E$3:$E$123,MATCH('Bachelier Model'!CD116,Schedules!$B$3:$B$123,0))),CH115)))</f>
        <v/>
      </c>
      <c r="CI116" s="16" t="str">
        <f>IF(CC116="","",'Adjustment Surface'!B$18)</f>
        <v/>
      </c>
      <c r="CJ116" s="16" t="str" cm="1">
        <f t="array" ref="CJ116">IF(CC116="","",FORECAST(CD116,INDEX('Rate &amp; Vol Update'!$C$6:$C$127,MATCH(INDEX('Rate &amp; Vol Update'!$B$6:$B$127,MATCH(CD116,'Rate &amp; Vol Update'!$B$6:$B$127,1)),'Rate &amp; Vol Update'!$B$6:$B$127,0)+IF('Adjustment Surface'!$C$11='Data Validation'!$E$3,-1,0)):INDEX('Rate &amp; Vol Update'!$C$6:$C$127,MATCH(INDEX('Rate &amp; Vol Update'!$B$6:$B$127,MATCH(CD116,'Rate &amp; Vol Update'!$B$6:$B$127,1)+1),'Rate &amp; Vol Update'!$B$6:$B$127,0)+IF('Adjustment Surface'!$C$11='Data Validation'!$E$3,-1,0)),INDEX('Rate &amp; Vol Update'!$B$6:$B$127,MATCH(CD116,'Rate &amp; Vol Update'!$B$6:$B$127,1)):INDEX('Rate &amp; Vol Update'!$B$6:$B$127,MATCH(CD116,'Rate &amp; Vol Update'!$B$6:$B$127,1)+1))/100)</f>
        <v/>
      </c>
      <c r="CK116" s="16" t="str" cm="1">
        <f t="array" ref="CK116">IF(CC116="","",IF(CD116&lt;'Rate &amp; Vol Update'!$C$2,0.001%,(1/((INDEX('Rate &amp; Vol Update'!$E$6:$Z$6,1,MATCH(CI116,'Rate &amp; Vol Update'!$E$6:$Z$6,1)+1)-INDEX('Rate &amp; Vol Update'!$E$6:$Z$6,1,MATCH(CI116,'Rate &amp; Vol Update'!$E$6:$Z$6,1)))*(INDEX('Rate &amp; Vol Update'!$B$8:$B$127,MATCH(CD116,'Rate &amp; Vol Update'!$B$8:$B$127,1)+1)-INDEX('Rate &amp; Vol Update'!$B$8:$B$127,MATCH(CD116,'Rate &amp; Vol Update'!$B$8:$B$127,1))))*(INDEX('Rate &amp; Vol Update'!$E$8:$Z$127,MATCH(INDEX('Rate &amp; Vol Update'!$B$8:$B$127,MATCH(CD116,'Rate &amp; Vol Update'!$B$8:$B$127,1)),'Rate &amp; Vol Update'!$B$8:$B$127,0),MATCH(INDEX('Rate &amp; Vol Update'!$E$6:$Z$6,1,MATCH(CI116,'Rate &amp; Vol Update'!$E$6:$Z$6,1)),'Rate &amp; Vol Update'!$E$6:$Z$6,0))*(INDEX('Rate &amp; Vol Update'!$E$6:$Z$6,1,MATCH(CI116,'Rate &amp; Vol Update'!$E$6:$Z$6,1)+1)-CI116)*(INDEX('Rate &amp; Vol Update'!$B$8:$B$127,MATCH(CD116,'Rate &amp; Vol Update'!$B$8:$B$127,1)+1)-CD116)+INDEX('Rate &amp; Vol Update'!$E$8:$Z$127,MATCH(INDEX('Rate &amp; Vol Update'!$B$8:$B$127,MATCH(CD116,'Rate &amp; Vol Update'!$B$8:$B$127,1)),'Rate &amp; Vol Update'!$B$8:$B$127,0),MATCH(INDEX('Rate &amp; Vol Update'!$E$6:$Z$6,1,MATCH(CI116,'Rate &amp; Vol Update'!$E$6:$Z$6,1)+1),'Rate &amp; Vol Update'!$E$6:$Z$6,0))*(CI116-INDEX('Rate &amp; Vol Update'!$E$6:$Z$6,1,MATCH(CI116,'Rate &amp; Vol Update'!$E$6:$Z$6,1)))*(INDEX('Rate &amp; Vol Update'!$B$8:$B$127,MATCH(CD116,'Rate &amp; Vol Update'!$B$8:$B$127,1)+1)-CD116)+INDEX('Rate &amp; Vol Update'!$E$8:$Z$127,MATCH(INDEX('Rate &amp; Vol Update'!$B$8:$B$127,MATCH(CD116,'Rate &amp; Vol Update'!$B$8:$B$127,1)+1),'Rate &amp; Vol Update'!$B$8:$B$127,0),MATCH(INDEX('Rate &amp; Vol Update'!$E$6:$Z$6,1,MATCH(CI116,'Rate &amp; Vol Update'!$E$6:$Z$6,1)),'Rate &amp; Vol Update'!$E$6:$Z$6,0))*(INDEX('Rate &amp; Vol Update'!$E$6:$Z$6,1,MATCH(CI116,'Rate &amp; Vol Update'!$E$6:$Z$6,1)+1)-CI116)*(CD116-INDEX('Rate &amp; Vol Update'!$B$8:$B$127,MATCH(CD116,'Rate &amp; Vol Update'!$B$8:$B$127,1)))+INDEX('Rate &amp; Vol Update'!$E$8:$Z$127,MATCH(INDEX('Rate &amp; Vol Update'!$B$8:$B$127,MATCH(CD116,'Rate &amp; Vol Update'!$B$8:$B$127,1)+1),'Rate &amp; Vol Update'!$B$8:$B$127,0),MATCH(INDEX('Rate &amp; Vol Update'!$E$6:$Z$6,1,MATCH(CI116,'Rate &amp; Vol Update'!$E$6:$Z$6,1)+1),'Rate &amp; Vol Update'!$E$6:$Z$6,0))*(CI116-INDEX('Rate &amp; Vol Update'!$E$6:$Z$6,1,MATCH(CI116,'Rate &amp; Vol Update'!$E$6:$Z$6,1)))*(CD116-INDEX('Rate &amp; Vol Update'!$B$8:$B$127,MATCH(CD116,'Rate &amp; Vol Update'!$B$8:$B$127,1)))))*0.01%))</f>
        <v/>
      </c>
      <c r="CL116" s="5" t="str">
        <f>IF(CC116="","",1/((1+CJ116)^((CE116-'Rate &amp; Vol Update'!$C$2)/360)))</f>
        <v/>
      </c>
      <c r="CN116" s="15" t="str">
        <f>IF(CC116="","",IF(CD116&lt;'Rate &amp; Vol Update'!$C$2,MAX(0,CJ116-CI116)*(CF116/360)*CH116,(((IF('Adjustment Surface'!$C$2='Data Validation'!$A$2,CJ116,IF('Adjustment Surface'!$C$2='Data Validation'!$A$3,CI116,"Unknown Option Type"))-IF('Adjustment Surface'!$C$2='Data Validation'!$A$2,CI116,IF('Adjustment Surface'!$C$2='Data Validation'!$A$3,CJ116,"Unknown Option Type")))*(NORMDIST((IF('Adjustment Surface'!$C$2='Data Validation'!$A$2,CJ116,IF('Adjustment Surface'!$C$2='Data Validation'!$A$3,CI116,"Unknown Option Type"))-IF('Adjustment Surface'!$C$2='Data Validation'!$A$2,CI116,IF('Adjustment Surface'!$C$2='Data Validation'!$A$3,CJ116,"Unknown Option Type")))/(CK116*SQRT(CG116)),0,1,TRUE)))+((CK116*SQRT(CG116))*(NORMDIST((IF('Adjustment Surface'!$C$2='Data Validation'!$A$2,CJ116,IF('Adjustment Surface'!$C$2='Data Validation'!$A$3,CI116,"Unknown Option Type"))-IF('Adjustment Surface'!$C$2='Data Validation'!$A$2,CI116,IF('Adjustment Surface'!$C$2='Data Validation'!$A$3,CJ116,"Unknown Option Type")))/(CK116*SQRT(CG116)),0,1,FALSE))))*CL116*(CF116/360)*CH116))</f>
        <v/>
      </c>
      <c r="CO116" s="15" t="str">
        <f>IF(CC116="","",SUM(CN$4:CN116))</f>
        <v/>
      </c>
      <c r="CQ116" s="15" t="str">
        <f>IF(CC116="","",IF(CD116&lt;'Rate &amp; Vol Update'!$C$2,0,((((((IF('Adjustment Surface'!$C$2='Data Validation'!$A$2,CJ116,IF('Adjustment Surface'!$C$2='Data Validation'!$A$3,CI116,"Unknown Option Type"))-IF('Adjustment Surface'!$C$2='Data Validation'!$A$2,CI116,IF('Adjustment Surface'!$C$2='Data Validation'!$A$3,CJ116,"Unknown Option Type")))*(NORMDIST((IF('Adjustment Surface'!$C$2='Data Validation'!$A$2,CJ116,IF('Adjustment Surface'!$C$2='Data Validation'!$A$3,CI116,"Unknown Option Type"))-IF('Adjustment Surface'!$C$2='Data Validation'!$A$2,CI116,IF('Adjustment Surface'!$C$2='Data Validation'!$A$3,CJ116,"Unknown Option Type")))/((CK116+0.01%)*SQRT(CG116)),0,1,TRUE)))+(((CK116+0.01%)*SQRT(CG116))*(NORMDIST((IF('Adjustment Surface'!$C$2='Data Validation'!$A$2,CJ116,IF('Adjustment Surface'!$C$2='Data Validation'!$A$3,CI116,"Unknown Option Type"))-IF('Adjustment Surface'!$C$2='Data Validation'!$A$2,CI116,IF('Adjustment Surface'!$C$2='Data Validation'!$A$3,CJ116,"Unknown Option Type")))/((CK116+0.01%)*SQRT(CG116)),0,1,FALSE))))*CL116*(CF116/360))-(CN116/CH116))*CH116)*CL116))</f>
        <v/>
      </c>
      <c r="CR116" s="15" t="str">
        <f>IF(CC116="","",SUM(CQ$4:CQ116))</f>
        <v/>
      </c>
    </row>
    <row r="117" spans="7:96" x14ac:dyDescent="0.25">
      <c r="G117" s="28"/>
      <c r="J117" s="4" t="str">
        <f>IF(K116='Adjustment Surface'!C$8,"",K116)</f>
        <v/>
      </c>
      <c r="K117" s="4" t="str">
        <f>IF(J117="","",IF(J117&lt;'Adjustment Surface'!C$7,EDATE(J$5,COUNT(J$5:J117)),IF(J117='Adjustment Surface'!C$7,'Adjustment Surface'!C$8,'Adjustment Surface'!C$7)))</f>
        <v/>
      </c>
      <c r="L117" s="3" t="str">
        <f t="shared" si="6"/>
        <v/>
      </c>
      <c r="M117" s="5" t="str">
        <f>IF(I117="","",(K117-'Rate &amp; Vol Update'!$C$2)/360)</f>
        <v/>
      </c>
      <c r="N117" s="15" t="str">
        <f>IF(I117="","",IF('Adjustment Surface'!C$3='Data Validation'!$C$2,'Adjustment Surface'!C$4,IF(INDEX(Schedules!$E$3:$E$123,MATCH('Bachelier Model'!J117,Schedules!$B$3:$B$123,0))="",N116,INDEX(Schedules!$E$3:$E$123,MATCH('Bachelier Model'!J117,Schedules!$B$3:$B$123,0)))))</f>
        <v/>
      </c>
      <c r="O117" s="16" t="str">
        <f>IF(I117="","",IF('Adjustment Surface'!C$9='Data Validation'!$D$2,'Adjustment Surface'!C$10,IF(INDEX(Schedules!$H$3:$H$123,MATCH('Bachelier Model'!J117,Schedules!$B$3:$B$123,0))="",O116,INDEX(Schedules!$H$3:$H$123,MATCH('Bachelier Model'!J117,Schedules!$B$3:$B$123,0)))))</f>
        <v/>
      </c>
      <c r="P117" s="16" t="str" cm="1">
        <f t="array" ref="P117">IF(I117="","",FORECAST(J117,INDEX('Rate &amp; Vol Update'!$C$6:$C$127,MATCH(INDEX('Rate &amp; Vol Update'!$B$6:$B$127,MATCH(J117,'Rate &amp; Vol Update'!$B$6:$B$127,1)),'Rate &amp; Vol Update'!$B$6:$B$127,0)+IF('Adjustment Surface'!C$11='Data Validation'!$E$3,-1,0)):INDEX('Rate &amp; Vol Update'!$C$6:$C$127,MATCH(INDEX('Rate &amp; Vol Update'!$B$6:$B$127,MATCH(J117,'Rate &amp; Vol Update'!$B$6:$B$127,1)+1),'Rate &amp; Vol Update'!$B$6:$B$127,0)+IF('Adjustment Surface'!C$11='Data Validation'!$E$3,-1,0)),INDEX('Rate &amp; Vol Update'!$B$6:$B$127,MATCH(J117,'Rate &amp; Vol Update'!$B$6:$B$127,1)):INDEX('Rate &amp; Vol Update'!$B$6:$B$127,MATCH(J117,'Rate &amp; Vol Update'!$B$6:$B$127,1)+1))/100)</f>
        <v/>
      </c>
      <c r="Q117" s="16" t="str" cm="1">
        <f t="array" ref="Q117">IF(I117="","",IF(J117&lt;'Rate &amp; Vol Update'!$C$2,0.001%,(1/((INDEX('Rate &amp; Vol Update'!$E$6:$Z$6,1,MATCH(O117,'Rate &amp; Vol Update'!$E$6:$Z$6,1)+1)-INDEX('Rate &amp; Vol Update'!$E$6:$Z$6,1,MATCH(O117,'Rate &amp; Vol Update'!$E$6:$Z$6,1)))*(INDEX('Rate &amp; Vol Update'!$B$8:$B$127,MATCH(J117,'Rate &amp; Vol Update'!$B$8:$B$127,1)+1)-INDEX('Rate &amp; Vol Update'!$B$8:$B$127,MATCH(J117,'Rate &amp; Vol Update'!$B$8:$B$127,1))))*(INDEX('Rate &amp; Vol Update'!$E$8:$Z$127,MATCH(INDEX('Rate &amp; Vol Update'!$B$8:$B$127,MATCH(J117,'Rate &amp; Vol Update'!$B$8:$B$127,1)),'Rate &amp; Vol Update'!$B$8:$B$127,0),MATCH(INDEX('Rate &amp; Vol Update'!$E$6:$Z$6,1,MATCH(O117,'Rate &amp; Vol Update'!$E$6:$Z$6,1)),'Rate &amp; Vol Update'!$E$6:$Z$6,0))*(INDEX('Rate &amp; Vol Update'!$E$6:$Z$6,1,MATCH(O117,'Rate &amp; Vol Update'!$E$6:$Z$6,1)+1)-O117)*(INDEX('Rate &amp; Vol Update'!$B$8:$B$127,MATCH(J117,'Rate &amp; Vol Update'!$B$8:$B$127,1)+1)-J117)+INDEX('Rate &amp; Vol Update'!$E$8:$Z$127,MATCH(INDEX('Rate &amp; Vol Update'!$B$8:$B$127,MATCH(J117,'Rate &amp; Vol Update'!$B$8:$B$127,1)),'Rate &amp; Vol Update'!$B$8:$B$127,0),MATCH(INDEX('Rate &amp; Vol Update'!$E$6:$Z$6,1,MATCH(O117,'Rate &amp; Vol Update'!$E$6:$Z$6,1)+1),'Rate &amp; Vol Update'!$E$6:$Z$6,0))*(O117-INDEX('Rate &amp; Vol Update'!$E$6:$Z$6,1,MATCH(O117,'Rate &amp; Vol Update'!$E$6:$Z$6,1)))*(INDEX('Rate &amp; Vol Update'!$B$8:$B$127,MATCH(J117,'Rate &amp; Vol Update'!$B$8:$B$127,1)+1)-J117)+INDEX('Rate &amp; Vol Update'!$E$8:$Z$127,MATCH(INDEX('Rate &amp; Vol Update'!$B$8:$B$127,MATCH(J117,'Rate &amp; Vol Update'!$B$8:$B$127,1)+1),'Rate &amp; Vol Update'!$B$8:$B$127,0),MATCH(INDEX('Rate &amp; Vol Update'!$E$6:$Z$6,1,MATCH(O117,'Rate &amp; Vol Update'!$E$6:$Z$6,1)),'Rate &amp; Vol Update'!$E$6:$Z$6,0))*(INDEX('Rate &amp; Vol Update'!$E$6:$Z$6,1,MATCH(O117,'Rate &amp; Vol Update'!$E$6:$Z$6,1)+1)-O117)*(J117-INDEX('Rate &amp; Vol Update'!$B$8:$B$127,MATCH(J117,'Rate &amp; Vol Update'!$B$8:$B$127,1)))+INDEX('Rate &amp; Vol Update'!$E$8:$Z$127,MATCH(INDEX('Rate &amp; Vol Update'!$B$8:$B$127,MATCH(J117,'Rate &amp; Vol Update'!$B$8:$B$127,1)+1),'Rate &amp; Vol Update'!$B$8:$B$127,0),MATCH(INDEX('Rate &amp; Vol Update'!$E$6:$Z$6,1,MATCH(O117,'Rate &amp; Vol Update'!$E$6:$Z$6,1)+1),'Rate &amp; Vol Update'!$E$6:$Z$6,0))*(O117-INDEX('Rate &amp; Vol Update'!$E$6:$Z$6,1,MATCH(O117,'Rate &amp; Vol Update'!$E$6:$Z$6,1)))*(J117-INDEX('Rate &amp; Vol Update'!$B$8:$B$127,MATCH(J117,'Rate &amp; Vol Update'!$B$8:$B$127,1)))))*0.01%))</f>
        <v/>
      </c>
      <c r="R117" s="5" t="str">
        <f>IF(I117="","",1/((1+P117)^((K117-'Rate &amp; Vol Update'!$C$2)/360)))</f>
        <v/>
      </c>
      <c r="T117" s="15" t="str">
        <f>IF(I117="","",IF(J117&lt;'Rate &amp; Vol Update'!$C$2,MAX(0,P117-O117)*(L117/360)*N117,(((IF('Adjustment Surface'!C$2='Data Validation'!$A$2,P117,IF('Adjustment Surface'!C$2='Data Validation'!$A$3,O117,"Unknown Option Type"))-IF('Adjustment Surface'!C$2='Data Validation'!$A$2,O117,IF('Adjustment Surface'!C$2='Data Validation'!$A$3,P117,"Unknown Option Type")))*(NORMDIST((IF('Adjustment Surface'!C$2='Data Validation'!$A$2,P117,IF('Adjustment Surface'!C$2='Data Validation'!$A$3,O117,"Unknown Option Type"))-IF('Adjustment Surface'!C$2='Data Validation'!$A$2,O117,IF('Adjustment Surface'!C$2='Data Validation'!$A$3,P117,"Unknown Option Type")))/(Q117*SQRT(M117)),0,1,TRUE)))+((Q117*SQRT(M117))*(NORMDIST((IF('Adjustment Surface'!C$2='Data Validation'!$A$2,P117,IF('Adjustment Surface'!C$2='Data Validation'!$A$3,O117,"Unknown Option Type"))-IF('Adjustment Surface'!C$2='Data Validation'!$A$2,O117,IF('Adjustment Surface'!C$2='Data Validation'!$A$3,P117,"Unknown Option Type")))/(Q117*SQRT(M117)),0,1,FALSE))))*R117*(L117/360)*N117))</f>
        <v/>
      </c>
      <c r="U117" s="15" t="str">
        <f>IF(I117="","",SUM(T$4:T117))</f>
        <v/>
      </c>
      <c r="W117" s="15" t="str">
        <f>IF(I117="","",IF(J117&lt;'Rate &amp; Vol Update'!$C$2,0,((((((IF('Adjustment Surface'!C$2='Data Validation'!$A$2,P117,IF('Adjustment Surface'!C$2='Data Validation'!$A$3,O117,"Unknown Option Type"))-IF('Adjustment Surface'!C$2='Data Validation'!$A$2,O117,IF('Adjustment Surface'!C$2='Data Validation'!$A$3,P117,"Unknown Option Type")))*(NORMDIST((IF('Adjustment Surface'!C$2='Data Validation'!$A$2,P117,IF('Adjustment Surface'!C$2='Data Validation'!$A$3,O117,"Unknown Option Type"))-IF('Adjustment Surface'!C$2='Data Validation'!$A$2,O117,IF('Adjustment Surface'!C$2='Data Validation'!$A$3,P117,"Unknown Option Type")))/((Q117+0.01%)*SQRT(M117)),0,1,TRUE)))+(((Q117+0.01%)*SQRT(M117))*(NORMDIST((IF('Adjustment Surface'!C$2='Data Validation'!$A$2,P117,IF('Adjustment Surface'!C$2='Data Validation'!$A$3,O117,"Unknown Option Type"))-IF('Adjustment Surface'!C$2='Data Validation'!$A$2,O117,IF('Adjustment Surface'!C$2='Data Validation'!$A$3,P117,"Unknown Option Type")))/((Q117+0.01%)*SQRT(M117)),0,1,FALSE))))*R117*(L117/360))-(T117/N117))*N117)*R117))</f>
        <v/>
      </c>
      <c r="X117" s="15" t="str">
        <f>IF(I117="","",SUM(W$4:W117))</f>
        <v/>
      </c>
      <c r="Y117" s="15"/>
      <c r="Z117" s="20"/>
      <c r="AB117" s="4" t="str">
        <f>IF(AC116=MAX('Adjustment Surface'!$C$14:$F$14),"",AC116)</f>
        <v/>
      </c>
      <c r="AC117" s="4" t="str">
        <f>IF(AB117="","",IF(AB117&lt;EDATE('Adjustment Surface'!$C$6,DATEDIF('Adjustment Surface'!$C$6,MAX('Adjustment Surface'!$C$14:$F$14),"M")),EDATE(AB$5,COUNT(AB$5:AB117)),IF(AB117=EDATE('Adjustment Surface'!$C$6,DATEDIF('Adjustment Surface'!$C$6,MAX('Adjustment Surface'!$C$14:$F$14),"M")),MAX('Adjustment Surface'!$C$14:$F$14),EDATE('Adjustment Surface'!$C$6,DATEDIF('Adjustment Surface'!$C$6,MAX('Adjustment Surface'!$C$14:$F$14),"M")))))</f>
        <v/>
      </c>
      <c r="AD117" s="3" t="str">
        <f t="shared" si="7"/>
        <v/>
      </c>
      <c r="AE117" s="5" t="str">
        <f>IF(AA117="","",(AC117-'Rate &amp; Vol Update'!$C$2)/360)</f>
        <v/>
      </c>
      <c r="AF117" s="15" t="str">
        <f>IF(AA117="","",IF('Adjustment Surface'!$C$3='Data Validation'!$C$2,'Adjustment Surface'!$C$4,_xlfn.IFNA(IF(INDEX(Schedules!$E$3:$E$123,MATCH('Bachelier Model'!AB117,Schedules!$B$3:$B$123,0))="",AF116,INDEX(Schedules!$E$3:$E$123,MATCH('Bachelier Model'!AB117,Schedules!$B$3:$B$123,0))),AF116)))</f>
        <v/>
      </c>
      <c r="AG117" s="16" t="str">
        <f>IF(AA117="","",'Adjustment Surface'!B$15)</f>
        <v/>
      </c>
      <c r="AH117" s="16" t="str" cm="1">
        <f t="array" ref="AH117">IF(AA117="","",FORECAST(AB117,INDEX('Rate &amp; Vol Update'!$C$6:$C$127,MATCH(INDEX('Rate &amp; Vol Update'!$B$6:$B$127,MATCH(AB117,'Rate &amp; Vol Update'!$B$6:$B$127,1)),'Rate &amp; Vol Update'!$B$6:$B$127,0)+IF('Adjustment Surface'!$C$11='Data Validation'!$E$3,-1,0)):INDEX('Rate &amp; Vol Update'!$C$6:$C$127,MATCH(INDEX('Rate &amp; Vol Update'!$B$6:$B$127,MATCH(AB117,'Rate &amp; Vol Update'!$B$6:$B$127,1)+1),'Rate &amp; Vol Update'!$B$6:$B$127,0)+IF('Adjustment Surface'!$C$11='Data Validation'!$E$3,-1,0)),INDEX('Rate &amp; Vol Update'!$B$6:$B$127,MATCH(AB117,'Rate &amp; Vol Update'!$B$6:$B$127,1)):INDEX('Rate &amp; Vol Update'!$B$6:$B$127,MATCH(AB117,'Rate &amp; Vol Update'!$B$6:$B$127,1)+1))/100)</f>
        <v/>
      </c>
      <c r="AI117" s="16" t="str" cm="1">
        <f t="array" ref="AI117">IF(AA117="","",IF(AB117&lt;'Rate &amp; Vol Update'!$C$2,0.001%,(1/((INDEX('Rate &amp; Vol Update'!$E$6:$Z$6,1,MATCH(AG117,'Rate &amp; Vol Update'!$E$6:$Z$6,1)+1)-INDEX('Rate &amp; Vol Update'!$E$6:$Z$6,1,MATCH(AG117,'Rate &amp; Vol Update'!$E$6:$Z$6,1)))*(INDEX('Rate &amp; Vol Update'!$B$8:$B$127,MATCH(AB117,'Rate &amp; Vol Update'!$B$8:$B$127,1)+1)-INDEX('Rate &amp; Vol Update'!$B$8:$B$127,MATCH(AB117,'Rate &amp; Vol Update'!$B$8:$B$127,1))))*(INDEX('Rate &amp; Vol Update'!$E$8:$Z$127,MATCH(INDEX('Rate &amp; Vol Update'!$B$8:$B$127,MATCH(AB117,'Rate &amp; Vol Update'!$B$8:$B$127,1)),'Rate &amp; Vol Update'!$B$8:$B$127,0),MATCH(INDEX('Rate &amp; Vol Update'!$E$6:$Z$6,1,MATCH(AG117,'Rate &amp; Vol Update'!$E$6:$Z$6,1)),'Rate &amp; Vol Update'!$E$6:$Z$6,0))*(INDEX('Rate &amp; Vol Update'!$E$6:$Z$6,1,MATCH(AG117,'Rate &amp; Vol Update'!$E$6:$Z$6,1)+1)-AG117)*(INDEX('Rate &amp; Vol Update'!$B$8:$B$127,MATCH(AB117,'Rate &amp; Vol Update'!$B$8:$B$127,1)+1)-AB117)+INDEX('Rate &amp; Vol Update'!$E$8:$Z$127,MATCH(INDEX('Rate &amp; Vol Update'!$B$8:$B$127,MATCH(AB117,'Rate &amp; Vol Update'!$B$8:$B$127,1)),'Rate &amp; Vol Update'!$B$8:$B$127,0),MATCH(INDEX('Rate &amp; Vol Update'!$E$6:$Z$6,1,MATCH(AG117,'Rate &amp; Vol Update'!$E$6:$Z$6,1)+1),'Rate &amp; Vol Update'!$E$6:$Z$6,0))*(AG117-INDEX('Rate &amp; Vol Update'!$E$6:$Z$6,1,MATCH(AG117,'Rate &amp; Vol Update'!$E$6:$Z$6,1)))*(INDEX('Rate &amp; Vol Update'!$B$8:$B$127,MATCH(AB117,'Rate &amp; Vol Update'!$B$8:$B$127,1)+1)-AB117)+INDEX('Rate &amp; Vol Update'!$E$8:$Z$127,MATCH(INDEX('Rate &amp; Vol Update'!$B$8:$B$127,MATCH(AB117,'Rate &amp; Vol Update'!$B$8:$B$127,1)+1),'Rate &amp; Vol Update'!$B$8:$B$127,0),MATCH(INDEX('Rate &amp; Vol Update'!$E$6:$Z$6,1,MATCH(AG117,'Rate &amp; Vol Update'!$E$6:$Z$6,1)),'Rate &amp; Vol Update'!$E$6:$Z$6,0))*(INDEX('Rate &amp; Vol Update'!$E$6:$Z$6,1,MATCH(AG117,'Rate &amp; Vol Update'!$E$6:$Z$6,1)+1)-AG117)*(AB117-INDEX('Rate &amp; Vol Update'!$B$8:$B$127,MATCH(AB117,'Rate &amp; Vol Update'!$B$8:$B$127,1)))+INDEX('Rate &amp; Vol Update'!$E$8:$Z$127,MATCH(INDEX('Rate &amp; Vol Update'!$B$8:$B$127,MATCH(AB117,'Rate &amp; Vol Update'!$B$8:$B$127,1)+1),'Rate &amp; Vol Update'!$B$8:$B$127,0),MATCH(INDEX('Rate &amp; Vol Update'!$E$6:$Z$6,1,MATCH(AG117,'Rate &amp; Vol Update'!$E$6:$Z$6,1)+1),'Rate &amp; Vol Update'!$E$6:$Z$6,0))*(AG117-INDEX('Rate &amp; Vol Update'!$E$6:$Z$6,1,MATCH(AG117,'Rate &amp; Vol Update'!$E$6:$Z$6,1)))*(AB117-INDEX('Rate &amp; Vol Update'!$B$8:$B$127,MATCH(AB117,'Rate &amp; Vol Update'!$B$8:$B$127,1)))))*0.01%))</f>
        <v/>
      </c>
      <c r="AJ117" s="5" t="str">
        <f>IF(AA117="","",1/((1+AH117)^((AC117-'Rate &amp; Vol Update'!$C$2)/360)))</f>
        <v/>
      </c>
      <c r="AL117" s="15" t="str">
        <f>IF(AA117="","",IF(AB117&lt;'Rate &amp; Vol Update'!$C$2,MAX(0,AH117-AG117)*(AD117/360)*AF117,(((IF('Adjustment Surface'!$C$2='Data Validation'!$A$2,AH117,IF('Adjustment Surface'!$C$2='Data Validation'!$A$3,AG117,"Unknown Option Type"))-IF('Adjustment Surface'!$C$2='Data Validation'!$A$2,AG117,IF('Adjustment Surface'!$C$2='Data Validation'!$A$3,AH117,"Unknown Option Type")))*(NORMDIST((IF('Adjustment Surface'!$C$2='Data Validation'!$A$2,AH117,IF('Adjustment Surface'!$C$2='Data Validation'!$A$3,AG117,"Unknown Option Type"))-IF('Adjustment Surface'!$C$2='Data Validation'!$A$2,AG117,IF('Adjustment Surface'!$C$2='Data Validation'!$A$3,AH117,"Unknown Option Type")))/(AI117*SQRT(AE117)),0,1,TRUE)))+((AI117*SQRT(AE117))*(NORMDIST((IF('Adjustment Surface'!$C$2='Data Validation'!$A$2,AH117,IF('Adjustment Surface'!$C$2='Data Validation'!$A$3,AG117,"Unknown Option Type"))-IF('Adjustment Surface'!$C$2='Data Validation'!$A$2,AG117,IF('Adjustment Surface'!$C$2='Data Validation'!$A$3,AH117,"Unknown Option Type")))/(AI117*SQRT(AE117)),0,1,FALSE))))*AJ117*(AD117/360)*AF117))</f>
        <v/>
      </c>
      <c r="AM117" s="15" t="str">
        <f>IF(AA117="","",SUM(AL$4:AL117))</f>
        <v/>
      </c>
      <c r="AO117" s="15" t="str">
        <f>IF(AA117="","",IF(AB117&lt;'Rate &amp; Vol Update'!$C$2,0,((((((IF('Adjustment Surface'!$C$2='Data Validation'!$A$2,AH117,IF('Adjustment Surface'!$C$2='Data Validation'!$A$3,AG117,"Unknown Option Type"))-IF('Adjustment Surface'!$C$2='Data Validation'!$A$2,AG117,IF('Adjustment Surface'!$C$2='Data Validation'!$A$3,AH117,"Unknown Option Type")))*(NORMDIST((IF('Adjustment Surface'!$C$2='Data Validation'!$A$2,AH117,IF('Adjustment Surface'!$C$2='Data Validation'!$A$3,AG117,"Unknown Option Type"))-IF('Adjustment Surface'!$C$2='Data Validation'!$A$2,AG117,IF('Adjustment Surface'!$C$2='Data Validation'!$A$3,AH117,"Unknown Option Type")))/((AI117+0.01%)*SQRT(AE117)),0,1,TRUE)))+(((AI117+0.01%)*SQRT(AE117))*(NORMDIST((IF('Adjustment Surface'!$C$2='Data Validation'!$A$2,AH117,IF('Adjustment Surface'!$C$2='Data Validation'!$A$3,AG117,"Unknown Option Type"))-IF('Adjustment Surface'!$C$2='Data Validation'!$A$2,AG117,IF('Adjustment Surface'!$C$2='Data Validation'!$A$3,AH117,"Unknown Option Type")))/((AI117+0.01%)*SQRT(AE117)),0,1,FALSE))))*AJ117*(AD117/360))-(AL117/AF117))*AF117)*AJ117))</f>
        <v/>
      </c>
      <c r="AP117" s="15" t="str">
        <f>IF(AA117="","",SUM(AO$4:AO117))</f>
        <v/>
      </c>
      <c r="AQ117" s="15"/>
      <c r="AR117" s="20"/>
      <c r="AT117" s="4" t="str">
        <f>IF(AU116=MAX('Adjustment Surface'!$C$14:$F$14),"",AU116)</f>
        <v/>
      </c>
      <c r="AU117" s="4" t="str">
        <f>IF(AT117="","",IF(AT117&lt;EDATE('Adjustment Surface'!$C$6,DATEDIF('Adjustment Surface'!$C$6,MAX('Adjustment Surface'!$C$14:$F$14),"M")),EDATE(AT$5,COUNT(AT$5:AT117)),IF(AT117=EDATE('Adjustment Surface'!$C$6,DATEDIF('Adjustment Surface'!$C$6,MAX('Adjustment Surface'!$C$14:$F$14),"M")),MAX('Adjustment Surface'!$C$14:$F$14),EDATE('Adjustment Surface'!$C$6,DATEDIF('Adjustment Surface'!$C$6,MAX('Adjustment Surface'!$C$14:$F$14),"M")))))</f>
        <v/>
      </c>
      <c r="AV117" s="3" t="str">
        <f t="shared" si="8"/>
        <v/>
      </c>
      <c r="AW117" s="5" t="str">
        <f>IF(AS117="","",(AU117-'Rate &amp; Vol Update'!$C$2)/360)</f>
        <v/>
      </c>
      <c r="AX117" s="15" t="str">
        <f>IF(AS117="","",IF('Adjustment Surface'!$C$3='Data Validation'!$C$2,'Adjustment Surface'!$C$4,_xlfn.IFNA(IF(INDEX(Schedules!$E$3:$E$123,MATCH('Bachelier Model'!AT117,Schedules!$B$3:$B$123,0))="",AX116,INDEX(Schedules!$E$3:$E$123,MATCH('Bachelier Model'!AT117,Schedules!$B$3:$B$123,0))),AX116)))</f>
        <v/>
      </c>
      <c r="AY117" s="16" t="str">
        <f>IF(AS117="","",'Adjustment Surface'!B$16)</f>
        <v/>
      </c>
      <c r="AZ117" s="16" t="str" cm="1">
        <f t="array" ref="AZ117">IF(AS117="","",FORECAST(AT117,INDEX('Rate &amp; Vol Update'!$C$6:$C$127,MATCH(INDEX('Rate &amp; Vol Update'!$B$6:$B$127,MATCH(AT117,'Rate &amp; Vol Update'!$B$6:$B$127,1)),'Rate &amp; Vol Update'!$B$6:$B$127,0)+IF('Adjustment Surface'!$C$11='Data Validation'!$E$3,-1,0)):INDEX('Rate &amp; Vol Update'!$C$6:$C$127,MATCH(INDEX('Rate &amp; Vol Update'!$B$6:$B$127,MATCH(AT117,'Rate &amp; Vol Update'!$B$6:$B$127,1)+1),'Rate &amp; Vol Update'!$B$6:$B$127,0)+IF('Adjustment Surface'!$C$11='Data Validation'!$E$3,-1,0)),INDEX('Rate &amp; Vol Update'!$B$6:$B$127,MATCH(AT117,'Rate &amp; Vol Update'!$B$6:$B$127,1)):INDEX('Rate &amp; Vol Update'!$B$6:$B$127,MATCH(AT117,'Rate &amp; Vol Update'!$B$6:$B$127,1)+1))/100)</f>
        <v/>
      </c>
      <c r="BA117" s="16" t="str" cm="1">
        <f t="array" ref="BA117">IF(AS117="","",IF(AT117&lt;'Rate &amp; Vol Update'!$C$2,0.001%,(1/((INDEX('Rate &amp; Vol Update'!$E$6:$Z$6,1,MATCH(AY117,'Rate &amp; Vol Update'!$E$6:$Z$6,1)+1)-INDEX('Rate &amp; Vol Update'!$E$6:$Z$6,1,MATCH(AY117,'Rate &amp; Vol Update'!$E$6:$Z$6,1)))*(INDEX('Rate &amp; Vol Update'!$B$8:$B$127,MATCH(AT117,'Rate &amp; Vol Update'!$B$8:$B$127,1)+1)-INDEX('Rate &amp; Vol Update'!$B$8:$B$127,MATCH(AT117,'Rate &amp; Vol Update'!$B$8:$B$127,1))))*(INDEX('Rate &amp; Vol Update'!$E$8:$Z$127,MATCH(INDEX('Rate &amp; Vol Update'!$B$8:$B$127,MATCH(AT117,'Rate &amp; Vol Update'!$B$8:$B$127,1)),'Rate &amp; Vol Update'!$B$8:$B$127,0),MATCH(INDEX('Rate &amp; Vol Update'!$E$6:$Z$6,1,MATCH(AY117,'Rate &amp; Vol Update'!$E$6:$Z$6,1)),'Rate &amp; Vol Update'!$E$6:$Z$6,0))*(INDEX('Rate &amp; Vol Update'!$E$6:$Z$6,1,MATCH(AY117,'Rate &amp; Vol Update'!$E$6:$Z$6,1)+1)-AY117)*(INDEX('Rate &amp; Vol Update'!$B$8:$B$127,MATCH(AT117,'Rate &amp; Vol Update'!$B$8:$B$127,1)+1)-AT117)+INDEX('Rate &amp; Vol Update'!$E$8:$Z$127,MATCH(INDEX('Rate &amp; Vol Update'!$B$8:$B$127,MATCH(AT117,'Rate &amp; Vol Update'!$B$8:$B$127,1)),'Rate &amp; Vol Update'!$B$8:$B$127,0),MATCH(INDEX('Rate &amp; Vol Update'!$E$6:$Z$6,1,MATCH(AY117,'Rate &amp; Vol Update'!$E$6:$Z$6,1)+1),'Rate &amp; Vol Update'!$E$6:$Z$6,0))*(AY117-INDEX('Rate &amp; Vol Update'!$E$6:$Z$6,1,MATCH(AY117,'Rate &amp; Vol Update'!$E$6:$Z$6,1)))*(INDEX('Rate &amp; Vol Update'!$B$8:$B$127,MATCH(AT117,'Rate &amp; Vol Update'!$B$8:$B$127,1)+1)-AT117)+INDEX('Rate &amp; Vol Update'!$E$8:$Z$127,MATCH(INDEX('Rate &amp; Vol Update'!$B$8:$B$127,MATCH(AT117,'Rate &amp; Vol Update'!$B$8:$B$127,1)+1),'Rate &amp; Vol Update'!$B$8:$B$127,0),MATCH(INDEX('Rate &amp; Vol Update'!$E$6:$Z$6,1,MATCH(AY117,'Rate &amp; Vol Update'!$E$6:$Z$6,1)),'Rate &amp; Vol Update'!$E$6:$Z$6,0))*(INDEX('Rate &amp; Vol Update'!$E$6:$Z$6,1,MATCH(AY117,'Rate &amp; Vol Update'!$E$6:$Z$6,1)+1)-AY117)*(AT117-INDEX('Rate &amp; Vol Update'!$B$8:$B$127,MATCH(AT117,'Rate &amp; Vol Update'!$B$8:$B$127,1)))+INDEX('Rate &amp; Vol Update'!$E$8:$Z$127,MATCH(INDEX('Rate &amp; Vol Update'!$B$8:$B$127,MATCH(AT117,'Rate &amp; Vol Update'!$B$8:$B$127,1)+1),'Rate &amp; Vol Update'!$B$8:$B$127,0),MATCH(INDEX('Rate &amp; Vol Update'!$E$6:$Z$6,1,MATCH(AY117,'Rate &amp; Vol Update'!$E$6:$Z$6,1)+1),'Rate &amp; Vol Update'!$E$6:$Z$6,0))*(AY117-INDEX('Rate &amp; Vol Update'!$E$6:$Z$6,1,MATCH(AY117,'Rate &amp; Vol Update'!$E$6:$Z$6,1)))*(AT117-INDEX('Rate &amp; Vol Update'!$B$8:$B$127,MATCH(AT117,'Rate &amp; Vol Update'!$B$8:$B$127,1)))))*0.01%))</f>
        <v/>
      </c>
      <c r="BB117" s="5" t="str">
        <f>IF(AS117="","",1/((1+AZ117)^((AU117-'Rate &amp; Vol Update'!$C$2)/360)))</f>
        <v/>
      </c>
      <c r="BD117" s="15" t="str">
        <f>IF(AS117="","",IF(AT117&lt;'Rate &amp; Vol Update'!$C$2,MAX(0,AZ117-AY117)*(AV117/360)*AX117,(((IF('Adjustment Surface'!$C$2='Data Validation'!$A$2,AZ117,IF('Adjustment Surface'!$C$2='Data Validation'!$A$3,AY117,"Unknown Option Type"))-IF('Adjustment Surface'!$C$2='Data Validation'!$A$2,AY117,IF('Adjustment Surface'!$C$2='Data Validation'!$A$3,AZ117,"Unknown Option Type")))*(NORMDIST((IF('Adjustment Surface'!$C$2='Data Validation'!$A$2,AZ117,IF('Adjustment Surface'!$C$2='Data Validation'!$A$3,AY117,"Unknown Option Type"))-IF('Adjustment Surface'!$C$2='Data Validation'!$A$2,AY117,IF('Adjustment Surface'!$C$2='Data Validation'!$A$3,AZ117,"Unknown Option Type")))/(BA117*SQRT(AW117)),0,1,TRUE)))+((BA117*SQRT(AW117))*(NORMDIST((IF('Adjustment Surface'!$C$2='Data Validation'!$A$2,AZ117,IF('Adjustment Surface'!$C$2='Data Validation'!$A$3,AY117,"Unknown Option Type"))-IF('Adjustment Surface'!$C$2='Data Validation'!$A$2,AY117,IF('Adjustment Surface'!$C$2='Data Validation'!$A$3,AZ117,"Unknown Option Type")))/(BA117*SQRT(AW117)),0,1,FALSE))))*BB117*(AV117/360)*AX117))</f>
        <v/>
      </c>
      <c r="BE117" s="15" t="str">
        <f>IF(AS117="","",SUM(BD$4:BD117))</f>
        <v/>
      </c>
      <c r="BG117" s="15" t="str">
        <f>IF(AS117="","",IF(AT117&lt;'Rate &amp; Vol Update'!$C$2,0,((((((IF('Adjustment Surface'!$C$2='Data Validation'!$A$2,AZ117,IF('Adjustment Surface'!$C$2='Data Validation'!$A$3,AY117,"Unknown Option Type"))-IF('Adjustment Surface'!$C$2='Data Validation'!$A$2,AY117,IF('Adjustment Surface'!$C$2='Data Validation'!$A$3,AZ117,"Unknown Option Type")))*(NORMDIST((IF('Adjustment Surface'!$C$2='Data Validation'!$A$2,AZ117,IF('Adjustment Surface'!$C$2='Data Validation'!$A$3,AY117,"Unknown Option Type"))-IF('Adjustment Surface'!$C$2='Data Validation'!$A$2,AY117,IF('Adjustment Surface'!$C$2='Data Validation'!$A$3,AZ117,"Unknown Option Type")))/((BA117+0.01%)*SQRT(AW117)),0,1,TRUE)))+(((BA117+0.01%)*SQRT(AW117))*(NORMDIST((IF('Adjustment Surface'!$C$2='Data Validation'!$A$2,AZ117,IF('Adjustment Surface'!$C$2='Data Validation'!$A$3,AY117,"Unknown Option Type"))-IF('Adjustment Surface'!$C$2='Data Validation'!$A$2,AY117,IF('Adjustment Surface'!$C$2='Data Validation'!$A$3,AZ117,"Unknown Option Type")))/((BA117+0.01%)*SQRT(AW117)),0,1,FALSE))))*BB117*(AV117/360))-(BD117/AX117))*AX117)*BB117))</f>
        <v/>
      </c>
      <c r="BH117" s="15" t="str">
        <f>IF(AS117="","",SUM(BG$4:BG117))</f>
        <v/>
      </c>
      <c r="BI117" s="15"/>
      <c r="BJ117" s="20"/>
      <c r="BL117" s="4" t="str">
        <f>IF(BM116=MAX('Adjustment Surface'!$C$14:$F$14),"",BM116)</f>
        <v/>
      </c>
      <c r="BM117" s="4" t="str">
        <f>IF(BL117="","",IF(BL117&lt;EDATE('Adjustment Surface'!$C$6,DATEDIF('Adjustment Surface'!$C$6,MAX('Adjustment Surface'!$C$14:$F$14),"M")),EDATE(BL$5,COUNT(BL$5:BL117)),IF(BL117=EDATE('Adjustment Surface'!$C$6,DATEDIF('Adjustment Surface'!$C$6,MAX('Adjustment Surface'!$C$14:$F$14),"M")),MAX('Adjustment Surface'!$C$14:$F$14),EDATE('Adjustment Surface'!$C$6,DATEDIF('Adjustment Surface'!$C$6,MAX('Adjustment Surface'!$C$14:$F$14),"M")))))</f>
        <v/>
      </c>
      <c r="BN117" s="3" t="str">
        <f t="shared" si="9"/>
        <v/>
      </c>
      <c r="BO117" s="5" t="str">
        <f>IF(BK117="","",(BM117-'Rate &amp; Vol Update'!$C$2)/360)</f>
        <v/>
      </c>
      <c r="BP117" s="15" t="str">
        <f>IF(BK117="","",IF('Adjustment Surface'!$C$3='Data Validation'!$C$2,'Adjustment Surface'!$C$4,_xlfn.IFNA(IF(INDEX(Schedules!$E$3:$E$123,MATCH('Bachelier Model'!BL117,Schedules!$B$3:$B$123,0))="",BP116,INDEX(Schedules!$E$3:$E$123,MATCH('Bachelier Model'!BL117,Schedules!$B$3:$B$123,0))),BP116)))</f>
        <v/>
      </c>
      <c r="BQ117" s="16" t="str">
        <f>IF(BK117="","",'Adjustment Surface'!B$17)</f>
        <v/>
      </c>
      <c r="BR117" s="16" t="str" cm="1">
        <f t="array" ref="BR117">IF(BK117="","",FORECAST(BL117,INDEX('Rate &amp; Vol Update'!$C$6:$C$127,MATCH(INDEX('Rate &amp; Vol Update'!$B$6:$B$127,MATCH(BL117,'Rate &amp; Vol Update'!$B$6:$B$127,1)),'Rate &amp; Vol Update'!$B$6:$B$127,0)+IF('Adjustment Surface'!$C$11='Data Validation'!$E$3,-1,0)):INDEX('Rate &amp; Vol Update'!$C$6:$C$127,MATCH(INDEX('Rate &amp; Vol Update'!$B$6:$B$127,MATCH(BL117,'Rate &amp; Vol Update'!$B$6:$B$127,1)+1),'Rate &amp; Vol Update'!$B$6:$B$127,0)+IF('Adjustment Surface'!$C$11='Data Validation'!$E$3,-1,0)),INDEX('Rate &amp; Vol Update'!$B$6:$B$127,MATCH(BL117,'Rate &amp; Vol Update'!$B$6:$B$127,1)):INDEX('Rate &amp; Vol Update'!$B$6:$B$127,MATCH(BL117,'Rate &amp; Vol Update'!$B$6:$B$127,1)+1))/100)</f>
        <v/>
      </c>
      <c r="BS117" s="16" t="str" cm="1">
        <f t="array" ref="BS117">IF(BK117="","",IF(BL117&lt;'Rate &amp; Vol Update'!$C$2,0.001%,(1/((INDEX('Rate &amp; Vol Update'!$E$6:$Z$6,1,MATCH(BQ117,'Rate &amp; Vol Update'!$E$6:$Z$6,1)+1)-INDEX('Rate &amp; Vol Update'!$E$6:$Z$6,1,MATCH(BQ117,'Rate &amp; Vol Update'!$E$6:$Z$6,1)))*(INDEX('Rate &amp; Vol Update'!$B$8:$B$127,MATCH(BL117,'Rate &amp; Vol Update'!$B$8:$B$127,1)+1)-INDEX('Rate &amp; Vol Update'!$B$8:$B$127,MATCH(BL117,'Rate &amp; Vol Update'!$B$8:$B$127,1))))*(INDEX('Rate &amp; Vol Update'!$E$8:$Z$127,MATCH(INDEX('Rate &amp; Vol Update'!$B$8:$B$127,MATCH(BL117,'Rate &amp; Vol Update'!$B$8:$B$127,1)),'Rate &amp; Vol Update'!$B$8:$B$127,0),MATCH(INDEX('Rate &amp; Vol Update'!$E$6:$Z$6,1,MATCH(BQ117,'Rate &amp; Vol Update'!$E$6:$Z$6,1)),'Rate &amp; Vol Update'!$E$6:$Z$6,0))*(INDEX('Rate &amp; Vol Update'!$E$6:$Z$6,1,MATCH(BQ117,'Rate &amp; Vol Update'!$E$6:$Z$6,1)+1)-BQ117)*(INDEX('Rate &amp; Vol Update'!$B$8:$B$127,MATCH(BL117,'Rate &amp; Vol Update'!$B$8:$B$127,1)+1)-BL117)+INDEX('Rate &amp; Vol Update'!$E$8:$Z$127,MATCH(INDEX('Rate &amp; Vol Update'!$B$8:$B$127,MATCH(BL117,'Rate &amp; Vol Update'!$B$8:$B$127,1)),'Rate &amp; Vol Update'!$B$8:$B$127,0),MATCH(INDEX('Rate &amp; Vol Update'!$E$6:$Z$6,1,MATCH(BQ117,'Rate &amp; Vol Update'!$E$6:$Z$6,1)+1),'Rate &amp; Vol Update'!$E$6:$Z$6,0))*(BQ117-INDEX('Rate &amp; Vol Update'!$E$6:$Z$6,1,MATCH(BQ117,'Rate &amp; Vol Update'!$E$6:$Z$6,1)))*(INDEX('Rate &amp; Vol Update'!$B$8:$B$127,MATCH(BL117,'Rate &amp; Vol Update'!$B$8:$B$127,1)+1)-BL117)+INDEX('Rate &amp; Vol Update'!$E$8:$Z$127,MATCH(INDEX('Rate &amp; Vol Update'!$B$8:$B$127,MATCH(BL117,'Rate &amp; Vol Update'!$B$8:$B$127,1)+1),'Rate &amp; Vol Update'!$B$8:$B$127,0),MATCH(INDEX('Rate &amp; Vol Update'!$E$6:$Z$6,1,MATCH(BQ117,'Rate &amp; Vol Update'!$E$6:$Z$6,1)),'Rate &amp; Vol Update'!$E$6:$Z$6,0))*(INDEX('Rate &amp; Vol Update'!$E$6:$Z$6,1,MATCH(BQ117,'Rate &amp; Vol Update'!$E$6:$Z$6,1)+1)-BQ117)*(BL117-INDEX('Rate &amp; Vol Update'!$B$8:$B$127,MATCH(BL117,'Rate &amp; Vol Update'!$B$8:$B$127,1)))+INDEX('Rate &amp; Vol Update'!$E$8:$Z$127,MATCH(INDEX('Rate &amp; Vol Update'!$B$8:$B$127,MATCH(BL117,'Rate &amp; Vol Update'!$B$8:$B$127,1)+1),'Rate &amp; Vol Update'!$B$8:$B$127,0),MATCH(INDEX('Rate &amp; Vol Update'!$E$6:$Z$6,1,MATCH(BQ117,'Rate &amp; Vol Update'!$E$6:$Z$6,1)+1),'Rate &amp; Vol Update'!$E$6:$Z$6,0))*(BQ117-INDEX('Rate &amp; Vol Update'!$E$6:$Z$6,1,MATCH(BQ117,'Rate &amp; Vol Update'!$E$6:$Z$6,1)))*(BL117-INDEX('Rate &amp; Vol Update'!$B$8:$B$127,MATCH(BL117,'Rate &amp; Vol Update'!$B$8:$B$127,1)))))*0.01%))</f>
        <v/>
      </c>
      <c r="BT117" s="5" t="str">
        <f>IF(BK117="","",1/((1+BR117)^((BM117-'Rate &amp; Vol Update'!$C$2)/360)))</f>
        <v/>
      </c>
      <c r="BV117" s="15" t="str">
        <f>IF(BK117="","",IF(BL117&lt;'Rate &amp; Vol Update'!$C$2,MAX(0,BR117-BQ117)*(BN117/360)*BP117,(((IF('Adjustment Surface'!$C$2='Data Validation'!$A$2,BR117,IF('Adjustment Surface'!$C$2='Data Validation'!$A$3,BQ117,"Unknown Option Type"))-IF('Adjustment Surface'!$C$2='Data Validation'!$A$2,BQ117,IF('Adjustment Surface'!$C$2='Data Validation'!$A$3,BR117,"Unknown Option Type")))*(NORMDIST((IF('Adjustment Surface'!$C$2='Data Validation'!$A$2,BR117,IF('Adjustment Surface'!$C$2='Data Validation'!$A$3,BQ117,"Unknown Option Type"))-IF('Adjustment Surface'!$C$2='Data Validation'!$A$2,BQ117,IF('Adjustment Surface'!$C$2='Data Validation'!$A$3,BR117,"Unknown Option Type")))/(BS117*SQRT(BO117)),0,1,TRUE)))+((BS117*SQRT(BO117))*(NORMDIST((IF('Adjustment Surface'!$C$2='Data Validation'!$A$2,BR117,IF('Adjustment Surface'!$C$2='Data Validation'!$A$3,BQ117,"Unknown Option Type"))-IF('Adjustment Surface'!$C$2='Data Validation'!$A$2,BQ117,IF('Adjustment Surface'!$C$2='Data Validation'!$A$3,BR117,"Unknown Option Type")))/(BS117*SQRT(BO117)),0,1,FALSE))))*BT117*(BN117/360)*BP117))</f>
        <v/>
      </c>
      <c r="BW117" s="15" t="str">
        <f>IF(BK117="","",SUM(BV$4:BV117))</f>
        <v/>
      </c>
      <c r="BY117" s="15" t="str">
        <f>IF(BK117="","",IF(BL117&lt;'Rate &amp; Vol Update'!$C$2,0,((((((IF('Adjustment Surface'!$C$2='Data Validation'!$A$2,BR117,IF('Adjustment Surface'!$C$2='Data Validation'!$A$3,BQ117,"Unknown Option Type"))-IF('Adjustment Surface'!$C$2='Data Validation'!$A$2,BQ117,IF('Adjustment Surface'!$C$2='Data Validation'!$A$3,BR117,"Unknown Option Type")))*(NORMDIST((IF('Adjustment Surface'!$C$2='Data Validation'!$A$2,BR117,IF('Adjustment Surface'!$C$2='Data Validation'!$A$3,BQ117,"Unknown Option Type"))-IF('Adjustment Surface'!$C$2='Data Validation'!$A$2,BQ117,IF('Adjustment Surface'!$C$2='Data Validation'!$A$3,BR117,"Unknown Option Type")))/((BS117+0.01%)*SQRT(BO117)),0,1,TRUE)))+(((BS117+0.01%)*SQRT(BO117))*(NORMDIST((IF('Adjustment Surface'!$C$2='Data Validation'!$A$2,BR117,IF('Adjustment Surface'!$C$2='Data Validation'!$A$3,BQ117,"Unknown Option Type"))-IF('Adjustment Surface'!$C$2='Data Validation'!$A$2,BQ117,IF('Adjustment Surface'!$C$2='Data Validation'!$A$3,BR117,"Unknown Option Type")))/((BS117+0.01%)*SQRT(BO117)),0,1,FALSE))))*BT117*(BN117/360))-(BV117/BP117))*BP117)*BT117))</f>
        <v/>
      </c>
      <c r="BZ117" s="15" t="str">
        <f>IF(BK117="","",SUM(BY$4:BY117))</f>
        <v/>
      </c>
      <c r="CA117" s="15"/>
      <c r="CB117" s="20"/>
      <c r="CD117" s="4" t="str">
        <f>IF(CE116=MAX('Adjustment Surface'!$C$14:$F$14),"",CE116)</f>
        <v/>
      </c>
      <c r="CE117" s="4" t="str">
        <f>IF(CD117="","",IF(CD117&lt;EDATE('Adjustment Surface'!$C$6,DATEDIF('Adjustment Surface'!$C$6,MAX('Adjustment Surface'!$C$14:$F$14),"M")),EDATE(CD$5,COUNT(CD$5:CD117)),IF(CD117=EDATE('Adjustment Surface'!$C$6,DATEDIF('Adjustment Surface'!$C$6,MAX('Adjustment Surface'!$C$14:$F$14),"M")),MAX('Adjustment Surface'!$C$14:$F$14),EDATE('Adjustment Surface'!$C$6,DATEDIF('Adjustment Surface'!$C$6,MAX('Adjustment Surface'!$C$14:$F$14),"M")))))</f>
        <v/>
      </c>
      <c r="CF117" s="3" t="str">
        <f t="shared" si="10"/>
        <v/>
      </c>
      <c r="CG117" s="5" t="str">
        <f>IF(CC117="","",(CE117-'Rate &amp; Vol Update'!$C$2)/360)</f>
        <v/>
      </c>
      <c r="CH117" s="15" t="str">
        <f>IF(CC117="","",IF('Adjustment Surface'!$C$3='Data Validation'!$C$2,'Adjustment Surface'!$C$4,_xlfn.IFNA(IF(INDEX(Schedules!$E$3:$E$123,MATCH('Bachelier Model'!CD117,Schedules!$B$3:$B$123,0))="",CH116,INDEX(Schedules!$E$3:$E$123,MATCH('Bachelier Model'!CD117,Schedules!$B$3:$B$123,0))),CH116)))</f>
        <v/>
      </c>
      <c r="CI117" s="16" t="str">
        <f>IF(CC117="","",'Adjustment Surface'!B$18)</f>
        <v/>
      </c>
      <c r="CJ117" s="16" t="str" cm="1">
        <f t="array" ref="CJ117">IF(CC117="","",FORECAST(CD117,INDEX('Rate &amp; Vol Update'!$C$6:$C$127,MATCH(INDEX('Rate &amp; Vol Update'!$B$6:$B$127,MATCH(CD117,'Rate &amp; Vol Update'!$B$6:$B$127,1)),'Rate &amp; Vol Update'!$B$6:$B$127,0)+IF('Adjustment Surface'!$C$11='Data Validation'!$E$3,-1,0)):INDEX('Rate &amp; Vol Update'!$C$6:$C$127,MATCH(INDEX('Rate &amp; Vol Update'!$B$6:$B$127,MATCH(CD117,'Rate &amp; Vol Update'!$B$6:$B$127,1)+1),'Rate &amp; Vol Update'!$B$6:$B$127,0)+IF('Adjustment Surface'!$C$11='Data Validation'!$E$3,-1,0)),INDEX('Rate &amp; Vol Update'!$B$6:$B$127,MATCH(CD117,'Rate &amp; Vol Update'!$B$6:$B$127,1)):INDEX('Rate &amp; Vol Update'!$B$6:$B$127,MATCH(CD117,'Rate &amp; Vol Update'!$B$6:$B$127,1)+1))/100)</f>
        <v/>
      </c>
      <c r="CK117" s="16" t="str" cm="1">
        <f t="array" ref="CK117">IF(CC117="","",IF(CD117&lt;'Rate &amp; Vol Update'!$C$2,0.001%,(1/((INDEX('Rate &amp; Vol Update'!$E$6:$Z$6,1,MATCH(CI117,'Rate &amp; Vol Update'!$E$6:$Z$6,1)+1)-INDEX('Rate &amp; Vol Update'!$E$6:$Z$6,1,MATCH(CI117,'Rate &amp; Vol Update'!$E$6:$Z$6,1)))*(INDEX('Rate &amp; Vol Update'!$B$8:$B$127,MATCH(CD117,'Rate &amp; Vol Update'!$B$8:$B$127,1)+1)-INDEX('Rate &amp; Vol Update'!$B$8:$B$127,MATCH(CD117,'Rate &amp; Vol Update'!$B$8:$B$127,1))))*(INDEX('Rate &amp; Vol Update'!$E$8:$Z$127,MATCH(INDEX('Rate &amp; Vol Update'!$B$8:$B$127,MATCH(CD117,'Rate &amp; Vol Update'!$B$8:$B$127,1)),'Rate &amp; Vol Update'!$B$8:$B$127,0),MATCH(INDEX('Rate &amp; Vol Update'!$E$6:$Z$6,1,MATCH(CI117,'Rate &amp; Vol Update'!$E$6:$Z$6,1)),'Rate &amp; Vol Update'!$E$6:$Z$6,0))*(INDEX('Rate &amp; Vol Update'!$E$6:$Z$6,1,MATCH(CI117,'Rate &amp; Vol Update'!$E$6:$Z$6,1)+1)-CI117)*(INDEX('Rate &amp; Vol Update'!$B$8:$B$127,MATCH(CD117,'Rate &amp; Vol Update'!$B$8:$B$127,1)+1)-CD117)+INDEX('Rate &amp; Vol Update'!$E$8:$Z$127,MATCH(INDEX('Rate &amp; Vol Update'!$B$8:$B$127,MATCH(CD117,'Rate &amp; Vol Update'!$B$8:$B$127,1)),'Rate &amp; Vol Update'!$B$8:$B$127,0),MATCH(INDEX('Rate &amp; Vol Update'!$E$6:$Z$6,1,MATCH(CI117,'Rate &amp; Vol Update'!$E$6:$Z$6,1)+1),'Rate &amp; Vol Update'!$E$6:$Z$6,0))*(CI117-INDEX('Rate &amp; Vol Update'!$E$6:$Z$6,1,MATCH(CI117,'Rate &amp; Vol Update'!$E$6:$Z$6,1)))*(INDEX('Rate &amp; Vol Update'!$B$8:$B$127,MATCH(CD117,'Rate &amp; Vol Update'!$B$8:$B$127,1)+1)-CD117)+INDEX('Rate &amp; Vol Update'!$E$8:$Z$127,MATCH(INDEX('Rate &amp; Vol Update'!$B$8:$B$127,MATCH(CD117,'Rate &amp; Vol Update'!$B$8:$B$127,1)+1),'Rate &amp; Vol Update'!$B$8:$B$127,0),MATCH(INDEX('Rate &amp; Vol Update'!$E$6:$Z$6,1,MATCH(CI117,'Rate &amp; Vol Update'!$E$6:$Z$6,1)),'Rate &amp; Vol Update'!$E$6:$Z$6,0))*(INDEX('Rate &amp; Vol Update'!$E$6:$Z$6,1,MATCH(CI117,'Rate &amp; Vol Update'!$E$6:$Z$6,1)+1)-CI117)*(CD117-INDEX('Rate &amp; Vol Update'!$B$8:$B$127,MATCH(CD117,'Rate &amp; Vol Update'!$B$8:$B$127,1)))+INDEX('Rate &amp; Vol Update'!$E$8:$Z$127,MATCH(INDEX('Rate &amp; Vol Update'!$B$8:$B$127,MATCH(CD117,'Rate &amp; Vol Update'!$B$8:$B$127,1)+1),'Rate &amp; Vol Update'!$B$8:$B$127,0),MATCH(INDEX('Rate &amp; Vol Update'!$E$6:$Z$6,1,MATCH(CI117,'Rate &amp; Vol Update'!$E$6:$Z$6,1)+1),'Rate &amp; Vol Update'!$E$6:$Z$6,0))*(CI117-INDEX('Rate &amp; Vol Update'!$E$6:$Z$6,1,MATCH(CI117,'Rate &amp; Vol Update'!$E$6:$Z$6,1)))*(CD117-INDEX('Rate &amp; Vol Update'!$B$8:$B$127,MATCH(CD117,'Rate &amp; Vol Update'!$B$8:$B$127,1)))))*0.01%))</f>
        <v/>
      </c>
      <c r="CL117" s="5" t="str">
        <f>IF(CC117="","",1/((1+CJ117)^((CE117-'Rate &amp; Vol Update'!$C$2)/360)))</f>
        <v/>
      </c>
      <c r="CN117" s="15" t="str">
        <f>IF(CC117="","",IF(CD117&lt;'Rate &amp; Vol Update'!$C$2,MAX(0,CJ117-CI117)*(CF117/360)*CH117,(((IF('Adjustment Surface'!$C$2='Data Validation'!$A$2,CJ117,IF('Adjustment Surface'!$C$2='Data Validation'!$A$3,CI117,"Unknown Option Type"))-IF('Adjustment Surface'!$C$2='Data Validation'!$A$2,CI117,IF('Adjustment Surface'!$C$2='Data Validation'!$A$3,CJ117,"Unknown Option Type")))*(NORMDIST((IF('Adjustment Surface'!$C$2='Data Validation'!$A$2,CJ117,IF('Adjustment Surface'!$C$2='Data Validation'!$A$3,CI117,"Unknown Option Type"))-IF('Adjustment Surface'!$C$2='Data Validation'!$A$2,CI117,IF('Adjustment Surface'!$C$2='Data Validation'!$A$3,CJ117,"Unknown Option Type")))/(CK117*SQRT(CG117)),0,1,TRUE)))+((CK117*SQRT(CG117))*(NORMDIST((IF('Adjustment Surface'!$C$2='Data Validation'!$A$2,CJ117,IF('Adjustment Surface'!$C$2='Data Validation'!$A$3,CI117,"Unknown Option Type"))-IF('Adjustment Surface'!$C$2='Data Validation'!$A$2,CI117,IF('Adjustment Surface'!$C$2='Data Validation'!$A$3,CJ117,"Unknown Option Type")))/(CK117*SQRT(CG117)),0,1,FALSE))))*CL117*(CF117/360)*CH117))</f>
        <v/>
      </c>
      <c r="CO117" s="15" t="str">
        <f>IF(CC117="","",SUM(CN$4:CN117))</f>
        <v/>
      </c>
      <c r="CQ117" s="15" t="str">
        <f>IF(CC117="","",IF(CD117&lt;'Rate &amp; Vol Update'!$C$2,0,((((((IF('Adjustment Surface'!$C$2='Data Validation'!$A$2,CJ117,IF('Adjustment Surface'!$C$2='Data Validation'!$A$3,CI117,"Unknown Option Type"))-IF('Adjustment Surface'!$C$2='Data Validation'!$A$2,CI117,IF('Adjustment Surface'!$C$2='Data Validation'!$A$3,CJ117,"Unknown Option Type")))*(NORMDIST((IF('Adjustment Surface'!$C$2='Data Validation'!$A$2,CJ117,IF('Adjustment Surface'!$C$2='Data Validation'!$A$3,CI117,"Unknown Option Type"))-IF('Adjustment Surface'!$C$2='Data Validation'!$A$2,CI117,IF('Adjustment Surface'!$C$2='Data Validation'!$A$3,CJ117,"Unknown Option Type")))/((CK117+0.01%)*SQRT(CG117)),0,1,TRUE)))+(((CK117+0.01%)*SQRT(CG117))*(NORMDIST((IF('Adjustment Surface'!$C$2='Data Validation'!$A$2,CJ117,IF('Adjustment Surface'!$C$2='Data Validation'!$A$3,CI117,"Unknown Option Type"))-IF('Adjustment Surface'!$C$2='Data Validation'!$A$2,CI117,IF('Adjustment Surface'!$C$2='Data Validation'!$A$3,CJ117,"Unknown Option Type")))/((CK117+0.01%)*SQRT(CG117)),0,1,FALSE))))*CL117*(CF117/360))-(CN117/CH117))*CH117)*CL117))</f>
        <v/>
      </c>
      <c r="CR117" s="15" t="str">
        <f>IF(CC117="","",SUM(CQ$4:CQ117))</f>
        <v/>
      </c>
    </row>
    <row r="118" spans="7:96" x14ac:dyDescent="0.25">
      <c r="G118" s="28"/>
      <c r="J118" s="4" t="str">
        <f>IF(K117='Adjustment Surface'!C$8,"",K117)</f>
        <v/>
      </c>
      <c r="K118" s="4" t="str">
        <f>IF(J118="","",IF(J118&lt;'Adjustment Surface'!C$7,EDATE(J$5,COUNT(J$5:J118)),IF(J118='Adjustment Surface'!C$7,'Adjustment Surface'!C$8,'Adjustment Surface'!C$7)))</f>
        <v/>
      </c>
      <c r="L118" s="3" t="str">
        <f t="shared" si="6"/>
        <v/>
      </c>
      <c r="M118" s="5" t="str">
        <f>IF(I118="","",(K118-'Rate &amp; Vol Update'!$C$2)/360)</f>
        <v/>
      </c>
      <c r="N118" s="15" t="str">
        <f>IF(I118="","",IF('Adjustment Surface'!C$3='Data Validation'!$C$2,'Adjustment Surface'!C$4,IF(INDEX(Schedules!$E$3:$E$123,MATCH('Bachelier Model'!J118,Schedules!$B$3:$B$123,0))="",N117,INDEX(Schedules!$E$3:$E$123,MATCH('Bachelier Model'!J118,Schedules!$B$3:$B$123,0)))))</f>
        <v/>
      </c>
      <c r="O118" s="16" t="str">
        <f>IF(I118="","",IF('Adjustment Surface'!C$9='Data Validation'!$D$2,'Adjustment Surface'!C$10,IF(INDEX(Schedules!$H$3:$H$123,MATCH('Bachelier Model'!J118,Schedules!$B$3:$B$123,0))="",O117,INDEX(Schedules!$H$3:$H$123,MATCH('Bachelier Model'!J118,Schedules!$B$3:$B$123,0)))))</f>
        <v/>
      </c>
      <c r="P118" s="16" t="str" cm="1">
        <f t="array" ref="P118">IF(I118="","",FORECAST(J118,INDEX('Rate &amp; Vol Update'!$C$6:$C$127,MATCH(INDEX('Rate &amp; Vol Update'!$B$6:$B$127,MATCH(J118,'Rate &amp; Vol Update'!$B$6:$B$127,1)),'Rate &amp; Vol Update'!$B$6:$B$127,0)+IF('Adjustment Surface'!C$11='Data Validation'!$E$3,-1,0)):INDEX('Rate &amp; Vol Update'!$C$6:$C$127,MATCH(INDEX('Rate &amp; Vol Update'!$B$6:$B$127,MATCH(J118,'Rate &amp; Vol Update'!$B$6:$B$127,1)+1),'Rate &amp; Vol Update'!$B$6:$B$127,0)+IF('Adjustment Surface'!C$11='Data Validation'!$E$3,-1,0)),INDEX('Rate &amp; Vol Update'!$B$6:$B$127,MATCH(J118,'Rate &amp; Vol Update'!$B$6:$B$127,1)):INDEX('Rate &amp; Vol Update'!$B$6:$B$127,MATCH(J118,'Rate &amp; Vol Update'!$B$6:$B$127,1)+1))/100)</f>
        <v/>
      </c>
      <c r="Q118" s="16" t="str" cm="1">
        <f t="array" ref="Q118">IF(I118="","",IF(J118&lt;'Rate &amp; Vol Update'!$C$2,0.001%,(1/((INDEX('Rate &amp; Vol Update'!$E$6:$Z$6,1,MATCH(O118,'Rate &amp; Vol Update'!$E$6:$Z$6,1)+1)-INDEX('Rate &amp; Vol Update'!$E$6:$Z$6,1,MATCH(O118,'Rate &amp; Vol Update'!$E$6:$Z$6,1)))*(INDEX('Rate &amp; Vol Update'!$B$8:$B$127,MATCH(J118,'Rate &amp; Vol Update'!$B$8:$B$127,1)+1)-INDEX('Rate &amp; Vol Update'!$B$8:$B$127,MATCH(J118,'Rate &amp; Vol Update'!$B$8:$B$127,1))))*(INDEX('Rate &amp; Vol Update'!$E$8:$Z$127,MATCH(INDEX('Rate &amp; Vol Update'!$B$8:$B$127,MATCH(J118,'Rate &amp; Vol Update'!$B$8:$B$127,1)),'Rate &amp; Vol Update'!$B$8:$B$127,0),MATCH(INDEX('Rate &amp; Vol Update'!$E$6:$Z$6,1,MATCH(O118,'Rate &amp; Vol Update'!$E$6:$Z$6,1)),'Rate &amp; Vol Update'!$E$6:$Z$6,0))*(INDEX('Rate &amp; Vol Update'!$E$6:$Z$6,1,MATCH(O118,'Rate &amp; Vol Update'!$E$6:$Z$6,1)+1)-O118)*(INDEX('Rate &amp; Vol Update'!$B$8:$B$127,MATCH(J118,'Rate &amp; Vol Update'!$B$8:$B$127,1)+1)-J118)+INDEX('Rate &amp; Vol Update'!$E$8:$Z$127,MATCH(INDEX('Rate &amp; Vol Update'!$B$8:$B$127,MATCH(J118,'Rate &amp; Vol Update'!$B$8:$B$127,1)),'Rate &amp; Vol Update'!$B$8:$B$127,0),MATCH(INDEX('Rate &amp; Vol Update'!$E$6:$Z$6,1,MATCH(O118,'Rate &amp; Vol Update'!$E$6:$Z$6,1)+1),'Rate &amp; Vol Update'!$E$6:$Z$6,0))*(O118-INDEX('Rate &amp; Vol Update'!$E$6:$Z$6,1,MATCH(O118,'Rate &amp; Vol Update'!$E$6:$Z$6,1)))*(INDEX('Rate &amp; Vol Update'!$B$8:$B$127,MATCH(J118,'Rate &amp; Vol Update'!$B$8:$B$127,1)+1)-J118)+INDEX('Rate &amp; Vol Update'!$E$8:$Z$127,MATCH(INDEX('Rate &amp; Vol Update'!$B$8:$B$127,MATCH(J118,'Rate &amp; Vol Update'!$B$8:$B$127,1)+1),'Rate &amp; Vol Update'!$B$8:$B$127,0),MATCH(INDEX('Rate &amp; Vol Update'!$E$6:$Z$6,1,MATCH(O118,'Rate &amp; Vol Update'!$E$6:$Z$6,1)),'Rate &amp; Vol Update'!$E$6:$Z$6,0))*(INDEX('Rate &amp; Vol Update'!$E$6:$Z$6,1,MATCH(O118,'Rate &amp; Vol Update'!$E$6:$Z$6,1)+1)-O118)*(J118-INDEX('Rate &amp; Vol Update'!$B$8:$B$127,MATCH(J118,'Rate &amp; Vol Update'!$B$8:$B$127,1)))+INDEX('Rate &amp; Vol Update'!$E$8:$Z$127,MATCH(INDEX('Rate &amp; Vol Update'!$B$8:$B$127,MATCH(J118,'Rate &amp; Vol Update'!$B$8:$B$127,1)+1),'Rate &amp; Vol Update'!$B$8:$B$127,0),MATCH(INDEX('Rate &amp; Vol Update'!$E$6:$Z$6,1,MATCH(O118,'Rate &amp; Vol Update'!$E$6:$Z$6,1)+1),'Rate &amp; Vol Update'!$E$6:$Z$6,0))*(O118-INDEX('Rate &amp; Vol Update'!$E$6:$Z$6,1,MATCH(O118,'Rate &amp; Vol Update'!$E$6:$Z$6,1)))*(J118-INDEX('Rate &amp; Vol Update'!$B$8:$B$127,MATCH(J118,'Rate &amp; Vol Update'!$B$8:$B$127,1)))))*0.01%))</f>
        <v/>
      </c>
      <c r="R118" s="5" t="str">
        <f>IF(I118="","",1/((1+P118)^((K118-'Rate &amp; Vol Update'!$C$2)/360)))</f>
        <v/>
      </c>
      <c r="T118" s="15" t="str">
        <f>IF(I118="","",IF(J118&lt;'Rate &amp; Vol Update'!$C$2,MAX(0,P118-O118)*(L118/360)*N118,(((IF('Adjustment Surface'!C$2='Data Validation'!$A$2,P118,IF('Adjustment Surface'!C$2='Data Validation'!$A$3,O118,"Unknown Option Type"))-IF('Adjustment Surface'!C$2='Data Validation'!$A$2,O118,IF('Adjustment Surface'!C$2='Data Validation'!$A$3,P118,"Unknown Option Type")))*(NORMDIST((IF('Adjustment Surface'!C$2='Data Validation'!$A$2,P118,IF('Adjustment Surface'!C$2='Data Validation'!$A$3,O118,"Unknown Option Type"))-IF('Adjustment Surface'!C$2='Data Validation'!$A$2,O118,IF('Adjustment Surface'!C$2='Data Validation'!$A$3,P118,"Unknown Option Type")))/(Q118*SQRT(M118)),0,1,TRUE)))+((Q118*SQRT(M118))*(NORMDIST((IF('Adjustment Surface'!C$2='Data Validation'!$A$2,P118,IF('Adjustment Surface'!C$2='Data Validation'!$A$3,O118,"Unknown Option Type"))-IF('Adjustment Surface'!C$2='Data Validation'!$A$2,O118,IF('Adjustment Surface'!C$2='Data Validation'!$A$3,P118,"Unknown Option Type")))/(Q118*SQRT(M118)),0,1,FALSE))))*R118*(L118/360)*N118))</f>
        <v/>
      </c>
      <c r="U118" s="15" t="str">
        <f>IF(I118="","",SUM(T$4:T118))</f>
        <v/>
      </c>
      <c r="W118" s="15" t="str">
        <f>IF(I118="","",IF(J118&lt;'Rate &amp; Vol Update'!$C$2,0,((((((IF('Adjustment Surface'!C$2='Data Validation'!$A$2,P118,IF('Adjustment Surface'!C$2='Data Validation'!$A$3,O118,"Unknown Option Type"))-IF('Adjustment Surface'!C$2='Data Validation'!$A$2,O118,IF('Adjustment Surface'!C$2='Data Validation'!$A$3,P118,"Unknown Option Type")))*(NORMDIST((IF('Adjustment Surface'!C$2='Data Validation'!$A$2,P118,IF('Adjustment Surface'!C$2='Data Validation'!$A$3,O118,"Unknown Option Type"))-IF('Adjustment Surface'!C$2='Data Validation'!$A$2,O118,IF('Adjustment Surface'!C$2='Data Validation'!$A$3,P118,"Unknown Option Type")))/((Q118+0.01%)*SQRT(M118)),0,1,TRUE)))+(((Q118+0.01%)*SQRT(M118))*(NORMDIST((IF('Adjustment Surface'!C$2='Data Validation'!$A$2,P118,IF('Adjustment Surface'!C$2='Data Validation'!$A$3,O118,"Unknown Option Type"))-IF('Adjustment Surface'!C$2='Data Validation'!$A$2,O118,IF('Adjustment Surface'!C$2='Data Validation'!$A$3,P118,"Unknown Option Type")))/((Q118+0.01%)*SQRT(M118)),0,1,FALSE))))*R118*(L118/360))-(T118/N118))*N118)*R118))</f>
        <v/>
      </c>
      <c r="X118" s="15" t="str">
        <f>IF(I118="","",SUM(W$4:W118))</f>
        <v/>
      </c>
      <c r="Y118" s="15"/>
      <c r="Z118" s="20"/>
      <c r="AB118" s="4" t="str">
        <f>IF(AC117=MAX('Adjustment Surface'!$C$14:$F$14),"",AC117)</f>
        <v/>
      </c>
      <c r="AC118" s="4" t="str">
        <f>IF(AB118="","",IF(AB118&lt;EDATE('Adjustment Surface'!$C$6,DATEDIF('Adjustment Surface'!$C$6,MAX('Adjustment Surface'!$C$14:$F$14),"M")),EDATE(AB$5,COUNT(AB$5:AB118)),IF(AB118=EDATE('Adjustment Surface'!$C$6,DATEDIF('Adjustment Surface'!$C$6,MAX('Adjustment Surface'!$C$14:$F$14),"M")),MAX('Adjustment Surface'!$C$14:$F$14),EDATE('Adjustment Surface'!$C$6,DATEDIF('Adjustment Surface'!$C$6,MAX('Adjustment Surface'!$C$14:$F$14),"M")))))</f>
        <v/>
      </c>
      <c r="AD118" s="3" t="str">
        <f t="shared" si="7"/>
        <v/>
      </c>
      <c r="AE118" s="5" t="str">
        <f>IF(AA118="","",(AC118-'Rate &amp; Vol Update'!$C$2)/360)</f>
        <v/>
      </c>
      <c r="AF118" s="15" t="str">
        <f>IF(AA118="","",IF('Adjustment Surface'!$C$3='Data Validation'!$C$2,'Adjustment Surface'!$C$4,_xlfn.IFNA(IF(INDEX(Schedules!$E$3:$E$123,MATCH('Bachelier Model'!AB118,Schedules!$B$3:$B$123,0))="",AF117,INDEX(Schedules!$E$3:$E$123,MATCH('Bachelier Model'!AB118,Schedules!$B$3:$B$123,0))),AF117)))</f>
        <v/>
      </c>
      <c r="AG118" s="16" t="str">
        <f>IF(AA118="","",'Adjustment Surface'!B$15)</f>
        <v/>
      </c>
      <c r="AH118" s="16" t="str" cm="1">
        <f t="array" ref="AH118">IF(AA118="","",FORECAST(AB118,INDEX('Rate &amp; Vol Update'!$C$6:$C$127,MATCH(INDEX('Rate &amp; Vol Update'!$B$6:$B$127,MATCH(AB118,'Rate &amp; Vol Update'!$B$6:$B$127,1)),'Rate &amp; Vol Update'!$B$6:$B$127,0)+IF('Adjustment Surface'!$C$11='Data Validation'!$E$3,-1,0)):INDEX('Rate &amp; Vol Update'!$C$6:$C$127,MATCH(INDEX('Rate &amp; Vol Update'!$B$6:$B$127,MATCH(AB118,'Rate &amp; Vol Update'!$B$6:$B$127,1)+1),'Rate &amp; Vol Update'!$B$6:$B$127,0)+IF('Adjustment Surface'!$C$11='Data Validation'!$E$3,-1,0)),INDEX('Rate &amp; Vol Update'!$B$6:$B$127,MATCH(AB118,'Rate &amp; Vol Update'!$B$6:$B$127,1)):INDEX('Rate &amp; Vol Update'!$B$6:$B$127,MATCH(AB118,'Rate &amp; Vol Update'!$B$6:$B$127,1)+1))/100)</f>
        <v/>
      </c>
      <c r="AI118" s="16" t="str" cm="1">
        <f t="array" ref="AI118">IF(AA118="","",IF(AB118&lt;'Rate &amp; Vol Update'!$C$2,0.001%,(1/((INDEX('Rate &amp; Vol Update'!$E$6:$Z$6,1,MATCH(AG118,'Rate &amp; Vol Update'!$E$6:$Z$6,1)+1)-INDEX('Rate &amp; Vol Update'!$E$6:$Z$6,1,MATCH(AG118,'Rate &amp; Vol Update'!$E$6:$Z$6,1)))*(INDEX('Rate &amp; Vol Update'!$B$8:$B$127,MATCH(AB118,'Rate &amp; Vol Update'!$B$8:$B$127,1)+1)-INDEX('Rate &amp; Vol Update'!$B$8:$B$127,MATCH(AB118,'Rate &amp; Vol Update'!$B$8:$B$127,1))))*(INDEX('Rate &amp; Vol Update'!$E$8:$Z$127,MATCH(INDEX('Rate &amp; Vol Update'!$B$8:$B$127,MATCH(AB118,'Rate &amp; Vol Update'!$B$8:$B$127,1)),'Rate &amp; Vol Update'!$B$8:$B$127,0),MATCH(INDEX('Rate &amp; Vol Update'!$E$6:$Z$6,1,MATCH(AG118,'Rate &amp; Vol Update'!$E$6:$Z$6,1)),'Rate &amp; Vol Update'!$E$6:$Z$6,0))*(INDEX('Rate &amp; Vol Update'!$E$6:$Z$6,1,MATCH(AG118,'Rate &amp; Vol Update'!$E$6:$Z$6,1)+1)-AG118)*(INDEX('Rate &amp; Vol Update'!$B$8:$B$127,MATCH(AB118,'Rate &amp; Vol Update'!$B$8:$B$127,1)+1)-AB118)+INDEX('Rate &amp; Vol Update'!$E$8:$Z$127,MATCH(INDEX('Rate &amp; Vol Update'!$B$8:$B$127,MATCH(AB118,'Rate &amp; Vol Update'!$B$8:$B$127,1)),'Rate &amp; Vol Update'!$B$8:$B$127,0),MATCH(INDEX('Rate &amp; Vol Update'!$E$6:$Z$6,1,MATCH(AG118,'Rate &amp; Vol Update'!$E$6:$Z$6,1)+1),'Rate &amp; Vol Update'!$E$6:$Z$6,0))*(AG118-INDEX('Rate &amp; Vol Update'!$E$6:$Z$6,1,MATCH(AG118,'Rate &amp; Vol Update'!$E$6:$Z$6,1)))*(INDEX('Rate &amp; Vol Update'!$B$8:$B$127,MATCH(AB118,'Rate &amp; Vol Update'!$B$8:$B$127,1)+1)-AB118)+INDEX('Rate &amp; Vol Update'!$E$8:$Z$127,MATCH(INDEX('Rate &amp; Vol Update'!$B$8:$B$127,MATCH(AB118,'Rate &amp; Vol Update'!$B$8:$B$127,1)+1),'Rate &amp; Vol Update'!$B$8:$B$127,0),MATCH(INDEX('Rate &amp; Vol Update'!$E$6:$Z$6,1,MATCH(AG118,'Rate &amp; Vol Update'!$E$6:$Z$6,1)),'Rate &amp; Vol Update'!$E$6:$Z$6,0))*(INDEX('Rate &amp; Vol Update'!$E$6:$Z$6,1,MATCH(AG118,'Rate &amp; Vol Update'!$E$6:$Z$6,1)+1)-AG118)*(AB118-INDEX('Rate &amp; Vol Update'!$B$8:$B$127,MATCH(AB118,'Rate &amp; Vol Update'!$B$8:$B$127,1)))+INDEX('Rate &amp; Vol Update'!$E$8:$Z$127,MATCH(INDEX('Rate &amp; Vol Update'!$B$8:$B$127,MATCH(AB118,'Rate &amp; Vol Update'!$B$8:$B$127,1)+1),'Rate &amp; Vol Update'!$B$8:$B$127,0),MATCH(INDEX('Rate &amp; Vol Update'!$E$6:$Z$6,1,MATCH(AG118,'Rate &amp; Vol Update'!$E$6:$Z$6,1)+1),'Rate &amp; Vol Update'!$E$6:$Z$6,0))*(AG118-INDEX('Rate &amp; Vol Update'!$E$6:$Z$6,1,MATCH(AG118,'Rate &amp; Vol Update'!$E$6:$Z$6,1)))*(AB118-INDEX('Rate &amp; Vol Update'!$B$8:$B$127,MATCH(AB118,'Rate &amp; Vol Update'!$B$8:$B$127,1)))))*0.01%))</f>
        <v/>
      </c>
      <c r="AJ118" s="5" t="str">
        <f>IF(AA118="","",1/((1+AH118)^((AC118-'Rate &amp; Vol Update'!$C$2)/360)))</f>
        <v/>
      </c>
      <c r="AL118" s="15" t="str">
        <f>IF(AA118="","",IF(AB118&lt;'Rate &amp; Vol Update'!$C$2,MAX(0,AH118-AG118)*(AD118/360)*AF118,(((IF('Adjustment Surface'!$C$2='Data Validation'!$A$2,AH118,IF('Adjustment Surface'!$C$2='Data Validation'!$A$3,AG118,"Unknown Option Type"))-IF('Adjustment Surface'!$C$2='Data Validation'!$A$2,AG118,IF('Adjustment Surface'!$C$2='Data Validation'!$A$3,AH118,"Unknown Option Type")))*(NORMDIST((IF('Adjustment Surface'!$C$2='Data Validation'!$A$2,AH118,IF('Adjustment Surface'!$C$2='Data Validation'!$A$3,AG118,"Unknown Option Type"))-IF('Adjustment Surface'!$C$2='Data Validation'!$A$2,AG118,IF('Adjustment Surface'!$C$2='Data Validation'!$A$3,AH118,"Unknown Option Type")))/(AI118*SQRT(AE118)),0,1,TRUE)))+((AI118*SQRT(AE118))*(NORMDIST((IF('Adjustment Surface'!$C$2='Data Validation'!$A$2,AH118,IF('Adjustment Surface'!$C$2='Data Validation'!$A$3,AG118,"Unknown Option Type"))-IF('Adjustment Surface'!$C$2='Data Validation'!$A$2,AG118,IF('Adjustment Surface'!$C$2='Data Validation'!$A$3,AH118,"Unknown Option Type")))/(AI118*SQRT(AE118)),0,1,FALSE))))*AJ118*(AD118/360)*AF118))</f>
        <v/>
      </c>
      <c r="AM118" s="15" t="str">
        <f>IF(AA118="","",SUM(AL$4:AL118))</f>
        <v/>
      </c>
      <c r="AO118" s="15" t="str">
        <f>IF(AA118="","",IF(AB118&lt;'Rate &amp; Vol Update'!$C$2,0,((((((IF('Adjustment Surface'!$C$2='Data Validation'!$A$2,AH118,IF('Adjustment Surface'!$C$2='Data Validation'!$A$3,AG118,"Unknown Option Type"))-IF('Adjustment Surface'!$C$2='Data Validation'!$A$2,AG118,IF('Adjustment Surface'!$C$2='Data Validation'!$A$3,AH118,"Unknown Option Type")))*(NORMDIST((IF('Adjustment Surface'!$C$2='Data Validation'!$A$2,AH118,IF('Adjustment Surface'!$C$2='Data Validation'!$A$3,AG118,"Unknown Option Type"))-IF('Adjustment Surface'!$C$2='Data Validation'!$A$2,AG118,IF('Adjustment Surface'!$C$2='Data Validation'!$A$3,AH118,"Unknown Option Type")))/((AI118+0.01%)*SQRT(AE118)),0,1,TRUE)))+(((AI118+0.01%)*SQRT(AE118))*(NORMDIST((IF('Adjustment Surface'!$C$2='Data Validation'!$A$2,AH118,IF('Adjustment Surface'!$C$2='Data Validation'!$A$3,AG118,"Unknown Option Type"))-IF('Adjustment Surface'!$C$2='Data Validation'!$A$2,AG118,IF('Adjustment Surface'!$C$2='Data Validation'!$A$3,AH118,"Unknown Option Type")))/((AI118+0.01%)*SQRT(AE118)),0,1,FALSE))))*AJ118*(AD118/360))-(AL118/AF118))*AF118)*AJ118))</f>
        <v/>
      </c>
      <c r="AP118" s="15" t="str">
        <f>IF(AA118="","",SUM(AO$4:AO118))</f>
        <v/>
      </c>
      <c r="AQ118" s="15"/>
      <c r="AR118" s="20"/>
      <c r="AT118" s="4" t="str">
        <f>IF(AU117=MAX('Adjustment Surface'!$C$14:$F$14),"",AU117)</f>
        <v/>
      </c>
      <c r="AU118" s="4" t="str">
        <f>IF(AT118="","",IF(AT118&lt;EDATE('Adjustment Surface'!$C$6,DATEDIF('Adjustment Surface'!$C$6,MAX('Adjustment Surface'!$C$14:$F$14),"M")),EDATE(AT$5,COUNT(AT$5:AT118)),IF(AT118=EDATE('Adjustment Surface'!$C$6,DATEDIF('Adjustment Surface'!$C$6,MAX('Adjustment Surface'!$C$14:$F$14),"M")),MAX('Adjustment Surface'!$C$14:$F$14),EDATE('Adjustment Surface'!$C$6,DATEDIF('Adjustment Surface'!$C$6,MAX('Adjustment Surface'!$C$14:$F$14),"M")))))</f>
        <v/>
      </c>
      <c r="AV118" s="3" t="str">
        <f t="shared" si="8"/>
        <v/>
      </c>
      <c r="AW118" s="5" t="str">
        <f>IF(AS118="","",(AU118-'Rate &amp; Vol Update'!$C$2)/360)</f>
        <v/>
      </c>
      <c r="AX118" s="15" t="str">
        <f>IF(AS118="","",IF('Adjustment Surface'!$C$3='Data Validation'!$C$2,'Adjustment Surface'!$C$4,_xlfn.IFNA(IF(INDEX(Schedules!$E$3:$E$123,MATCH('Bachelier Model'!AT118,Schedules!$B$3:$B$123,0))="",AX117,INDEX(Schedules!$E$3:$E$123,MATCH('Bachelier Model'!AT118,Schedules!$B$3:$B$123,0))),AX117)))</f>
        <v/>
      </c>
      <c r="AY118" s="16" t="str">
        <f>IF(AS118="","",'Adjustment Surface'!B$16)</f>
        <v/>
      </c>
      <c r="AZ118" s="16" t="str" cm="1">
        <f t="array" ref="AZ118">IF(AS118="","",FORECAST(AT118,INDEX('Rate &amp; Vol Update'!$C$6:$C$127,MATCH(INDEX('Rate &amp; Vol Update'!$B$6:$B$127,MATCH(AT118,'Rate &amp; Vol Update'!$B$6:$B$127,1)),'Rate &amp; Vol Update'!$B$6:$B$127,0)+IF('Adjustment Surface'!$C$11='Data Validation'!$E$3,-1,0)):INDEX('Rate &amp; Vol Update'!$C$6:$C$127,MATCH(INDEX('Rate &amp; Vol Update'!$B$6:$B$127,MATCH(AT118,'Rate &amp; Vol Update'!$B$6:$B$127,1)+1),'Rate &amp; Vol Update'!$B$6:$B$127,0)+IF('Adjustment Surface'!$C$11='Data Validation'!$E$3,-1,0)),INDEX('Rate &amp; Vol Update'!$B$6:$B$127,MATCH(AT118,'Rate &amp; Vol Update'!$B$6:$B$127,1)):INDEX('Rate &amp; Vol Update'!$B$6:$B$127,MATCH(AT118,'Rate &amp; Vol Update'!$B$6:$B$127,1)+1))/100)</f>
        <v/>
      </c>
      <c r="BA118" s="16" t="str" cm="1">
        <f t="array" ref="BA118">IF(AS118="","",IF(AT118&lt;'Rate &amp; Vol Update'!$C$2,0.001%,(1/((INDEX('Rate &amp; Vol Update'!$E$6:$Z$6,1,MATCH(AY118,'Rate &amp; Vol Update'!$E$6:$Z$6,1)+1)-INDEX('Rate &amp; Vol Update'!$E$6:$Z$6,1,MATCH(AY118,'Rate &amp; Vol Update'!$E$6:$Z$6,1)))*(INDEX('Rate &amp; Vol Update'!$B$8:$B$127,MATCH(AT118,'Rate &amp; Vol Update'!$B$8:$B$127,1)+1)-INDEX('Rate &amp; Vol Update'!$B$8:$B$127,MATCH(AT118,'Rate &amp; Vol Update'!$B$8:$B$127,1))))*(INDEX('Rate &amp; Vol Update'!$E$8:$Z$127,MATCH(INDEX('Rate &amp; Vol Update'!$B$8:$B$127,MATCH(AT118,'Rate &amp; Vol Update'!$B$8:$B$127,1)),'Rate &amp; Vol Update'!$B$8:$B$127,0),MATCH(INDEX('Rate &amp; Vol Update'!$E$6:$Z$6,1,MATCH(AY118,'Rate &amp; Vol Update'!$E$6:$Z$6,1)),'Rate &amp; Vol Update'!$E$6:$Z$6,0))*(INDEX('Rate &amp; Vol Update'!$E$6:$Z$6,1,MATCH(AY118,'Rate &amp; Vol Update'!$E$6:$Z$6,1)+1)-AY118)*(INDEX('Rate &amp; Vol Update'!$B$8:$B$127,MATCH(AT118,'Rate &amp; Vol Update'!$B$8:$B$127,1)+1)-AT118)+INDEX('Rate &amp; Vol Update'!$E$8:$Z$127,MATCH(INDEX('Rate &amp; Vol Update'!$B$8:$B$127,MATCH(AT118,'Rate &amp; Vol Update'!$B$8:$B$127,1)),'Rate &amp; Vol Update'!$B$8:$B$127,0),MATCH(INDEX('Rate &amp; Vol Update'!$E$6:$Z$6,1,MATCH(AY118,'Rate &amp; Vol Update'!$E$6:$Z$6,1)+1),'Rate &amp; Vol Update'!$E$6:$Z$6,0))*(AY118-INDEX('Rate &amp; Vol Update'!$E$6:$Z$6,1,MATCH(AY118,'Rate &amp; Vol Update'!$E$6:$Z$6,1)))*(INDEX('Rate &amp; Vol Update'!$B$8:$B$127,MATCH(AT118,'Rate &amp; Vol Update'!$B$8:$B$127,1)+1)-AT118)+INDEX('Rate &amp; Vol Update'!$E$8:$Z$127,MATCH(INDEX('Rate &amp; Vol Update'!$B$8:$B$127,MATCH(AT118,'Rate &amp; Vol Update'!$B$8:$B$127,1)+1),'Rate &amp; Vol Update'!$B$8:$B$127,0),MATCH(INDEX('Rate &amp; Vol Update'!$E$6:$Z$6,1,MATCH(AY118,'Rate &amp; Vol Update'!$E$6:$Z$6,1)),'Rate &amp; Vol Update'!$E$6:$Z$6,0))*(INDEX('Rate &amp; Vol Update'!$E$6:$Z$6,1,MATCH(AY118,'Rate &amp; Vol Update'!$E$6:$Z$6,1)+1)-AY118)*(AT118-INDEX('Rate &amp; Vol Update'!$B$8:$B$127,MATCH(AT118,'Rate &amp; Vol Update'!$B$8:$B$127,1)))+INDEX('Rate &amp; Vol Update'!$E$8:$Z$127,MATCH(INDEX('Rate &amp; Vol Update'!$B$8:$B$127,MATCH(AT118,'Rate &amp; Vol Update'!$B$8:$B$127,1)+1),'Rate &amp; Vol Update'!$B$8:$B$127,0),MATCH(INDEX('Rate &amp; Vol Update'!$E$6:$Z$6,1,MATCH(AY118,'Rate &amp; Vol Update'!$E$6:$Z$6,1)+1),'Rate &amp; Vol Update'!$E$6:$Z$6,0))*(AY118-INDEX('Rate &amp; Vol Update'!$E$6:$Z$6,1,MATCH(AY118,'Rate &amp; Vol Update'!$E$6:$Z$6,1)))*(AT118-INDEX('Rate &amp; Vol Update'!$B$8:$B$127,MATCH(AT118,'Rate &amp; Vol Update'!$B$8:$B$127,1)))))*0.01%))</f>
        <v/>
      </c>
      <c r="BB118" s="5" t="str">
        <f>IF(AS118="","",1/((1+AZ118)^((AU118-'Rate &amp; Vol Update'!$C$2)/360)))</f>
        <v/>
      </c>
      <c r="BD118" s="15" t="str">
        <f>IF(AS118="","",IF(AT118&lt;'Rate &amp; Vol Update'!$C$2,MAX(0,AZ118-AY118)*(AV118/360)*AX118,(((IF('Adjustment Surface'!$C$2='Data Validation'!$A$2,AZ118,IF('Adjustment Surface'!$C$2='Data Validation'!$A$3,AY118,"Unknown Option Type"))-IF('Adjustment Surface'!$C$2='Data Validation'!$A$2,AY118,IF('Adjustment Surface'!$C$2='Data Validation'!$A$3,AZ118,"Unknown Option Type")))*(NORMDIST((IF('Adjustment Surface'!$C$2='Data Validation'!$A$2,AZ118,IF('Adjustment Surface'!$C$2='Data Validation'!$A$3,AY118,"Unknown Option Type"))-IF('Adjustment Surface'!$C$2='Data Validation'!$A$2,AY118,IF('Adjustment Surface'!$C$2='Data Validation'!$A$3,AZ118,"Unknown Option Type")))/(BA118*SQRT(AW118)),0,1,TRUE)))+((BA118*SQRT(AW118))*(NORMDIST((IF('Adjustment Surface'!$C$2='Data Validation'!$A$2,AZ118,IF('Adjustment Surface'!$C$2='Data Validation'!$A$3,AY118,"Unknown Option Type"))-IF('Adjustment Surface'!$C$2='Data Validation'!$A$2,AY118,IF('Adjustment Surface'!$C$2='Data Validation'!$A$3,AZ118,"Unknown Option Type")))/(BA118*SQRT(AW118)),0,1,FALSE))))*BB118*(AV118/360)*AX118))</f>
        <v/>
      </c>
      <c r="BE118" s="15" t="str">
        <f>IF(AS118="","",SUM(BD$4:BD118))</f>
        <v/>
      </c>
      <c r="BG118" s="15" t="str">
        <f>IF(AS118="","",IF(AT118&lt;'Rate &amp; Vol Update'!$C$2,0,((((((IF('Adjustment Surface'!$C$2='Data Validation'!$A$2,AZ118,IF('Adjustment Surface'!$C$2='Data Validation'!$A$3,AY118,"Unknown Option Type"))-IF('Adjustment Surface'!$C$2='Data Validation'!$A$2,AY118,IF('Adjustment Surface'!$C$2='Data Validation'!$A$3,AZ118,"Unknown Option Type")))*(NORMDIST((IF('Adjustment Surface'!$C$2='Data Validation'!$A$2,AZ118,IF('Adjustment Surface'!$C$2='Data Validation'!$A$3,AY118,"Unknown Option Type"))-IF('Adjustment Surface'!$C$2='Data Validation'!$A$2,AY118,IF('Adjustment Surface'!$C$2='Data Validation'!$A$3,AZ118,"Unknown Option Type")))/((BA118+0.01%)*SQRT(AW118)),0,1,TRUE)))+(((BA118+0.01%)*SQRT(AW118))*(NORMDIST((IF('Adjustment Surface'!$C$2='Data Validation'!$A$2,AZ118,IF('Adjustment Surface'!$C$2='Data Validation'!$A$3,AY118,"Unknown Option Type"))-IF('Adjustment Surface'!$C$2='Data Validation'!$A$2,AY118,IF('Adjustment Surface'!$C$2='Data Validation'!$A$3,AZ118,"Unknown Option Type")))/((BA118+0.01%)*SQRT(AW118)),0,1,FALSE))))*BB118*(AV118/360))-(BD118/AX118))*AX118)*BB118))</f>
        <v/>
      </c>
      <c r="BH118" s="15" t="str">
        <f>IF(AS118="","",SUM(BG$4:BG118))</f>
        <v/>
      </c>
      <c r="BI118" s="15"/>
      <c r="BJ118" s="20"/>
      <c r="BL118" s="4" t="str">
        <f>IF(BM117=MAX('Adjustment Surface'!$C$14:$F$14),"",BM117)</f>
        <v/>
      </c>
      <c r="BM118" s="4" t="str">
        <f>IF(BL118="","",IF(BL118&lt;EDATE('Adjustment Surface'!$C$6,DATEDIF('Adjustment Surface'!$C$6,MAX('Adjustment Surface'!$C$14:$F$14),"M")),EDATE(BL$5,COUNT(BL$5:BL118)),IF(BL118=EDATE('Adjustment Surface'!$C$6,DATEDIF('Adjustment Surface'!$C$6,MAX('Adjustment Surface'!$C$14:$F$14),"M")),MAX('Adjustment Surface'!$C$14:$F$14),EDATE('Adjustment Surface'!$C$6,DATEDIF('Adjustment Surface'!$C$6,MAX('Adjustment Surface'!$C$14:$F$14),"M")))))</f>
        <v/>
      </c>
      <c r="BN118" s="3" t="str">
        <f t="shared" si="9"/>
        <v/>
      </c>
      <c r="BO118" s="5" t="str">
        <f>IF(BK118="","",(BM118-'Rate &amp; Vol Update'!$C$2)/360)</f>
        <v/>
      </c>
      <c r="BP118" s="15" t="str">
        <f>IF(BK118="","",IF('Adjustment Surface'!$C$3='Data Validation'!$C$2,'Adjustment Surface'!$C$4,_xlfn.IFNA(IF(INDEX(Schedules!$E$3:$E$123,MATCH('Bachelier Model'!BL118,Schedules!$B$3:$B$123,0))="",BP117,INDEX(Schedules!$E$3:$E$123,MATCH('Bachelier Model'!BL118,Schedules!$B$3:$B$123,0))),BP117)))</f>
        <v/>
      </c>
      <c r="BQ118" s="16" t="str">
        <f>IF(BK118="","",'Adjustment Surface'!B$17)</f>
        <v/>
      </c>
      <c r="BR118" s="16" t="str" cm="1">
        <f t="array" ref="BR118">IF(BK118="","",FORECAST(BL118,INDEX('Rate &amp; Vol Update'!$C$6:$C$127,MATCH(INDEX('Rate &amp; Vol Update'!$B$6:$B$127,MATCH(BL118,'Rate &amp; Vol Update'!$B$6:$B$127,1)),'Rate &amp; Vol Update'!$B$6:$B$127,0)+IF('Adjustment Surface'!$C$11='Data Validation'!$E$3,-1,0)):INDEX('Rate &amp; Vol Update'!$C$6:$C$127,MATCH(INDEX('Rate &amp; Vol Update'!$B$6:$B$127,MATCH(BL118,'Rate &amp; Vol Update'!$B$6:$B$127,1)+1),'Rate &amp; Vol Update'!$B$6:$B$127,0)+IF('Adjustment Surface'!$C$11='Data Validation'!$E$3,-1,0)),INDEX('Rate &amp; Vol Update'!$B$6:$B$127,MATCH(BL118,'Rate &amp; Vol Update'!$B$6:$B$127,1)):INDEX('Rate &amp; Vol Update'!$B$6:$B$127,MATCH(BL118,'Rate &amp; Vol Update'!$B$6:$B$127,1)+1))/100)</f>
        <v/>
      </c>
      <c r="BS118" s="16" t="str" cm="1">
        <f t="array" ref="BS118">IF(BK118="","",IF(BL118&lt;'Rate &amp; Vol Update'!$C$2,0.001%,(1/((INDEX('Rate &amp; Vol Update'!$E$6:$Z$6,1,MATCH(BQ118,'Rate &amp; Vol Update'!$E$6:$Z$6,1)+1)-INDEX('Rate &amp; Vol Update'!$E$6:$Z$6,1,MATCH(BQ118,'Rate &amp; Vol Update'!$E$6:$Z$6,1)))*(INDEX('Rate &amp; Vol Update'!$B$8:$B$127,MATCH(BL118,'Rate &amp; Vol Update'!$B$8:$B$127,1)+1)-INDEX('Rate &amp; Vol Update'!$B$8:$B$127,MATCH(BL118,'Rate &amp; Vol Update'!$B$8:$B$127,1))))*(INDEX('Rate &amp; Vol Update'!$E$8:$Z$127,MATCH(INDEX('Rate &amp; Vol Update'!$B$8:$B$127,MATCH(BL118,'Rate &amp; Vol Update'!$B$8:$B$127,1)),'Rate &amp; Vol Update'!$B$8:$B$127,0),MATCH(INDEX('Rate &amp; Vol Update'!$E$6:$Z$6,1,MATCH(BQ118,'Rate &amp; Vol Update'!$E$6:$Z$6,1)),'Rate &amp; Vol Update'!$E$6:$Z$6,0))*(INDEX('Rate &amp; Vol Update'!$E$6:$Z$6,1,MATCH(BQ118,'Rate &amp; Vol Update'!$E$6:$Z$6,1)+1)-BQ118)*(INDEX('Rate &amp; Vol Update'!$B$8:$B$127,MATCH(BL118,'Rate &amp; Vol Update'!$B$8:$B$127,1)+1)-BL118)+INDEX('Rate &amp; Vol Update'!$E$8:$Z$127,MATCH(INDEX('Rate &amp; Vol Update'!$B$8:$B$127,MATCH(BL118,'Rate &amp; Vol Update'!$B$8:$B$127,1)),'Rate &amp; Vol Update'!$B$8:$B$127,0),MATCH(INDEX('Rate &amp; Vol Update'!$E$6:$Z$6,1,MATCH(BQ118,'Rate &amp; Vol Update'!$E$6:$Z$6,1)+1),'Rate &amp; Vol Update'!$E$6:$Z$6,0))*(BQ118-INDEX('Rate &amp; Vol Update'!$E$6:$Z$6,1,MATCH(BQ118,'Rate &amp; Vol Update'!$E$6:$Z$6,1)))*(INDEX('Rate &amp; Vol Update'!$B$8:$B$127,MATCH(BL118,'Rate &amp; Vol Update'!$B$8:$B$127,1)+1)-BL118)+INDEX('Rate &amp; Vol Update'!$E$8:$Z$127,MATCH(INDEX('Rate &amp; Vol Update'!$B$8:$B$127,MATCH(BL118,'Rate &amp; Vol Update'!$B$8:$B$127,1)+1),'Rate &amp; Vol Update'!$B$8:$B$127,0),MATCH(INDEX('Rate &amp; Vol Update'!$E$6:$Z$6,1,MATCH(BQ118,'Rate &amp; Vol Update'!$E$6:$Z$6,1)),'Rate &amp; Vol Update'!$E$6:$Z$6,0))*(INDEX('Rate &amp; Vol Update'!$E$6:$Z$6,1,MATCH(BQ118,'Rate &amp; Vol Update'!$E$6:$Z$6,1)+1)-BQ118)*(BL118-INDEX('Rate &amp; Vol Update'!$B$8:$B$127,MATCH(BL118,'Rate &amp; Vol Update'!$B$8:$B$127,1)))+INDEX('Rate &amp; Vol Update'!$E$8:$Z$127,MATCH(INDEX('Rate &amp; Vol Update'!$B$8:$B$127,MATCH(BL118,'Rate &amp; Vol Update'!$B$8:$B$127,1)+1),'Rate &amp; Vol Update'!$B$8:$B$127,0),MATCH(INDEX('Rate &amp; Vol Update'!$E$6:$Z$6,1,MATCH(BQ118,'Rate &amp; Vol Update'!$E$6:$Z$6,1)+1),'Rate &amp; Vol Update'!$E$6:$Z$6,0))*(BQ118-INDEX('Rate &amp; Vol Update'!$E$6:$Z$6,1,MATCH(BQ118,'Rate &amp; Vol Update'!$E$6:$Z$6,1)))*(BL118-INDEX('Rate &amp; Vol Update'!$B$8:$B$127,MATCH(BL118,'Rate &amp; Vol Update'!$B$8:$B$127,1)))))*0.01%))</f>
        <v/>
      </c>
      <c r="BT118" s="5" t="str">
        <f>IF(BK118="","",1/((1+BR118)^((BM118-'Rate &amp; Vol Update'!$C$2)/360)))</f>
        <v/>
      </c>
      <c r="BV118" s="15" t="str">
        <f>IF(BK118="","",IF(BL118&lt;'Rate &amp; Vol Update'!$C$2,MAX(0,BR118-BQ118)*(BN118/360)*BP118,(((IF('Adjustment Surface'!$C$2='Data Validation'!$A$2,BR118,IF('Adjustment Surface'!$C$2='Data Validation'!$A$3,BQ118,"Unknown Option Type"))-IF('Adjustment Surface'!$C$2='Data Validation'!$A$2,BQ118,IF('Adjustment Surface'!$C$2='Data Validation'!$A$3,BR118,"Unknown Option Type")))*(NORMDIST((IF('Adjustment Surface'!$C$2='Data Validation'!$A$2,BR118,IF('Adjustment Surface'!$C$2='Data Validation'!$A$3,BQ118,"Unknown Option Type"))-IF('Adjustment Surface'!$C$2='Data Validation'!$A$2,BQ118,IF('Adjustment Surface'!$C$2='Data Validation'!$A$3,BR118,"Unknown Option Type")))/(BS118*SQRT(BO118)),0,1,TRUE)))+((BS118*SQRT(BO118))*(NORMDIST((IF('Adjustment Surface'!$C$2='Data Validation'!$A$2,BR118,IF('Adjustment Surface'!$C$2='Data Validation'!$A$3,BQ118,"Unknown Option Type"))-IF('Adjustment Surface'!$C$2='Data Validation'!$A$2,BQ118,IF('Adjustment Surface'!$C$2='Data Validation'!$A$3,BR118,"Unknown Option Type")))/(BS118*SQRT(BO118)),0,1,FALSE))))*BT118*(BN118/360)*BP118))</f>
        <v/>
      </c>
      <c r="BW118" s="15" t="str">
        <f>IF(BK118="","",SUM(BV$4:BV118))</f>
        <v/>
      </c>
      <c r="BY118" s="15" t="str">
        <f>IF(BK118="","",IF(BL118&lt;'Rate &amp; Vol Update'!$C$2,0,((((((IF('Adjustment Surface'!$C$2='Data Validation'!$A$2,BR118,IF('Adjustment Surface'!$C$2='Data Validation'!$A$3,BQ118,"Unknown Option Type"))-IF('Adjustment Surface'!$C$2='Data Validation'!$A$2,BQ118,IF('Adjustment Surface'!$C$2='Data Validation'!$A$3,BR118,"Unknown Option Type")))*(NORMDIST((IF('Adjustment Surface'!$C$2='Data Validation'!$A$2,BR118,IF('Adjustment Surface'!$C$2='Data Validation'!$A$3,BQ118,"Unknown Option Type"))-IF('Adjustment Surface'!$C$2='Data Validation'!$A$2,BQ118,IF('Adjustment Surface'!$C$2='Data Validation'!$A$3,BR118,"Unknown Option Type")))/((BS118+0.01%)*SQRT(BO118)),0,1,TRUE)))+(((BS118+0.01%)*SQRT(BO118))*(NORMDIST((IF('Adjustment Surface'!$C$2='Data Validation'!$A$2,BR118,IF('Adjustment Surface'!$C$2='Data Validation'!$A$3,BQ118,"Unknown Option Type"))-IF('Adjustment Surface'!$C$2='Data Validation'!$A$2,BQ118,IF('Adjustment Surface'!$C$2='Data Validation'!$A$3,BR118,"Unknown Option Type")))/((BS118+0.01%)*SQRT(BO118)),0,1,FALSE))))*BT118*(BN118/360))-(BV118/BP118))*BP118)*BT118))</f>
        <v/>
      </c>
      <c r="BZ118" s="15" t="str">
        <f>IF(BK118="","",SUM(BY$4:BY118))</f>
        <v/>
      </c>
      <c r="CA118" s="15"/>
      <c r="CB118" s="20"/>
      <c r="CD118" s="4" t="str">
        <f>IF(CE117=MAX('Adjustment Surface'!$C$14:$F$14),"",CE117)</f>
        <v/>
      </c>
      <c r="CE118" s="4" t="str">
        <f>IF(CD118="","",IF(CD118&lt;EDATE('Adjustment Surface'!$C$6,DATEDIF('Adjustment Surface'!$C$6,MAX('Adjustment Surface'!$C$14:$F$14),"M")),EDATE(CD$5,COUNT(CD$5:CD118)),IF(CD118=EDATE('Adjustment Surface'!$C$6,DATEDIF('Adjustment Surface'!$C$6,MAX('Adjustment Surface'!$C$14:$F$14),"M")),MAX('Adjustment Surface'!$C$14:$F$14),EDATE('Adjustment Surface'!$C$6,DATEDIF('Adjustment Surface'!$C$6,MAX('Adjustment Surface'!$C$14:$F$14),"M")))))</f>
        <v/>
      </c>
      <c r="CF118" s="3" t="str">
        <f t="shared" si="10"/>
        <v/>
      </c>
      <c r="CG118" s="5" t="str">
        <f>IF(CC118="","",(CE118-'Rate &amp; Vol Update'!$C$2)/360)</f>
        <v/>
      </c>
      <c r="CH118" s="15" t="str">
        <f>IF(CC118="","",IF('Adjustment Surface'!$C$3='Data Validation'!$C$2,'Adjustment Surface'!$C$4,_xlfn.IFNA(IF(INDEX(Schedules!$E$3:$E$123,MATCH('Bachelier Model'!CD118,Schedules!$B$3:$B$123,0))="",CH117,INDEX(Schedules!$E$3:$E$123,MATCH('Bachelier Model'!CD118,Schedules!$B$3:$B$123,0))),CH117)))</f>
        <v/>
      </c>
      <c r="CI118" s="16" t="str">
        <f>IF(CC118="","",'Adjustment Surface'!B$18)</f>
        <v/>
      </c>
      <c r="CJ118" s="16" t="str" cm="1">
        <f t="array" ref="CJ118">IF(CC118="","",FORECAST(CD118,INDEX('Rate &amp; Vol Update'!$C$6:$C$127,MATCH(INDEX('Rate &amp; Vol Update'!$B$6:$B$127,MATCH(CD118,'Rate &amp; Vol Update'!$B$6:$B$127,1)),'Rate &amp; Vol Update'!$B$6:$B$127,0)+IF('Adjustment Surface'!$C$11='Data Validation'!$E$3,-1,0)):INDEX('Rate &amp; Vol Update'!$C$6:$C$127,MATCH(INDEX('Rate &amp; Vol Update'!$B$6:$B$127,MATCH(CD118,'Rate &amp; Vol Update'!$B$6:$B$127,1)+1),'Rate &amp; Vol Update'!$B$6:$B$127,0)+IF('Adjustment Surface'!$C$11='Data Validation'!$E$3,-1,0)),INDEX('Rate &amp; Vol Update'!$B$6:$B$127,MATCH(CD118,'Rate &amp; Vol Update'!$B$6:$B$127,1)):INDEX('Rate &amp; Vol Update'!$B$6:$B$127,MATCH(CD118,'Rate &amp; Vol Update'!$B$6:$B$127,1)+1))/100)</f>
        <v/>
      </c>
      <c r="CK118" s="16" t="str" cm="1">
        <f t="array" ref="CK118">IF(CC118="","",IF(CD118&lt;'Rate &amp; Vol Update'!$C$2,0.001%,(1/((INDEX('Rate &amp; Vol Update'!$E$6:$Z$6,1,MATCH(CI118,'Rate &amp; Vol Update'!$E$6:$Z$6,1)+1)-INDEX('Rate &amp; Vol Update'!$E$6:$Z$6,1,MATCH(CI118,'Rate &amp; Vol Update'!$E$6:$Z$6,1)))*(INDEX('Rate &amp; Vol Update'!$B$8:$B$127,MATCH(CD118,'Rate &amp; Vol Update'!$B$8:$B$127,1)+1)-INDEX('Rate &amp; Vol Update'!$B$8:$B$127,MATCH(CD118,'Rate &amp; Vol Update'!$B$8:$B$127,1))))*(INDEX('Rate &amp; Vol Update'!$E$8:$Z$127,MATCH(INDEX('Rate &amp; Vol Update'!$B$8:$B$127,MATCH(CD118,'Rate &amp; Vol Update'!$B$8:$B$127,1)),'Rate &amp; Vol Update'!$B$8:$B$127,0),MATCH(INDEX('Rate &amp; Vol Update'!$E$6:$Z$6,1,MATCH(CI118,'Rate &amp; Vol Update'!$E$6:$Z$6,1)),'Rate &amp; Vol Update'!$E$6:$Z$6,0))*(INDEX('Rate &amp; Vol Update'!$E$6:$Z$6,1,MATCH(CI118,'Rate &amp; Vol Update'!$E$6:$Z$6,1)+1)-CI118)*(INDEX('Rate &amp; Vol Update'!$B$8:$B$127,MATCH(CD118,'Rate &amp; Vol Update'!$B$8:$B$127,1)+1)-CD118)+INDEX('Rate &amp; Vol Update'!$E$8:$Z$127,MATCH(INDEX('Rate &amp; Vol Update'!$B$8:$B$127,MATCH(CD118,'Rate &amp; Vol Update'!$B$8:$B$127,1)),'Rate &amp; Vol Update'!$B$8:$B$127,0),MATCH(INDEX('Rate &amp; Vol Update'!$E$6:$Z$6,1,MATCH(CI118,'Rate &amp; Vol Update'!$E$6:$Z$6,1)+1),'Rate &amp; Vol Update'!$E$6:$Z$6,0))*(CI118-INDEX('Rate &amp; Vol Update'!$E$6:$Z$6,1,MATCH(CI118,'Rate &amp; Vol Update'!$E$6:$Z$6,1)))*(INDEX('Rate &amp; Vol Update'!$B$8:$B$127,MATCH(CD118,'Rate &amp; Vol Update'!$B$8:$B$127,1)+1)-CD118)+INDEX('Rate &amp; Vol Update'!$E$8:$Z$127,MATCH(INDEX('Rate &amp; Vol Update'!$B$8:$B$127,MATCH(CD118,'Rate &amp; Vol Update'!$B$8:$B$127,1)+1),'Rate &amp; Vol Update'!$B$8:$B$127,0),MATCH(INDEX('Rate &amp; Vol Update'!$E$6:$Z$6,1,MATCH(CI118,'Rate &amp; Vol Update'!$E$6:$Z$6,1)),'Rate &amp; Vol Update'!$E$6:$Z$6,0))*(INDEX('Rate &amp; Vol Update'!$E$6:$Z$6,1,MATCH(CI118,'Rate &amp; Vol Update'!$E$6:$Z$6,1)+1)-CI118)*(CD118-INDEX('Rate &amp; Vol Update'!$B$8:$B$127,MATCH(CD118,'Rate &amp; Vol Update'!$B$8:$B$127,1)))+INDEX('Rate &amp; Vol Update'!$E$8:$Z$127,MATCH(INDEX('Rate &amp; Vol Update'!$B$8:$B$127,MATCH(CD118,'Rate &amp; Vol Update'!$B$8:$B$127,1)+1),'Rate &amp; Vol Update'!$B$8:$B$127,0),MATCH(INDEX('Rate &amp; Vol Update'!$E$6:$Z$6,1,MATCH(CI118,'Rate &amp; Vol Update'!$E$6:$Z$6,1)+1),'Rate &amp; Vol Update'!$E$6:$Z$6,0))*(CI118-INDEX('Rate &amp; Vol Update'!$E$6:$Z$6,1,MATCH(CI118,'Rate &amp; Vol Update'!$E$6:$Z$6,1)))*(CD118-INDEX('Rate &amp; Vol Update'!$B$8:$B$127,MATCH(CD118,'Rate &amp; Vol Update'!$B$8:$B$127,1)))))*0.01%))</f>
        <v/>
      </c>
      <c r="CL118" s="5" t="str">
        <f>IF(CC118="","",1/((1+CJ118)^((CE118-'Rate &amp; Vol Update'!$C$2)/360)))</f>
        <v/>
      </c>
      <c r="CN118" s="15" t="str">
        <f>IF(CC118="","",IF(CD118&lt;'Rate &amp; Vol Update'!$C$2,MAX(0,CJ118-CI118)*(CF118/360)*CH118,(((IF('Adjustment Surface'!$C$2='Data Validation'!$A$2,CJ118,IF('Adjustment Surface'!$C$2='Data Validation'!$A$3,CI118,"Unknown Option Type"))-IF('Adjustment Surface'!$C$2='Data Validation'!$A$2,CI118,IF('Adjustment Surface'!$C$2='Data Validation'!$A$3,CJ118,"Unknown Option Type")))*(NORMDIST((IF('Adjustment Surface'!$C$2='Data Validation'!$A$2,CJ118,IF('Adjustment Surface'!$C$2='Data Validation'!$A$3,CI118,"Unknown Option Type"))-IF('Adjustment Surface'!$C$2='Data Validation'!$A$2,CI118,IF('Adjustment Surface'!$C$2='Data Validation'!$A$3,CJ118,"Unknown Option Type")))/(CK118*SQRT(CG118)),0,1,TRUE)))+((CK118*SQRT(CG118))*(NORMDIST((IF('Adjustment Surface'!$C$2='Data Validation'!$A$2,CJ118,IF('Adjustment Surface'!$C$2='Data Validation'!$A$3,CI118,"Unknown Option Type"))-IF('Adjustment Surface'!$C$2='Data Validation'!$A$2,CI118,IF('Adjustment Surface'!$C$2='Data Validation'!$A$3,CJ118,"Unknown Option Type")))/(CK118*SQRT(CG118)),0,1,FALSE))))*CL118*(CF118/360)*CH118))</f>
        <v/>
      </c>
      <c r="CO118" s="15" t="str">
        <f>IF(CC118="","",SUM(CN$4:CN118))</f>
        <v/>
      </c>
      <c r="CQ118" s="15" t="str">
        <f>IF(CC118="","",IF(CD118&lt;'Rate &amp; Vol Update'!$C$2,0,((((((IF('Adjustment Surface'!$C$2='Data Validation'!$A$2,CJ118,IF('Adjustment Surface'!$C$2='Data Validation'!$A$3,CI118,"Unknown Option Type"))-IF('Adjustment Surface'!$C$2='Data Validation'!$A$2,CI118,IF('Adjustment Surface'!$C$2='Data Validation'!$A$3,CJ118,"Unknown Option Type")))*(NORMDIST((IF('Adjustment Surface'!$C$2='Data Validation'!$A$2,CJ118,IF('Adjustment Surface'!$C$2='Data Validation'!$A$3,CI118,"Unknown Option Type"))-IF('Adjustment Surface'!$C$2='Data Validation'!$A$2,CI118,IF('Adjustment Surface'!$C$2='Data Validation'!$A$3,CJ118,"Unknown Option Type")))/((CK118+0.01%)*SQRT(CG118)),0,1,TRUE)))+(((CK118+0.01%)*SQRT(CG118))*(NORMDIST((IF('Adjustment Surface'!$C$2='Data Validation'!$A$2,CJ118,IF('Adjustment Surface'!$C$2='Data Validation'!$A$3,CI118,"Unknown Option Type"))-IF('Adjustment Surface'!$C$2='Data Validation'!$A$2,CI118,IF('Adjustment Surface'!$C$2='Data Validation'!$A$3,CJ118,"Unknown Option Type")))/((CK118+0.01%)*SQRT(CG118)),0,1,FALSE))))*CL118*(CF118/360))-(CN118/CH118))*CH118)*CL118))</f>
        <v/>
      </c>
      <c r="CR118" s="15" t="str">
        <f>IF(CC118="","",SUM(CQ$4:CQ118))</f>
        <v/>
      </c>
    </row>
    <row r="119" spans="7:96" x14ac:dyDescent="0.25">
      <c r="G119" s="28"/>
      <c r="J119" s="4" t="str">
        <f>IF(K118='Adjustment Surface'!C$8,"",K118)</f>
        <v/>
      </c>
      <c r="K119" s="4" t="str">
        <f>IF(J119="","",IF(J119&lt;'Adjustment Surface'!C$7,EDATE(J$5,COUNT(J$5:J119)),IF(J119='Adjustment Surface'!C$7,'Adjustment Surface'!C$8,'Adjustment Surface'!C$7)))</f>
        <v/>
      </c>
      <c r="L119" s="3" t="str">
        <f t="shared" si="6"/>
        <v/>
      </c>
      <c r="M119" s="5" t="str">
        <f>IF(I119="","",(K119-'Rate &amp; Vol Update'!$C$2)/360)</f>
        <v/>
      </c>
      <c r="N119" s="15" t="str">
        <f>IF(I119="","",IF('Adjustment Surface'!C$3='Data Validation'!$C$2,'Adjustment Surface'!C$4,IF(INDEX(Schedules!$E$3:$E$123,MATCH('Bachelier Model'!J119,Schedules!$B$3:$B$123,0))="",N118,INDEX(Schedules!$E$3:$E$123,MATCH('Bachelier Model'!J119,Schedules!$B$3:$B$123,0)))))</f>
        <v/>
      </c>
      <c r="O119" s="16" t="str">
        <f>IF(I119="","",IF('Adjustment Surface'!C$9='Data Validation'!$D$2,'Adjustment Surface'!C$10,IF(INDEX(Schedules!$H$3:$H$123,MATCH('Bachelier Model'!J119,Schedules!$B$3:$B$123,0))="",O118,INDEX(Schedules!$H$3:$H$123,MATCH('Bachelier Model'!J119,Schedules!$B$3:$B$123,0)))))</f>
        <v/>
      </c>
      <c r="P119" s="16" t="str" cm="1">
        <f t="array" ref="P119">IF(I119="","",FORECAST(J119,INDEX('Rate &amp; Vol Update'!$C$6:$C$127,MATCH(INDEX('Rate &amp; Vol Update'!$B$6:$B$127,MATCH(J119,'Rate &amp; Vol Update'!$B$6:$B$127,1)),'Rate &amp; Vol Update'!$B$6:$B$127,0)+IF('Adjustment Surface'!C$11='Data Validation'!$E$3,-1,0)):INDEX('Rate &amp; Vol Update'!$C$6:$C$127,MATCH(INDEX('Rate &amp; Vol Update'!$B$6:$B$127,MATCH(J119,'Rate &amp; Vol Update'!$B$6:$B$127,1)+1),'Rate &amp; Vol Update'!$B$6:$B$127,0)+IF('Adjustment Surface'!C$11='Data Validation'!$E$3,-1,0)),INDEX('Rate &amp; Vol Update'!$B$6:$B$127,MATCH(J119,'Rate &amp; Vol Update'!$B$6:$B$127,1)):INDEX('Rate &amp; Vol Update'!$B$6:$B$127,MATCH(J119,'Rate &amp; Vol Update'!$B$6:$B$127,1)+1))/100)</f>
        <v/>
      </c>
      <c r="Q119" s="16" t="str" cm="1">
        <f t="array" ref="Q119">IF(I119="","",IF(J119&lt;'Rate &amp; Vol Update'!$C$2,0.001%,(1/((INDEX('Rate &amp; Vol Update'!$E$6:$Z$6,1,MATCH(O119,'Rate &amp; Vol Update'!$E$6:$Z$6,1)+1)-INDEX('Rate &amp; Vol Update'!$E$6:$Z$6,1,MATCH(O119,'Rate &amp; Vol Update'!$E$6:$Z$6,1)))*(INDEX('Rate &amp; Vol Update'!$B$8:$B$127,MATCH(J119,'Rate &amp; Vol Update'!$B$8:$B$127,1)+1)-INDEX('Rate &amp; Vol Update'!$B$8:$B$127,MATCH(J119,'Rate &amp; Vol Update'!$B$8:$B$127,1))))*(INDEX('Rate &amp; Vol Update'!$E$8:$Z$127,MATCH(INDEX('Rate &amp; Vol Update'!$B$8:$B$127,MATCH(J119,'Rate &amp; Vol Update'!$B$8:$B$127,1)),'Rate &amp; Vol Update'!$B$8:$B$127,0),MATCH(INDEX('Rate &amp; Vol Update'!$E$6:$Z$6,1,MATCH(O119,'Rate &amp; Vol Update'!$E$6:$Z$6,1)),'Rate &amp; Vol Update'!$E$6:$Z$6,0))*(INDEX('Rate &amp; Vol Update'!$E$6:$Z$6,1,MATCH(O119,'Rate &amp; Vol Update'!$E$6:$Z$6,1)+1)-O119)*(INDEX('Rate &amp; Vol Update'!$B$8:$B$127,MATCH(J119,'Rate &amp; Vol Update'!$B$8:$B$127,1)+1)-J119)+INDEX('Rate &amp; Vol Update'!$E$8:$Z$127,MATCH(INDEX('Rate &amp; Vol Update'!$B$8:$B$127,MATCH(J119,'Rate &amp; Vol Update'!$B$8:$B$127,1)),'Rate &amp; Vol Update'!$B$8:$B$127,0),MATCH(INDEX('Rate &amp; Vol Update'!$E$6:$Z$6,1,MATCH(O119,'Rate &amp; Vol Update'!$E$6:$Z$6,1)+1),'Rate &amp; Vol Update'!$E$6:$Z$6,0))*(O119-INDEX('Rate &amp; Vol Update'!$E$6:$Z$6,1,MATCH(O119,'Rate &amp; Vol Update'!$E$6:$Z$6,1)))*(INDEX('Rate &amp; Vol Update'!$B$8:$B$127,MATCH(J119,'Rate &amp; Vol Update'!$B$8:$B$127,1)+1)-J119)+INDEX('Rate &amp; Vol Update'!$E$8:$Z$127,MATCH(INDEX('Rate &amp; Vol Update'!$B$8:$B$127,MATCH(J119,'Rate &amp; Vol Update'!$B$8:$B$127,1)+1),'Rate &amp; Vol Update'!$B$8:$B$127,0),MATCH(INDEX('Rate &amp; Vol Update'!$E$6:$Z$6,1,MATCH(O119,'Rate &amp; Vol Update'!$E$6:$Z$6,1)),'Rate &amp; Vol Update'!$E$6:$Z$6,0))*(INDEX('Rate &amp; Vol Update'!$E$6:$Z$6,1,MATCH(O119,'Rate &amp; Vol Update'!$E$6:$Z$6,1)+1)-O119)*(J119-INDEX('Rate &amp; Vol Update'!$B$8:$B$127,MATCH(J119,'Rate &amp; Vol Update'!$B$8:$B$127,1)))+INDEX('Rate &amp; Vol Update'!$E$8:$Z$127,MATCH(INDEX('Rate &amp; Vol Update'!$B$8:$B$127,MATCH(J119,'Rate &amp; Vol Update'!$B$8:$B$127,1)+1),'Rate &amp; Vol Update'!$B$8:$B$127,0),MATCH(INDEX('Rate &amp; Vol Update'!$E$6:$Z$6,1,MATCH(O119,'Rate &amp; Vol Update'!$E$6:$Z$6,1)+1),'Rate &amp; Vol Update'!$E$6:$Z$6,0))*(O119-INDEX('Rate &amp; Vol Update'!$E$6:$Z$6,1,MATCH(O119,'Rate &amp; Vol Update'!$E$6:$Z$6,1)))*(J119-INDEX('Rate &amp; Vol Update'!$B$8:$B$127,MATCH(J119,'Rate &amp; Vol Update'!$B$8:$B$127,1)))))*0.01%))</f>
        <v/>
      </c>
      <c r="R119" s="5" t="str">
        <f>IF(I119="","",1/((1+P119)^((K119-'Rate &amp; Vol Update'!$C$2)/360)))</f>
        <v/>
      </c>
      <c r="T119" s="15" t="str">
        <f>IF(I119="","",IF(J119&lt;'Rate &amp; Vol Update'!$C$2,MAX(0,P119-O119)*(L119/360)*N119,(((IF('Adjustment Surface'!C$2='Data Validation'!$A$2,P119,IF('Adjustment Surface'!C$2='Data Validation'!$A$3,O119,"Unknown Option Type"))-IF('Adjustment Surface'!C$2='Data Validation'!$A$2,O119,IF('Adjustment Surface'!C$2='Data Validation'!$A$3,P119,"Unknown Option Type")))*(NORMDIST((IF('Adjustment Surface'!C$2='Data Validation'!$A$2,P119,IF('Adjustment Surface'!C$2='Data Validation'!$A$3,O119,"Unknown Option Type"))-IF('Adjustment Surface'!C$2='Data Validation'!$A$2,O119,IF('Adjustment Surface'!C$2='Data Validation'!$A$3,P119,"Unknown Option Type")))/(Q119*SQRT(M119)),0,1,TRUE)))+((Q119*SQRT(M119))*(NORMDIST((IF('Adjustment Surface'!C$2='Data Validation'!$A$2,P119,IF('Adjustment Surface'!C$2='Data Validation'!$A$3,O119,"Unknown Option Type"))-IF('Adjustment Surface'!C$2='Data Validation'!$A$2,O119,IF('Adjustment Surface'!C$2='Data Validation'!$A$3,P119,"Unknown Option Type")))/(Q119*SQRT(M119)),0,1,FALSE))))*R119*(L119/360)*N119))</f>
        <v/>
      </c>
      <c r="U119" s="15" t="str">
        <f>IF(I119="","",SUM(T$4:T119))</f>
        <v/>
      </c>
      <c r="W119" s="15" t="str">
        <f>IF(I119="","",IF(J119&lt;'Rate &amp; Vol Update'!$C$2,0,((((((IF('Adjustment Surface'!C$2='Data Validation'!$A$2,P119,IF('Adjustment Surface'!C$2='Data Validation'!$A$3,O119,"Unknown Option Type"))-IF('Adjustment Surface'!C$2='Data Validation'!$A$2,O119,IF('Adjustment Surface'!C$2='Data Validation'!$A$3,P119,"Unknown Option Type")))*(NORMDIST((IF('Adjustment Surface'!C$2='Data Validation'!$A$2,P119,IF('Adjustment Surface'!C$2='Data Validation'!$A$3,O119,"Unknown Option Type"))-IF('Adjustment Surface'!C$2='Data Validation'!$A$2,O119,IF('Adjustment Surface'!C$2='Data Validation'!$A$3,P119,"Unknown Option Type")))/((Q119+0.01%)*SQRT(M119)),0,1,TRUE)))+(((Q119+0.01%)*SQRT(M119))*(NORMDIST((IF('Adjustment Surface'!C$2='Data Validation'!$A$2,P119,IF('Adjustment Surface'!C$2='Data Validation'!$A$3,O119,"Unknown Option Type"))-IF('Adjustment Surface'!C$2='Data Validation'!$A$2,O119,IF('Adjustment Surface'!C$2='Data Validation'!$A$3,P119,"Unknown Option Type")))/((Q119+0.01%)*SQRT(M119)),0,1,FALSE))))*R119*(L119/360))-(T119/N119))*N119)*R119))</f>
        <v/>
      </c>
      <c r="X119" s="15" t="str">
        <f>IF(I119="","",SUM(W$4:W119))</f>
        <v/>
      </c>
      <c r="Y119" s="15"/>
      <c r="Z119" s="20"/>
      <c r="AB119" s="4" t="str">
        <f>IF(AC118=MAX('Adjustment Surface'!$C$14:$F$14),"",AC118)</f>
        <v/>
      </c>
      <c r="AC119" s="4" t="str">
        <f>IF(AB119="","",IF(AB119&lt;EDATE('Adjustment Surface'!$C$6,DATEDIF('Adjustment Surface'!$C$6,MAX('Adjustment Surface'!$C$14:$F$14),"M")),EDATE(AB$5,COUNT(AB$5:AB119)),IF(AB119=EDATE('Adjustment Surface'!$C$6,DATEDIF('Adjustment Surface'!$C$6,MAX('Adjustment Surface'!$C$14:$F$14),"M")),MAX('Adjustment Surface'!$C$14:$F$14),EDATE('Adjustment Surface'!$C$6,DATEDIF('Adjustment Surface'!$C$6,MAX('Adjustment Surface'!$C$14:$F$14),"M")))))</f>
        <v/>
      </c>
      <c r="AD119" s="3" t="str">
        <f t="shared" si="7"/>
        <v/>
      </c>
      <c r="AE119" s="5" t="str">
        <f>IF(AA119="","",(AC119-'Rate &amp; Vol Update'!$C$2)/360)</f>
        <v/>
      </c>
      <c r="AF119" s="15" t="str">
        <f>IF(AA119="","",IF('Adjustment Surface'!$C$3='Data Validation'!$C$2,'Adjustment Surface'!$C$4,_xlfn.IFNA(IF(INDEX(Schedules!$E$3:$E$123,MATCH('Bachelier Model'!AB119,Schedules!$B$3:$B$123,0))="",AF118,INDEX(Schedules!$E$3:$E$123,MATCH('Bachelier Model'!AB119,Schedules!$B$3:$B$123,0))),AF118)))</f>
        <v/>
      </c>
      <c r="AG119" s="16" t="str">
        <f>IF(AA119="","",'Adjustment Surface'!B$15)</f>
        <v/>
      </c>
      <c r="AH119" s="16" t="str" cm="1">
        <f t="array" ref="AH119">IF(AA119="","",FORECAST(AB119,INDEX('Rate &amp; Vol Update'!$C$6:$C$127,MATCH(INDEX('Rate &amp; Vol Update'!$B$6:$B$127,MATCH(AB119,'Rate &amp; Vol Update'!$B$6:$B$127,1)),'Rate &amp; Vol Update'!$B$6:$B$127,0)+IF('Adjustment Surface'!$C$11='Data Validation'!$E$3,-1,0)):INDEX('Rate &amp; Vol Update'!$C$6:$C$127,MATCH(INDEX('Rate &amp; Vol Update'!$B$6:$B$127,MATCH(AB119,'Rate &amp; Vol Update'!$B$6:$B$127,1)+1),'Rate &amp; Vol Update'!$B$6:$B$127,0)+IF('Adjustment Surface'!$C$11='Data Validation'!$E$3,-1,0)),INDEX('Rate &amp; Vol Update'!$B$6:$B$127,MATCH(AB119,'Rate &amp; Vol Update'!$B$6:$B$127,1)):INDEX('Rate &amp; Vol Update'!$B$6:$B$127,MATCH(AB119,'Rate &amp; Vol Update'!$B$6:$B$127,1)+1))/100)</f>
        <v/>
      </c>
      <c r="AI119" s="16" t="str" cm="1">
        <f t="array" ref="AI119">IF(AA119="","",IF(AB119&lt;'Rate &amp; Vol Update'!$C$2,0.001%,(1/((INDEX('Rate &amp; Vol Update'!$E$6:$Z$6,1,MATCH(AG119,'Rate &amp; Vol Update'!$E$6:$Z$6,1)+1)-INDEX('Rate &amp; Vol Update'!$E$6:$Z$6,1,MATCH(AG119,'Rate &amp; Vol Update'!$E$6:$Z$6,1)))*(INDEX('Rate &amp; Vol Update'!$B$8:$B$127,MATCH(AB119,'Rate &amp; Vol Update'!$B$8:$B$127,1)+1)-INDEX('Rate &amp; Vol Update'!$B$8:$B$127,MATCH(AB119,'Rate &amp; Vol Update'!$B$8:$B$127,1))))*(INDEX('Rate &amp; Vol Update'!$E$8:$Z$127,MATCH(INDEX('Rate &amp; Vol Update'!$B$8:$B$127,MATCH(AB119,'Rate &amp; Vol Update'!$B$8:$B$127,1)),'Rate &amp; Vol Update'!$B$8:$B$127,0),MATCH(INDEX('Rate &amp; Vol Update'!$E$6:$Z$6,1,MATCH(AG119,'Rate &amp; Vol Update'!$E$6:$Z$6,1)),'Rate &amp; Vol Update'!$E$6:$Z$6,0))*(INDEX('Rate &amp; Vol Update'!$E$6:$Z$6,1,MATCH(AG119,'Rate &amp; Vol Update'!$E$6:$Z$6,1)+1)-AG119)*(INDEX('Rate &amp; Vol Update'!$B$8:$B$127,MATCH(AB119,'Rate &amp; Vol Update'!$B$8:$B$127,1)+1)-AB119)+INDEX('Rate &amp; Vol Update'!$E$8:$Z$127,MATCH(INDEX('Rate &amp; Vol Update'!$B$8:$B$127,MATCH(AB119,'Rate &amp; Vol Update'!$B$8:$B$127,1)),'Rate &amp; Vol Update'!$B$8:$B$127,0),MATCH(INDEX('Rate &amp; Vol Update'!$E$6:$Z$6,1,MATCH(AG119,'Rate &amp; Vol Update'!$E$6:$Z$6,1)+1),'Rate &amp; Vol Update'!$E$6:$Z$6,0))*(AG119-INDEX('Rate &amp; Vol Update'!$E$6:$Z$6,1,MATCH(AG119,'Rate &amp; Vol Update'!$E$6:$Z$6,1)))*(INDEX('Rate &amp; Vol Update'!$B$8:$B$127,MATCH(AB119,'Rate &amp; Vol Update'!$B$8:$B$127,1)+1)-AB119)+INDEX('Rate &amp; Vol Update'!$E$8:$Z$127,MATCH(INDEX('Rate &amp; Vol Update'!$B$8:$B$127,MATCH(AB119,'Rate &amp; Vol Update'!$B$8:$B$127,1)+1),'Rate &amp; Vol Update'!$B$8:$B$127,0),MATCH(INDEX('Rate &amp; Vol Update'!$E$6:$Z$6,1,MATCH(AG119,'Rate &amp; Vol Update'!$E$6:$Z$6,1)),'Rate &amp; Vol Update'!$E$6:$Z$6,0))*(INDEX('Rate &amp; Vol Update'!$E$6:$Z$6,1,MATCH(AG119,'Rate &amp; Vol Update'!$E$6:$Z$6,1)+1)-AG119)*(AB119-INDEX('Rate &amp; Vol Update'!$B$8:$B$127,MATCH(AB119,'Rate &amp; Vol Update'!$B$8:$B$127,1)))+INDEX('Rate &amp; Vol Update'!$E$8:$Z$127,MATCH(INDEX('Rate &amp; Vol Update'!$B$8:$B$127,MATCH(AB119,'Rate &amp; Vol Update'!$B$8:$B$127,1)+1),'Rate &amp; Vol Update'!$B$8:$B$127,0),MATCH(INDEX('Rate &amp; Vol Update'!$E$6:$Z$6,1,MATCH(AG119,'Rate &amp; Vol Update'!$E$6:$Z$6,1)+1),'Rate &amp; Vol Update'!$E$6:$Z$6,0))*(AG119-INDEX('Rate &amp; Vol Update'!$E$6:$Z$6,1,MATCH(AG119,'Rate &amp; Vol Update'!$E$6:$Z$6,1)))*(AB119-INDEX('Rate &amp; Vol Update'!$B$8:$B$127,MATCH(AB119,'Rate &amp; Vol Update'!$B$8:$B$127,1)))))*0.01%))</f>
        <v/>
      </c>
      <c r="AJ119" s="5" t="str">
        <f>IF(AA119="","",1/((1+AH119)^((AC119-'Rate &amp; Vol Update'!$C$2)/360)))</f>
        <v/>
      </c>
      <c r="AL119" s="15" t="str">
        <f>IF(AA119="","",IF(AB119&lt;'Rate &amp; Vol Update'!$C$2,MAX(0,AH119-AG119)*(AD119/360)*AF119,(((IF('Adjustment Surface'!$C$2='Data Validation'!$A$2,AH119,IF('Adjustment Surface'!$C$2='Data Validation'!$A$3,AG119,"Unknown Option Type"))-IF('Adjustment Surface'!$C$2='Data Validation'!$A$2,AG119,IF('Adjustment Surface'!$C$2='Data Validation'!$A$3,AH119,"Unknown Option Type")))*(NORMDIST((IF('Adjustment Surface'!$C$2='Data Validation'!$A$2,AH119,IF('Adjustment Surface'!$C$2='Data Validation'!$A$3,AG119,"Unknown Option Type"))-IF('Adjustment Surface'!$C$2='Data Validation'!$A$2,AG119,IF('Adjustment Surface'!$C$2='Data Validation'!$A$3,AH119,"Unknown Option Type")))/(AI119*SQRT(AE119)),0,1,TRUE)))+((AI119*SQRT(AE119))*(NORMDIST((IF('Adjustment Surface'!$C$2='Data Validation'!$A$2,AH119,IF('Adjustment Surface'!$C$2='Data Validation'!$A$3,AG119,"Unknown Option Type"))-IF('Adjustment Surface'!$C$2='Data Validation'!$A$2,AG119,IF('Adjustment Surface'!$C$2='Data Validation'!$A$3,AH119,"Unknown Option Type")))/(AI119*SQRT(AE119)),0,1,FALSE))))*AJ119*(AD119/360)*AF119))</f>
        <v/>
      </c>
      <c r="AM119" s="15" t="str">
        <f>IF(AA119="","",SUM(AL$4:AL119))</f>
        <v/>
      </c>
      <c r="AO119" s="15" t="str">
        <f>IF(AA119="","",IF(AB119&lt;'Rate &amp; Vol Update'!$C$2,0,((((((IF('Adjustment Surface'!$C$2='Data Validation'!$A$2,AH119,IF('Adjustment Surface'!$C$2='Data Validation'!$A$3,AG119,"Unknown Option Type"))-IF('Adjustment Surface'!$C$2='Data Validation'!$A$2,AG119,IF('Adjustment Surface'!$C$2='Data Validation'!$A$3,AH119,"Unknown Option Type")))*(NORMDIST((IF('Adjustment Surface'!$C$2='Data Validation'!$A$2,AH119,IF('Adjustment Surface'!$C$2='Data Validation'!$A$3,AG119,"Unknown Option Type"))-IF('Adjustment Surface'!$C$2='Data Validation'!$A$2,AG119,IF('Adjustment Surface'!$C$2='Data Validation'!$A$3,AH119,"Unknown Option Type")))/((AI119+0.01%)*SQRT(AE119)),0,1,TRUE)))+(((AI119+0.01%)*SQRT(AE119))*(NORMDIST((IF('Adjustment Surface'!$C$2='Data Validation'!$A$2,AH119,IF('Adjustment Surface'!$C$2='Data Validation'!$A$3,AG119,"Unknown Option Type"))-IF('Adjustment Surface'!$C$2='Data Validation'!$A$2,AG119,IF('Adjustment Surface'!$C$2='Data Validation'!$A$3,AH119,"Unknown Option Type")))/((AI119+0.01%)*SQRT(AE119)),0,1,FALSE))))*AJ119*(AD119/360))-(AL119/AF119))*AF119)*AJ119))</f>
        <v/>
      </c>
      <c r="AP119" s="15" t="str">
        <f>IF(AA119="","",SUM(AO$4:AO119))</f>
        <v/>
      </c>
      <c r="AQ119" s="15"/>
      <c r="AR119" s="20"/>
      <c r="AT119" s="4" t="str">
        <f>IF(AU118=MAX('Adjustment Surface'!$C$14:$F$14),"",AU118)</f>
        <v/>
      </c>
      <c r="AU119" s="4" t="str">
        <f>IF(AT119="","",IF(AT119&lt;EDATE('Adjustment Surface'!$C$6,DATEDIF('Adjustment Surface'!$C$6,MAX('Adjustment Surface'!$C$14:$F$14),"M")),EDATE(AT$5,COUNT(AT$5:AT119)),IF(AT119=EDATE('Adjustment Surface'!$C$6,DATEDIF('Adjustment Surface'!$C$6,MAX('Adjustment Surface'!$C$14:$F$14),"M")),MAX('Adjustment Surface'!$C$14:$F$14),EDATE('Adjustment Surface'!$C$6,DATEDIF('Adjustment Surface'!$C$6,MAX('Adjustment Surface'!$C$14:$F$14),"M")))))</f>
        <v/>
      </c>
      <c r="AV119" s="3" t="str">
        <f t="shared" si="8"/>
        <v/>
      </c>
      <c r="AW119" s="5" t="str">
        <f>IF(AS119="","",(AU119-'Rate &amp; Vol Update'!$C$2)/360)</f>
        <v/>
      </c>
      <c r="AX119" s="15" t="str">
        <f>IF(AS119="","",IF('Adjustment Surface'!$C$3='Data Validation'!$C$2,'Adjustment Surface'!$C$4,_xlfn.IFNA(IF(INDEX(Schedules!$E$3:$E$123,MATCH('Bachelier Model'!AT119,Schedules!$B$3:$B$123,0))="",AX118,INDEX(Schedules!$E$3:$E$123,MATCH('Bachelier Model'!AT119,Schedules!$B$3:$B$123,0))),AX118)))</f>
        <v/>
      </c>
      <c r="AY119" s="16" t="str">
        <f>IF(AS119="","",'Adjustment Surface'!B$16)</f>
        <v/>
      </c>
      <c r="AZ119" s="16" t="str" cm="1">
        <f t="array" ref="AZ119">IF(AS119="","",FORECAST(AT119,INDEX('Rate &amp; Vol Update'!$C$6:$C$127,MATCH(INDEX('Rate &amp; Vol Update'!$B$6:$B$127,MATCH(AT119,'Rate &amp; Vol Update'!$B$6:$B$127,1)),'Rate &amp; Vol Update'!$B$6:$B$127,0)+IF('Adjustment Surface'!$C$11='Data Validation'!$E$3,-1,0)):INDEX('Rate &amp; Vol Update'!$C$6:$C$127,MATCH(INDEX('Rate &amp; Vol Update'!$B$6:$B$127,MATCH(AT119,'Rate &amp; Vol Update'!$B$6:$B$127,1)+1),'Rate &amp; Vol Update'!$B$6:$B$127,0)+IF('Adjustment Surface'!$C$11='Data Validation'!$E$3,-1,0)),INDEX('Rate &amp; Vol Update'!$B$6:$B$127,MATCH(AT119,'Rate &amp; Vol Update'!$B$6:$B$127,1)):INDEX('Rate &amp; Vol Update'!$B$6:$B$127,MATCH(AT119,'Rate &amp; Vol Update'!$B$6:$B$127,1)+1))/100)</f>
        <v/>
      </c>
      <c r="BA119" s="16" t="str" cm="1">
        <f t="array" ref="BA119">IF(AS119="","",IF(AT119&lt;'Rate &amp; Vol Update'!$C$2,0.001%,(1/((INDEX('Rate &amp; Vol Update'!$E$6:$Z$6,1,MATCH(AY119,'Rate &amp; Vol Update'!$E$6:$Z$6,1)+1)-INDEX('Rate &amp; Vol Update'!$E$6:$Z$6,1,MATCH(AY119,'Rate &amp; Vol Update'!$E$6:$Z$6,1)))*(INDEX('Rate &amp; Vol Update'!$B$8:$B$127,MATCH(AT119,'Rate &amp; Vol Update'!$B$8:$B$127,1)+1)-INDEX('Rate &amp; Vol Update'!$B$8:$B$127,MATCH(AT119,'Rate &amp; Vol Update'!$B$8:$B$127,1))))*(INDEX('Rate &amp; Vol Update'!$E$8:$Z$127,MATCH(INDEX('Rate &amp; Vol Update'!$B$8:$B$127,MATCH(AT119,'Rate &amp; Vol Update'!$B$8:$B$127,1)),'Rate &amp; Vol Update'!$B$8:$B$127,0),MATCH(INDEX('Rate &amp; Vol Update'!$E$6:$Z$6,1,MATCH(AY119,'Rate &amp; Vol Update'!$E$6:$Z$6,1)),'Rate &amp; Vol Update'!$E$6:$Z$6,0))*(INDEX('Rate &amp; Vol Update'!$E$6:$Z$6,1,MATCH(AY119,'Rate &amp; Vol Update'!$E$6:$Z$6,1)+1)-AY119)*(INDEX('Rate &amp; Vol Update'!$B$8:$B$127,MATCH(AT119,'Rate &amp; Vol Update'!$B$8:$B$127,1)+1)-AT119)+INDEX('Rate &amp; Vol Update'!$E$8:$Z$127,MATCH(INDEX('Rate &amp; Vol Update'!$B$8:$B$127,MATCH(AT119,'Rate &amp; Vol Update'!$B$8:$B$127,1)),'Rate &amp; Vol Update'!$B$8:$B$127,0),MATCH(INDEX('Rate &amp; Vol Update'!$E$6:$Z$6,1,MATCH(AY119,'Rate &amp; Vol Update'!$E$6:$Z$6,1)+1),'Rate &amp; Vol Update'!$E$6:$Z$6,0))*(AY119-INDEX('Rate &amp; Vol Update'!$E$6:$Z$6,1,MATCH(AY119,'Rate &amp; Vol Update'!$E$6:$Z$6,1)))*(INDEX('Rate &amp; Vol Update'!$B$8:$B$127,MATCH(AT119,'Rate &amp; Vol Update'!$B$8:$B$127,1)+1)-AT119)+INDEX('Rate &amp; Vol Update'!$E$8:$Z$127,MATCH(INDEX('Rate &amp; Vol Update'!$B$8:$B$127,MATCH(AT119,'Rate &amp; Vol Update'!$B$8:$B$127,1)+1),'Rate &amp; Vol Update'!$B$8:$B$127,0),MATCH(INDEX('Rate &amp; Vol Update'!$E$6:$Z$6,1,MATCH(AY119,'Rate &amp; Vol Update'!$E$6:$Z$6,1)),'Rate &amp; Vol Update'!$E$6:$Z$6,0))*(INDEX('Rate &amp; Vol Update'!$E$6:$Z$6,1,MATCH(AY119,'Rate &amp; Vol Update'!$E$6:$Z$6,1)+1)-AY119)*(AT119-INDEX('Rate &amp; Vol Update'!$B$8:$B$127,MATCH(AT119,'Rate &amp; Vol Update'!$B$8:$B$127,1)))+INDEX('Rate &amp; Vol Update'!$E$8:$Z$127,MATCH(INDEX('Rate &amp; Vol Update'!$B$8:$B$127,MATCH(AT119,'Rate &amp; Vol Update'!$B$8:$B$127,1)+1),'Rate &amp; Vol Update'!$B$8:$B$127,0),MATCH(INDEX('Rate &amp; Vol Update'!$E$6:$Z$6,1,MATCH(AY119,'Rate &amp; Vol Update'!$E$6:$Z$6,1)+1),'Rate &amp; Vol Update'!$E$6:$Z$6,0))*(AY119-INDEX('Rate &amp; Vol Update'!$E$6:$Z$6,1,MATCH(AY119,'Rate &amp; Vol Update'!$E$6:$Z$6,1)))*(AT119-INDEX('Rate &amp; Vol Update'!$B$8:$B$127,MATCH(AT119,'Rate &amp; Vol Update'!$B$8:$B$127,1)))))*0.01%))</f>
        <v/>
      </c>
      <c r="BB119" s="5" t="str">
        <f>IF(AS119="","",1/((1+AZ119)^((AU119-'Rate &amp; Vol Update'!$C$2)/360)))</f>
        <v/>
      </c>
      <c r="BD119" s="15" t="str">
        <f>IF(AS119="","",IF(AT119&lt;'Rate &amp; Vol Update'!$C$2,MAX(0,AZ119-AY119)*(AV119/360)*AX119,(((IF('Adjustment Surface'!$C$2='Data Validation'!$A$2,AZ119,IF('Adjustment Surface'!$C$2='Data Validation'!$A$3,AY119,"Unknown Option Type"))-IF('Adjustment Surface'!$C$2='Data Validation'!$A$2,AY119,IF('Adjustment Surface'!$C$2='Data Validation'!$A$3,AZ119,"Unknown Option Type")))*(NORMDIST((IF('Adjustment Surface'!$C$2='Data Validation'!$A$2,AZ119,IF('Adjustment Surface'!$C$2='Data Validation'!$A$3,AY119,"Unknown Option Type"))-IF('Adjustment Surface'!$C$2='Data Validation'!$A$2,AY119,IF('Adjustment Surface'!$C$2='Data Validation'!$A$3,AZ119,"Unknown Option Type")))/(BA119*SQRT(AW119)),0,1,TRUE)))+((BA119*SQRT(AW119))*(NORMDIST((IF('Adjustment Surface'!$C$2='Data Validation'!$A$2,AZ119,IF('Adjustment Surface'!$C$2='Data Validation'!$A$3,AY119,"Unknown Option Type"))-IF('Adjustment Surface'!$C$2='Data Validation'!$A$2,AY119,IF('Adjustment Surface'!$C$2='Data Validation'!$A$3,AZ119,"Unknown Option Type")))/(BA119*SQRT(AW119)),0,1,FALSE))))*BB119*(AV119/360)*AX119))</f>
        <v/>
      </c>
      <c r="BE119" s="15" t="str">
        <f>IF(AS119="","",SUM(BD$4:BD119))</f>
        <v/>
      </c>
      <c r="BG119" s="15" t="str">
        <f>IF(AS119="","",IF(AT119&lt;'Rate &amp; Vol Update'!$C$2,0,((((((IF('Adjustment Surface'!$C$2='Data Validation'!$A$2,AZ119,IF('Adjustment Surface'!$C$2='Data Validation'!$A$3,AY119,"Unknown Option Type"))-IF('Adjustment Surface'!$C$2='Data Validation'!$A$2,AY119,IF('Adjustment Surface'!$C$2='Data Validation'!$A$3,AZ119,"Unknown Option Type")))*(NORMDIST((IF('Adjustment Surface'!$C$2='Data Validation'!$A$2,AZ119,IF('Adjustment Surface'!$C$2='Data Validation'!$A$3,AY119,"Unknown Option Type"))-IF('Adjustment Surface'!$C$2='Data Validation'!$A$2,AY119,IF('Adjustment Surface'!$C$2='Data Validation'!$A$3,AZ119,"Unknown Option Type")))/((BA119+0.01%)*SQRT(AW119)),0,1,TRUE)))+(((BA119+0.01%)*SQRT(AW119))*(NORMDIST((IF('Adjustment Surface'!$C$2='Data Validation'!$A$2,AZ119,IF('Adjustment Surface'!$C$2='Data Validation'!$A$3,AY119,"Unknown Option Type"))-IF('Adjustment Surface'!$C$2='Data Validation'!$A$2,AY119,IF('Adjustment Surface'!$C$2='Data Validation'!$A$3,AZ119,"Unknown Option Type")))/((BA119+0.01%)*SQRT(AW119)),0,1,FALSE))))*BB119*(AV119/360))-(BD119/AX119))*AX119)*BB119))</f>
        <v/>
      </c>
      <c r="BH119" s="15" t="str">
        <f>IF(AS119="","",SUM(BG$4:BG119))</f>
        <v/>
      </c>
      <c r="BI119" s="15"/>
      <c r="BJ119" s="20"/>
      <c r="BL119" s="4" t="str">
        <f>IF(BM118=MAX('Adjustment Surface'!$C$14:$F$14),"",BM118)</f>
        <v/>
      </c>
      <c r="BM119" s="4" t="str">
        <f>IF(BL119="","",IF(BL119&lt;EDATE('Adjustment Surface'!$C$6,DATEDIF('Adjustment Surface'!$C$6,MAX('Adjustment Surface'!$C$14:$F$14),"M")),EDATE(BL$5,COUNT(BL$5:BL119)),IF(BL119=EDATE('Adjustment Surface'!$C$6,DATEDIF('Adjustment Surface'!$C$6,MAX('Adjustment Surface'!$C$14:$F$14),"M")),MAX('Adjustment Surface'!$C$14:$F$14),EDATE('Adjustment Surface'!$C$6,DATEDIF('Adjustment Surface'!$C$6,MAX('Adjustment Surface'!$C$14:$F$14),"M")))))</f>
        <v/>
      </c>
      <c r="BN119" s="3" t="str">
        <f t="shared" si="9"/>
        <v/>
      </c>
      <c r="BO119" s="5" t="str">
        <f>IF(BK119="","",(BM119-'Rate &amp; Vol Update'!$C$2)/360)</f>
        <v/>
      </c>
      <c r="BP119" s="15" t="str">
        <f>IF(BK119="","",IF('Adjustment Surface'!$C$3='Data Validation'!$C$2,'Adjustment Surface'!$C$4,_xlfn.IFNA(IF(INDEX(Schedules!$E$3:$E$123,MATCH('Bachelier Model'!BL119,Schedules!$B$3:$B$123,0))="",BP118,INDEX(Schedules!$E$3:$E$123,MATCH('Bachelier Model'!BL119,Schedules!$B$3:$B$123,0))),BP118)))</f>
        <v/>
      </c>
      <c r="BQ119" s="16" t="str">
        <f>IF(BK119="","",'Adjustment Surface'!B$17)</f>
        <v/>
      </c>
      <c r="BR119" s="16" t="str" cm="1">
        <f t="array" ref="BR119">IF(BK119="","",FORECAST(BL119,INDEX('Rate &amp; Vol Update'!$C$6:$C$127,MATCH(INDEX('Rate &amp; Vol Update'!$B$6:$B$127,MATCH(BL119,'Rate &amp; Vol Update'!$B$6:$B$127,1)),'Rate &amp; Vol Update'!$B$6:$B$127,0)+IF('Adjustment Surface'!$C$11='Data Validation'!$E$3,-1,0)):INDEX('Rate &amp; Vol Update'!$C$6:$C$127,MATCH(INDEX('Rate &amp; Vol Update'!$B$6:$B$127,MATCH(BL119,'Rate &amp; Vol Update'!$B$6:$B$127,1)+1),'Rate &amp; Vol Update'!$B$6:$B$127,0)+IF('Adjustment Surface'!$C$11='Data Validation'!$E$3,-1,0)),INDEX('Rate &amp; Vol Update'!$B$6:$B$127,MATCH(BL119,'Rate &amp; Vol Update'!$B$6:$B$127,1)):INDEX('Rate &amp; Vol Update'!$B$6:$B$127,MATCH(BL119,'Rate &amp; Vol Update'!$B$6:$B$127,1)+1))/100)</f>
        <v/>
      </c>
      <c r="BS119" s="16" t="str" cm="1">
        <f t="array" ref="BS119">IF(BK119="","",IF(BL119&lt;'Rate &amp; Vol Update'!$C$2,0.001%,(1/((INDEX('Rate &amp; Vol Update'!$E$6:$Z$6,1,MATCH(BQ119,'Rate &amp; Vol Update'!$E$6:$Z$6,1)+1)-INDEX('Rate &amp; Vol Update'!$E$6:$Z$6,1,MATCH(BQ119,'Rate &amp; Vol Update'!$E$6:$Z$6,1)))*(INDEX('Rate &amp; Vol Update'!$B$8:$B$127,MATCH(BL119,'Rate &amp; Vol Update'!$B$8:$B$127,1)+1)-INDEX('Rate &amp; Vol Update'!$B$8:$B$127,MATCH(BL119,'Rate &amp; Vol Update'!$B$8:$B$127,1))))*(INDEX('Rate &amp; Vol Update'!$E$8:$Z$127,MATCH(INDEX('Rate &amp; Vol Update'!$B$8:$B$127,MATCH(BL119,'Rate &amp; Vol Update'!$B$8:$B$127,1)),'Rate &amp; Vol Update'!$B$8:$B$127,0),MATCH(INDEX('Rate &amp; Vol Update'!$E$6:$Z$6,1,MATCH(BQ119,'Rate &amp; Vol Update'!$E$6:$Z$6,1)),'Rate &amp; Vol Update'!$E$6:$Z$6,0))*(INDEX('Rate &amp; Vol Update'!$E$6:$Z$6,1,MATCH(BQ119,'Rate &amp; Vol Update'!$E$6:$Z$6,1)+1)-BQ119)*(INDEX('Rate &amp; Vol Update'!$B$8:$B$127,MATCH(BL119,'Rate &amp; Vol Update'!$B$8:$B$127,1)+1)-BL119)+INDEX('Rate &amp; Vol Update'!$E$8:$Z$127,MATCH(INDEX('Rate &amp; Vol Update'!$B$8:$B$127,MATCH(BL119,'Rate &amp; Vol Update'!$B$8:$B$127,1)),'Rate &amp; Vol Update'!$B$8:$B$127,0),MATCH(INDEX('Rate &amp; Vol Update'!$E$6:$Z$6,1,MATCH(BQ119,'Rate &amp; Vol Update'!$E$6:$Z$6,1)+1),'Rate &amp; Vol Update'!$E$6:$Z$6,0))*(BQ119-INDEX('Rate &amp; Vol Update'!$E$6:$Z$6,1,MATCH(BQ119,'Rate &amp; Vol Update'!$E$6:$Z$6,1)))*(INDEX('Rate &amp; Vol Update'!$B$8:$B$127,MATCH(BL119,'Rate &amp; Vol Update'!$B$8:$B$127,1)+1)-BL119)+INDEX('Rate &amp; Vol Update'!$E$8:$Z$127,MATCH(INDEX('Rate &amp; Vol Update'!$B$8:$B$127,MATCH(BL119,'Rate &amp; Vol Update'!$B$8:$B$127,1)+1),'Rate &amp; Vol Update'!$B$8:$B$127,0),MATCH(INDEX('Rate &amp; Vol Update'!$E$6:$Z$6,1,MATCH(BQ119,'Rate &amp; Vol Update'!$E$6:$Z$6,1)),'Rate &amp; Vol Update'!$E$6:$Z$6,0))*(INDEX('Rate &amp; Vol Update'!$E$6:$Z$6,1,MATCH(BQ119,'Rate &amp; Vol Update'!$E$6:$Z$6,1)+1)-BQ119)*(BL119-INDEX('Rate &amp; Vol Update'!$B$8:$B$127,MATCH(BL119,'Rate &amp; Vol Update'!$B$8:$B$127,1)))+INDEX('Rate &amp; Vol Update'!$E$8:$Z$127,MATCH(INDEX('Rate &amp; Vol Update'!$B$8:$B$127,MATCH(BL119,'Rate &amp; Vol Update'!$B$8:$B$127,1)+1),'Rate &amp; Vol Update'!$B$8:$B$127,0),MATCH(INDEX('Rate &amp; Vol Update'!$E$6:$Z$6,1,MATCH(BQ119,'Rate &amp; Vol Update'!$E$6:$Z$6,1)+1),'Rate &amp; Vol Update'!$E$6:$Z$6,0))*(BQ119-INDEX('Rate &amp; Vol Update'!$E$6:$Z$6,1,MATCH(BQ119,'Rate &amp; Vol Update'!$E$6:$Z$6,1)))*(BL119-INDEX('Rate &amp; Vol Update'!$B$8:$B$127,MATCH(BL119,'Rate &amp; Vol Update'!$B$8:$B$127,1)))))*0.01%))</f>
        <v/>
      </c>
      <c r="BT119" s="5" t="str">
        <f>IF(BK119="","",1/((1+BR119)^((BM119-'Rate &amp; Vol Update'!$C$2)/360)))</f>
        <v/>
      </c>
      <c r="BV119" s="15" t="str">
        <f>IF(BK119="","",IF(BL119&lt;'Rate &amp; Vol Update'!$C$2,MAX(0,BR119-BQ119)*(BN119/360)*BP119,(((IF('Adjustment Surface'!$C$2='Data Validation'!$A$2,BR119,IF('Adjustment Surface'!$C$2='Data Validation'!$A$3,BQ119,"Unknown Option Type"))-IF('Adjustment Surface'!$C$2='Data Validation'!$A$2,BQ119,IF('Adjustment Surface'!$C$2='Data Validation'!$A$3,BR119,"Unknown Option Type")))*(NORMDIST((IF('Adjustment Surface'!$C$2='Data Validation'!$A$2,BR119,IF('Adjustment Surface'!$C$2='Data Validation'!$A$3,BQ119,"Unknown Option Type"))-IF('Adjustment Surface'!$C$2='Data Validation'!$A$2,BQ119,IF('Adjustment Surface'!$C$2='Data Validation'!$A$3,BR119,"Unknown Option Type")))/(BS119*SQRT(BO119)),0,1,TRUE)))+((BS119*SQRT(BO119))*(NORMDIST((IF('Adjustment Surface'!$C$2='Data Validation'!$A$2,BR119,IF('Adjustment Surface'!$C$2='Data Validation'!$A$3,BQ119,"Unknown Option Type"))-IF('Adjustment Surface'!$C$2='Data Validation'!$A$2,BQ119,IF('Adjustment Surface'!$C$2='Data Validation'!$A$3,BR119,"Unknown Option Type")))/(BS119*SQRT(BO119)),0,1,FALSE))))*BT119*(BN119/360)*BP119))</f>
        <v/>
      </c>
      <c r="BW119" s="15" t="str">
        <f>IF(BK119="","",SUM(BV$4:BV119))</f>
        <v/>
      </c>
      <c r="BY119" s="15" t="str">
        <f>IF(BK119="","",IF(BL119&lt;'Rate &amp; Vol Update'!$C$2,0,((((((IF('Adjustment Surface'!$C$2='Data Validation'!$A$2,BR119,IF('Adjustment Surface'!$C$2='Data Validation'!$A$3,BQ119,"Unknown Option Type"))-IF('Adjustment Surface'!$C$2='Data Validation'!$A$2,BQ119,IF('Adjustment Surface'!$C$2='Data Validation'!$A$3,BR119,"Unknown Option Type")))*(NORMDIST((IF('Adjustment Surface'!$C$2='Data Validation'!$A$2,BR119,IF('Adjustment Surface'!$C$2='Data Validation'!$A$3,BQ119,"Unknown Option Type"))-IF('Adjustment Surface'!$C$2='Data Validation'!$A$2,BQ119,IF('Adjustment Surface'!$C$2='Data Validation'!$A$3,BR119,"Unknown Option Type")))/((BS119+0.01%)*SQRT(BO119)),0,1,TRUE)))+(((BS119+0.01%)*SQRT(BO119))*(NORMDIST((IF('Adjustment Surface'!$C$2='Data Validation'!$A$2,BR119,IF('Adjustment Surface'!$C$2='Data Validation'!$A$3,BQ119,"Unknown Option Type"))-IF('Adjustment Surface'!$C$2='Data Validation'!$A$2,BQ119,IF('Adjustment Surface'!$C$2='Data Validation'!$A$3,BR119,"Unknown Option Type")))/((BS119+0.01%)*SQRT(BO119)),0,1,FALSE))))*BT119*(BN119/360))-(BV119/BP119))*BP119)*BT119))</f>
        <v/>
      </c>
      <c r="BZ119" s="15" t="str">
        <f>IF(BK119="","",SUM(BY$4:BY119))</f>
        <v/>
      </c>
      <c r="CA119" s="15"/>
      <c r="CB119" s="20"/>
      <c r="CD119" s="4" t="str">
        <f>IF(CE118=MAX('Adjustment Surface'!$C$14:$F$14),"",CE118)</f>
        <v/>
      </c>
      <c r="CE119" s="4" t="str">
        <f>IF(CD119="","",IF(CD119&lt;EDATE('Adjustment Surface'!$C$6,DATEDIF('Adjustment Surface'!$C$6,MAX('Adjustment Surface'!$C$14:$F$14),"M")),EDATE(CD$5,COUNT(CD$5:CD119)),IF(CD119=EDATE('Adjustment Surface'!$C$6,DATEDIF('Adjustment Surface'!$C$6,MAX('Adjustment Surface'!$C$14:$F$14),"M")),MAX('Adjustment Surface'!$C$14:$F$14),EDATE('Adjustment Surface'!$C$6,DATEDIF('Adjustment Surface'!$C$6,MAX('Adjustment Surface'!$C$14:$F$14),"M")))))</f>
        <v/>
      </c>
      <c r="CF119" s="3" t="str">
        <f t="shared" si="10"/>
        <v/>
      </c>
      <c r="CG119" s="5" t="str">
        <f>IF(CC119="","",(CE119-'Rate &amp; Vol Update'!$C$2)/360)</f>
        <v/>
      </c>
      <c r="CH119" s="15" t="str">
        <f>IF(CC119="","",IF('Adjustment Surface'!$C$3='Data Validation'!$C$2,'Adjustment Surface'!$C$4,_xlfn.IFNA(IF(INDEX(Schedules!$E$3:$E$123,MATCH('Bachelier Model'!CD119,Schedules!$B$3:$B$123,0))="",CH118,INDEX(Schedules!$E$3:$E$123,MATCH('Bachelier Model'!CD119,Schedules!$B$3:$B$123,0))),CH118)))</f>
        <v/>
      </c>
      <c r="CI119" s="16" t="str">
        <f>IF(CC119="","",'Adjustment Surface'!B$18)</f>
        <v/>
      </c>
      <c r="CJ119" s="16" t="str" cm="1">
        <f t="array" ref="CJ119">IF(CC119="","",FORECAST(CD119,INDEX('Rate &amp; Vol Update'!$C$6:$C$127,MATCH(INDEX('Rate &amp; Vol Update'!$B$6:$B$127,MATCH(CD119,'Rate &amp; Vol Update'!$B$6:$B$127,1)),'Rate &amp; Vol Update'!$B$6:$B$127,0)+IF('Adjustment Surface'!$C$11='Data Validation'!$E$3,-1,0)):INDEX('Rate &amp; Vol Update'!$C$6:$C$127,MATCH(INDEX('Rate &amp; Vol Update'!$B$6:$B$127,MATCH(CD119,'Rate &amp; Vol Update'!$B$6:$B$127,1)+1),'Rate &amp; Vol Update'!$B$6:$B$127,0)+IF('Adjustment Surface'!$C$11='Data Validation'!$E$3,-1,0)),INDEX('Rate &amp; Vol Update'!$B$6:$B$127,MATCH(CD119,'Rate &amp; Vol Update'!$B$6:$B$127,1)):INDEX('Rate &amp; Vol Update'!$B$6:$B$127,MATCH(CD119,'Rate &amp; Vol Update'!$B$6:$B$127,1)+1))/100)</f>
        <v/>
      </c>
      <c r="CK119" s="16" t="str" cm="1">
        <f t="array" ref="CK119">IF(CC119="","",IF(CD119&lt;'Rate &amp; Vol Update'!$C$2,0.001%,(1/((INDEX('Rate &amp; Vol Update'!$E$6:$Z$6,1,MATCH(CI119,'Rate &amp; Vol Update'!$E$6:$Z$6,1)+1)-INDEX('Rate &amp; Vol Update'!$E$6:$Z$6,1,MATCH(CI119,'Rate &amp; Vol Update'!$E$6:$Z$6,1)))*(INDEX('Rate &amp; Vol Update'!$B$8:$B$127,MATCH(CD119,'Rate &amp; Vol Update'!$B$8:$B$127,1)+1)-INDEX('Rate &amp; Vol Update'!$B$8:$B$127,MATCH(CD119,'Rate &amp; Vol Update'!$B$8:$B$127,1))))*(INDEX('Rate &amp; Vol Update'!$E$8:$Z$127,MATCH(INDEX('Rate &amp; Vol Update'!$B$8:$B$127,MATCH(CD119,'Rate &amp; Vol Update'!$B$8:$B$127,1)),'Rate &amp; Vol Update'!$B$8:$B$127,0),MATCH(INDEX('Rate &amp; Vol Update'!$E$6:$Z$6,1,MATCH(CI119,'Rate &amp; Vol Update'!$E$6:$Z$6,1)),'Rate &amp; Vol Update'!$E$6:$Z$6,0))*(INDEX('Rate &amp; Vol Update'!$E$6:$Z$6,1,MATCH(CI119,'Rate &amp; Vol Update'!$E$6:$Z$6,1)+1)-CI119)*(INDEX('Rate &amp; Vol Update'!$B$8:$B$127,MATCH(CD119,'Rate &amp; Vol Update'!$B$8:$B$127,1)+1)-CD119)+INDEX('Rate &amp; Vol Update'!$E$8:$Z$127,MATCH(INDEX('Rate &amp; Vol Update'!$B$8:$B$127,MATCH(CD119,'Rate &amp; Vol Update'!$B$8:$B$127,1)),'Rate &amp; Vol Update'!$B$8:$B$127,0),MATCH(INDEX('Rate &amp; Vol Update'!$E$6:$Z$6,1,MATCH(CI119,'Rate &amp; Vol Update'!$E$6:$Z$6,1)+1),'Rate &amp; Vol Update'!$E$6:$Z$6,0))*(CI119-INDEX('Rate &amp; Vol Update'!$E$6:$Z$6,1,MATCH(CI119,'Rate &amp; Vol Update'!$E$6:$Z$6,1)))*(INDEX('Rate &amp; Vol Update'!$B$8:$B$127,MATCH(CD119,'Rate &amp; Vol Update'!$B$8:$B$127,1)+1)-CD119)+INDEX('Rate &amp; Vol Update'!$E$8:$Z$127,MATCH(INDEX('Rate &amp; Vol Update'!$B$8:$B$127,MATCH(CD119,'Rate &amp; Vol Update'!$B$8:$B$127,1)+1),'Rate &amp; Vol Update'!$B$8:$B$127,0),MATCH(INDEX('Rate &amp; Vol Update'!$E$6:$Z$6,1,MATCH(CI119,'Rate &amp; Vol Update'!$E$6:$Z$6,1)),'Rate &amp; Vol Update'!$E$6:$Z$6,0))*(INDEX('Rate &amp; Vol Update'!$E$6:$Z$6,1,MATCH(CI119,'Rate &amp; Vol Update'!$E$6:$Z$6,1)+1)-CI119)*(CD119-INDEX('Rate &amp; Vol Update'!$B$8:$B$127,MATCH(CD119,'Rate &amp; Vol Update'!$B$8:$B$127,1)))+INDEX('Rate &amp; Vol Update'!$E$8:$Z$127,MATCH(INDEX('Rate &amp; Vol Update'!$B$8:$B$127,MATCH(CD119,'Rate &amp; Vol Update'!$B$8:$B$127,1)+1),'Rate &amp; Vol Update'!$B$8:$B$127,0),MATCH(INDEX('Rate &amp; Vol Update'!$E$6:$Z$6,1,MATCH(CI119,'Rate &amp; Vol Update'!$E$6:$Z$6,1)+1),'Rate &amp; Vol Update'!$E$6:$Z$6,0))*(CI119-INDEX('Rate &amp; Vol Update'!$E$6:$Z$6,1,MATCH(CI119,'Rate &amp; Vol Update'!$E$6:$Z$6,1)))*(CD119-INDEX('Rate &amp; Vol Update'!$B$8:$B$127,MATCH(CD119,'Rate &amp; Vol Update'!$B$8:$B$127,1)))))*0.01%))</f>
        <v/>
      </c>
      <c r="CL119" s="5" t="str">
        <f>IF(CC119="","",1/((1+CJ119)^((CE119-'Rate &amp; Vol Update'!$C$2)/360)))</f>
        <v/>
      </c>
      <c r="CN119" s="15" t="str">
        <f>IF(CC119="","",IF(CD119&lt;'Rate &amp; Vol Update'!$C$2,MAX(0,CJ119-CI119)*(CF119/360)*CH119,(((IF('Adjustment Surface'!$C$2='Data Validation'!$A$2,CJ119,IF('Adjustment Surface'!$C$2='Data Validation'!$A$3,CI119,"Unknown Option Type"))-IF('Adjustment Surface'!$C$2='Data Validation'!$A$2,CI119,IF('Adjustment Surface'!$C$2='Data Validation'!$A$3,CJ119,"Unknown Option Type")))*(NORMDIST((IF('Adjustment Surface'!$C$2='Data Validation'!$A$2,CJ119,IF('Adjustment Surface'!$C$2='Data Validation'!$A$3,CI119,"Unknown Option Type"))-IF('Adjustment Surface'!$C$2='Data Validation'!$A$2,CI119,IF('Adjustment Surface'!$C$2='Data Validation'!$A$3,CJ119,"Unknown Option Type")))/(CK119*SQRT(CG119)),0,1,TRUE)))+((CK119*SQRT(CG119))*(NORMDIST((IF('Adjustment Surface'!$C$2='Data Validation'!$A$2,CJ119,IF('Adjustment Surface'!$C$2='Data Validation'!$A$3,CI119,"Unknown Option Type"))-IF('Adjustment Surface'!$C$2='Data Validation'!$A$2,CI119,IF('Adjustment Surface'!$C$2='Data Validation'!$A$3,CJ119,"Unknown Option Type")))/(CK119*SQRT(CG119)),0,1,FALSE))))*CL119*(CF119/360)*CH119))</f>
        <v/>
      </c>
      <c r="CO119" s="15" t="str">
        <f>IF(CC119="","",SUM(CN$4:CN119))</f>
        <v/>
      </c>
      <c r="CQ119" s="15" t="str">
        <f>IF(CC119="","",IF(CD119&lt;'Rate &amp; Vol Update'!$C$2,0,((((((IF('Adjustment Surface'!$C$2='Data Validation'!$A$2,CJ119,IF('Adjustment Surface'!$C$2='Data Validation'!$A$3,CI119,"Unknown Option Type"))-IF('Adjustment Surface'!$C$2='Data Validation'!$A$2,CI119,IF('Adjustment Surface'!$C$2='Data Validation'!$A$3,CJ119,"Unknown Option Type")))*(NORMDIST((IF('Adjustment Surface'!$C$2='Data Validation'!$A$2,CJ119,IF('Adjustment Surface'!$C$2='Data Validation'!$A$3,CI119,"Unknown Option Type"))-IF('Adjustment Surface'!$C$2='Data Validation'!$A$2,CI119,IF('Adjustment Surface'!$C$2='Data Validation'!$A$3,CJ119,"Unknown Option Type")))/((CK119+0.01%)*SQRT(CG119)),0,1,TRUE)))+(((CK119+0.01%)*SQRT(CG119))*(NORMDIST((IF('Adjustment Surface'!$C$2='Data Validation'!$A$2,CJ119,IF('Adjustment Surface'!$C$2='Data Validation'!$A$3,CI119,"Unknown Option Type"))-IF('Adjustment Surface'!$C$2='Data Validation'!$A$2,CI119,IF('Adjustment Surface'!$C$2='Data Validation'!$A$3,CJ119,"Unknown Option Type")))/((CK119+0.01%)*SQRT(CG119)),0,1,FALSE))))*CL119*(CF119/360))-(CN119/CH119))*CH119)*CL119))</f>
        <v/>
      </c>
      <c r="CR119" s="15" t="str">
        <f>IF(CC119="","",SUM(CQ$4:CQ119))</f>
        <v/>
      </c>
    </row>
    <row r="120" spans="7:96" x14ac:dyDescent="0.25">
      <c r="G120" s="28"/>
      <c r="J120" s="4" t="str">
        <f>IF(K119='Adjustment Surface'!C$8,"",K119)</f>
        <v/>
      </c>
      <c r="K120" s="4" t="str">
        <f>IF(J120="","",IF(J120&lt;'Adjustment Surface'!C$7,EDATE(J$5,COUNT(J$5:J120)),IF(J120='Adjustment Surface'!C$7,'Adjustment Surface'!C$8,'Adjustment Surface'!C$7)))</f>
        <v/>
      </c>
      <c r="L120" s="3" t="str">
        <f t="shared" si="6"/>
        <v/>
      </c>
      <c r="M120" s="5" t="str">
        <f>IF(I120="","",(K120-'Rate &amp; Vol Update'!$C$2)/360)</f>
        <v/>
      </c>
      <c r="N120" s="15" t="str">
        <f>IF(I120="","",IF('Adjustment Surface'!C$3='Data Validation'!$C$2,'Adjustment Surface'!C$4,IF(INDEX(Schedules!$E$3:$E$123,MATCH('Bachelier Model'!J120,Schedules!$B$3:$B$123,0))="",N119,INDEX(Schedules!$E$3:$E$123,MATCH('Bachelier Model'!J120,Schedules!$B$3:$B$123,0)))))</f>
        <v/>
      </c>
      <c r="O120" s="16" t="str">
        <f>IF(I120="","",IF('Adjustment Surface'!C$9='Data Validation'!$D$2,'Adjustment Surface'!C$10,IF(INDEX(Schedules!$H$3:$H$123,MATCH('Bachelier Model'!J120,Schedules!$B$3:$B$123,0))="",O119,INDEX(Schedules!$H$3:$H$123,MATCH('Bachelier Model'!J120,Schedules!$B$3:$B$123,0)))))</f>
        <v/>
      </c>
      <c r="P120" s="16" t="str" cm="1">
        <f t="array" ref="P120">IF(I120="","",FORECAST(J120,INDEX('Rate &amp; Vol Update'!$C$6:$C$127,MATCH(INDEX('Rate &amp; Vol Update'!$B$6:$B$127,MATCH(J120,'Rate &amp; Vol Update'!$B$6:$B$127,1)),'Rate &amp; Vol Update'!$B$6:$B$127,0)+IF('Adjustment Surface'!C$11='Data Validation'!$E$3,-1,0)):INDEX('Rate &amp; Vol Update'!$C$6:$C$127,MATCH(INDEX('Rate &amp; Vol Update'!$B$6:$B$127,MATCH(J120,'Rate &amp; Vol Update'!$B$6:$B$127,1)+1),'Rate &amp; Vol Update'!$B$6:$B$127,0)+IF('Adjustment Surface'!C$11='Data Validation'!$E$3,-1,0)),INDEX('Rate &amp; Vol Update'!$B$6:$B$127,MATCH(J120,'Rate &amp; Vol Update'!$B$6:$B$127,1)):INDEX('Rate &amp; Vol Update'!$B$6:$B$127,MATCH(J120,'Rate &amp; Vol Update'!$B$6:$B$127,1)+1))/100)</f>
        <v/>
      </c>
      <c r="Q120" s="16" t="str" cm="1">
        <f t="array" ref="Q120">IF(I120="","",IF(J120&lt;'Rate &amp; Vol Update'!$C$2,0.001%,(1/((INDEX('Rate &amp; Vol Update'!$E$6:$Z$6,1,MATCH(O120,'Rate &amp; Vol Update'!$E$6:$Z$6,1)+1)-INDEX('Rate &amp; Vol Update'!$E$6:$Z$6,1,MATCH(O120,'Rate &amp; Vol Update'!$E$6:$Z$6,1)))*(INDEX('Rate &amp; Vol Update'!$B$8:$B$127,MATCH(J120,'Rate &amp; Vol Update'!$B$8:$B$127,1)+1)-INDEX('Rate &amp; Vol Update'!$B$8:$B$127,MATCH(J120,'Rate &amp; Vol Update'!$B$8:$B$127,1))))*(INDEX('Rate &amp; Vol Update'!$E$8:$Z$127,MATCH(INDEX('Rate &amp; Vol Update'!$B$8:$B$127,MATCH(J120,'Rate &amp; Vol Update'!$B$8:$B$127,1)),'Rate &amp; Vol Update'!$B$8:$B$127,0),MATCH(INDEX('Rate &amp; Vol Update'!$E$6:$Z$6,1,MATCH(O120,'Rate &amp; Vol Update'!$E$6:$Z$6,1)),'Rate &amp; Vol Update'!$E$6:$Z$6,0))*(INDEX('Rate &amp; Vol Update'!$E$6:$Z$6,1,MATCH(O120,'Rate &amp; Vol Update'!$E$6:$Z$6,1)+1)-O120)*(INDEX('Rate &amp; Vol Update'!$B$8:$B$127,MATCH(J120,'Rate &amp; Vol Update'!$B$8:$B$127,1)+1)-J120)+INDEX('Rate &amp; Vol Update'!$E$8:$Z$127,MATCH(INDEX('Rate &amp; Vol Update'!$B$8:$B$127,MATCH(J120,'Rate &amp; Vol Update'!$B$8:$B$127,1)),'Rate &amp; Vol Update'!$B$8:$B$127,0),MATCH(INDEX('Rate &amp; Vol Update'!$E$6:$Z$6,1,MATCH(O120,'Rate &amp; Vol Update'!$E$6:$Z$6,1)+1),'Rate &amp; Vol Update'!$E$6:$Z$6,0))*(O120-INDEX('Rate &amp; Vol Update'!$E$6:$Z$6,1,MATCH(O120,'Rate &amp; Vol Update'!$E$6:$Z$6,1)))*(INDEX('Rate &amp; Vol Update'!$B$8:$B$127,MATCH(J120,'Rate &amp; Vol Update'!$B$8:$B$127,1)+1)-J120)+INDEX('Rate &amp; Vol Update'!$E$8:$Z$127,MATCH(INDEX('Rate &amp; Vol Update'!$B$8:$B$127,MATCH(J120,'Rate &amp; Vol Update'!$B$8:$B$127,1)+1),'Rate &amp; Vol Update'!$B$8:$B$127,0),MATCH(INDEX('Rate &amp; Vol Update'!$E$6:$Z$6,1,MATCH(O120,'Rate &amp; Vol Update'!$E$6:$Z$6,1)),'Rate &amp; Vol Update'!$E$6:$Z$6,0))*(INDEX('Rate &amp; Vol Update'!$E$6:$Z$6,1,MATCH(O120,'Rate &amp; Vol Update'!$E$6:$Z$6,1)+1)-O120)*(J120-INDEX('Rate &amp; Vol Update'!$B$8:$B$127,MATCH(J120,'Rate &amp; Vol Update'!$B$8:$B$127,1)))+INDEX('Rate &amp; Vol Update'!$E$8:$Z$127,MATCH(INDEX('Rate &amp; Vol Update'!$B$8:$B$127,MATCH(J120,'Rate &amp; Vol Update'!$B$8:$B$127,1)+1),'Rate &amp; Vol Update'!$B$8:$B$127,0),MATCH(INDEX('Rate &amp; Vol Update'!$E$6:$Z$6,1,MATCH(O120,'Rate &amp; Vol Update'!$E$6:$Z$6,1)+1),'Rate &amp; Vol Update'!$E$6:$Z$6,0))*(O120-INDEX('Rate &amp; Vol Update'!$E$6:$Z$6,1,MATCH(O120,'Rate &amp; Vol Update'!$E$6:$Z$6,1)))*(J120-INDEX('Rate &amp; Vol Update'!$B$8:$B$127,MATCH(J120,'Rate &amp; Vol Update'!$B$8:$B$127,1)))))*0.01%))</f>
        <v/>
      </c>
      <c r="R120" s="5" t="str">
        <f>IF(I120="","",1/((1+P120)^((K120-'Rate &amp; Vol Update'!$C$2)/360)))</f>
        <v/>
      </c>
      <c r="T120" s="15" t="str">
        <f>IF(I120="","",IF(J120&lt;'Rate &amp; Vol Update'!$C$2,MAX(0,P120-O120)*(L120/360)*N120,(((IF('Adjustment Surface'!C$2='Data Validation'!$A$2,P120,IF('Adjustment Surface'!C$2='Data Validation'!$A$3,O120,"Unknown Option Type"))-IF('Adjustment Surface'!C$2='Data Validation'!$A$2,O120,IF('Adjustment Surface'!C$2='Data Validation'!$A$3,P120,"Unknown Option Type")))*(NORMDIST((IF('Adjustment Surface'!C$2='Data Validation'!$A$2,P120,IF('Adjustment Surface'!C$2='Data Validation'!$A$3,O120,"Unknown Option Type"))-IF('Adjustment Surface'!C$2='Data Validation'!$A$2,O120,IF('Adjustment Surface'!C$2='Data Validation'!$A$3,P120,"Unknown Option Type")))/(Q120*SQRT(M120)),0,1,TRUE)))+((Q120*SQRT(M120))*(NORMDIST((IF('Adjustment Surface'!C$2='Data Validation'!$A$2,P120,IF('Adjustment Surface'!C$2='Data Validation'!$A$3,O120,"Unknown Option Type"))-IF('Adjustment Surface'!C$2='Data Validation'!$A$2,O120,IF('Adjustment Surface'!C$2='Data Validation'!$A$3,P120,"Unknown Option Type")))/(Q120*SQRT(M120)),0,1,FALSE))))*R120*(L120/360)*N120))</f>
        <v/>
      </c>
      <c r="U120" s="15" t="str">
        <f>IF(I120="","",SUM(T$4:T120))</f>
        <v/>
      </c>
      <c r="W120" s="15" t="str">
        <f>IF(I120="","",IF(J120&lt;'Rate &amp; Vol Update'!$C$2,0,((((((IF('Adjustment Surface'!C$2='Data Validation'!$A$2,P120,IF('Adjustment Surface'!C$2='Data Validation'!$A$3,O120,"Unknown Option Type"))-IF('Adjustment Surface'!C$2='Data Validation'!$A$2,O120,IF('Adjustment Surface'!C$2='Data Validation'!$A$3,P120,"Unknown Option Type")))*(NORMDIST((IF('Adjustment Surface'!C$2='Data Validation'!$A$2,P120,IF('Adjustment Surface'!C$2='Data Validation'!$A$3,O120,"Unknown Option Type"))-IF('Adjustment Surface'!C$2='Data Validation'!$A$2,O120,IF('Adjustment Surface'!C$2='Data Validation'!$A$3,P120,"Unknown Option Type")))/((Q120+0.01%)*SQRT(M120)),0,1,TRUE)))+(((Q120+0.01%)*SQRT(M120))*(NORMDIST((IF('Adjustment Surface'!C$2='Data Validation'!$A$2,P120,IF('Adjustment Surface'!C$2='Data Validation'!$A$3,O120,"Unknown Option Type"))-IF('Adjustment Surface'!C$2='Data Validation'!$A$2,O120,IF('Adjustment Surface'!C$2='Data Validation'!$A$3,P120,"Unknown Option Type")))/((Q120+0.01%)*SQRT(M120)),0,1,FALSE))))*R120*(L120/360))-(T120/N120))*N120)*R120))</f>
        <v/>
      </c>
      <c r="X120" s="15" t="str">
        <f>IF(I120="","",SUM(W$4:W120))</f>
        <v/>
      </c>
      <c r="Y120" s="15"/>
      <c r="Z120" s="20"/>
      <c r="AB120" s="4" t="str">
        <f>IF(AC119=MAX('Adjustment Surface'!$C$14:$F$14),"",AC119)</f>
        <v/>
      </c>
      <c r="AC120" s="4" t="str">
        <f>IF(AB120="","",IF(AB120&lt;EDATE('Adjustment Surface'!$C$6,DATEDIF('Adjustment Surface'!$C$6,MAX('Adjustment Surface'!$C$14:$F$14),"M")),EDATE(AB$5,COUNT(AB$5:AB120)),IF(AB120=EDATE('Adjustment Surface'!$C$6,DATEDIF('Adjustment Surface'!$C$6,MAX('Adjustment Surface'!$C$14:$F$14),"M")),MAX('Adjustment Surface'!$C$14:$F$14),EDATE('Adjustment Surface'!$C$6,DATEDIF('Adjustment Surface'!$C$6,MAX('Adjustment Surface'!$C$14:$F$14),"M")))))</f>
        <v/>
      </c>
      <c r="AD120" s="3" t="str">
        <f t="shared" si="7"/>
        <v/>
      </c>
      <c r="AE120" s="5" t="str">
        <f>IF(AA120="","",(AC120-'Rate &amp; Vol Update'!$C$2)/360)</f>
        <v/>
      </c>
      <c r="AF120" s="15" t="str">
        <f>IF(AA120="","",IF('Adjustment Surface'!$C$3='Data Validation'!$C$2,'Adjustment Surface'!$C$4,_xlfn.IFNA(IF(INDEX(Schedules!$E$3:$E$123,MATCH('Bachelier Model'!AB120,Schedules!$B$3:$B$123,0))="",AF119,INDEX(Schedules!$E$3:$E$123,MATCH('Bachelier Model'!AB120,Schedules!$B$3:$B$123,0))),AF119)))</f>
        <v/>
      </c>
      <c r="AG120" s="16" t="str">
        <f>IF(AA120="","",'Adjustment Surface'!B$15)</f>
        <v/>
      </c>
      <c r="AH120" s="16" t="str" cm="1">
        <f t="array" ref="AH120">IF(AA120="","",FORECAST(AB120,INDEX('Rate &amp; Vol Update'!$C$6:$C$127,MATCH(INDEX('Rate &amp; Vol Update'!$B$6:$B$127,MATCH(AB120,'Rate &amp; Vol Update'!$B$6:$B$127,1)),'Rate &amp; Vol Update'!$B$6:$B$127,0)+IF('Adjustment Surface'!$C$11='Data Validation'!$E$3,-1,0)):INDEX('Rate &amp; Vol Update'!$C$6:$C$127,MATCH(INDEX('Rate &amp; Vol Update'!$B$6:$B$127,MATCH(AB120,'Rate &amp; Vol Update'!$B$6:$B$127,1)+1),'Rate &amp; Vol Update'!$B$6:$B$127,0)+IF('Adjustment Surface'!$C$11='Data Validation'!$E$3,-1,0)),INDEX('Rate &amp; Vol Update'!$B$6:$B$127,MATCH(AB120,'Rate &amp; Vol Update'!$B$6:$B$127,1)):INDEX('Rate &amp; Vol Update'!$B$6:$B$127,MATCH(AB120,'Rate &amp; Vol Update'!$B$6:$B$127,1)+1))/100)</f>
        <v/>
      </c>
      <c r="AI120" s="16" t="str" cm="1">
        <f t="array" ref="AI120">IF(AA120="","",IF(AB120&lt;'Rate &amp; Vol Update'!$C$2,0.001%,(1/((INDEX('Rate &amp; Vol Update'!$E$6:$Z$6,1,MATCH(AG120,'Rate &amp; Vol Update'!$E$6:$Z$6,1)+1)-INDEX('Rate &amp; Vol Update'!$E$6:$Z$6,1,MATCH(AG120,'Rate &amp; Vol Update'!$E$6:$Z$6,1)))*(INDEX('Rate &amp; Vol Update'!$B$8:$B$127,MATCH(AB120,'Rate &amp; Vol Update'!$B$8:$B$127,1)+1)-INDEX('Rate &amp; Vol Update'!$B$8:$B$127,MATCH(AB120,'Rate &amp; Vol Update'!$B$8:$B$127,1))))*(INDEX('Rate &amp; Vol Update'!$E$8:$Z$127,MATCH(INDEX('Rate &amp; Vol Update'!$B$8:$B$127,MATCH(AB120,'Rate &amp; Vol Update'!$B$8:$B$127,1)),'Rate &amp; Vol Update'!$B$8:$B$127,0),MATCH(INDEX('Rate &amp; Vol Update'!$E$6:$Z$6,1,MATCH(AG120,'Rate &amp; Vol Update'!$E$6:$Z$6,1)),'Rate &amp; Vol Update'!$E$6:$Z$6,0))*(INDEX('Rate &amp; Vol Update'!$E$6:$Z$6,1,MATCH(AG120,'Rate &amp; Vol Update'!$E$6:$Z$6,1)+1)-AG120)*(INDEX('Rate &amp; Vol Update'!$B$8:$B$127,MATCH(AB120,'Rate &amp; Vol Update'!$B$8:$B$127,1)+1)-AB120)+INDEX('Rate &amp; Vol Update'!$E$8:$Z$127,MATCH(INDEX('Rate &amp; Vol Update'!$B$8:$B$127,MATCH(AB120,'Rate &amp; Vol Update'!$B$8:$B$127,1)),'Rate &amp; Vol Update'!$B$8:$B$127,0),MATCH(INDEX('Rate &amp; Vol Update'!$E$6:$Z$6,1,MATCH(AG120,'Rate &amp; Vol Update'!$E$6:$Z$6,1)+1),'Rate &amp; Vol Update'!$E$6:$Z$6,0))*(AG120-INDEX('Rate &amp; Vol Update'!$E$6:$Z$6,1,MATCH(AG120,'Rate &amp; Vol Update'!$E$6:$Z$6,1)))*(INDEX('Rate &amp; Vol Update'!$B$8:$B$127,MATCH(AB120,'Rate &amp; Vol Update'!$B$8:$B$127,1)+1)-AB120)+INDEX('Rate &amp; Vol Update'!$E$8:$Z$127,MATCH(INDEX('Rate &amp; Vol Update'!$B$8:$B$127,MATCH(AB120,'Rate &amp; Vol Update'!$B$8:$B$127,1)+1),'Rate &amp; Vol Update'!$B$8:$B$127,0),MATCH(INDEX('Rate &amp; Vol Update'!$E$6:$Z$6,1,MATCH(AG120,'Rate &amp; Vol Update'!$E$6:$Z$6,1)),'Rate &amp; Vol Update'!$E$6:$Z$6,0))*(INDEX('Rate &amp; Vol Update'!$E$6:$Z$6,1,MATCH(AG120,'Rate &amp; Vol Update'!$E$6:$Z$6,1)+1)-AG120)*(AB120-INDEX('Rate &amp; Vol Update'!$B$8:$B$127,MATCH(AB120,'Rate &amp; Vol Update'!$B$8:$B$127,1)))+INDEX('Rate &amp; Vol Update'!$E$8:$Z$127,MATCH(INDEX('Rate &amp; Vol Update'!$B$8:$B$127,MATCH(AB120,'Rate &amp; Vol Update'!$B$8:$B$127,1)+1),'Rate &amp; Vol Update'!$B$8:$B$127,0),MATCH(INDEX('Rate &amp; Vol Update'!$E$6:$Z$6,1,MATCH(AG120,'Rate &amp; Vol Update'!$E$6:$Z$6,1)+1),'Rate &amp; Vol Update'!$E$6:$Z$6,0))*(AG120-INDEX('Rate &amp; Vol Update'!$E$6:$Z$6,1,MATCH(AG120,'Rate &amp; Vol Update'!$E$6:$Z$6,1)))*(AB120-INDEX('Rate &amp; Vol Update'!$B$8:$B$127,MATCH(AB120,'Rate &amp; Vol Update'!$B$8:$B$127,1)))))*0.01%))</f>
        <v/>
      </c>
      <c r="AJ120" s="5" t="str">
        <f>IF(AA120="","",1/((1+AH120)^((AC120-'Rate &amp; Vol Update'!$C$2)/360)))</f>
        <v/>
      </c>
      <c r="AL120" s="15" t="str">
        <f>IF(AA120="","",IF(AB120&lt;'Rate &amp; Vol Update'!$C$2,MAX(0,AH120-AG120)*(AD120/360)*AF120,(((IF('Adjustment Surface'!$C$2='Data Validation'!$A$2,AH120,IF('Adjustment Surface'!$C$2='Data Validation'!$A$3,AG120,"Unknown Option Type"))-IF('Adjustment Surface'!$C$2='Data Validation'!$A$2,AG120,IF('Adjustment Surface'!$C$2='Data Validation'!$A$3,AH120,"Unknown Option Type")))*(NORMDIST((IF('Adjustment Surface'!$C$2='Data Validation'!$A$2,AH120,IF('Adjustment Surface'!$C$2='Data Validation'!$A$3,AG120,"Unknown Option Type"))-IF('Adjustment Surface'!$C$2='Data Validation'!$A$2,AG120,IF('Adjustment Surface'!$C$2='Data Validation'!$A$3,AH120,"Unknown Option Type")))/(AI120*SQRT(AE120)),0,1,TRUE)))+((AI120*SQRT(AE120))*(NORMDIST((IF('Adjustment Surface'!$C$2='Data Validation'!$A$2,AH120,IF('Adjustment Surface'!$C$2='Data Validation'!$A$3,AG120,"Unknown Option Type"))-IF('Adjustment Surface'!$C$2='Data Validation'!$A$2,AG120,IF('Adjustment Surface'!$C$2='Data Validation'!$A$3,AH120,"Unknown Option Type")))/(AI120*SQRT(AE120)),0,1,FALSE))))*AJ120*(AD120/360)*AF120))</f>
        <v/>
      </c>
      <c r="AM120" s="15" t="str">
        <f>IF(AA120="","",SUM(AL$4:AL120))</f>
        <v/>
      </c>
      <c r="AO120" s="15" t="str">
        <f>IF(AA120="","",IF(AB120&lt;'Rate &amp; Vol Update'!$C$2,0,((((((IF('Adjustment Surface'!$C$2='Data Validation'!$A$2,AH120,IF('Adjustment Surface'!$C$2='Data Validation'!$A$3,AG120,"Unknown Option Type"))-IF('Adjustment Surface'!$C$2='Data Validation'!$A$2,AG120,IF('Adjustment Surface'!$C$2='Data Validation'!$A$3,AH120,"Unknown Option Type")))*(NORMDIST((IF('Adjustment Surface'!$C$2='Data Validation'!$A$2,AH120,IF('Adjustment Surface'!$C$2='Data Validation'!$A$3,AG120,"Unknown Option Type"))-IF('Adjustment Surface'!$C$2='Data Validation'!$A$2,AG120,IF('Adjustment Surface'!$C$2='Data Validation'!$A$3,AH120,"Unknown Option Type")))/((AI120+0.01%)*SQRT(AE120)),0,1,TRUE)))+(((AI120+0.01%)*SQRT(AE120))*(NORMDIST((IF('Adjustment Surface'!$C$2='Data Validation'!$A$2,AH120,IF('Adjustment Surface'!$C$2='Data Validation'!$A$3,AG120,"Unknown Option Type"))-IF('Adjustment Surface'!$C$2='Data Validation'!$A$2,AG120,IF('Adjustment Surface'!$C$2='Data Validation'!$A$3,AH120,"Unknown Option Type")))/((AI120+0.01%)*SQRT(AE120)),0,1,FALSE))))*AJ120*(AD120/360))-(AL120/AF120))*AF120)*AJ120))</f>
        <v/>
      </c>
      <c r="AP120" s="15" t="str">
        <f>IF(AA120="","",SUM(AO$4:AO120))</f>
        <v/>
      </c>
      <c r="AQ120" s="15"/>
      <c r="AR120" s="20"/>
      <c r="AT120" s="4" t="str">
        <f>IF(AU119=MAX('Adjustment Surface'!$C$14:$F$14),"",AU119)</f>
        <v/>
      </c>
      <c r="AU120" s="4" t="str">
        <f>IF(AT120="","",IF(AT120&lt;EDATE('Adjustment Surface'!$C$6,DATEDIF('Adjustment Surface'!$C$6,MAX('Adjustment Surface'!$C$14:$F$14),"M")),EDATE(AT$5,COUNT(AT$5:AT120)),IF(AT120=EDATE('Adjustment Surface'!$C$6,DATEDIF('Adjustment Surface'!$C$6,MAX('Adjustment Surface'!$C$14:$F$14),"M")),MAX('Adjustment Surface'!$C$14:$F$14),EDATE('Adjustment Surface'!$C$6,DATEDIF('Adjustment Surface'!$C$6,MAX('Adjustment Surface'!$C$14:$F$14),"M")))))</f>
        <v/>
      </c>
      <c r="AV120" s="3" t="str">
        <f t="shared" si="8"/>
        <v/>
      </c>
      <c r="AW120" s="5" t="str">
        <f>IF(AS120="","",(AU120-'Rate &amp; Vol Update'!$C$2)/360)</f>
        <v/>
      </c>
      <c r="AX120" s="15" t="str">
        <f>IF(AS120="","",IF('Adjustment Surface'!$C$3='Data Validation'!$C$2,'Adjustment Surface'!$C$4,_xlfn.IFNA(IF(INDEX(Schedules!$E$3:$E$123,MATCH('Bachelier Model'!AT120,Schedules!$B$3:$B$123,0))="",AX119,INDEX(Schedules!$E$3:$E$123,MATCH('Bachelier Model'!AT120,Schedules!$B$3:$B$123,0))),AX119)))</f>
        <v/>
      </c>
      <c r="AY120" s="16" t="str">
        <f>IF(AS120="","",'Adjustment Surface'!B$16)</f>
        <v/>
      </c>
      <c r="AZ120" s="16" t="str" cm="1">
        <f t="array" ref="AZ120">IF(AS120="","",FORECAST(AT120,INDEX('Rate &amp; Vol Update'!$C$6:$C$127,MATCH(INDEX('Rate &amp; Vol Update'!$B$6:$B$127,MATCH(AT120,'Rate &amp; Vol Update'!$B$6:$B$127,1)),'Rate &amp; Vol Update'!$B$6:$B$127,0)+IF('Adjustment Surface'!$C$11='Data Validation'!$E$3,-1,0)):INDEX('Rate &amp; Vol Update'!$C$6:$C$127,MATCH(INDEX('Rate &amp; Vol Update'!$B$6:$B$127,MATCH(AT120,'Rate &amp; Vol Update'!$B$6:$B$127,1)+1),'Rate &amp; Vol Update'!$B$6:$B$127,0)+IF('Adjustment Surface'!$C$11='Data Validation'!$E$3,-1,0)),INDEX('Rate &amp; Vol Update'!$B$6:$B$127,MATCH(AT120,'Rate &amp; Vol Update'!$B$6:$B$127,1)):INDEX('Rate &amp; Vol Update'!$B$6:$B$127,MATCH(AT120,'Rate &amp; Vol Update'!$B$6:$B$127,1)+1))/100)</f>
        <v/>
      </c>
      <c r="BA120" s="16" t="str" cm="1">
        <f t="array" ref="BA120">IF(AS120="","",IF(AT120&lt;'Rate &amp; Vol Update'!$C$2,0.001%,(1/((INDEX('Rate &amp; Vol Update'!$E$6:$Z$6,1,MATCH(AY120,'Rate &amp; Vol Update'!$E$6:$Z$6,1)+1)-INDEX('Rate &amp; Vol Update'!$E$6:$Z$6,1,MATCH(AY120,'Rate &amp; Vol Update'!$E$6:$Z$6,1)))*(INDEX('Rate &amp; Vol Update'!$B$8:$B$127,MATCH(AT120,'Rate &amp; Vol Update'!$B$8:$B$127,1)+1)-INDEX('Rate &amp; Vol Update'!$B$8:$B$127,MATCH(AT120,'Rate &amp; Vol Update'!$B$8:$B$127,1))))*(INDEX('Rate &amp; Vol Update'!$E$8:$Z$127,MATCH(INDEX('Rate &amp; Vol Update'!$B$8:$B$127,MATCH(AT120,'Rate &amp; Vol Update'!$B$8:$B$127,1)),'Rate &amp; Vol Update'!$B$8:$B$127,0),MATCH(INDEX('Rate &amp; Vol Update'!$E$6:$Z$6,1,MATCH(AY120,'Rate &amp; Vol Update'!$E$6:$Z$6,1)),'Rate &amp; Vol Update'!$E$6:$Z$6,0))*(INDEX('Rate &amp; Vol Update'!$E$6:$Z$6,1,MATCH(AY120,'Rate &amp; Vol Update'!$E$6:$Z$6,1)+1)-AY120)*(INDEX('Rate &amp; Vol Update'!$B$8:$B$127,MATCH(AT120,'Rate &amp; Vol Update'!$B$8:$B$127,1)+1)-AT120)+INDEX('Rate &amp; Vol Update'!$E$8:$Z$127,MATCH(INDEX('Rate &amp; Vol Update'!$B$8:$B$127,MATCH(AT120,'Rate &amp; Vol Update'!$B$8:$B$127,1)),'Rate &amp; Vol Update'!$B$8:$B$127,0),MATCH(INDEX('Rate &amp; Vol Update'!$E$6:$Z$6,1,MATCH(AY120,'Rate &amp; Vol Update'!$E$6:$Z$6,1)+1),'Rate &amp; Vol Update'!$E$6:$Z$6,0))*(AY120-INDEX('Rate &amp; Vol Update'!$E$6:$Z$6,1,MATCH(AY120,'Rate &amp; Vol Update'!$E$6:$Z$6,1)))*(INDEX('Rate &amp; Vol Update'!$B$8:$B$127,MATCH(AT120,'Rate &amp; Vol Update'!$B$8:$B$127,1)+1)-AT120)+INDEX('Rate &amp; Vol Update'!$E$8:$Z$127,MATCH(INDEX('Rate &amp; Vol Update'!$B$8:$B$127,MATCH(AT120,'Rate &amp; Vol Update'!$B$8:$B$127,1)+1),'Rate &amp; Vol Update'!$B$8:$B$127,0),MATCH(INDEX('Rate &amp; Vol Update'!$E$6:$Z$6,1,MATCH(AY120,'Rate &amp; Vol Update'!$E$6:$Z$6,1)),'Rate &amp; Vol Update'!$E$6:$Z$6,0))*(INDEX('Rate &amp; Vol Update'!$E$6:$Z$6,1,MATCH(AY120,'Rate &amp; Vol Update'!$E$6:$Z$6,1)+1)-AY120)*(AT120-INDEX('Rate &amp; Vol Update'!$B$8:$B$127,MATCH(AT120,'Rate &amp; Vol Update'!$B$8:$B$127,1)))+INDEX('Rate &amp; Vol Update'!$E$8:$Z$127,MATCH(INDEX('Rate &amp; Vol Update'!$B$8:$B$127,MATCH(AT120,'Rate &amp; Vol Update'!$B$8:$B$127,1)+1),'Rate &amp; Vol Update'!$B$8:$B$127,0),MATCH(INDEX('Rate &amp; Vol Update'!$E$6:$Z$6,1,MATCH(AY120,'Rate &amp; Vol Update'!$E$6:$Z$6,1)+1),'Rate &amp; Vol Update'!$E$6:$Z$6,0))*(AY120-INDEX('Rate &amp; Vol Update'!$E$6:$Z$6,1,MATCH(AY120,'Rate &amp; Vol Update'!$E$6:$Z$6,1)))*(AT120-INDEX('Rate &amp; Vol Update'!$B$8:$B$127,MATCH(AT120,'Rate &amp; Vol Update'!$B$8:$B$127,1)))))*0.01%))</f>
        <v/>
      </c>
      <c r="BB120" s="5" t="str">
        <f>IF(AS120="","",1/((1+AZ120)^((AU120-'Rate &amp; Vol Update'!$C$2)/360)))</f>
        <v/>
      </c>
      <c r="BD120" s="15" t="str">
        <f>IF(AS120="","",IF(AT120&lt;'Rate &amp; Vol Update'!$C$2,MAX(0,AZ120-AY120)*(AV120/360)*AX120,(((IF('Adjustment Surface'!$C$2='Data Validation'!$A$2,AZ120,IF('Adjustment Surface'!$C$2='Data Validation'!$A$3,AY120,"Unknown Option Type"))-IF('Adjustment Surface'!$C$2='Data Validation'!$A$2,AY120,IF('Adjustment Surface'!$C$2='Data Validation'!$A$3,AZ120,"Unknown Option Type")))*(NORMDIST((IF('Adjustment Surface'!$C$2='Data Validation'!$A$2,AZ120,IF('Adjustment Surface'!$C$2='Data Validation'!$A$3,AY120,"Unknown Option Type"))-IF('Adjustment Surface'!$C$2='Data Validation'!$A$2,AY120,IF('Adjustment Surface'!$C$2='Data Validation'!$A$3,AZ120,"Unknown Option Type")))/(BA120*SQRT(AW120)),0,1,TRUE)))+((BA120*SQRT(AW120))*(NORMDIST((IF('Adjustment Surface'!$C$2='Data Validation'!$A$2,AZ120,IF('Adjustment Surface'!$C$2='Data Validation'!$A$3,AY120,"Unknown Option Type"))-IF('Adjustment Surface'!$C$2='Data Validation'!$A$2,AY120,IF('Adjustment Surface'!$C$2='Data Validation'!$A$3,AZ120,"Unknown Option Type")))/(BA120*SQRT(AW120)),0,1,FALSE))))*BB120*(AV120/360)*AX120))</f>
        <v/>
      </c>
      <c r="BE120" s="15" t="str">
        <f>IF(AS120="","",SUM(BD$4:BD120))</f>
        <v/>
      </c>
      <c r="BG120" s="15" t="str">
        <f>IF(AS120="","",IF(AT120&lt;'Rate &amp; Vol Update'!$C$2,0,((((((IF('Adjustment Surface'!$C$2='Data Validation'!$A$2,AZ120,IF('Adjustment Surface'!$C$2='Data Validation'!$A$3,AY120,"Unknown Option Type"))-IF('Adjustment Surface'!$C$2='Data Validation'!$A$2,AY120,IF('Adjustment Surface'!$C$2='Data Validation'!$A$3,AZ120,"Unknown Option Type")))*(NORMDIST((IF('Adjustment Surface'!$C$2='Data Validation'!$A$2,AZ120,IF('Adjustment Surface'!$C$2='Data Validation'!$A$3,AY120,"Unknown Option Type"))-IF('Adjustment Surface'!$C$2='Data Validation'!$A$2,AY120,IF('Adjustment Surface'!$C$2='Data Validation'!$A$3,AZ120,"Unknown Option Type")))/((BA120+0.01%)*SQRT(AW120)),0,1,TRUE)))+(((BA120+0.01%)*SQRT(AW120))*(NORMDIST((IF('Adjustment Surface'!$C$2='Data Validation'!$A$2,AZ120,IF('Adjustment Surface'!$C$2='Data Validation'!$A$3,AY120,"Unknown Option Type"))-IF('Adjustment Surface'!$C$2='Data Validation'!$A$2,AY120,IF('Adjustment Surface'!$C$2='Data Validation'!$A$3,AZ120,"Unknown Option Type")))/((BA120+0.01%)*SQRT(AW120)),0,1,FALSE))))*BB120*(AV120/360))-(BD120/AX120))*AX120)*BB120))</f>
        <v/>
      </c>
      <c r="BH120" s="15" t="str">
        <f>IF(AS120="","",SUM(BG$4:BG120))</f>
        <v/>
      </c>
      <c r="BI120" s="15"/>
      <c r="BJ120" s="20"/>
      <c r="BL120" s="4" t="str">
        <f>IF(BM119=MAX('Adjustment Surface'!$C$14:$F$14),"",BM119)</f>
        <v/>
      </c>
      <c r="BM120" s="4" t="str">
        <f>IF(BL120="","",IF(BL120&lt;EDATE('Adjustment Surface'!$C$6,DATEDIF('Adjustment Surface'!$C$6,MAX('Adjustment Surface'!$C$14:$F$14),"M")),EDATE(BL$5,COUNT(BL$5:BL120)),IF(BL120=EDATE('Adjustment Surface'!$C$6,DATEDIF('Adjustment Surface'!$C$6,MAX('Adjustment Surface'!$C$14:$F$14),"M")),MAX('Adjustment Surface'!$C$14:$F$14),EDATE('Adjustment Surface'!$C$6,DATEDIF('Adjustment Surface'!$C$6,MAX('Adjustment Surface'!$C$14:$F$14),"M")))))</f>
        <v/>
      </c>
      <c r="BN120" s="3" t="str">
        <f t="shared" si="9"/>
        <v/>
      </c>
      <c r="BO120" s="5" t="str">
        <f>IF(BK120="","",(BM120-'Rate &amp; Vol Update'!$C$2)/360)</f>
        <v/>
      </c>
      <c r="BP120" s="15" t="str">
        <f>IF(BK120="","",IF('Adjustment Surface'!$C$3='Data Validation'!$C$2,'Adjustment Surface'!$C$4,_xlfn.IFNA(IF(INDEX(Schedules!$E$3:$E$123,MATCH('Bachelier Model'!BL120,Schedules!$B$3:$B$123,0))="",BP119,INDEX(Schedules!$E$3:$E$123,MATCH('Bachelier Model'!BL120,Schedules!$B$3:$B$123,0))),BP119)))</f>
        <v/>
      </c>
      <c r="BQ120" s="16" t="str">
        <f>IF(BK120="","",'Adjustment Surface'!B$17)</f>
        <v/>
      </c>
      <c r="BR120" s="16" t="str" cm="1">
        <f t="array" ref="BR120">IF(BK120="","",FORECAST(BL120,INDEX('Rate &amp; Vol Update'!$C$6:$C$127,MATCH(INDEX('Rate &amp; Vol Update'!$B$6:$B$127,MATCH(BL120,'Rate &amp; Vol Update'!$B$6:$B$127,1)),'Rate &amp; Vol Update'!$B$6:$B$127,0)+IF('Adjustment Surface'!$C$11='Data Validation'!$E$3,-1,0)):INDEX('Rate &amp; Vol Update'!$C$6:$C$127,MATCH(INDEX('Rate &amp; Vol Update'!$B$6:$B$127,MATCH(BL120,'Rate &amp; Vol Update'!$B$6:$B$127,1)+1),'Rate &amp; Vol Update'!$B$6:$B$127,0)+IF('Adjustment Surface'!$C$11='Data Validation'!$E$3,-1,0)),INDEX('Rate &amp; Vol Update'!$B$6:$B$127,MATCH(BL120,'Rate &amp; Vol Update'!$B$6:$B$127,1)):INDEX('Rate &amp; Vol Update'!$B$6:$B$127,MATCH(BL120,'Rate &amp; Vol Update'!$B$6:$B$127,1)+1))/100)</f>
        <v/>
      </c>
      <c r="BS120" s="16" t="str" cm="1">
        <f t="array" ref="BS120">IF(BK120="","",IF(BL120&lt;'Rate &amp; Vol Update'!$C$2,0.001%,(1/((INDEX('Rate &amp; Vol Update'!$E$6:$Z$6,1,MATCH(BQ120,'Rate &amp; Vol Update'!$E$6:$Z$6,1)+1)-INDEX('Rate &amp; Vol Update'!$E$6:$Z$6,1,MATCH(BQ120,'Rate &amp; Vol Update'!$E$6:$Z$6,1)))*(INDEX('Rate &amp; Vol Update'!$B$8:$B$127,MATCH(BL120,'Rate &amp; Vol Update'!$B$8:$B$127,1)+1)-INDEX('Rate &amp; Vol Update'!$B$8:$B$127,MATCH(BL120,'Rate &amp; Vol Update'!$B$8:$B$127,1))))*(INDEX('Rate &amp; Vol Update'!$E$8:$Z$127,MATCH(INDEX('Rate &amp; Vol Update'!$B$8:$B$127,MATCH(BL120,'Rate &amp; Vol Update'!$B$8:$B$127,1)),'Rate &amp; Vol Update'!$B$8:$B$127,0),MATCH(INDEX('Rate &amp; Vol Update'!$E$6:$Z$6,1,MATCH(BQ120,'Rate &amp; Vol Update'!$E$6:$Z$6,1)),'Rate &amp; Vol Update'!$E$6:$Z$6,0))*(INDEX('Rate &amp; Vol Update'!$E$6:$Z$6,1,MATCH(BQ120,'Rate &amp; Vol Update'!$E$6:$Z$6,1)+1)-BQ120)*(INDEX('Rate &amp; Vol Update'!$B$8:$B$127,MATCH(BL120,'Rate &amp; Vol Update'!$B$8:$B$127,1)+1)-BL120)+INDEX('Rate &amp; Vol Update'!$E$8:$Z$127,MATCH(INDEX('Rate &amp; Vol Update'!$B$8:$B$127,MATCH(BL120,'Rate &amp; Vol Update'!$B$8:$B$127,1)),'Rate &amp; Vol Update'!$B$8:$B$127,0),MATCH(INDEX('Rate &amp; Vol Update'!$E$6:$Z$6,1,MATCH(BQ120,'Rate &amp; Vol Update'!$E$6:$Z$6,1)+1),'Rate &amp; Vol Update'!$E$6:$Z$6,0))*(BQ120-INDEX('Rate &amp; Vol Update'!$E$6:$Z$6,1,MATCH(BQ120,'Rate &amp; Vol Update'!$E$6:$Z$6,1)))*(INDEX('Rate &amp; Vol Update'!$B$8:$B$127,MATCH(BL120,'Rate &amp; Vol Update'!$B$8:$B$127,1)+1)-BL120)+INDEX('Rate &amp; Vol Update'!$E$8:$Z$127,MATCH(INDEX('Rate &amp; Vol Update'!$B$8:$B$127,MATCH(BL120,'Rate &amp; Vol Update'!$B$8:$B$127,1)+1),'Rate &amp; Vol Update'!$B$8:$B$127,0),MATCH(INDEX('Rate &amp; Vol Update'!$E$6:$Z$6,1,MATCH(BQ120,'Rate &amp; Vol Update'!$E$6:$Z$6,1)),'Rate &amp; Vol Update'!$E$6:$Z$6,0))*(INDEX('Rate &amp; Vol Update'!$E$6:$Z$6,1,MATCH(BQ120,'Rate &amp; Vol Update'!$E$6:$Z$6,1)+1)-BQ120)*(BL120-INDEX('Rate &amp; Vol Update'!$B$8:$B$127,MATCH(BL120,'Rate &amp; Vol Update'!$B$8:$B$127,1)))+INDEX('Rate &amp; Vol Update'!$E$8:$Z$127,MATCH(INDEX('Rate &amp; Vol Update'!$B$8:$B$127,MATCH(BL120,'Rate &amp; Vol Update'!$B$8:$B$127,1)+1),'Rate &amp; Vol Update'!$B$8:$B$127,0),MATCH(INDEX('Rate &amp; Vol Update'!$E$6:$Z$6,1,MATCH(BQ120,'Rate &amp; Vol Update'!$E$6:$Z$6,1)+1),'Rate &amp; Vol Update'!$E$6:$Z$6,0))*(BQ120-INDEX('Rate &amp; Vol Update'!$E$6:$Z$6,1,MATCH(BQ120,'Rate &amp; Vol Update'!$E$6:$Z$6,1)))*(BL120-INDEX('Rate &amp; Vol Update'!$B$8:$B$127,MATCH(BL120,'Rate &amp; Vol Update'!$B$8:$B$127,1)))))*0.01%))</f>
        <v/>
      </c>
      <c r="BT120" s="5" t="str">
        <f>IF(BK120="","",1/((1+BR120)^((BM120-'Rate &amp; Vol Update'!$C$2)/360)))</f>
        <v/>
      </c>
      <c r="BV120" s="15" t="str">
        <f>IF(BK120="","",IF(BL120&lt;'Rate &amp; Vol Update'!$C$2,MAX(0,BR120-BQ120)*(BN120/360)*BP120,(((IF('Adjustment Surface'!$C$2='Data Validation'!$A$2,BR120,IF('Adjustment Surface'!$C$2='Data Validation'!$A$3,BQ120,"Unknown Option Type"))-IF('Adjustment Surface'!$C$2='Data Validation'!$A$2,BQ120,IF('Adjustment Surface'!$C$2='Data Validation'!$A$3,BR120,"Unknown Option Type")))*(NORMDIST((IF('Adjustment Surface'!$C$2='Data Validation'!$A$2,BR120,IF('Adjustment Surface'!$C$2='Data Validation'!$A$3,BQ120,"Unknown Option Type"))-IF('Adjustment Surface'!$C$2='Data Validation'!$A$2,BQ120,IF('Adjustment Surface'!$C$2='Data Validation'!$A$3,BR120,"Unknown Option Type")))/(BS120*SQRT(BO120)),0,1,TRUE)))+((BS120*SQRT(BO120))*(NORMDIST((IF('Adjustment Surface'!$C$2='Data Validation'!$A$2,BR120,IF('Adjustment Surface'!$C$2='Data Validation'!$A$3,BQ120,"Unknown Option Type"))-IF('Adjustment Surface'!$C$2='Data Validation'!$A$2,BQ120,IF('Adjustment Surface'!$C$2='Data Validation'!$A$3,BR120,"Unknown Option Type")))/(BS120*SQRT(BO120)),0,1,FALSE))))*BT120*(BN120/360)*BP120))</f>
        <v/>
      </c>
      <c r="BW120" s="15" t="str">
        <f>IF(BK120="","",SUM(BV$4:BV120))</f>
        <v/>
      </c>
      <c r="BY120" s="15" t="str">
        <f>IF(BK120="","",IF(BL120&lt;'Rate &amp; Vol Update'!$C$2,0,((((((IF('Adjustment Surface'!$C$2='Data Validation'!$A$2,BR120,IF('Adjustment Surface'!$C$2='Data Validation'!$A$3,BQ120,"Unknown Option Type"))-IF('Adjustment Surface'!$C$2='Data Validation'!$A$2,BQ120,IF('Adjustment Surface'!$C$2='Data Validation'!$A$3,BR120,"Unknown Option Type")))*(NORMDIST((IF('Adjustment Surface'!$C$2='Data Validation'!$A$2,BR120,IF('Adjustment Surface'!$C$2='Data Validation'!$A$3,BQ120,"Unknown Option Type"))-IF('Adjustment Surface'!$C$2='Data Validation'!$A$2,BQ120,IF('Adjustment Surface'!$C$2='Data Validation'!$A$3,BR120,"Unknown Option Type")))/((BS120+0.01%)*SQRT(BO120)),0,1,TRUE)))+(((BS120+0.01%)*SQRT(BO120))*(NORMDIST((IF('Adjustment Surface'!$C$2='Data Validation'!$A$2,BR120,IF('Adjustment Surface'!$C$2='Data Validation'!$A$3,BQ120,"Unknown Option Type"))-IF('Adjustment Surface'!$C$2='Data Validation'!$A$2,BQ120,IF('Adjustment Surface'!$C$2='Data Validation'!$A$3,BR120,"Unknown Option Type")))/((BS120+0.01%)*SQRT(BO120)),0,1,FALSE))))*BT120*(BN120/360))-(BV120/BP120))*BP120)*BT120))</f>
        <v/>
      </c>
      <c r="BZ120" s="15" t="str">
        <f>IF(BK120="","",SUM(BY$4:BY120))</f>
        <v/>
      </c>
      <c r="CA120" s="15"/>
      <c r="CB120" s="20"/>
      <c r="CD120" s="4" t="str">
        <f>IF(CE119=MAX('Adjustment Surface'!$C$14:$F$14),"",CE119)</f>
        <v/>
      </c>
      <c r="CE120" s="4" t="str">
        <f>IF(CD120="","",IF(CD120&lt;EDATE('Adjustment Surface'!$C$6,DATEDIF('Adjustment Surface'!$C$6,MAX('Adjustment Surface'!$C$14:$F$14),"M")),EDATE(CD$5,COUNT(CD$5:CD120)),IF(CD120=EDATE('Adjustment Surface'!$C$6,DATEDIF('Adjustment Surface'!$C$6,MAX('Adjustment Surface'!$C$14:$F$14),"M")),MAX('Adjustment Surface'!$C$14:$F$14),EDATE('Adjustment Surface'!$C$6,DATEDIF('Adjustment Surface'!$C$6,MAX('Adjustment Surface'!$C$14:$F$14),"M")))))</f>
        <v/>
      </c>
      <c r="CF120" s="3" t="str">
        <f t="shared" si="10"/>
        <v/>
      </c>
      <c r="CG120" s="5" t="str">
        <f>IF(CC120="","",(CE120-'Rate &amp; Vol Update'!$C$2)/360)</f>
        <v/>
      </c>
      <c r="CH120" s="15" t="str">
        <f>IF(CC120="","",IF('Adjustment Surface'!$C$3='Data Validation'!$C$2,'Adjustment Surface'!$C$4,_xlfn.IFNA(IF(INDEX(Schedules!$E$3:$E$123,MATCH('Bachelier Model'!CD120,Schedules!$B$3:$B$123,0))="",CH119,INDEX(Schedules!$E$3:$E$123,MATCH('Bachelier Model'!CD120,Schedules!$B$3:$B$123,0))),CH119)))</f>
        <v/>
      </c>
      <c r="CI120" s="16" t="str">
        <f>IF(CC120="","",'Adjustment Surface'!B$18)</f>
        <v/>
      </c>
      <c r="CJ120" s="16" t="str" cm="1">
        <f t="array" ref="CJ120">IF(CC120="","",FORECAST(CD120,INDEX('Rate &amp; Vol Update'!$C$6:$C$127,MATCH(INDEX('Rate &amp; Vol Update'!$B$6:$B$127,MATCH(CD120,'Rate &amp; Vol Update'!$B$6:$B$127,1)),'Rate &amp; Vol Update'!$B$6:$B$127,0)+IF('Adjustment Surface'!$C$11='Data Validation'!$E$3,-1,0)):INDEX('Rate &amp; Vol Update'!$C$6:$C$127,MATCH(INDEX('Rate &amp; Vol Update'!$B$6:$B$127,MATCH(CD120,'Rate &amp; Vol Update'!$B$6:$B$127,1)+1),'Rate &amp; Vol Update'!$B$6:$B$127,0)+IF('Adjustment Surface'!$C$11='Data Validation'!$E$3,-1,0)),INDEX('Rate &amp; Vol Update'!$B$6:$B$127,MATCH(CD120,'Rate &amp; Vol Update'!$B$6:$B$127,1)):INDEX('Rate &amp; Vol Update'!$B$6:$B$127,MATCH(CD120,'Rate &amp; Vol Update'!$B$6:$B$127,1)+1))/100)</f>
        <v/>
      </c>
      <c r="CK120" s="16" t="str" cm="1">
        <f t="array" ref="CK120">IF(CC120="","",IF(CD120&lt;'Rate &amp; Vol Update'!$C$2,0.001%,(1/((INDEX('Rate &amp; Vol Update'!$E$6:$Z$6,1,MATCH(CI120,'Rate &amp; Vol Update'!$E$6:$Z$6,1)+1)-INDEX('Rate &amp; Vol Update'!$E$6:$Z$6,1,MATCH(CI120,'Rate &amp; Vol Update'!$E$6:$Z$6,1)))*(INDEX('Rate &amp; Vol Update'!$B$8:$B$127,MATCH(CD120,'Rate &amp; Vol Update'!$B$8:$B$127,1)+1)-INDEX('Rate &amp; Vol Update'!$B$8:$B$127,MATCH(CD120,'Rate &amp; Vol Update'!$B$8:$B$127,1))))*(INDEX('Rate &amp; Vol Update'!$E$8:$Z$127,MATCH(INDEX('Rate &amp; Vol Update'!$B$8:$B$127,MATCH(CD120,'Rate &amp; Vol Update'!$B$8:$B$127,1)),'Rate &amp; Vol Update'!$B$8:$B$127,0),MATCH(INDEX('Rate &amp; Vol Update'!$E$6:$Z$6,1,MATCH(CI120,'Rate &amp; Vol Update'!$E$6:$Z$6,1)),'Rate &amp; Vol Update'!$E$6:$Z$6,0))*(INDEX('Rate &amp; Vol Update'!$E$6:$Z$6,1,MATCH(CI120,'Rate &amp; Vol Update'!$E$6:$Z$6,1)+1)-CI120)*(INDEX('Rate &amp; Vol Update'!$B$8:$B$127,MATCH(CD120,'Rate &amp; Vol Update'!$B$8:$B$127,1)+1)-CD120)+INDEX('Rate &amp; Vol Update'!$E$8:$Z$127,MATCH(INDEX('Rate &amp; Vol Update'!$B$8:$B$127,MATCH(CD120,'Rate &amp; Vol Update'!$B$8:$B$127,1)),'Rate &amp; Vol Update'!$B$8:$B$127,0),MATCH(INDEX('Rate &amp; Vol Update'!$E$6:$Z$6,1,MATCH(CI120,'Rate &amp; Vol Update'!$E$6:$Z$6,1)+1),'Rate &amp; Vol Update'!$E$6:$Z$6,0))*(CI120-INDEX('Rate &amp; Vol Update'!$E$6:$Z$6,1,MATCH(CI120,'Rate &amp; Vol Update'!$E$6:$Z$6,1)))*(INDEX('Rate &amp; Vol Update'!$B$8:$B$127,MATCH(CD120,'Rate &amp; Vol Update'!$B$8:$B$127,1)+1)-CD120)+INDEX('Rate &amp; Vol Update'!$E$8:$Z$127,MATCH(INDEX('Rate &amp; Vol Update'!$B$8:$B$127,MATCH(CD120,'Rate &amp; Vol Update'!$B$8:$B$127,1)+1),'Rate &amp; Vol Update'!$B$8:$B$127,0),MATCH(INDEX('Rate &amp; Vol Update'!$E$6:$Z$6,1,MATCH(CI120,'Rate &amp; Vol Update'!$E$6:$Z$6,1)),'Rate &amp; Vol Update'!$E$6:$Z$6,0))*(INDEX('Rate &amp; Vol Update'!$E$6:$Z$6,1,MATCH(CI120,'Rate &amp; Vol Update'!$E$6:$Z$6,1)+1)-CI120)*(CD120-INDEX('Rate &amp; Vol Update'!$B$8:$B$127,MATCH(CD120,'Rate &amp; Vol Update'!$B$8:$B$127,1)))+INDEX('Rate &amp; Vol Update'!$E$8:$Z$127,MATCH(INDEX('Rate &amp; Vol Update'!$B$8:$B$127,MATCH(CD120,'Rate &amp; Vol Update'!$B$8:$B$127,1)+1),'Rate &amp; Vol Update'!$B$8:$B$127,0),MATCH(INDEX('Rate &amp; Vol Update'!$E$6:$Z$6,1,MATCH(CI120,'Rate &amp; Vol Update'!$E$6:$Z$6,1)+1),'Rate &amp; Vol Update'!$E$6:$Z$6,0))*(CI120-INDEX('Rate &amp; Vol Update'!$E$6:$Z$6,1,MATCH(CI120,'Rate &amp; Vol Update'!$E$6:$Z$6,1)))*(CD120-INDEX('Rate &amp; Vol Update'!$B$8:$B$127,MATCH(CD120,'Rate &amp; Vol Update'!$B$8:$B$127,1)))))*0.01%))</f>
        <v/>
      </c>
      <c r="CL120" s="5" t="str">
        <f>IF(CC120="","",1/((1+CJ120)^((CE120-'Rate &amp; Vol Update'!$C$2)/360)))</f>
        <v/>
      </c>
      <c r="CN120" s="15" t="str">
        <f>IF(CC120="","",IF(CD120&lt;'Rate &amp; Vol Update'!$C$2,MAX(0,CJ120-CI120)*(CF120/360)*CH120,(((IF('Adjustment Surface'!$C$2='Data Validation'!$A$2,CJ120,IF('Adjustment Surface'!$C$2='Data Validation'!$A$3,CI120,"Unknown Option Type"))-IF('Adjustment Surface'!$C$2='Data Validation'!$A$2,CI120,IF('Adjustment Surface'!$C$2='Data Validation'!$A$3,CJ120,"Unknown Option Type")))*(NORMDIST((IF('Adjustment Surface'!$C$2='Data Validation'!$A$2,CJ120,IF('Adjustment Surface'!$C$2='Data Validation'!$A$3,CI120,"Unknown Option Type"))-IF('Adjustment Surface'!$C$2='Data Validation'!$A$2,CI120,IF('Adjustment Surface'!$C$2='Data Validation'!$A$3,CJ120,"Unknown Option Type")))/(CK120*SQRT(CG120)),0,1,TRUE)))+((CK120*SQRT(CG120))*(NORMDIST((IF('Adjustment Surface'!$C$2='Data Validation'!$A$2,CJ120,IF('Adjustment Surface'!$C$2='Data Validation'!$A$3,CI120,"Unknown Option Type"))-IF('Adjustment Surface'!$C$2='Data Validation'!$A$2,CI120,IF('Adjustment Surface'!$C$2='Data Validation'!$A$3,CJ120,"Unknown Option Type")))/(CK120*SQRT(CG120)),0,1,FALSE))))*CL120*(CF120/360)*CH120))</f>
        <v/>
      </c>
      <c r="CO120" s="15" t="str">
        <f>IF(CC120="","",SUM(CN$4:CN120))</f>
        <v/>
      </c>
      <c r="CQ120" s="15" t="str">
        <f>IF(CC120="","",IF(CD120&lt;'Rate &amp; Vol Update'!$C$2,0,((((((IF('Adjustment Surface'!$C$2='Data Validation'!$A$2,CJ120,IF('Adjustment Surface'!$C$2='Data Validation'!$A$3,CI120,"Unknown Option Type"))-IF('Adjustment Surface'!$C$2='Data Validation'!$A$2,CI120,IF('Adjustment Surface'!$C$2='Data Validation'!$A$3,CJ120,"Unknown Option Type")))*(NORMDIST((IF('Adjustment Surface'!$C$2='Data Validation'!$A$2,CJ120,IF('Adjustment Surface'!$C$2='Data Validation'!$A$3,CI120,"Unknown Option Type"))-IF('Adjustment Surface'!$C$2='Data Validation'!$A$2,CI120,IF('Adjustment Surface'!$C$2='Data Validation'!$A$3,CJ120,"Unknown Option Type")))/((CK120+0.01%)*SQRT(CG120)),0,1,TRUE)))+(((CK120+0.01%)*SQRT(CG120))*(NORMDIST((IF('Adjustment Surface'!$C$2='Data Validation'!$A$2,CJ120,IF('Adjustment Surface'!$C$2='Data Validation'!$A$3,CI120,"Unknown Option Type"))-IF('Adjustment Surface'!$C$2='Data Validation'!$A$2,CI120,IF('Adjustment Surface'!$C$2='Data Validation'!$A$3,CJ120,"Unknown Option Type")))/((CK120+0.01%)*SQRT(CG120)),0,1,FALSE))))*CL120*(CF120/360))-(CN120/CH120))*CH120)*CL120))</f>
        <v/>
      </c>
      <c r="CR120" s="15" t="str">
        <f>IF(CC120="","",SUM(CQ$4:CQ120))</f>
        <v/>
      </c>
    </row>
    <row r="121" spans="7:96" x14ac:dyDescent="0.25">
      <c r="G121" s="28"/>
      <c r="J121" s="4" t="str">
        <f>IF(K120='Adjustment Surface'!C$8,"",K120)</f>
        <v/>
      </c>
      <c r="K121" s="4" t="str">
        <f>IF(J121="","",IF(J121&lt;'Adjustment Surface'!C$7,EDATE(J$5,COUNT(J$5:J121)),IF(J121='Adjustment Surface'!C$7,'Adjustment Surface'!C$8,'Adjustment Surface'!C$7)))</f>
        <v/>
      </c>
      <c r="L121" s="3" t="str">
        <f t="shared" si="6"/>
        <v/>
      </c>
      <c r="M121" s="5" t="str">
        <f>IF(I121="","",(K121-'Rate &amp; Vol Update'!$C$2)/360)</f>
        <v/>
      </c>
      <c r="N121" s="15" t="str">
        <f>IF(I121="","",IF('Adjustment Surface'!C$3='Data Validation'!$C$2,'Adjustment Surface'!C$4,IF(INDEX(Schedules!$E$3:$E$123,MATCH('Bachelier Model'!J121,Schedules!$B$3:$B$123,0))="",N120,INDEX(Schedules!$E$3:$E$123,MATCH('Bachelier Model'!J121,Schedules!$B$3:$B$123,0)))))</f>
        <v/>
      </c>
      <c r="O121" s="16" t="str">
        <f>IF(I121="","",IF('Adjustment Surface'!C$9='Data Validation'!$D$2,'Adjustment Surface'!C$10,IF(INDEX(Schedules!$H$3:$H$123,MATCH('Bachelier Model'!J121,Schedules!$B$3:$B$123,0))="",O120,INDEX(Schedules!$H$3:$H$123,MATCH('Bachelier Model'!J121,Schedules!$B$3:$B$123,0)))))</f>
        <v/>
      </c>
      <c r="P121" s="16" t="str" cm="1">
        <f t="array" ref="P121">IF(I121="","",FORECAST(J121,INDEX('Rate &amp; Vol Update'!$C$6:$C$127,MATCH(INDEX('Rate &amp; Vol Update'!$B$6:$B$127,MATCH(J121,'Rate &amp; Vol Update'!$B$6:$B$127,1)),'Rate &amp; Vol Update'!$B$6:$B$127,0)+IF('Adjustment Surface'!C$11='Data Validation'!$E$3,-1,0)):INDEX('Rate &amp; Vol Update'!$C$6:$C$127,MATCH(INDEX('Rate &amp; Vol Update'!$B$6:$B$127,MATCH(J121,'Rate &amp; Vol Update'!$B$6:$B$127,1)+1),'Rate &amp; Vol Update'!$B$6:$B$127,0)+IF('Adjustment Surface'!C$11='Data Validation'!$E$3,-1,0)),INDEX('Rate &amp; Vol Update'!$B$6:$B$127,MATCH(J121,'Rate &amp; Vol Update'!$B$6:$B$127,1)):INDEX('Rate &amp; Vol Update'!$B$6:$B$127,MATCH(J121,'Rate &amp; Vol Update'!$B$6:$B$127,1)+1))/100)</f>
        <v/>
      </c>
      <c r="Q121" s="16" t="str" cm="1">
        <f t="array" ref="Q121">IF(I121="","",IF(J121&lt;'Rate &amp; Vol Update'!$C$2,0.001%,(1/((INDEX('Rate &amp; Vol Update'!$E$6:$Z$6,1,MATCH(O121,'Rate &amp; Vol Update'!$E$6:$Z$6,1)+1)-INDEX('Rate &amp; Vol Update'!$E$6:$Z$6,1,MATCH(O121,'Rate &amp; Vol Update'!$E$6:$Z$6,1)))*(INDEX('Rate &amp; Vol Update'!$B$8:$B$127,MATCH(J121,'Rate &amp; Vol Update'!$B$8:$B$127,1)+1)-INDEX('Rate &amp; Vol Update'!$B$8:$B$127,MATCH(J121,'Rate &amp; Vol Update'!$B$8:$B$127,1))))*(INDEX('Rate &amp; Vol Update'!$E$8:$Z$127,MATCH(INDEX('Rate &amp; Vol Update'!$B$8:$B$127,MATCH(J121,'Rate &amp; Vol Update'!$B$8:$B$127,1)),'Rate &amp; Vol Update'!$B$8:$B$127,0),MATCH(INDEX('Rate &amp; Vol Update'!$E$6:$Z$6,1,MATCH(O121,'Rate &amp; Vol Update'!$E$6:$Z$6,1)),'Rate &amp; Vol Update'!$E$6:$Z$6,0))*(INDEX('Rate &amp; Vol Update'!$E$6:$Z$6,1,MATCH(O121,'Rate &amp; Vol Update'!$E$6:$Z$6,1)+1)-O121)*(INDEX('Rate &amp; Vol Update'!$B$8:$B$127,MATCH(J121,'Rate &amp; Vol Update'!$B$8:$B$127,1)+1)-J121)+INDEX('Rate &amp; Vol Update'!$E$8:$Z$127,MATCH(INDEX('Rate &amp; Vol Update'!$B$8:$B$127,MATCH(J121,'Rate &amp; Vol Update'!$B$8:$B$127,1)),'Rate &amp; Vol Update'!$B$8:$B$127,0),MATCH(INDEX('Rate &amp; Vol Update'!$E$6:$Z$6,1,MATCH(O121,'Rate &amp; Vol Update'!$E$6:$Z$6,1)+1),'Rate &amp; Vol Update'!$E$6:$Z$6,0))*(O121-INDEX('Rate &amp; Vol Update'!$E$6:$Z$6,1,MATCH(O121,'Rate &amp; Vol Update'!$E$6:$Z$6,1)))*(INDEX('Rate &amp; Vol Update'!$B$8:$B$127,MATCH(J121,'Rate &amp; Vol Update'!$B$8:$B$127,1)+1)-J121)+INDEX('Rate &amp; Vol Update'!$E$8:$Z$127,MATCH(INDEX('Rate &amp; Vol Update'!$B$8:$B$127,MATCH(J121,'Rate &amp; Vol Update'!$B$8:$B$127,1)+1),'Rate &amp; Vol Update'!$B$8:$B$127,0),MATCH(INDEX('Rate &amp; Vol Update'!$E$6:$Z$6,1,MATCH(O121,'Rate &amp; Vol Update'!$E$6:$Z$6,1)),'Rate &amp; Vol Update'!$E$6:$Z$6,0))*(INDEX('Rate &amp; Vol Update'!$E$6:$Z$6,1,MATCH(O121,'Rate &amp; Vol Update'!$E$6:$Z$6,1)+1)-O121)*(J121-INDEX('Rate &amp; Vol Update'!$B$8:$B$127,MATCH(J121,'Rate &amp; Vol Update'!$B$8:$B$127,1)))+INDEX('Rate &amp; Vol Update'!$E$8:$Z$127,MATCH(INDEX('Rate &amp; Vol Update'!$B$8:$B$127,MATCH(J121,'Rate &amp; Vol Update'!$B$8:$B$127,1)+1),'Rate &amp; Vol Update'!$B$8:$B$127,0),MATCH(INDEX('Rate &amp; Vol Update'!$E$6:$Z$6,1,MATCH(O121,'Rate &amp; Vol Update'!$E$6:$Z$6,1)+1),'Rate &amp; Vol Update'!$E$6:$Z$6,0))*(O121-INDEX('Rate &amp; Vol Update'!$E$6:$Z$6,1,MATCH(O121,'Rate &amp; Vol Update'!$E$6:$Z$6,1)))*(J121-INDEX('Rate &amp; Vol Update'!$B$8:$B$127,MATCH(J121,'Rate &amp; Vol Update'!$B$8:$B$127,1)))))*0.01%))</f>
        <v/>
      </c>
      <c r="R121" s="5" t="str">
        <f>IF(I121="","",1/((1+P121)^((K121-'Rate &amp; Vol Update'!$C$2)/360)))</f>
        <v/>
      </c>
      <c r="T121" s="15" t="str">
        <f>IF(I121="","",IF(J121&lt;'Rate &amp; Vol Update'!$C$2,MAX(0,P121-O121)*(L121/360)*N121,(((IF('Adjustment Surface'!C$2='Data Validation'!$A$2,P121,IF('Adjustment Surface'!C$2='Data Validation'!$A$3,O121,"Unknown Option Type"))-IF('Adjustment Surface'!C$2='Data Validation'!$A$2,O121,IF('Adjustment Surface'!C$2='Data Validation'!$A$3,P121,"Unknown Option Type")))*(NORMDIST((IF('Adjustment Surface'!C$2='Data Validation'!$A$2,P121,IF('Adjustment Surface'!C$2='Data Validation'!$A$3,O121,"Unknown Option Type"))-IF('Adjustment Surface'!C$2='Data Validation'!$A$2,O121,IF('Adjustment Surface'!C$2='Data Validation'!$A$3,P121,"Unknown Option Type")))/(Q121*SQRT(M121)),0,1,TRUE)))+((Q121*SQRT(M121))*(NORMDIST((IF('Adjustment Surface'!C$2='Data Validation'!$A$2,P121,IF('Adjustment Surface'!C$2='Data Validation'!$A$3,O121,"Unknown Option Type"))-IF('Adjustment Surface'!C$2='Data Validation'!$A$2,O121,IF('Adjustment Surface'!C$2='Data Validation'!$A$3,P121,"Unknown Option Type")))/(Q121*SQRT(M121)),0,1,FALSE))))*R121*(L121/360)*N121))</f>
        <v/>
      </c>
      <c r="U121" s="15" t="str">
        <f>IF(I121="","",SUM(T$4:T121))</f>
        <v/>
      </c>
      <c r="W121" s="15" t="str">
        <f>IF(I121="","",IF(J121&lt;'Rate &amp; Vol Update'!$C$2,0,((((((IF('Adjustment Surface'!C$2='Data Validation'!$A$2,P121,IF('Adjustment Surface'!C$2='Data Validation'!$A$3,O121,"Unknown Option Type"))-IF('Adjustment Surface'!C$2='Data Validation'!$A$2,O121,IF('Adjustment Surface'!C$2='Data Validation'!$A$3,P121,"Unknown Option Type")))*(NORMDIST((IF('Adjustment Surface'!C$2='Data Validation'!$A$2,P121,IF('Adjustment Surface'!C$2='Data Validation'!$A$3,O121,"Unknown Option Type"))-IF('Adjustment Surface'!C$2='Data Validation'!$A$2,O121,IF('Adjustment Surface'!C$2='Data Validation'!$A$3,P121,"Unknown Option Type")))/((Q121+0.01%)*SQRT(M121)),0,1,TRUE)))+(((Q121+0.01%)*SQRT(M121))*(NORMDIST((IF('Adjustment Surface'!C$2='Data Validation'!$A$2,P121,IF('Adjustment Surface'!C$2='Data Validation'!$A$3,O121,"Unknown Option Type"))-IF('Adjustment Surface'!C$2='Data Validation'!$A$2,O121,IF('Adjustment Surface'!C$2='Data Validation'!$A$3,P121,"Unknown Option Type")))/((Q121+0.01%)*SQRT(M121)),0,1,FALSE))))*R121*(L121/360))-(T121/N121))*N121)*R121))</f>
        <v/>
      </c>
      <c r="X121" s="15" t="str">
        <f>IF(I121="","",SUM(W$4:W121))</f>
        <v/>
      </c>
      <c r="Y121" s="15"/>
      <c r="Z121" s="20"/>
      <c r="AB121" s="4" t="str">
        <f>IF(AC120=MAX('Adjustment Surface'!$C$14:$F$14),"",AC120)</f>
        <v/>
      </c>
      <c r="AC121" s="4" t="str">
        <f>IF(AB121="","",IF(AB121&lt;EDATE('Adjustment Surface'!$C$6,DATEDIF('Adjustment Surface'!$C$6,MAX('Adjustment Surface'!$C$14:$F$14),"M")),EDATE(AB$5,COUNT(AB$5:AB121)),IF(AB121=EDATE('Adjustment Surface'!$C$6,DATEDIF('Adjustment Surface'!$C$6,MAX('Adjustment Surface'!$C$14:$F$14),"M")),MAX('Adjustment Surface'!$C$14:$F$14),EDATE('Adjustment Surface'!$C$6,DATEDIF('Adjustment Surface'!$C$6,MAX('Adjustment Surface'!$C$14:$F$14),"M")))))</f>
        <v/>
      </c>
      <c r="AD121" s="3" t="str">
        <f t="shared" si="7"/>
        <v/>
      </c>
      <c r="AE121" s="5" t="str">
        <f>IF(AA121="","",(AC121-'Rate &amp; Vol Update'!$C$2)/360)</f>
        <v/>
      </c>
      <c r="AF121" s="15" t="str">
        <f>IF(AA121="","",IF('Adjustment Surface'!$C$3='Data Validation'!$C$2,'Adjustment Surface'!$C$4,_xlfn.IFNA(IF(INDEX(Schedules!$E$3:$E$123,MATCH('Bachelier Model'!AB121,Schedules!$B$3:$B$123,0))="",AF120,INDEX(Schedules!$E$3:$E$123,MATCH('Bachelier Model'!AB121,Schedules!$B$3:$B$123,0))),AF120)))</f>
        <v/>
      </c>
      <c r="AG121" s="16" t="str">
        <f>IF(AA121="","",'Adjustment Surface'!B$15)</f>
        <v/>
      </c>
      <c r="AH121" s="16" t="str" cm="1">
        <f t="array" ref="AH121">IF(AA121="","",FORECAST(AB121,INDEX('Rate &amp; Vol Update'!$C$6:$C$127,MATCH(INDEX('Rate &amp; Vol Update'!$B$6:$B$127,MATCH(AB121,'Rate &amp; Vol Update'!$B$6:$B$127,1)),'Rate &amp; Vol Update'!$B$6:$B$127,0)+IF('Adjustment Surface'!$C$11='Data Validation'!$E$3,-1,0)):INDEX('Rate &amp; Vol Update'!$C$6:$C$127,MATCH(INDEX('Rate &amp; Vol Update'!$B$6:$B$127,MATCH(AB121,'Rate &amp; Vol Update'!$B$6:$B$127,1)+1),'Rate &amp; Vol Update'!$B$6:$B$127,0)+IF('Adjustment Surface'!$C$11='Data Validation'!$E$3,-1,0)),INDEX('Rate &amp; Vol Update'!$B$6:$B$127,MATCH(AB121,'Rate &amp; Vol Update'!$B$6:$B$127,1)):INDEX('Rate &amp; Vol Update'!$B$6:$B$127,MATCH(AB121,'Rate &amp; Vol Update'!$B$6:$B$127,1)+1))/100)</f>
        <v/>
      </c>
      <c r="AI121" s="16" t="str" cm="1">
        <f t="array" ref="AI121">IF(AA121="","",IF(AB121&lt;'Rate &amp; Vol Update'!$C$2,0.001%,(1/((INDEX('Rate &amp; Vol Update'!$E$6:$Z$6,1,MATCH(AG121,'Rate &amp; Vol Update'!$E$6:$Z$6,1)+1)-INDEX('Rate &amp; Vol Update'!$E$6:$Z$6,1,MATCH(AG121,'Rate &amp; Vol Update'!$E$6:$Z$6,1)))*(INDEX('Rate &amp; Vol Update'!$B$8:$B$127,MATCH(AB121,'Rate &amp; Vol Update'!$B$8:$B$127,1)+1)-INDEX('Rate &amp; Vol Update'!$B$8:$B$127,MATCH(AB121,'Rate &amp; Vol Update'!$B$8:$B$127,1))))*(INDEX('Rate &amp; Vol Update'!$E$8:$Z$127,MATCH(INDEX('Rate &amp; Vol Update'!$B$8:$B$127,MATCH(AB121,'Rate &amp; Vol Update'!$B$8:$B$127,1)),'Rate &amp; Vol Update'!$B$8:$B$127,0),MATCH(INDEX('Rate &amp; Vol Update'!$E$6:$Z$6,1,MATCH(AG121,'Rate &amp; Vol Update'!$E$6:$Z$6,1)),'Rate &amp; Vol Update'!$E$6:$Z$6,0))*(INDEX('Rate &amp; Vol Update'!$E$6:$Z$6,1,MATCH(AG121,'Rate &amp; Vol Update'!$E$6:$Z$6,1)+1)-AG121)*(INDEX('Rate &amp; Vol Update'!$B$8:$B$127,MATCH(AB121,'Rate &amp; Vol Update'!$B$8:$B$127,1)+1)-AB121)+INDEX('Rate &amp; Vol Update'!$E$8:$Z$127,MATCH(INDEX('Rate &amp; Vol Update'!$B$8:$B$127,MATCH(AB121,'Rate &amp; Vol Update'!$B$8:$B$127,1)),'Rate &amp; Vol Update'!$B$8:$B$127,0),MATCH(INDEX('Rate &amp; Vol Update'!$E$6:$Z$6,1,MATCH(AG121,'Rate &amp; Vol Update'!$E$6:$Z$6,1)+1),'Rate &amp; Vol Update'!$E$6:$Z$6,0))*(AG121-INDEX('Rate &amp; Vol Update'!$E$6:$Z$6,1,MATCH(AG121,'Rate &amp; Vol Update'!$E$6:$Z$6,1)))*(INDEX('Rate &amp; Vol Update'!$B$8:$B$127,MATCH(AB121,'Rate &amp; Vol Update'!$B$8:$B$127,1)+1)-AB121)+INDEX('Rate &amp; Vol Update'!$E$8:$Z$127,MATCH(INDEX('Rate &amp; Vol Update'!$B$8:$B$127,MATCH(AB121,'Rate &amp; Vol Update'!$B$8:$B$127,1)+1),'Rate &amp; Vol Update'!$B$8:$B$127,0),MATCH(INDEX('Rate &amp; Vol Update'!$E$6:$Z$6,1,MATCH(AG121,'Rate &amp; Vol Update'!$E$6:$Z$6,1)),'Rate &amp; Vol Update'!$E$6:$Z$6,0))*(INDEX('Rate &amp; Vol Update'!$E$6:$Z$6,1,MATCH(AG121,'Rate &amp; Vol Update'!$E$6:$Z$6,1)+1)-AG121)*(AB121-INDEX('Rate &amp; Vol Update'!$B$8:$B$127,MATCH(AB121,'Rate &amp; Vol Update'!$B$8:$B$127,1)))+INDEX('Rate &amp; Vol Update'!$E$8:$Z$127,MATCH(INDEX('Rate &amp; Vol Update'!$B$8:$B$127,MATCH(AB121,'Rate &amp; Vol Update'!$B$8:$B$127,1)+1),'Rate &amp; Vol Update'!$B$8:$B$127,0),MATCH(INDEX('Rate &amp; Vol Update'!$E$6:$Z$6,1,MATCH(AG121,'Rate &amp; Vol Update'!$E$6:$Z$6,1)+1),'Rate &amp; Vol Update'!$E$6:$Z$6,0))*(AG121-INDEX('Rate &amp; Vol Update'!$E$6:$Z$6,1,MATCH(AG121,'Rate &amp; Vol Update'!$E$6:$Z$6,1)))*(AB121-INDEX('Rate &amp; Vol Update'!$B$8:$B$127,MATCH(AB121,'Rate &amp; Vol Update'!$B$8:$B$127,1)))))*0.01%))</f>
        <v/>
      </c>
      <c r="AJ121" s="5" t="str">
        <f>IF(AA121="","",1/((1+AH121)^((AC121-'Rate &amp; Vol Update'!$C$2)/360)))</f>
        <v/>
      </c>
      <c r="AL121" s="15" t="str">
        <f>IF(AA121="","",IF(AB121&lt;'Rate &amp; Vol Update'!$C$2,MAX(0,AH121-AG121)*(AD121/360)*AF121,(((IF('Adjustment Surface'!$C$2='Data Validation'!$A$2,AH121,IF('Adjustment Surface'!$C$2='Data Validation'!$A$3,AG121,"Unknown Option Type"))-IF('Adjustment Surface'!$C$2='Data Validation'!$A$2,AG121,IF('Adjustment Surface'!$C$2='Data Validation'!$A$3,AH121,"Unknown Option Type")))*(NORMDIST((IF('Adjustment Surface'!$C$2='Data Validation'!$A$2,AH121,IF('Adjustment Surface'!$C$2='Data Validation'!$A$3,AG121,"Unknown Option Type"))-IF('Adjustment Surface'!$C$2='Data Validation'!$A$2,AG121,IF('Adjustment Surface'!$C$2='Data Validation'!$A$3,AH121,"Unknown Option Type")))/(AI121*SQRT(AE121)),0,1,TRUE)))+((AI121*SQRT(AE121))*(NORMDIST((IF('Adjustment Surface'!$C$2='Data Validation'!$A$2,AH121,IF('Adjustment Surface'!$C$2='Data Validation'!$A$3,AG121,"Unknown Option Type"))-IF('Adjustment Surface'!$C$2='Data Validation'!$A$2,AG121,IF('Adjustment Surface'!$C$2='Data Validation'!$A$3,AH121,"Unknown Option Type")))/(AI121*SQRT(AE121)),0,1,FALSE))))*AJ121*(AD121/360)*AF121))</f>
        <v/>
      </c>
      <c r="AM121" s="15" t="str">
        <f>IF(AA121="","",SUM(AL$4:AL121))</f>
        <v/>
      </c>
      <c r="AO121" s="15" t="str">
        <f>IF(AA121="","",IF(AB121&lt;'Rate &amp; Vol Update'!$C$2,0,((((((IF('Adjustment Surface'!$C$2='Data Validation'!$A$2,AH121,IF('Adjustment Surface'!$C$2='Data Validation'!$A$3,AG121,"Unknown Option Type"))-IF('Adjustment Surface'!$C$2='Data Validation'!$A$2,AG121,IF('Adjustment Surface'!$C$2='Data Validation'!$A$3,AH121,"Unknown Option Type")))*(NORMDIST((IF('Adjustment Surface'!$C$2='Data Validation'!$A$2,AH121,IF('Adjustment Surface'!$C$2='Data Validation'!$A$3,AG121,"Unknown Option Type"))-IF('Adjustment Surface'!$C$2='Data Validation'!$A$2,AG121,IF('Adjustment Surface'!$C$2='Data Validation'!$A$3,AH121,"Unknown Option Type")))/((AI121+0.01%)*SQRT(AE121)),0,1,TRUE)))+(((AI121+0.01%)*SQRT(AE121))*(NORMDIST((IF('Adjustment Surface'!$C$2='Data Validation'!$A$2,AH121,IF('Adjustment Surface'!$C$2='Data Validation'!$A$3,AG121,"Unknown Option Type"))-IF('Adjustment Surface'!$C$2='Data Validation'!$A$2,AG121,IF('Adjustment Surface'!$C$2='Data Validation'!$A$3,AH121,"Unknown Option Type")))/((AI121+0.01%)*SQRT(AE121)),0,1,FALSE))))*AJ121*(AD121/360))-(AL121/AF121))*AF121)*AJ121))</f>
        <v/>
      </c>
      <c r="AP121" s="15" t="str">
        <f>IF(AA121="","",SUM(AO$4:AO121))</f>
        <v/>
      </c>
      <c r="AQ121" s="15"/>
      <c r="AR121" s="20"/>
      <c r="AT121" s="4" t="str">
        <f>IF(AU120=MAX('Adjustment Surface'!$C$14:$F$14),"",AU120)</f>
        <v/>
      </c>
      <c r="AU121" s="4" t="str">
        <f>IF(AT121="","",IF(AT121&lt;EDATE('Adjustment Surface'!$C$6,DATEDIF('Adjustment Surface'!$C$6,MAX('Adjustment Surface'!$C$14:$F$14),"M")),EDATE(AT$5,COUNT(AT$5:AT121)),IF(AT121=EDATE('Adjustment Surface'!$C$6,DATEDIF('Adjustment Surface'!$C$6,MAX('Adjustment Surface'!$C$14:$F$14),"M")),MAX('Adjustment Surface'!$C$14:$F$14),EDATE('Adjustment Surface'!$C$6,DATEDIF('Adjustment Surface'!$C$6,MAX('Adjustment Surface'!$C$14:$F$14),"M")))))</f>
        <v/>
      </c>
      <c r="AV121" s="3" t="str">
        <f t="shared" si="8"/>
        <v/>
      </c>
      <c r="AW121" s="5" t="str">
        <f>IF(AS121="","",(AU121-'Rate &amp; Vol Update'!$C$2)/360)</f>
        <v/>
      </c>
      <c r="AX121" s="15" t="str">
        <f>IF(AS121="","",IF('Adjustment Surface'!$C$3='Data Validation'!$C$2,'Adjustment Surface'!$C$4,_xlfn.IFNA(IF(INDEX(Schedules!$E$3:$E$123,MATCH('Bachelier Model'!AT121,Schedules!$B$3:$B$123,0))="",AX120,INDEX(Schedules!$E$3:$E$123,MATCH('Bachelier Model'!AT121,Schedules!$B$3:$B$123,0))),AX120)))</f>
        <v/>
      </c>
      <c r="AY121" s="16" t="str">
        <f>IF(AS121="","",'Adjustment Surface'!B$16)</f>
        <v/>
      </c>
      <c r="AZ121" s="16" t="str" cm="1">
        <f t="array" ref="AZ121">IF(AS121="","",FORECAST(AT121,INDEX('Rate &amp; Vol Update'!$C$6:$C$127,MATCH(INDEX('Rate &amp; Vol Update'!$B$6:$B$127,MATCH(AT121,'Rate &amp; Vol Update'!$B$6:$B$127,1)),'Rate &amp; Vol Update'!$B$6:$B$127,0)+IF('Adjustment Surface'!$C$11='Data Validation'!$E$3,-1,0)):INDEX('Rate &amp; Vol Update'!$C$6:$C$127,MATCH(INDEX('Rate &amp; Vol Update'!$B$6:$B$127,MATCH(AT121,'Rate &amp; Vol Update'!$B$6:$B$127,1)+1),'Rate &amp; Vol Update'!$B$6:$B$127,0)+IF('Adjustment Surface'!$C$11='Data Validation'!$E$3,-1,0)),INDEX('Rate &amp; Vol Update'!$B$6:$B$127,MATCH(AT121,'Rate &amp; Vol Update'!$B$6:$B$127,1)):INDEX('Rate &amp; Vol Update'!$B$6:$B$127,MATCH(AT121,'Rate &amp; Vol Update'!$B$6:$B$127,1)+1))/100)</f>
        <v/>
      </c>
      <c r="BA121" s="16" t="str" cm="1">
        <f t="array" ref="BA121">IF(AS121="","",IF(AT121&lt;'Rate &amp; Vol Update'!$C$2,0.001%,(1/((INDEX('Rate &amp; Vol Update'!$E$6:$Z$6,1,MATCH(AY121,'Rate &amp; Vol Update'!$E$6:$Z$6,1)+1)-INDEX('Rate &amp; Vol Update'!$E$6:$Z$6,1,MATCH(AY121,'Rate &amp; Vol Update'!$E$6:$Z$6,1)))*(INDEX('Rate &amp; Vol Update'!$B$8:$B$127,MATCH(AT121,'Rate &amp; Vol Update'!$B$8:$B$127,1)+1)-INDEX('Rate &amp; Vol Update'!$B$8:$B$127,MATCH(AT121,'Rate &amp; Vol Update'!$B$8:$B$127,1))))*(INDEX('Rate &amp; Vol Update'!$E$8:$Z$127,MATCH(INDEX('Rate &amp; Vol Update'!$B$8:$B$127,MATCH(AT121,'Rate &amp; Vol Update'!$B$8:$B$127,1)),'Rate &amp; Vol Update'!$B$8:$B$127,0),MATCH(INDEX('Rate &amp; Vol Update'!$E$6:$Z$6,1,MATCH(AY121,'Rate &amp; Vol Update'!$E$6:$Z$6,1)),'Rate &amp; Vol Update'!$E$6:$Z$6,0))*(INDEX('Rate &amp; Vol Update'!$E$6:$Z$6,1,MATCH(AY121,'Rate &amp; Vol Update'!$E$6:$Z$6,1)+1)-AY121)*(INDEX('Rate &amp; Vol Update'!$B$8:$B$127,MATCH(AT121,'Rate &amp; Vol Update'!$B$8:$B$127,1)+1)-AT121)+INDEX('Rate &amp; Vol Update'!$E$8:$Z$127,MATCH(INDEX('Rate &amp; Vol Update'!$B$8:$B$127,MATCH(AT121,'Rate &amp; Vol Update'!$B$8:$B$127,1)),'Rate &amp; Vol Update'!$B$8:$B$127,0),MATCH(INDEX('Rate &amp; Vol Update'!$E$6:$Z$6,1,MATCH(AY121,'Rate &amp; Vol Update'!$E$6:$Z$6,1)+1),'Rate &amp; Vol Update'!$E$6:$Z$6,0))*(AY121-INDEX('Rate &amp; Vol Update'!$E$6:$Z$6,1,MATCH(AY121,'Rate &amp; Vol Update'!$E$6:$Z$6,1)))*(INDEX('Rate &amp; Vol Update'!$B$8:$B$127,MATCH(AT121,'Rate &amp; Vol Update'!$B$8:$B$127,1)+1)-AT121)+INDEX('Rate &amp; Vol Update'!$E$8:$Z$127,MATCH(INDEX('Rate &amp; Vol Update'!$B$8:$B$127,MATCH(AT121,'Rate &amp; Vol Update'!$B$8:$B$127,1)+1),'Rate &amp; Vol Update'!$B$8:$B$127,0),MATCH(INDEX('Rate &amp; Vol Update'!$E$6:$Z$6,1,MATCH(AY121,'Rate &amp; Vol Update'!$E$6:$Z$6,1)),'Rate &amp; Vol Update'!$E$6:$Z$6,0))*(INDEX('Rate &amp; Vol Update'!$E$6:$Z$6,1,MATCH(AY121,'Rate &amp; Vol Update'!$E$6:$Z$6,1)+1)-AY121)*(AT121-INDEX('Rate &amp; Vol Update'!$B$8:$B$127,MATCH(AT121,'Rate &amp; Vol Update'!$B$8:$B$127,1)))+INDEX('Rate &amp; Vol Update'!$E$8:$Z$127,MATCH(INDEX('Rate &amp; Vol Update'!$B$8:$B$127,MATCH(AT121,'Rate &amp; Vol Update'!$B$8:$B$127,1)+1),'Rate &amp; Vol Update'!$B$8:$B$127,0),MATCH(INDEX('Rate &amp; Vol Update'!$E$6:$Z$6,1,MATCH(AY121,'Rate &amp; Vol Update'!$E$6:$Z$6,1)+1),'Rate &amp; Vol Update'!$E$6:$Z$6,0))*(AY121-INDEX('Rate &amp; Vol Update'!$E$6:$Z$6,1,MATCH(AY121,'Rate &amp; Vol Update'!$E$6:$Z$6,1)))*(AT121-INDEX('Rate &amp; Vol Update'!$B$8:$B$127,MATCH(AT121,'Rate &amp; Vol Update'!$B$8:$B$127,1)))))*0.01%))</f>
        <v/>
      </c>
      <c r="BB121" s="5" t="str">
        <f>IF(AS121="","",1/((1+AZ121)^((AU121-'Rate &amp; Vol Update'!$C$2)/360)))</f>
        <v/>
      </c>
      <c r="BD121" s="15" t="str">
        <f>IF(AS121="","",IF(AT121&lt;'Rate &amp; Vol Update'!$C$2,MAX(0,AZ121-AY121)*(AV121/360)*AX121,(((IF('Adjustment Surface'!$C$2='Data Validation'!$A$2,AZ121,IF('Adjustment Surface'!$C$2='Data Validation'!$A$3,AY121,"Unknown Option Type"))-IF('Adjustment Surface'!$C$2='Data Validation'!$A$2,AY121,IF('Adjustment Surface'!$C$2='Data Validation'!$A$3,AZ121,"Unknown Option Type")))*(NORMDIST((IF('Adjustment Surface'!$C$2='Data Validation'!$A$2,AZ121,IF('Adjustment Surface'!$C$2='Data Validation'!$A$3,AY121,"Unknown Option Type"))-IF('Adjustment Surface'!$C$2='Data Validation'!$A$2,AY121,IF('Adjustment Surface'!$C$2='Data Validation'!$A$3,AZ121,"Unknown Option Type")))/(BA121*SQRT(AW121)),0,1,TRUE)))+((BA121*SQRT(AW121))*(NORMDIST((IF('Adjustment Surface'!$C$2='Data Validation'!$A$2,AZ121,IF('Adjustment Surface'!$C$2='Data Validation'!$A$3,AY121,"Unknown Option Type"))-IF('Adjustment Surface'!$C$2='Data Validation'!$A$2,AY121,IF('Adjustment Surface'!$C$2='Data Validation'!$A$3,AZ121,"Unknown Option Type")))/(BA121*SQRT(AW121)),0,1,FALSE))))*BB121*(AV121/360)*AX121))</f>
        <v/>
      </c>
      <c r="BE121" s="15" t="str">
        <f>IF(AS121="","",SUM(BD$4:BD121))</f>
        <v/>
      </c>
      <c r="BG121" s="15" t="str">
        <f>IF(AS121="","",IF(AT121&lt;'Rate &amp; Vol Update'!$C$2,0,((((((IF('Adjustment Surface'!$C$2='Data Validation'!$A$2,AZ121,IF('Adjustment Surface'!$C$2='Data Validation'!$A$3,AY121,"Unknown Option Type"))-IF('Adjustment Surface'!$C$2='Data Validation'!$A$2,AY121,IF('Adjustment Surface'!$C$2='Data Validation'!$A$3,AZ121,"Unknown Option Type")))*(NORMDIST((IF('Adjustment Surface'!$C$2='Data Validation'!$A$2,AZ121,IF('Adjustment Surface'!$C$2='Data Validation'!$A$3,AY121,"Unknown Option Type"))-IF('Adjustment Surface'!$C$2='Data Validation'!$A$2,AY121,IF('Adjustment Surface'!$C$2='Data Validation'!$A$3,AZ121,"Unknown Option Type")))/((BA121+0.01%)*SQRT(AW121)),0,1,TRUE)))+(((BA121+0.01%)*SQRT(AW121))*(NORMDIST((IF('Adjustment Surface'!$C$2='Data Validation'!$A$2,AZ121,IF('Adjustment Surface'!$C$2='Data Validation'!$A$3,AY121,"Unknown Option Type"))-IF('Adjustment Surface'!$C$2='Data Validation'!$A$2,AY121,IF('Adjustment Surface'!$C$2='Data Validation'!$A$3,AZ121,"Unknown Option Type")))/((BA121+0.01%)*SQRT(AW121)),0,1,FALSE))))*BB121*(AV121/360))-(BD121/AX121))*AX121)*BB121))</f>
        <v/>
      </c>
      <c r="BH121" s="15" t="str">
        <f>IF(AS121="","",SUM(BG$4:BG121))</f>
        <v/>
      </c>
      <c r="BI121" s="15"/>
      <c r="BJ121" s="20"/>
      <c r="BL121" s="4" t="str">
        <f>IF(BM120=MAX('Adjustment Surface'!$C$14:$F$14),"",BM120)</f>
        <v/>
      </c>
      <c r="BM121" s="4" t="str">
        <f>IF(BL121="","",IF(BL121&lt;EDATE('Adjustment Surface'!$C$6,DATEDIF('Adjustment Surface'!$C$6,MAX('Adjustment Surface'!$C$14:$F$14),"M")),EDATE(BL$5,COUNT(BL$5:BL121)),IF(BL121=EDATE('Adjustment Surface'!$C$6,DATEDIF('Adjustment Surface'!$C$6,MAX('Adjustment Surface'!$C$14:$F$14),"M")),MAX('Adjustment Surface'!$C$14:$F$14),EDATE('Adjustment Surface'!$C$6,DATEDIF('Adjustment Surface'!$C$6,MAX('Adjustment Surface'!$C$14:$F$14),"M")))))</f>
        <v/>
      </c>
      <c r="BN121" s="3" t="str">
        <f t="shared" si="9"/>
        <v/>
      </c>
      <c r="BO121" s="5" t="str">
        <f>IF(BK121="","",(BM121-'Rate &amp; Vol Update'!$C$2)/360)</f>
        <v/>
      </c>
      <c r="BP121" s="15" t="str">
        <f>IF(BK121="","",IF('Adjustment Surface'!$C$3='Data Validation'!$C$2,'Adjustment Surface'!$C$4,_xlfn.IFNA(IF(INDEX(Schedules!$E$3:$E$123,MATCH('Bachelier Model'!BL121,Schedules!$B$3:$B$123,0))="",BP120,INDEX(Schedules!$E$3:$E$123,MATCH('Bachelier Model'!BL121,Schedules!$B$3:$B$123,0))),BP120)))</f>
        <v/>
      </c>
      <c r="BQ121" s="16" t="str">
        <f>IF(BK121="","",'Adjustment Surface'!B$17)</f>
        <v/>
      </c>
      <c r="BR121" s="16" t="str" cm="1">
        <f t="array" ref="BR121">IF(BK121="","",FORECAST(BL121,INDEX('Rate &amp; Vol Update'!$C$6:$C$127,MATCH(INDEX('Rate &amp; Vol Update'!$B$6:$B$127,MATCH(BL121,'Rate &amp; Vol Update'!$B$6:$B$127,1)),'Rate &amp; Vol Update'!$B$6:$B$127,0)+IF('Adjustment Surface'!$C$11='Data Validation'!$E$3,-1,0)):INDEX('Rate &amp; Vol Update'!$C$6:$C$127,MATCH(INDEX('Rate &amp; Vol Update'!$B$6:$B$127,MATCH(BL121,'Rate &amp; Vol Update'!$B$6:$B$127,1)+1),'Rate &amp; Vol Update'!$B$6:$B$127,0)+IF('Adjustment Surface'!$C$11='Data Validation'!$E$3,-1,0)),INDEX('Rate &amp; Vol Update'!$B$6:$B$127,MATCH(BL121,'Rate &amp; Vol Update'!$B$6:$B$127,1)):INDEX('Rate &amp; Vol Update'!$B$6:$B$127,MATCH(BL121,'Rate &amp; Vol Update'!$B$6:$B$127,1)+1))/100)</f>
        <v/>
      </c>
      <c r="BS121" s="16" t="str" cm="1">
        <f t="array" ref="BS121">IF(BK121="","",IF(BL121&lt;'Rate &amp; Vol Update'!$C$2,0.001%,(1/((INDEX('Rate &amp; Vol Update'!$E$6:$Z$6,1,MATCH(BQ121,'Rate &amp; Vol Update'!$E$6:$Z$6,1)+1)-INDEX('Rate &amp; Vol Update'!$E$6:$Z$6,1,MATCH(BQ121,'Rate &amp; Vol Update'!$E$6:$Z$6,1)))*(INDEX('Rate &amp; Vol Update'!$B$8:$B$127,MATCH(BL121,'Rate &amp; Vol Update'!$B$8:$B$127,1)+1)-INDEX('Rate &amp; Vol Update'!$B$8:$B$127,MATCH(BL121,'Rate &amp; Vol Update'!$B$8:$B$127,1))))*(INDEX('Rate &amp; Vol Update'!$E$8:$Z$127,MATCH(INDEX('Rate &amp; Vol Update'!$B$8:$B$127,MATCH(BL121,'Rate &amp; Vol Update'!$B$8:$B$127,1)),'Rate &amp; Vol Update'!$B$8:$B$127,0),MATCH(INDEX('Rate &amp; Vol Update'!$E$6:$Z$6,1,MATCH(BQ121,'Rate &amp; Vol Update'!$E$6:$Z$6,1)),'Rate &amp; Vol Update'!$E$6:$Z$6,0))*(INDEX('Rate &amp; Vol Update'!$E$6:$Z$6,1,MATCH(BQ121,'Rate &amp; Vol Update'!$E$6:$Z$6,1)+1)-BQ121)*(INDEX('Rate &amp; Vol Update'!$B$8:$B$127,MATCH(BL121,'Rate &amp; Vol Update'!$B$8:$B$127,1)+1)-BL121)+INDEX('Rate &amp; Vol Update'!$E$8:$Z$127,MATCH(INDEX('Rate &amp; Vol Update'!$B$8:$B$127,MATCH(BL121,'Rate &amp; Vol Update'!$B$8:$B$127,1)),'Rate &amp; Vol Update'!$B$8:$B$127,0),MATCH(INDEX('Rate &amp; Vol Update'!$E$6:$Z$6,1,MATCH(BQ121,'Rate &amp; Vol Update'!$E$6:$Z$6,1)+1),'Rate &amp; Vol Update'!$E$6:$Z$6,0))*(BQ121-INDEX('Rate &amp; Vol Update'!$E$6:$Z$6,1,MATCH(BQ121,'Rate &amp; Vol Update'!$E$6:$Z$6,1)))*(INDEX('Rate &amp; Vol Update'!$B$8:$B$127,MATCH(BL121,'Rate &amp; Vol Update'!$B$8:$B$127,1)+1)-BL121)+INDEX('Rate &amp; Vol Update'!$E$8:$Z$127,MATCH(INDEX('Rate &amp; Vol Update'!$B$8:$B$127,MATCH(BL121,'Rate &amp; Vol Update'!$B$8:$B$127,1)+1),'Rate &amp; Vol Update'!$B$8:$B$127,0),MATCH(INDEX('Rate &amp; Vol Update'!$E$6:$Z$6,1,MATCH(BQ121,'Rate &amp; Vol Update'!$E$6:$Z$6,1)),'Rate &amp; Vol Update'!$E$6:$Z$6,0))*(INDEX('Rate &amp; Vol Update'!$E$6:$Z$6,1,MATCH(BQ121,'Rate &amp; Vol Update'!$E$6:$Z$6,1)+1)-BQ121)*(BL121-INDEX('Rate &amp; Vol Update'!$B$8:$B$127,MATCH(BL121,'Rate &amp; Vol Update'!$B$8:$B$127,1)))+INDEX('Rate &amp; Vol Update'!$E$8:$Z$127,MATCH(INDEX('Rate &amp; Vol Update'!$B$8:$B$127,MATCH(BL121,'Rate &amp; Vol Update'!$B$8:$B$127,1)+1),'Rate &amp; Vol Update'!$B$8:$B$127,0),MATCH(INDEX('Rate &amp; Vol Update'!$E$6:$Z$6,1,MATCH(BQ121,'Rate &amp; Vol Update'!$E$6:$Z$6,1)+1),'Rate &amp; Vol Update'!$E$6:$Z$6,0))*(BQ121-INDEX('Rate &amp; Vol Update'!$E$6:$Z$6,1,MATCH(BQ121,'Rate &amp; Vol Update'!$E$6:$Z$6,1)))*(BL121-INDEX('Rate &amp; Vol Update'!$B$8:$B$127,MATCH(BL121,'Rate &amp; Vol Update'!$B$8:$B$127,1)))))*0.01%))</f>
        <v/>
      </c>
      <c r="BT121" s="5" t="str">
        <f>IF(BK121="","",1/((1+BR121)^((BM121-'Rate &amp; Vol Update'!$C$2)/360)))</f>
        <v/>
      </c>
      <c r="BV121" s="15" t="str">
        <f>IF(BK121="","",IF(BL121&lt;'Rate &amp; Vol Update'!$C$2,MAX(0,BR121-BQ121)*(BN121/360)*BP121,(((IF('Adjustment Surface'!$C$2='Data Validation'!$A$2,BR121,IF('Adjustment Surface'!$C$2='Data Validation'!$A$3,BQ121,"Unknown Option Type"))-IF('Adjustment Surface'!$C$2='Data Validation'!$A$2,BQ121,IF('Adjustment Surface'!$C$2='Data Validation'!$A$3,BR121,"Unknown Option Type")))*(NORMDIST((IF('Adjustment Surface'!$C$2='Data Validation'!$A$2,BR121,IF('Adjustment Surface'!$C$2='Data Validation'!$A$3,BQ121,"Unknown Option Type"))-IF('Adjustment Surface'!$C$2='Data Validation'!$A$2,BQ121,IF('Adjustment Surface'!$C$2='Data Validation'!$A$3,BR121,"Unknown Option Type")))/(BS121*SQRT(BO121)),0,1,TRUE)))+((BS121*SQRT(BO121))*(NORMDIST((IF('Adjustment Surface'!$C$2='Data Validation'!$A$2,BR121,IF('Adjustment Surface'!$C$2='Data Validation'!$A$3,BQ121,"Unknown Option Type"))-IF('Adjustment Surface'!$C$2='Data Validation'!$A$2,BQ121,IF('Adjustment Surface'!$C$2='Data Validation'!$A$3,BR121,"Unknown Option Type")))/(BS121*SQRT(BO121)),0,1,FALSE))))*BT121*(BN121/360)*BP121))</f>
        <v/>
      </c>
      <c r="BW121" s="15" t="str">
        <f>IF(BK121="","",SUM(BV$4:BV121))</f>
        <v/>
      </c>
      <c r="BY121" s="15" t="str">
        <f>IF(BK121="","",IF(BL121&lt;'Rate &amp; Vol Update'!$C$2,0,((((((IF('Adjustment Surface'!$C$2='Data Validation'!$A$2,BR121,IF('Adjustment Surface'!$C$2='Data Validation'!$A$3,BQ121,"Unknown Option Type"))-IF('Adjustment Surface'!$C$2='Data Validation'!$A$2,BQ121,IF('Adjustment Surface'!$C$2='Data Validation'!$A$3,BR121,"Unknown Option Type")))*(NORMDIST((IF('Adjustment Surface'!$C$2='Data Validation'!$A$2,BR121,IF('Adjustment Surface'!$C$2='Data Validation'!$A$3,BQ121,"Unknown Option Type"))-IF('Adjustment Surface'!$C$2='Data Validation'!$A$2,BQ121,IF('Adjustment Surface'!$C$2='Data Validation'!$A$3,BR121,"Unknown Option Type")))/((BS121+0.01%)*SQRT(BO121)),0,1,TRUE)))+(((BS121+0.01%)*SQRT(BO121))*(NORMDIST((IF('Adjustment Surface'!$C$2='Data Validation'!$A$2,BR121,IF('Adjustment Surface'!$C$2='Data Validation'!$A$3,BQ121,"Unknown Option Type"))-IF('Adjustment Surface'!$C$2='Data Validation'!$A$2,BQ121,IF('Adjustment Surface'!$C$2='Data Validation'!$A$3,BR121,"Unknown Option Type")))/((BS121+0.01%)*SQRT(BO121)),0,1,FALSE))))*BT121*(BN121/360))-(BV121/BP121))*BP121)*BT121))</f>
        <v/>
      </c>
      <c r="BZ121" s="15" t="str">
        <f>IF(BK121="","",SUM(BY$4:BY121))</f>
        <v/>
      </c>
      <c r="CA121" s="15"/>
      <c r="CB121" s="20"/>
      <c r="CD121" s="4" t="str">
        <f>IF(CE120=MAX('Adjustment Surface'!$C$14:$F$14),"",CE120)</f>
        <v/>
      </c>
      <c r="CE121" s="4" t="str">
        <f>IF(CD121="","",IF(CD121&lt;EDATE('Adjustment Surface'!$C$6,DATEDIF('Adjustment Surface'!$C$6,MAX('Adjustment Surface'!$C$14:$F$14),"M")),EDATE(CD$5,COUNT(CD$5:CD121)),IF(CD121=EDATE('Adjustment Surface'!$C$6,DATEDIF('Adjustment Surface'!$C$6,MAX('Adjustment Surface'!$C$14:$F$14),"M")),MAX('Adjustment Surface'!$C$14:$F$14),EDATE('Adjustment Surface'!$C$6,DATEDIF('Adjustment Surface'!$C$6,MAX('Adjustment Surface'!$C$14:$F$14),"M")))))</f>
        <v/>
      </c>
      <c r="CF121" s="3" t="str">
        <f t="shared" si="10"/>
        <v/>
      </c>
      <c r="CG121" s="5" t="str">
        <f>IF(CC121="","",(CE121-'Rate &amp; Vol Update'!$C$2)/360)</f>
        <v/>
      </c>
      <c r="CH121" s="15" t="str">
        <f>IF(CC121="","",IF('Adjustment Surface'!$C$3='Data Validation'!$C$2,'Adjustment Surface'!$C$4,_xlfn.IFNA(IF(INDEX(Schedules!$E$3:$E$123,MATCH('Bachelier Model'!CD121,Schedules!$B$3:$B$123,0))="",CH120,INDEX(Schedules!$E$3:$E$123,MATCH('Bachelier Model'!CD121,Schedules!$B$3:$B$123,0))),CH120)))</f>
        <v/>
      </c>
      <c r="CI121" s="16" t="str">
        <f>IF(CC121="","",'Adjustment Surface'!B$18)</f>
        <v/>
      </c>
      <c r="CJ121" s="16" t="str" cm="1">
        <f t="array" ref="CJ121">IF(CC121="","",FORECAST(CD121,INDEX('Rate &amp; Vol Update'!$C$6:$C$127,MATCH(INDEX('Rate &amp; Vol Update'!$B$6:$B$127,MATCH(CD121,'Rate &amp; Vol Update'!$B$6:$B$127,1)),'Rate &amp; Vol Update'!$B$6:$B$127,0)+IF('Adjustment Surface'!$C$11='Data Validation'!$E$3,-1,0)):INDEX('Rate &amp; Vol Update'!$C$6:$C$127,MATCH(INDEX('Rate &amp; Vol Update'!$B$6:$B$127,MATCH(CD121,'Rate &amp; Vol Update'!$B$6:$B$127,1)+1),'Rate &amp; Vol Update'!$B$6:$B$127,0)+IF('Adjustment Surface'!$C$11='Data Validation'!$E$3,-1,0)),INDEX('Rate &amp; Vol Update'!$B$6:$B$127,MATCH(CD121,'Rate &amp; Vol Update'!$B$6:$B$127,1)):INDEX('Rate &amp; Vol Update'!$B$6:$B$127,MATCH(CD121,'Rate &amp; Vol Update'!$B$6:$B$127,1)+1))/100)</f>
        <v/>
      </c>
      <c r="CK121" s="16" t="str" cm="1">
        <f t="array" ref="CK121">IF(CC121="","",IF(CD121&lt;'Rate &amp; Vol Update'!$C$2,0.001%,(1/((INDEX('Rate &amp; Vol Update'!$E$6:$Z$6,1,MATCH(CI121,'Rate &amp; Vol Update'!$E$6:$Z$6,1)+1)-INDEX('Rate &amp; Vol Update'!$E$6:$Z$6,1,MATCH(CI121,'Rate &amp; Vol Update'!$E$6:$Z$6,1)))*(INDEX('Rate &amp; Vol Update'!$B$8:$B$127,MATCH(CD121,'Rate &amp; Vol Update'!$B$8:$B$127,1)+1)-INDEX('Rate &amp; Vol Update'!$B$8:$B$127,MATCH(CD121,'Rate &amp; Vol Update'!$B$8:$B$127,1))))*(INDEX('Rate &amp; Vol Update'!$E$8:$Z$127,MATCH(INDEX('Rate &amp; Vol Update'!$B$8:$B$127,MATCH(CD121,'Rate &amp; Vol Update'!$B$8:$B$127,1)),'Rate &amp; Vol Update'!$B$8:$B$127,0),MATCH(INDEX('Rate &amp; Vol Update'!$E$6:$Z$6,1,MATCH(CI121,'Rate &amp; Vol Update'!$E$6:$Z$6,1)),'Rate &amp; Vol Update'!$E$6:$Z$6,0))*(INDEX('Rate &amp; Vol Update'!$E$6:$Z$6,1,MATCH(CI121,'Rate &amp; Vol Update'!$E$6:$Z$6,1)+1)-CI121)*(INDEX('Rate &amp; Vol Update'!$B$8:$B$127,MATCH(CD121,'Rate &amp; Vol Update'!$B$8:$B$127,1)+1)-CD121)+INDEX('Rate &amp; Vol Update'!$E$8:$Z$127,MATCH(INDEX('Rate &amp; Vol Update'!$B$8:$B$127,MATCH(CD121,'Rate &amp; Vol Update'!$B$8:$B$127,1)),'Rate &amp; Vol Update'!$B$8:$B$127,0),MATCH(INDEX('Rate &amp; Vol Update'!$E$6:$Z$6,1,MATCH(CI121,'Rate &amp; Vol Update'!$E$6:$Z$6,1)+1),'Rate &amp; Vol Update'!$E$6:$Z$6,0))*(CI121-INDEX('Rate &amp; Vol Update'!$E$6:$Z$6,1,MATCH(CI121,'Rate &amp; Vol Update'!$E$6:$Z$6,1)))*(INDEX('Rate &amp; Vol Update'!$B$8:$B$127,MATCH(CD121,'Rate &amp; Vol Update'!$B$8:$B$127,1)+1)-CD121)+INDEX('Rate &amp; Vol Update'!$E$8:$Z$127,MATCH(INDEX('Rate &amp; Vol Update'!$B$8:$B$127,MATCH(CD121,'Rate &amp; Vol Update'!$B$8:$B$127,1)+1),'Rate &amp; Vol Update'!$B$8:$B$127,0),MATCH(INDEX('Rate &amp; Vol Update'!$E$6:$Z$6,1,MATCH(CI121,'Rate &amp; Vol Update'!$E$6:$Z$6,1)),'Rate &amp; Vol Update'!$E$6:$Z$6,0))*(INDEX('Rate &amp; Vol Update'!$E$6:$Z$6,1,MATCH(CI121,'Rate &amp; Vol Update'!$E$6:$Z$6,1)+1)-CI121)*(CD121-INDEX('Rate &amp; Vol Update'!$B$8:$B$127,MATCH(CD121,'Rate &amp; Vol Update'!$B$8:$B$127,1)))+INDEX('Rate &amp; Vol Update'!$E$8:$Z$127,MATCH(INDEX('Rate &amp; Vol Update'!$B$8:$B$127,MATCH(CD121,'Rate &amp; Vol Update'!$B$8:$B$127,1)+1),'Rate &amp; Vol Update'!$B$8:$B$127,0),MATCH(INDEX('Rate &amp; Vol Update'!$E$6:$Z$6,1,MATCH(CI121,'Rate &amp; Vol Update'!$E$6:$Z$6,1)+1),'Rate &amp; Vol Update'!$E$6:$Z$6,0))*(CI121-INDEX('Rate &amp; Vol Update'!$E$6:$Z$6,1,MATCH(CI121,'Rate &amp; Vol Update'!$E$6:$Z$6,1)))*(CD121-INDEX('Rate &amp; Vol Update'!$B$8:$B$127,MATCH(CD121,'Rate &amp; Vol Update'!$B$8:$B$127,1)))))*0.01%))</f>
        <v/>
      </c>
      <c r="CL121" s="5" t="str">
        <f>IF(CC121="","",1/((1+CJ121)^((CE121-'Rate &amp; Vol Update'!$C$2)/360)))</f>
        <v/>
      </c>
      <c r="CN121" s="15" t="str">
        <f>IF(CC121="","",IF(CD121&lt;'Rate &amp; Vol Update'!$C$2,MAX(0,CJ121-CI121)*(CF121/360)*CH121,(((IF('Adjustment Surface'!$C$2='Data Validation'!$A$2,CJ121,IF('Adjustment Surface'!$C$2='Data Validation'!$A$3,CI121,"Unknown Option Type"))-IF('Adjustment Surface'!$C$2='Data Validation'!$A$2,CI121,IF('Adjustment Surface'!$C$2='Data Validation'!$A$3,CJ121,"Unknown Option Type")))*(NORMDIST((IF('Adjustment Surface'!$C$2='Data Validation'!$A$2,CJ121,IF('Adjustment Surface'!$C$2='Data Validation'!$A$3,CI121,"Unknown Option Type"))-IF('Adjustment Surface'!$C$2='Data Validation'!$A$2,CI121,IF('Adjustment Surface'!$C$2='Data Validation'!$A$3,CJ121,"Unknown Option Type")))/(CK121*SQRT(CG121)),0,1,TRUE)))+((CK121*SQRT(CG121))*(NORMDIST((IF('Adjustment Surface'!$C$2='Data Validation'!$A$2,CJ121,IF('Adjustment Surface'!$C$2='Data Validation'!$A$3,CI121,"Unknown Option Type"))-IF('Adjustment Surface'!$C$2='Data Validation'!$A$2,CI121,IF('Adjustment Surface'!$C$2='Data Validation'!$A$3,CJ121,"Unknown Option Type")))/(CK121*SQRT(CG121)),0,1,FALSE))))*CL121*(CF121/360)*CH121))</f>
        <v/>
      </c>
      <c r="CO121" s="15" t="str">
        <f>IF(CC121="","",SUM(CN$4:CN121))</f>
        <v/>
      </c>
      <c r="CQ121" s="15" t="str">
        <f>IF(CC121="","",IF(CD121&lt;'Rate &amp; Vol Update'!$C$2,0,((((((IF('Adjustment Surface'!$C$2='Data Validation'!$A$2,CJ121,IF('Adjustment Surface'!$C$2='Data Validation'!$A$3,CI121,"Unknown Option Type"))-IF('Adjustment Surface'!$C$2='Data Validation'!$A$2,CI121,IF('Adjustment Surface'!$C$2='Data Validation'!$A$3,CJ121,"Unknown Option Type")))*(NORMDIST((IF('Adjustment Surface'!$C$2='Data Validation'!$A$2,CJ121,IF('Adjustment Surface'!$C$2='Data Validation'!$A$3,CI121,"Unknown Option Type"))-IF('Adjustment Surface'!$C$2='Data Validation'!$A$2,CI121,IF('Adjustment Surface'!$C$2='Data Validation'!$A$3,CJ121,"Unknown Option Type")))/((CK121+0.01%)*SQRT(CG121)),0,1,TRUE)))+(((CK121+0.01%)*SQRT(CG121))*(NORMDIST((IF('Adjustment Surface'!$C$2='Data Validation'!$A$2,CJ121,IF('Adjustment Surface'!$C$2='Data Validation'!$A$3,CI121,"Unknown Option Type"))-IF('Adjustment Surface'!$C$2='Data Validation'!$A$2,CI121,IF('Adjustment Surface'!$C$2='Data Validation'!$A$3,CJ121,"Unknown Option Type")))/((CK121+0.01%)*SQRT(CG121)),0,1,FALSE))))*CL121*(CF121/360))-(CN121/CH121))*CH121)*CL121))</f>
        <v/>
      </c>
      <c r="CR121" s="15" t="str">
        <f>IF(CC121="","",SUM(CQ$4:CQ121))</f>
        <v/>
      </c>
    </row>
    <row r="122" spans="7:96" x14ac:dyDescent="0.25">
      <c r="G122" s="28"/>
      <c r="J122" s="4" t="str">
        <f>IF(K121='Adjustment Surface'!C$8,"",K121)</f>
        <v/>
      </c>
      <c r="K122" s="4" t="str">
        <f>IF(J122="","",IF(J122&lt;'Adjustment Surface'!C$7,EDATE(J$5,COUNT(J$5:J122)),IF(J122='Adjustment Surface'!C$7,'Adjustment Surface'!C$8,'Adjustment Surface'!C$7)))</f>
        <v/>
      </c>
      <c r="L122" s="3" t="str">
        <f t="shared" si="6"/>
        <v/>
      </c>
      <c r="M122" s="5" t="str">
        <f>IF(I122="","",(K122-'Rate &amp; Vol Update'!$C$2)/360)</f>
        <v/>
      </c>
      <c r="N122" s="15" t="str">
        <f>IF(I122="","",IF('Adjustment Surface'!C$3='Data Validation'!$C$2,'Adjustment Surface'!C$4,IF(INDEX(Schedules!$E$3:$E$123,MATCH('Bachelier Model'!J122,Schedules!$B$3:$B$123,0))="",N121,INDEX(Schedules!$E$3:$E$123,MATCH('Bachelier Model'!J122,Schedules!$B$3:$B$123,0)))))</f>
        <v/>
      </c>
      <c r="O122" s="16" t="str">
        <f>IF(I122="","",IF('Adjustment Surface'!C$9='Data Validation'!$D$2,'Adjustment Surface'!C$10,IF(INDEX(Schedules!$H$3:$H$123,MATCH('Bachelier Model'!J122,Schedules!$B$3:$B$123,0))="",O121,INDEX(Schedules!$H$3:$H$123,MATCH('Bachelier Model'!J122,Schedules!$B$3:$B$123,0)))))</f>
        <v/>
      </c>
      <c r="P122" s="16" t="str" cm="1">
        <f t="array" ref="P122">IF(I122="","",FORECAST(J122,INDEX('Rate &amp; Vol Update'!$C$6:$C$127,MATCH(INDEX('Rate &amp; Vol Update'!$B$6:$B$127,MATCH(J122,'Rate &amp; Vol Update'!$B$6:$B$127,1)),'Rate &amp; Vol Update'!$B$6:$B$127,0)+IF('Adjustment Surface'!C$11='Data Validation'!$E$3,-1,0)):INDEX('Rate &amp; Vol Update'!$C$6:$C$127,MATCH(INDEX('Rate &amp; Vol Update'!$B$6:$B$127,MATCH(J122,'Rate &amp; Vol Update'!$B$6:$B$127,1)+1),'Rate &amp; Vol Update'!$B$6:$B$127,0)+IF('Adjustment Surface'!C$11='Data Validation'!$E$3,-1,0)),INDEX('Rate &amp; Vol Update'!$B$6:$B$127,MATCH(J122,'Rate &amp; Vol Update'!$B$6:$B$127,1)):INDEX('Rate &amp; Vol Update'!$B$6:$B$127,MATCH(J122,'Rate &amp; Vol Update'!$B$6:$B$127,1)+1))/100)</f>
        <v/>
      </c>
      <c r="Q122" s="16" t="str" cm="1">
        <f t="array" ref="Q122">IF(I122="","",IF(J122&lt;'Rate &amp; Vol Update'!$C$2,0.001%,(1/((INDEX('Rate &amp; Vol Update'!$E$6:$Z$6,1,MATCH(O122,'Rate &amp; Vol Update'!$E$6:$Z$6,1)+1)-INDEX('Rate &amp; Vol Update'!$E$6:$Z$6,1,MATCH(O122,'Rate &amp; Vol Update'!$E$6:$Z$6,1)))*(INDEX('Rate &amp; Vol Update'!$B$8:$B$127,MATCH(J122,'Rate &amp; Vol Update'!$B$8:$B$127,1)+1)-INDEX('Rate &amp; Vol Update'!$B$8:$B$127,MATCH(J122,'Rate &amp; Vol Update'!$B$8:$B$127,1))))*(INDEX('Rate &amp; Vol Update'!$E$8:$Z$127,MATCH(INDEX('Rate &amp; Vol Update'!$B$8:$B$127,MATCH(J122,'Rate &amp; Vol Update'!$B$8:$B$127,1)),'Rate &amp; Vol Update'!$B$8:$B$127,0),MATCH(INDEX('Rate &amp; Vol Update'!$E$6:$Z$6,1,MATCH(O122,'Rate &amp; Vol Update'!$E$6:$Z$6,1)),'Rate &amp; Vol Update'!$E$6:$Z$6,0))*(INDEX('Rate &amp; Vol Update'!$E$6:$Z$6,1,MATCH(O122,'Rate &amp; Vol Update'!$E$6:$Z$6,1)+1)-O122)*(INDEX('Rate &amp; Vol Update'!$B$8:$B$127,MATCH(J122,'Rate &amp; Vol Update'!$B$8:$B$127,1)+1)-J122)+INDEX('Rate &amp; Vol Update'!$E$8:$Z$127,MATCH(INDEX('Rate &amp; Vol Update'!$B$8:$B$127,MATCH(J122,'Rate &amp; Vol Update'!$B$8:$B$127,1)),'Rate &amp; Vol Update'!$B$8:$B$127,0),MATCH(INDEX('Rate &amp; Vol Update'!$E$6:$Z$6,1,MATCH(O122,'Rate &amp; Vol Update'!$E$6:$Z$6,1)+1),'Rate &amp; Vol Update'!$E$6:$Z$6,0))*(O122-INDEX('Rate &amp; Vol Update'!$E$6:$Z$6,1,MATCH(O122,'Rate &amp; Vol Update'!$E$6:$Z$6,1)))*(INDEX('Rate &amp; Vol Update'!$B$8:$B$127,MATCH(J122,'Rate &amp; Vol Update'!$B$8:$B$127,1)+1)-J122)+INDEX('Rate &amp; Vol Update'!$E$8:$Z$127,MATCH(INDEX('Rate &amp; Vol Update'!$B$8:$B$127,MATCH(J122,'Rate &amp; Vol Update'!$B$8:$B$127,1)+1),'Rate &amp; Vol Update'!$B$8:$B$127,0),MATCH(INDEX('Rate &amp; Vol Update'!$E$6:$Z$6,1,MATCH(O122,'Rate &amp; Vol Update'!$E$6:$Z$6,1)),'Rate &amp; Vol Update'!$E$6:$Z$6,0))*(INDEX('Rate &amp; Vol Update'!$E$6:$Z$6,1,MATCH(O122,'Rate &amp; Vol Update'!$E$6:$Z$6,1)+1)-O122)*(J122-INDEX('Rate &amp; Vol Update'!$B$8:$B$127,MATCH(J122,'Rate &amp; Vol Update'!$B$8:$B$127,1)))+INDEX('Rate &amp; Vol Update'!$E$8:$Z$127,MATCH(INDEX('Rate &amp; Vol Update'!$B$8:$B$127,MATCH(J122,'Rate &amp; Vol Update'!$B$8:$B$127,1)+1),'Rate &amp; Vol Update'!$B$8:$B$127,0),MATCH(INDEX('Rate &amp; Vol Update'!$E$6:$Z$6,1,MATCH(O122,'Rate &amp; Vol Update'!$E$6:$Z$6,1)+1),'Rate &amp; Vol Update'!$E$6:$Z$6,0))*(O122-INDEX('Rate &amp; Vol Update'!$E$6:$Z$6,1,MATCH(O122,'Rate &amp; Vol Update'!$E$6:$Z$6,1)))*(J122-INDEX('Rate &amp; Vol Update'!$B$8:$B$127,MATCH(J122,'Rate &amp; Vol Update'!$B$8:$B$127,1)))))*0.01%))</f>
        <v/>
      </c>
      <c r="R122" s="5" t="str">
        <f>IF(I122="","",1/((1+P122)^((K122-'Rate &amp; Vol Update'!$C$2)/360)))</f>
        <v/>
      </c>
      <c r="T122" s="15" t="str">
        <f>IF(I122="","",IF(J122&lt;'Rate &amp; Vol Update'!$C$2,MAX(0,P122-O122)*(L122/360)*N122,(((IF('Adjustment Surface'!C$2='Data Validation'!$A$2,P122,IF('Adjustment Surface'!C$2='Data Validation'!$A$3,O122,"Unknown Option Type"))-IF('Adjustment Surface'!C$2='Data Validation'!$A$2,O122,IF('Adjustment Surface'!C$2='Data Validation'!$A$3,P122,"Unknown Option Type")))*(NORMDIST((IF('Adjustment Surface'!C$2='Data Validation'!$A$2,P122,IF('Adjustment Surface'!C$2='Data Validation'!$A$3,O122,"Unknown Option Type"))-IF('Adjustment Surface'!C$2='Data Validation'!$A$2,O122,IF('Adjustment Surface'!C$2='Data Validation'!$A$3,P122,"Unknown Option Type")))/(Q122*SQRT(M122)),0,1,TRUE)))+((Q122*SQRT(M122))*(NORMDIST((IF('Adjustment Surface'!C$2='Data Validation'!$A$2,P122,IF('Adjustment Surface'!C$2='Data Validation'!$A$3,O122,"Unknown Option Type"))-IF('Adjustment Surface'!C$2='Data Validation'!$A$2,O122,IF('Adjustment Surface'!C$2='Data Validation'!$A$3,P122,"Unknown Option Type")))/(Q122*SQRT(M122)),0,1,FALSE))))*R122*(L122/360)*N122))</f>
        <v/>
      </c>
      <c r="U122" s="15" t="str">
        <f>IF(I122="","",SUM(T$4:T122))</f>
        <v/>
      </c>
      <c r="W122" s="15" t="str">
        <f>IF(I122="","",IF(J122&lt;'Rate &amp; Vol Update'!$C$2,0,((((((IF('Adjustment Surface'!C$2='Data Validation'!$A$2,P122,IF('Adjustment Surface'!C$2='Data Validation'!$A$3,O122,"Unknown Option Type"))-IF('Adjustment Surface'!C$2='Data Validation'!$A$2,O122,IF('Adjustment Surface'!C$2='Data Validation'!$A$3,P122,"Unknown Option Type")))*(NORMDIST((IF('Adjustment Surface'!C$2='Data Validation'!$A$2,P122,IF('Adjustment Surface'!C$2='Data Validation'!$A$3,O122,"Unknown Option Type"))-IF('Adjustment Surface'!C$2='Data Validation'!$A$2,O122,IF('Adjustment Surface'!C$2='Data Validation'!$A$3,P122,"Unknown Option Type")))/((Q122+0.01%)*SQRT(M122)),0,1,TRUE)))+(((Q122+0.01%)*SQRT(M122))*(NORMDIST((IF('Adjustment Surface'!C$2='Data Validation'!$A$2,P122,IF('Adjustment Surface'!C$2='Data Validation'!$A$3,O122,"Unknown Option Type"))-IF('Adjustment Surface'!C$2='Data Validation'!$A$2,O122,IF('Adjustment Surface'!C$2='Data Validation'!$A$3,P122,"Unknown Option Type")))/((Q122+0.01%)*SQRT(M122)),0,1,FALSE))))*R122*(L122/360))-(T122/N122))*N122)*R122))</f>
        <v/>
      </c>
      <c r="X122" s="15" t="str">
        <f>IF(I122="","",SUM(W$4:W122))</f>
        <v/>
      </c>
      <c r="Y122" s="15"/>
      <c r="Z122" s="20"/>
      <c r="AB122" s="4" t="str">
        <f>IF(AC121=MAX('Adjustment Surface'!$C$14:$F$14),"",AC121)</f>
        <v/>
      </c>
      <c r="AC122" s="4" t="str">
        <f>IF(AB122="","",IF(AB122&lt;EDATE('Adjustment Surface'!$C$6,DATEDIF('Adjustment Surface'!$C$6,MAX('Adjustment Surface'!$C$14:$F$14),"M")),EDATE(AB$5,COUNT(AB$5:AB122)),IF(AB122=EDATE('Adjustment Surface'!$C$6,DATEDIF('Adjustment Surface'!$C$6,MAX('Adjustment Surface'!$C$14:$F$14),"M")),MAX('Adjustment Surface'!$C$14:$F$14),EDATE('Adjustment Surface'!$C$6,DATEDIF('Adjustment Surface'!$C$6,MAX('Adjustment Surface'!$C$14:$F$14),"M")))))</f>
        <v/>
      </c>
      <c r="AD122" s="3" t="str">
        <f t="shared" si="7"/>
        <v/>
      </c>
      <c r="AE122" s="5" t="str">
        <f>IF(AA122="","",(AC122-'Rate &amp; Vol Update'!$C$2)/360)</f>
        <v/>
      </c>
      <c r="AF122" s="15" t="str">
        <f>IF(AA122="","",IF('Adjustment Surface'!$C$3='Data Validation'!$C$2,'Adjustment Surface'!$C$4,_xlfn.IFNA(IF(INDEX(Schedules!$E$3:$E$123,MATCH('Bachelier Model'!AB122,Schedules!$B$3:$B$123,0))="",AF121,INDEX(Schedules!$E$3:$E$123,MATCH('Bachelier Model'!AB122,Schedules!$B$3:$B$123,0))),AF121)))</f>
        <v/>
      </c>
      <c r="AG122" s="16" t="str">
        <f>IF(AA122="","",'Adjustment Surface'!B$15)</f>
        <v/>
      </c>
      <c r="AH122" s="16" t="str" cm="1">
        <f t="array" ref="AH122">IF(AA122="","",FORECAST(AB122,INDEX('Rate &amp; Vol Update'!$C$6:$C$127,MATCH(INDEX('Rate &amp; Vol Update'!$B$6:$B$127,MATCH(AB122,'Rate &amp; Vol Update'!$B$6:$B$127,1)),'Rate &amp; Vol Update'!$B$6:$B$127,0)+IF('Adjustment Surface'!$C$11='Data Validation'!$E$3,-1,0)):INDEX('Rate &amp; Vol Update'!$C$6:$C$127,MATCH(INDEX('Rate &amp; Vol Update'!$B$6:$B$127,MATCH(AB122,'Rate &amp; Vol Update'!$B$6:$B$127,1)+1),'Rate &amp; Vol Update'!$B$6:$B$127,0)+IF('Adjustment Surface'!$C$11='Data Validation'!$E$3,-1,0)),INDEX('Rate &amp; Vol Update'!$B$6:$B$127,MATCH(AB122,'Rate &amp; Vol Update'!$B$6:$B$127,1)):INDEX('Rate &amp; Vol Update'!$B$6:$B$127,MATCH(AB122,'Rate &amp; Vol Update'!$B$6:$B$127,1)+1))/100)</f>
        <v/>
      </c>
      <c r="AI122" s="16" t="str" cm="1">
        <f t="array" ref="AI122">IF(AA122="","",IF(AB122&lt;'Rate &amp; Vol Update'!$C$2,0.001%,(1/((INDEX('Rate &amp; Vol Update'!$E$6:$Z$6,1,MATCH(AG122,'Rate &amp; Vol Update'!$E$6:$Z$6,1)+1)-INDEX('Rate &amp; Vol Update'!$E$6:$Z$6,1,MATCH(AG122,'Rate &amp; Vol Update'!$E$6:$Z$6,1)))*(INDEX('Rate &amp; Vol Update'!$B$8:$B$127,MATCH(AB122,'Rate &amp; Vol Update'!$B$8:$B$127,1)+1)-INDEX('Rate &amp; Vol Update'!$B$8:$B$127,MATCH(AB122,'Rate &amp; Vol Update'!$B$8:$B$127,1))))*(INDEX('Rate &amp; Vol Update'!$E$8:$Z$127,MATCH(INDEX('Rate &amp; Vol Update'!$B$8:$B$127,MATCH(AB122,'Rate &amp; Vol Update'!$B$8:$B$127,1)),'Rate &amp; Vol Update'!$B$8:$B$127,0),MATCH(INDEX('Rate &amp; Vol Update'!$E$6:$Z$6,1,MATCH(AG122,'Rate &amp; Vol Update'!$E$6:$Z$6,1)),'Rate &amp; Vol Update'!$E$6:$Z$6,0))*(INDEX('Rate &amp; Vol Update'!$E$6:$Z$6,1,MATCH(AG122,'Rate &amp; Vol Update'!$E$6:$Z$6,1)+1)-AG122)*(INDEX('Rate &amp; Vol Update'!$B$8:$B$127,MATCH(AB122,'Rate &amp; Vol Update'!$B$8:$B$127,1)+1)-AB122)+INDEX('Rate &amp; Vol Update'!$E$8:$Z$127,MATCH(INDEX('Rate &amp; Vol Update'!$B$8:$B$127,MATCH(AB122,'Rate &amp; Vol Update'!$B$8:$B$127,1)),'Rate &amp; Vol Update'!$B$8:$B$127,0),MATCH(INDEX('Rate &amp; Vol Update'!$E$6:$Z$6,1,MATCH(AG122,'Rate &amp; Vol Update'!$E$6:$Z$6,1)+1),'Rate &amp; Vol Update'!$E$6:$Z$6,0))*(AG122-INDEX('Rate &amp; Vol Update'!$E$6:$Z$6,1,MATCH(AG122,'Rate &amp; Vol Update'!$E$6:$Z$6,1)))*(INDEX('Rate &amp; Vol Update'!$B$8:$B$127,MATCH(AB122,'Rate &amp; Vol Update'!$B$8:$B$127,1)+1)-AB122)+INDEX('Rate &amp; Vol Update'!$E$8:$Z$127,MATCH(INDEX('Rate &amp; Vol Update'!$B$8:$B$127,MATCH(AB122,'Rate &amp; Vol Update'!$B$8:$B$127,1)+1),'Rate &amp; Vol Update'!$B$8:$B$127,0),MATCH(INDEX('Rate &amp; Vol Update'!$E$6:$Z$6,1,MATCH(AG122,'Rate &amp; Vol Update'!$E$6:$Z$6,1)),'Rate &amp; Vol Update'!$E$6:$Z$6,0))*(INDEX('Rate &amp; Vol Update'!$E$6:$Z$6,1,MATCH(AG122,'Rate &amp; Vol Update'!$E$6:$Z$6,1)+1)-AG122)*(AB122-INDEX('Rate &amp; Vol Update'!$B$8:$B$127,MATCH(AB122,'Rate &amp; Vol Update'!$B$8:$B$127,1)))+INDEX('Rate &amp; Vol Update'!$E$8:$Z$127,MATCH(INDEX('Rate &amp; Vol Update'!$B$8:$B$127,MATCH(AB122,'Rate &amp; Vol Update'!$B$8:$B$127,1)+1),'Rate &amp; Vol Update'!$B$8:$B$127,0),MATCH(INDEX('Rate &amp; Vol Update'!$E$6:$Z$6,1,MATCH(AG122,'Rate &amp; Vol Update'!$E$6:$Z$6,1)+1),'Rate &amp; Vol Update'!$E$6:$Z$6,0))*(AG122-INDEX('Rate &amp; Vol Update'!$E$6:$Z$6,1,MATCH(AG122,'Rate &amp; Vol Update'!$E$6:$Z$6,1)))*(AB122-INDEX('Rate &amp; Vol Update'!$B$8:$B$127,MATCH(AB122,'Rate &amp; Vol Update'!$B$8:$B$127,1)))))*0.01%))</f>
        <v/>
      </c>
      <c r="AJ122" s="5" t="str">
        <f>IF(AA122="","",1/((1+AH122)^((AC122-'Rate &amp; Vol Update'!$C$2)/360)))</f>
        <v/>
      </c>
      <c r="AL122" s="15" t="str">
        <f>IF(AA122="","",IF(AB122&lt;'Rate &amp; Vol Update'!$C$2,MAX(0,AH122-AG122)*(AD122/360)*AF122,(((IF('Adjustment Surface'!$C$2='Data Validation'!$A$2,AH122,IF('Adjustment Surface'!$C$2='Data Validation'!$A$3,AG122,"Unknown Option Type"))-IF('Adjustment Surface'!$C$2='Data Validation'!$A$2,AG122,IF('Adjustment Surface'!$C$2='Data Validation'!$A$3,AH122,"Unknown Option Type")))*(NORMDIST((IF('Adjustment Surface'!$C$2='Data Validation'!$A$2,AH122,IF('Adjustment Surface'!$C$2='Data Validation'!$A$3,AG122,"Unknown Option Type"))-IF('Adjustment Surface'!$C$2='Data Validation'!$A$2,AG122,IF('Adjustment Surface'!$C$2='Data Validation'!$A$3,AH122,"Unknown Option Type")))/(AI122*SQRT(AE122)),0,1,TRUE)))+((AI122*SQRT(AE122))*(NORMDIST((IF('Adjustment Surface'!$C$2='Data Validation'!$A$2,AH122,IF('Adjustment Surface'!$C$2='Data Validation'!$A$3,AG122,"Unknown Option Type"))-IF('Adjustment Surface'!$C$2='Data Validation'!$A$2,AG122,IF('Adjustment Surface'!$C$2='Data Validation'!$A$3,AH122,"Unknown Option Type")))/(AI122*SQRT(AE122)),0,1,FALSE))))*AJ122*(AD122/360)*AF122))</f>
        <v/>
      </c>
      <c r="AM122" s="15" t="str">
        <f>IF(AA122="","",SUM(AL$4:AL122))</f>
        <v/>
      </c>
      <c r="AO122" s="15" t="str">
        <f>IF(AA122="","",IF(AB122&lt;'Rate &amp; Vol Update'!$C$2,0,((((((IF('Adjustment Surface'!$C$2='Data Validation'!$A$2,AH122,IF('Adjustment Surface'!$C$2='Data Validation'!$A$3,AG122,"Unknown Option Type"))-IF('Adjustment Surface'!$C$2='Data Validation'!$A$2,AG122,IF('Adjustment Surface'!$C$2='Data Validation'!$A$3,AH122,"Unknown Option Type")))*(NORMDIST((IF('Adjustment Surface'!$C$2='Data Validation'!$A$2,AH122,IF('Adjustment Surface'!$C$2='Data Validation'!$A$3,AG122,"Unknown Option Type"))-IF('Adjustment Surface'!$C$2='Data Validation'!$A$2,AG122,IF('Adjustment Surface'!$C$2='Data Validation'!$A$3,AH122,"Unknown Option Type")))/((AI122+0.01%)*SQRT(AE122)),0,1,TRUE)))+(((AI122+0.01%)*SQRT(AE122))*(NORMDIST((IF('Adjustment Surface'!$C$2='Data Validation'!$A$2,AH122,IF('Adjustment Surface'!$C$2='Data Validation'!$A$3,AG122,"Unknown Option Type"))-IF('Adjustment Surface'!$C$2='Data Validation'!$A$2,AG122,IF('Adjustment Surface'!$C$2='Data Validation'!$A$3,AH122,"Unknown Option Type")))/((AI122+0.01%)*SQRT(AE122)),0,1,FALSE))))*AJ122*(AD122/360))-(AL122/AF122))*AF122)*AJ122))</f>
        <v/>
      </c>
      <c r="AP122" s="15" t="str">
        <f>IF(AA122="","",SUM(AO$4:AO122))</f>
        <v/>
      </c>
      <c r="AQ122" s="15"/>
      <c r="AR122" s="20"/>
      <c r="AT122" s="4" t="str">
        <f>IF(AU121=MAX('Adjustment Surface'!$C$14:$F$14),"",AU121)</f>
        <v/>
      </c>
      <c r="AU122" s="4" t="str">
        <f>IF(AT122="","",IF(AT122&lt;EDATE('Adjustment Surface'!$C$6,DATEDIF('Adjustment Surface'!$C$6,MAX('Adjustment Surface'!$C$14:$F$14),"M")),EDATE(AT$5,COUNT(AT$5:AT122)),IF(AT122=EDATE('Adjustment Surface'!$C$6,DATEDIF('Adjustment Surface'!$C$6,MAX('Adjustment Surface'!$C$14:$F$14),"M")),MAX('Adjustment Surface'!$C$14:$F$14),EDATE('Adjustment Surface'!$C$6,DATEDIF('Adjustment Surface'!$C$6,MAX('Adjustment Surface'!$C$14:$F$14),"M")))))</f>
        <v/>
      </c>
      <c r="AV122" s="3" t="str">
        <f t="shared" si="8"/>
        <v/>
      </c>
      <c r="AW122" s="5" t="str">
        <f>IF(AS122="","",(AU122-'Rate &amp; Vol Update'!$C$2)/360)</f>
        <v/>
      </c>
      <c r="AX122" s="15" t="str">
        <f>IF(AS122="","",IF('Adjustment Surface'!$C$3='Data Validation'!$C$2,'Adjustment Surface'!$C$4,_xlfn.IFNA(IF(INDEX(Schedules!$E$3:$E$123,MATCH('Bachelier Model'!AT122,Schedules!$B$3:$B$123,0))="",AX121,INDEX(Schedules!$E$3:$E$123,MATCH('Bachelier Model'!AT122,Schedules!$B$3:$B$123,0))),AX121)))</f>
        <v/>
      </c>
      <c r="AY122" s="16" t="str">
        <f>IF(AS122="","",'Adjustment Surface'!B$16)</f>
        <v/>
      </c>
      <c r="AZ122" s="16" t="str" cm="1">
        <f t="array" ref="AZ122">IF(AS122="","",FORECAST(AT122,INDEX('Rate &amp; Vol Update'!$C$6:$C$127,MATCH(INDEX('Rate &amp; Vol Update'!$B$6:$B$127,MATCH(AT122,'Rate &amp; Vol Update'!$B$6:$B$127,1)),'Rate &amp; Vol Update'!$B$6:$B$127,0)+IF('Adjustment Surface'!$C$11='Data Validation'!$E$3,-1,0)):INDEX('Rate &amp; Vol Update'!$C$6:$C$127,MATCH(INDEX('Rate &amp; Vol Update'!$B$6:$B$127,MATCH(AT122,'Rate &amp; Vol Update'!$B$6:$B$127,1)+1),'Rate &amp; Vol Update'!$B$6:$B$127,0)+IF('Adjustment Surface'!$C$11='Data Validation'!$E$3,-1,0)),INDEX('Rate &amp; Vol Update'!$B$6:$B$127,MATCH(AT122,'Rate &amp; Vol Update'!$B$6:$B$127,1)):INDEX('Rate &amp; Vol Update'!$B$6:$B$127,MATCH(AT122,'Rate &amp; Vol Update'!$B$6:$B$127,1)+1))/100)</f>
        <v/>
      </c>
      <c r="BA122" s="16" t="str" cm="1">
        <f t="array" ref="BA122">IF(AS122="","",IF(AT122&lt;'Rate &amp; Vol Update'!$C$2,0.001%,(1/((INDEX('Rate &amp; Vol Update'!$E$6:$Z$6,1,MATCH(AY122,'Rate &amp; Vol Update'!$E$6:$Z$6,1)+1)-INDEX('Rate &amp; Vol Update'!$E$6:$Z$6,1,MATCH(AY122,'Rate &amp; Vol Update'!$E$6:$Z$6,1)))*(INDEX('Rate &amp; Vol Update'!$B$8:$B$127,MATCH(AT122,'Rate &amp; Vol Update'!$B$8:$B$127,1)+1)-INDEX('Rate &amp; Vol Update'!$B$8:$B$127,MATCH(AT122,'Rate &amp; Vol Update'!$B$8:$B$127,1))))*(INDEX('Rate &amp; Vol Update'!$E$8:$Z$127,MATCH(INDEX('Rate &amp; Vol Update'!$B$8:$B$127,MATCH(AT122,'Rate &amp; Vol Update'!$B$8:$B$127,1)),'Rate &amp; Vol Update'!$B$8:$B$127,0),MATCH(INDEX('Rate &amp; Vol Update'!$E$6:$Z$6,1,MATCH(AY122,'Rate &amp; Vol Update'!$E$6:$Z$6,1)),'Rate &amp; Vol Update'!$E$6:$Z$6,0))*(INDEX('Rate &amp; Vol Update'!$E$6:$Z$6,1,MATCH(AY122,'Rate &amp; Vol Update'!$E$6:$Z$6,1)+1)-AY122)*(INDEX('Rate &amp; Vol Update'!$B$8:$B$127,MATCH(AT122,'Rate &amp; Vol Update'!$B$8:$B$127,1)+1)-AT122)+INDEX('Rate &amp; Vol Update'!$E$8:$Z$127,MATCH(INDEX('Rate &amp; Vol Update'!$B$8:$B$127,MATCH(AT122,'Rate &amp; Vol Update'!$B$8:$B$127,1)),'Rate &amp; Vol Update'!$B$8:$B$127,0),MATCH(INDEX('Rate &amp; Vol Update'!$E$6:$Z$6,1,MATCH(AY122,'Rate &amp; Vol Update'!$E$6:$Z$6,1)+1),'Rate &amp; Vol Update'!$E$6:$Z$6,0))*(AY122-INDEX('Rate &amp; Vol Update'!$E$6:$Z$6,1,MATCH(AY122,'Rate &amp; Vol Update'!$E$6:$Z$6,1)))*(INDEX('Rate &amp; Vol Update'!$B$8:$B$127,MATCH(AT122,'Rate &amp; Vol Update'!$B$8:$B$127,1)+1)-AT122)+INDEX('Rate &amp; Vol Update'!$E$8:$Z$127,MATCH(INDEX('Rate &amp; Vol Update'!$B$8:$B$127,MATCH(AT122,'Rate &amp; Vol Update'!$B$8:$B$127,1)+1),'Rate &amp; Vol Update'!$B$8:$B$127,0),MATCH(INDEX('Rate &amp; Vol Update'!$E$6:$Z$6,1,MATCH(AY122,'Rate &amp; Vol Update'!$E$6:$Z$6,1)),'Rate &amp; Vol Update'!$E$6:$Z$6,0))*(INDEX('Rate &amp; Vol Update'!$E$6:$Z$6,1,MATCH(AY122,'Rate &amp; Vol Update'!$E$6:$Z$6,1)+1)-AY122)*(AT122-INDEX('Rate &amp; Vol Update'!$B$8:$B$127,MATCH(AT122,'Rate &amp; Vol Update'!$B$8:$B$127,1)))+INDEX('Rate &amp; Vol Update'!$E$8:$Z$127,MATCH(INDEX('Rate &amp; Vol Update'!$B$8:$B$127,MATCH(AT122,'Rate &amp; Vol Update'!$B$8:$B$127,1)+1),'Rate &amp; Vol Update'!$B$8:$B$127,0),MATCH(INDEX('Rate &amp; Vol Update'!$E$6:$Z$6,1,MATCH(AY122,'Rate &amp; Vol Update'!$E$6:$Z$6,1)+1),'Rate &amp; Vol Update'!$E$6:$Z$6,0))*(AY122-INDEX('Rate &amp; Vol Update'!$E$6:$Z$6,1,MATCH(AY122,'Rate &amp; Vol Update'!$E$6:$Z$6,1)))*(AT122-INDEX('Rate &amp; Vol Update'!$B$8:$B$127,MATCH(AT122,'Rate &amp; Vol Update'!$B$8:$B$127,1)))))*0.01%))</f>
        <v/>
      </c>
      <c r="BB122" s="5" t="str">
        <f>IF(AS122="","",1/((1+AZ122)^((AU122-'Rate &amp; Vol Update'!$C$2)/360)))</f>
        <v/>
      </c>
      <c r="BD122" s="15" t="str">
        <f>IF(AS122="","",IF(AT122&lt;'Rate &amp; Vol Update'!$C$2,MAX(0,AZ122-AY122)*(AV122/360)*AX122,(((IF('Adjustment Surface'!$C$2='Data Validation'!$A$2,AZ122,IF('Adjustment Surface'!$C$2='Data Validation'!$A$3,AY122,"Unknown Option Type"))-IF('Adjustment Surface'!$C$2='Data Validation'!$A$2,AY122,IF('Adjustment Surface'!$C$2='Data Validation'!$A$3,AZ122,"Unknown Option Type")))*(NORMDIST((IF('Adjustment Surface'!$C$2='Data Validation'!$A$2,AZ122,IF('Adjustment Surface'!$C$2='Data Validation'!$A$3,AY122,"Unknown Option Type"))-IF('Adjustment Surface'!$C$2='Data Validation'!$A$2,AY122,IF('Adjustment Surface'!$C$2='Data Validation'!$A$3,AZ122,"Unknown Option Type")))/(BA122*SQRT(AW122)),0,1,TRUE)))+((BA122*SQRT(AW122))*(NORMDIST((IF('Adjustment Surface'!$C$2='Data Validation'!$A$2,AZ122,IF('Adjustment Surface'!$C$2='Data Validation'!$A$3,AY122,"Unknown Option Type"))-IF('Adjustment Surface'!$C$2='Data Validation'!$A$2,AY122,IF('Adjustment Surface'!$C$2='Data Validation'!$A$3,AZ122,"Unknown Option Type")))/(BA122*SQRT(AW122)),0,1,FALSE))))*BB122*(AV122/360)*AX122))</f>
        <v/>
      </c>
      <c r="BE122" s="15" t="str">
        <f>IF(AS122="","",SUM(BD$4:BD122))</f>
        <v/>
      </c>
      <c r="BG122" s="15" t="str">
        <f>IF(AS122="","",IF(AT122&lt;'Rate &amp; Vol Update'!$C$2,0,((((((IF('Adjustment Surface'!$C$2='Data Validation'!$A$2,AZ122,IF('Adjustment Surface'!$C$2='Data Validation'!$A$3,AY122,"Unknown Option Type"))-IF('Adjustment Surface'!$C$2='Data Validation'!$A$2,AY122,IF('Adjustment Surface'!$C$2='Data Validation'!$A$3,AZ122,"Unknown Option Type")))*(NORMDIST((IF('Adjustment Surface'!$C$2='Data Validation'!$A$2,AZ122,IF('Adjustment Surface'!$C$2='Data Validation'!$A$3,AY122,"Unknown Option Type"))-IF('Adjustment Surface'!$C$2='Data Validation'!$A$2,AY122,IF('Adjustment Surface'!$C$2='Data Validation'!$A$3,AZ122,"Unknown Option Type")))/((BA122+0.01%)*SQRT(AW122)),0,1,TRUE)))+(((BA122+0.01%)*SQRT(AW122))*(NORMDIST((IF('Adjustment Surface'!$C$2='Data Validation'!$A$2,AZ122,IF('Adjustment Surface'!$C$2='Data Validation'!$A$3,AY122,"Unknown Option Type"))-IF('Adjustment Surface'!$C$2='Data Validation'!$A$2,AY122,IF('Adjustment Surface'!$C$2='Data Validation'!$A$3,AZ122,"Unknown Option Type")))/((BA122+0.01%)*SQRT(AW122)),0,1,FALSE))))*BB122*(AV122/360))-(BD122/AX122))*AX122)*BB122))</f>
        <v/>
      </c>
      <c r="BH122" s="15" t="str">
        <f>IF(AS122="","",SUM(BG$4:BG122))</f>
        <v/>
      </c>
      <c r="BI122" s="15"/>
      <c r="BJ122" s="20"/>
      <c r="BL122" s="4" t="str">
        <f>IF(BM121=MAX('Adjustment Surface'!$C$14:$F$14),"",BM121)</f>
        <v/>
      </c>
      <c r="BM122" s="4" t="str">
        <f>IF(BL122="","",IF(BL122&lt;EDATE('Adjustment Surface'!$C$6,DATEDIF('Adjustment Surface'!$C$6,MAX('Adjustment Surface'!$C$14:$F$14),"M")),EDATE(BL$5,COUNT(BL$5:BL122)),IF(BL122=EDATE('Adjustment Surface'!$C$6,DATEDIF('Adjustment Surface'!$C$6,MAX('Adjustment Surface'!$C$14:$F$14),"M")),MAX('Adjustment Surface'!$C$14:$F$14),EDATE('Adjustment Surface'!$C$6,DATEDIF('Adjustment Surface'!$C$6,MAX('Adjustment Surface'!$C$14:$F$14),"M")))))</f>
        <v/>
      </c>
      <c r="BN122" s="3" t="str">
        <f t="shared" si="9"/>
        <v/>
      </c>
      <c r="BO122" s="5" t="str">
        <f>IF(BK122="","",(BM122-'Rate &amp; Vol Update'!$C$2)/360)</f>
        <v/>
      </c>
      <c r="BP122" s="15" t="str">
        <f>IF(BK122="","",IF('Adjustment Surface'!$C$3='Data Validation'!$C$2,'Adjustment Surface'!$C$4,_xlfn.IFNA(IF(INDEX(Schedules!$E$3:$E$123,MATCH('Bachelier Model'!BL122,Schedules!$B$3:$B$123,0))="",BP121,INDEX(Schedules!$E$3:$E$123,MATCH('Bachelier Model'!BL122,Schedules!$B$3:$B$123,0))),BP121)))</f>
        <v/>
      </c>
      <c r="BQ122" s="16" t="str">
        <f>IF(BK122="","",'Adjustment Surface'!B$17)</f>
        <v/>
      </c>
      <c r="BR122" s="16" t="str" cm="1">
        <f t="array" ref="BR122">IF(BK122="","",FORECAST(BL122,INDEX('Rate &amp; Vol Update'!$C$6:$C$127,MATCH(INDEX('Rate &amp; Vol Update'!$B$6:$B$127,MATCH(BL122,'Rate &amp; Vol Update'!$B$6:$B$127,1)),'Rate &amp; Vol Update'!$B$6:$B$127,0)+IF('Adjustment Surface'!$C$11='Data Validation'!$E$3,-1,0)):INDEX('Rate &amp; Vol Update'!$C$6:$C$127,MATCH(INDEX('Rate &amp; Vol Update'!$B$6:$B$127,MATCH(BL122,'Rate &amp; Vol Update'!$B$6:$B$127,1)+1),'Rate &amp; Vol Update'!$B$6:$B$127,0)+IF('Adjustment Surface'!$C$11='Data Validation'!$E$3,-1,0)),INDEX('Rate &amp; Vol Update'!$B$6:$B$127,MATCH(BL122,'Rate &amp; Vol Update'!$B$6:$B$127,1)):INDEX('Rate &amp; Vol Update'!$B$6:$B$127,MATCH(BL122,'Rate &amp; Vol Update'!$B$6:$B$127,1)+1))/100)</f>
        <v/>
      </c>
      <c r="BS122" s="16" t="str" cm="1">
        <f t="array" ref="BS122">IF(BK122="","",IF(BL122&lt;'Rate &amp; Vol Update'!$C$2,0.001%,(1/((INDEX('Rate &amp; Vol Update'!$E$6:$Z$6,1,MATCH(BQ122,'Rate &amp; Vol Update'!$E$6:$Z$6,1)+1)-INDEX('Rate &amp; Vol Update'!$E$6:$Z$6,1,MATCH(BQ122,'Rate &amp; Vol Update'!$E$6:$Z$6,1)))*(INDEX('Rate &amp; Vol Update'!$B$8:$B$127,MATCH(BL122,'Rate &amp; Vol Update'!$B$8:$B$127,1)+1)-INDEX('Rate &amp; Vol Update'!$B$8:$B$127,MATCH(BL122,'Rate &amp; Vol Update'!$B$8:$B$127,1))))*(INDEX('Rate &amp; Vol Update'!$E$8:$Z$127,MATCH(INDEX('Rate &amp; Vol Update'!$B$8:$B$127,MATCH(BL122,'Rate &amp; Vol Update'!$B$8:$B$127,1)),'Rate &amp; Vol Update'!$B$8:$B$127,0),MATCH(INDEX('Rate &amp; Vol Update'!$E$6:$Z$6,1,MATCH(BQ122,'Rate &amp; Vol Update'!$E$6:$Z$6,1)),'Rate &amp; Vol Update'!$E$6:$Z$6,0))*(INDEX('Rate &amp; Vol Update'!$E$6:$Z$6,1,MATCH(BQ122,'Rate &amp; Vol Update'!$E$6:$Z$6,1)+1)-BQ122)*(INDEX('Rate &amp; Vol Update'!$B$8:$B$127,MATCH(BL122,'Rate &amp; Vol Update'!$B$8:$B$127,1)+1)-BL122)+INDEX('Rate &amp; Vol Update'!$E$8:$Z$127,MATCH(INDEX('Rate &amp; Vol Update'!$B$8:$B$127,MATCH(BL122,'Rate &amp; Vol Update'!$B$8:$B$127,1)),'Rate &amp; Vol Update'!$B$8:$B$127,0),MATCH(INDEX('Rate &amp; Vol Update'!$E$6:$Z$6,1,MATCH(BQ122,'Rate &amp; Vol Update'!$E$6:$Z$6,1)+1),'Rate &amp; Vol Update'!$E$6:$Z$6,0))*(BQ122-INDEX('Rate &amp; Vol Update'!$E$6:$Z$6,1,MATCH(BQ122,'Rate &amp; Vol Update'!$E$6:$Z$6,1)))*(INDEX('Rate &amp; Vol Update'!$B$8:$B$127,MATCH(BL122,'Rate &amp; Vol Update'!$B$8:$B$127,1)+1)-BL122)+INDEX('Rate &amp; Vol Update'!$E$8:$Z$127,MATCH(INDEX('Rate &amp; Vol Update'!$B$8:$B$127,MATCH(BL122,'Rate &amp; Vol Update'!$B$8:$B$127,1)+1),'Rate &amp; Vol Update'!$B$8:$B$127,0),MATCH(INDEX('Rate &amp; Vol Update'!$E$6:$Z$6,1,MATCH(BQ122,'Rate &amp; Vol Update'!$E$6:$Z$6,1)),'Rate &amp; Vol Update'!$E$6:$Z$6,0))*(INDEX('Rate &amp; Vol Update'!$E$6:$Z$6,1,MATCH(BQ122,'Rate &amp; Vol Update'!$E$6:$Z$6,1)+1)-BQ122)*(BL122-INDEX('Rate &amp; Vol Update'!$B$8:$B$127,MATCH(BL122,'Rate &amp; Vol Update'!$B$8:$B$127,1)))+INDEX('Rate &amp; Vol Update'!$E$8:$Z$127,MATCH(INDEX('Rate &amp; Vol Update'!$B$8:$B$127,MATCH(BL122,'Rate &amp; Vol Update'!$B$8:$B$127,1)+1),'Rate &amp; Vol Update'!$B$8:$B$127,0),MATCH(INDEX('Rate &amp; Vol Update'!$E$6:$Z$6,1,MATCH(BQ122,'Rate &amp; Vol Update'!$E$6:$Z$6,1)+1),'Rate &amp; Vol Update'!$E$6:$Z$6,0))*(BQ122-INDEX('Rate &amp; Vol Update'!$E$6:$Z$6,1,MATCH(BQ122,'Rate &amp; Vol Update'!$E$6:$Z$6,1)))*(BL122-INDEX('Rate &amp; Vol Update'!$B$8:$B$127,MATCH(BL122,'Rate &amp; Vol Update'!$B$8:$B$127,1)))))*0.01%))</f>
        <v/>
      </c>
      <c r="BT122" s="5" t="str">
        <f>IF(BK122="","",1/((1+BR122)^((BM122-'Rate &amp; Vol Update'!$C$2)/360)))</f>
        <v/>
      </c>
      <c r="BV122" s="15" t="str">
        <f>IF(BK122="","",IF(BL122&lt;'Rate &amp; Vol Update'!$C$2,MAX(0,BR122-BQ122)*(BN122/360)*BP122,(((IF('Adjustment Surface'!$C$2='Data Validation'!$A$2,BR122,IF('Adjustment Surface'!$C$2='Data Validation'!$A$3,BQ122,"Unknown Option Type"))-IF('Adjustment Surface'!$C$2='Data Validation'!$A$2,BQ122,IF('Adjustment Surface'!$C$2='Data Validation'!$A$3,BR122,"Unknown Option Type")))*(NORMDIST((IF('Adjustment Surface'!$C$2='Data Validation'!$A$2,BR122,IF('Adjustment Surface'!$C$2='Data Validation'!$A$3,BQ122,"Unknown Option Type"))-IF('Adjustment Surface'!$C$2='Data Validation'!$A$2,BQ122,IF('Adjustment Surface'!$C$2='Data Validation'!$A$3,BR122,"Unknown Option Type")))/(BS122*SQRT(BO122)),0,1,TRUE)))+((BS122*SQRT(BO122))*(NORMDIST((IF('Adjustment Surface'!$C$2='Data Validation'!$A$2,BR122,IF('Adjustment Surface'!$C$2='Data Validation'!$A$3,BQ122,"Unknown Option Type"))-IF('Adjustment Surface'!$C$2='Data Validation'!$A$2,BQ122,IF('Adjustment Surface'!$C$2='Data Validation'!$A$3,BR122,"Unknown Option Type")))/(BS122*SQRT(BO122)),0,1,FALSE))))*BT122*(BN122/360)*BP122))</f>
        <v/>
      </c>
      <c r="BW122" s="15" t="str">
        <f>IF(BK122="","",SUM(BV$4:BV122))</f>
        <v/>
      </c>
      <c r="BY122" s="15" t="str">
        <f>IF(BK122="","",IF(BL122&lt;'Rate &amp; Vol Update'!$C$2,0,((((((IF('Adjustment Surface'!$C$2='Data Validation'!$A$2,BR122,IF('Adjustment Surface'!$C$2='Data Validation'!$A$3,BQ122,"Unknown Option Type"))-IF('Adjustment Surface'!$C$2='Data Validation'!$A$2,BQ122,IF('Adjustment Surface'!$C$2='Data Validation'!$A$3,BR122,"Unknown Option Type")))*(NORMDIST((IF('Adjustment Surface'!$C$2='Data Validation'!$A$2,BR122,IF('Adjustment Surface'!$C$2='Data Validation'!$A$3,BQ122,"Unknown Option Type"))-IF('Adjustment Surface'!$C$2='Data Validation'!$A$2,BQ122,IF('Adjustment Surface'!$C$2='Data Validation'!$A$3,BR122,"Unknown Option Type")))/((BS122+0.01%)*SQRT(BO122)),0,1,TRUE)))+(((BS122+0.01%)*SQRT(BO122))*(NORMDIST((IF('Adjustment Surface'!$C$2='Data Validation'!$A$2,BR122,IF('Adjustment Surface'!$C$2='Data Validation'!$A$3,BQ122,"Unknown Option Type"))-IF('Adjustment Surface'!$C$2='Data Validation'!$A$2,BQ122,IF('Adjustment Surface'!$C$2='Data Validation'!$A$3,BR122,"Unknown Option Type")))/((BS122+0.01%)*SQRT(BO122)),0,1,FALSE))))*BT122*(BN122/360))-(BV122/BP122))*BP122)*BT122))</f>
        <v/>
      </c>
      <c r="BZ122" s="15" t="str">
        <f>IF(BK122="","",SUM(BY$4:BY122))</f>
        <v/>
      </c>
      <c r="CA122" s="15"/>
      <c r="CB122" s="20"/>
      <c r="CD122" s="4" t="str">
        <f>IF(CE121=MAX('Adjustment Surface'!$C$14:$F$14),"",CE121)</f>
        <v/>
      </c>
      <c r="CE122" s="4" t="str">
        <f>IF(CD122="","",IF(CD122&lt;EDATE('Adjustment Surface'!$C$6,DATEDIF('Adjustment Surface'!$C$6,MAX('Adjustment Surface'!$C$14:$F$14),"M")),EDATE(CD$5,COUNT(CD$5:CD122)),IF(CD122=EDATE('Adjustment Surface'!$C$6,DATEDIF('Adjustment Surface'!$C$6,MAX('Adjustment Surface'!$C$14:$F$14),"M")),MAX('Adjustment Surface'!$C$14:$F$14),EDATE('Adjustment Surface'!$C$6,DATEDIF('Adjustment Surface'!$C$6,MAX('Adjustment Surface'!$C$14:$F$14),"M")))))</f>
        <v/>
      </c>
      <c r="CF122" s="3" t="str">
        <f t="shared" si="10"/>
        <v/>
      </c>
      <c r="CG122" s="5" t="str">
        <f>IF(CC122="","",(CE122-'Rate &amp; Vol Update'!$C$2)/360)</f>
        <v/>
      </c>
      <c r="CH122" s="15" t="str">
        <f>IF(CC122="","",IF('Adjustment Surface'!$C$3='Data Validation'!$C$2,'Adjustment Surface'!$C$4,_xlfn.IFNA(IF(INDEX(Schedules!$E$3:$E$123,MATCH('Bachelier Model'!CD122,Schedules!$B$3:$B$123,0))="",CH121,INDEX(Schedules!$E$3:$E$123,MATCH('Bachelier Model'!CD122,Schedules!$B$3:$B$123,0))),CH121)))</f>
        <v/>
      </c>
      <c r="CI122" s="16" t="str">
        <f>IF(CC122="","",'Adjustment Surface'!B$18)</f>
        <v/>
      </c>
      <c r="CJ122" s="16" t="str" cm="1">
        <f t="array" ref="CJ122">IF(CC122="","",FORECAST(CD122,INDEX('Rate &amp; Vol Update'!$C$6:$C$127,MATCH(INDEX('Rate &amp; Vol Update'!$B$6:$B$127,MATCH(CD122,'Rate &amp; Vol Update'!$B$6:$B$127,1)),'Rate &amp; Vol Update'!$B$6:$B$127,0)+IF('Adjustment Surface'!$C$11='Data Validation'!$E$3,-1,0)):INDEX('Rate &amp; Vol Update'!$C$6:$C$127,MATCH(INDEX('Rate &amp; Vol Update'!$B$6:$B$127,MATCH(CD122,'Rate &amp; Vol Update'!$B$6:$B$127,1)+1),'Rate &amp; Vol Update'!$B$6:$B$127,0)+IF('Adjustment Surface'!$C$11='Data Validation'!$E$3,-1,0)),INDEX('Rate &amp; Vol Update'!$B$6:$B$127,MATCH(CD122,'Rate &amp; Vol Update'!$B$6:$B$127,1)):INDEX('Rate &amp; Vol Update'!$B$6:$B$127,MATCH(CD122,'Rate &amp; Vol Update'!$B$6:$B$127,1)+1))/100)</f>
        <v/>
      </c>
      <c r="CK122" s="16" t="str" cm="1">
        <f t="array" ref="CK122">IF(CC122="","",IF(CD122&lt;'Rate &amp; Vol Update'!$C$2,0.001%,(1/((INDEX('Rate &amp; Vol Update'!$E$6:$Z$6,1,MATCH(CI122,'Rate &amp; Vol Update'!$E$6:$Z$6,1)+1)-INDEX('Rate &amp; Vol Update'!$E$6:$Z$6,1,MATCH(CI122,'Rate &amp; Vol Update'!$E$6:$Z$6,1)))*(INDEX('Rate &amp; Vol Update'!$B$8:$B$127,MATCH(CD122,'Rate &amp; Vol Update'!$B$8:$B$127,1)+1)-INDEX('Rate &amp; Vol Update'!$B$8:$B$127,MATCH(CD122,'Rate &amp; Vol Update'!$B$8:$B$127,1))))*(INDEX('Rate &amp; Vol Update'!$E$8:$Z$127,MATCH(INDEX('Rate &amp; Vol Update'!$B$8:$B$127,MATCH(CD122,'Rate &amp; Vol Update'!$B$8:$B$127,1)),'Rate &amp; Vol Update'!$B$8:$B$127,0),MATCH(INDEX('Rate &amp; Vol Update'!$E$6:$Z$6,1,MATCH(CI122,'Rate &amp; Vol Update'!$E$6:$Z$6,1)),'Rate &amp; Vol Update'!$E$6:$Z$6,0))*(INDEX('Rate &amp; Vol Update'!$E$6:$Z$6,1,MATCH(CI122,'Rate &amp; Vol Update'!$E$6:$Z$6,1)+1)-CI122)*(INDEX('Rate &amp; Vol Update'!$B$8:$B$127,MATCH(CD122,'Rate &amp; Vol Update'!$B$8:$B$127,1)+1)-CD122)+INDEX('Rate &amp; Vol Update'!$E$8:$Z$127,MATCH(INDEX('Rate &amp; Vol Update'!$B$8:$B$127,MATCH(CD122,'Rate &amp; Vol Update'!$B$8:$B$127,1)),'Rate &amp; Vol Update'!$B$8:$B$127,0),MATCH(INDEX('Rate &amp; Vol Update'!$E$6:$Z$6,1,MATCH(CI122,'Rate &amp; Vol Update'!$E$6:$Z$6,1)+1),'Rate &amp; Vol Update'!$E$6:$Z$6,0))*(CI122-INDEX('Rate &amp; Vol Update'!$E$6:$Z$6,1,MATCH(CI122,'Rate &amp; Vol Update'!$E$6:$Z$6,1)))*(INDEX('Rate &amp; Vol Update'!$B$8:$B$127,MATCH(CD122,'Rate &amp; Vol Update'!$B$8:$B$127,1)+1)-CD122)+INDEX('Rate &amp; Vol Update'!$E$8:$Z$127,MATCH(INDEX('Rate &amp; Vol Update'!$B$8:$B$127,MATCH(CD122,'Rate &amp; Vol Update'!$B$8:$B$127,1)+1),'Rate &amp; Vol Update'!$B$8:$B$127,0),MATCH(INDEX('Rate &amp; Vol Update'!$E$6:$Z$6,1,MATCH(CI122,'Rate &amp; Vol Update'!$E$6:$Z$6,1)),'Rate &amp; Vol Update'!$E$6:$Z$6,0))*(INDEX('Rate &amp; Vol Update'!$E$6:$Z$6,1,MATCH(CI122,'Rate &amp; Vol Update'!$E$6:$Z$6,1)+1)-CI122)*(CD122-INDEX('Rate &amp; Vol Update'!$B$8:$B$127,MATCH(CD122,'Rate &amp; Vol Update'!$B$8:$B$127,1)))+INDEX('Rate &amp; Vol Update'!$E$8:$Z$127,MATCH(INDEX('Rate &amp; Vol Update'!$B$8:$B$127,MATCH(CD122,'Rate &amp; Vol Update'!$B$8:$B$127,1)+1),'Rate &amp; Vol Update'!$B$8:$B$127,0),MATCH(INDEX('Rate &amp; Vol Update'!$E$6:$Z$6,1,MATCH(CI122,'Rate &amp; Vol Update'!$E$6:$Z$6,1)+1),'Rate &amp; Vol Update'!$E$6:$Z$6,0))*(CI122-INDEX('Rate &amp; Vol Update'!$E$6:$Z$6,1,MATCH(CI122,'Rate &amp; Vol Update'!$E$6:$Z$6,1)))*(CD122-INDEX('Rate &amp; Vol Update'!$B$8:$B$127,MATCH(CD122,'Rate &amp; Vol Update'!$B$8:$B$127,1)))))*0.01%))</f>
        <v/>
      </c>
      <c r="CL122" s="5" t="str">
        <f>IF(CC122="","",1/((1+CJ122)^((CE122-'Rate &amp; Vol Update'!$C$2)/360)))</f>
        <v/>
      </c>
      <c r="CN122" s="15" t="str">
        <f>IF(CC122="","",IF(CD122&lt;'Rate &amp; Vol Update'!$C$2,MAX(0,CJ122-CI122)*(CF122/360)*CH122,(((IF('Adjustment Surface'!$C$2='Data Validation'!$A$2,CJ122,IF('Adjustment Surface'!$C$2='Data Validation'!$A$3,CI122,"Unknown Option Type"))-IF('Adjustment Surface'!$C$2='Data Validation'!$A$2,CI122,IF('Adjustment Surface'!$C$2='Data Validation'!$A$3,CJ122,"Unknown Option Type")))*(NORMDIST((IF('Adjustment Surface'!$C$2='Data Validation'!$A$2,CJ122,IF('Adjustment Surface'!$C$2='Data Validation'!$A$3,CI122,"Unknown Option Type"))-IF('Adjustment Surface'!$C$2='Data Validation'!$A$2,CI122,IF('Adjustment Surface'!$C$2='Data Validation'!$A$3,CJ122,"Unknown Option Type")))/(CK122*SQRT(CG122)),0,1,TRUE)))+((CK122*SQRT(CG122))*(NORMDIST((IF('Adjustment Surface'!$C$2='Data Validation'!$A$2,CJ122,IF('Adjustment Surface'!$C$2='Data Validation'!$A$3,CI122,"Unknown Option Type"))-IF('Adjustment Surface'!$C$2='Data Validation'!$A$2,CI122,IF('Adjustment Surface'!$C$2='Data Validation'!$A$3,CJ122,"Unknown Option Type")))/(CK122*SQRT(CG122)),0,1,FALSE))))*CL122*(CF122/360)*CH122))</f>
        <v/>
      </c>
      <c r="CO122" s="15" t="str">
        <f>IF(CC122="","",SUM(CN$4:CN122))</f>
        <v/>
      </c>
      <c r="CQ122" s="15" t="str">
        <f>IF(CC122="","",IF(CD122&lt;'Rate &amp; Vol Update'!$C$2,0,((((((IF('Adjustment Surface'!$C$2='Data Validation'!$A$2,CJ122,IF('Adjustment Surface'!$C$2='Data Validation'!$A$3,CI122,"Unknown Option Type"))-IF('Adjustment Surface'!$C$2='Data Validation'!$A$2,CI122,IF('Adjustment Surface'!$C$2='Data Validation'!$A$3,CJ122,"Unknown Option Type")))*(NORMDIST((IF('Adjustment Surface'!$C$2='Data Validation'!$A$2,CJ122,IF('Adjustment Surface'!$C$2='Data Validation'!$A$3,CI122,"Unknown Option Type"))-IF('Adjustment Surface'!$C$2='Data Validation'!$A$2,CI122,IF('Adjustment Surface'!$C$2='Data Validation'!$A$3,CJ122,"Unknown Option Type")))/((CK122+0.01%)*SQRT(CG122)),0,1,TRUE)))+(((CK122+0.01%)*SQRT(CG122))*(NORMDIST((IF('Adjustment Surface'!$C$2='Data Validation'!$A$2,CJ122,IF('Adjustment Surface'!$C$2='Data Validation'!$A$3,CI122,"Unknown Option Type"))-IF('Adjustment Surface'!$C$2='Data Validation'!$A$2,CI122,IF('Adjustment Surface'!$C$2='Data Validation'!$A$3,CJ122,"Unknown Option Type")))/((CK122+0.01%)*SQRT(CG122)),0,1,FALSE))))*CL122*(CF122/360))-(CN122/CH122))*CH122)*CL122))</f>
        <v/>
      </c>
      <c r="CR122" s="15" t="str">
        <f>IF(CC122="","",SUM(CQ$4:CQ122))</f>
        <v/>
      </c>
    </row>
    <row r="123" spans="7:96" x14ac:dyDescent="0.25">
      <c r="G123" s="28"/>
      <c r="J123" s="4" t="str">
        <f>IF(K122='Adjustment Surface'!C$8,"",K122)</f>
        <v/>
      </c>
      <c r="K123" s="4" t="str">
        <f>IF(J123="","",IF(J123&lt;'Adjustment Surface'!C$7,EDATE(J$5,COUNT(J$5:J123)),IF(J123='Adjustment Surface'!C$7,'Adjustment Surface'!C$8,'Adjustment Surface'!C$7)))</f>
        <v/>
      </c>
      <c r="L123" s="3" t="str">
        <f t="shared" si="6"/>
        <v/>
      </c>
      <c r="M123" s="5" t="str">
        <f>IF(I123="","",(K123-'Rate &amp; Vol Update'!$C$2)/360)</f>
        <v/>
      </c>
      <c r="N123" s="15" t="str">
        <f>IF(I123="","",IF('Adjustment Surface'!C$3='Data Validation'!$C$2,'Adjustment Surface'!C$4,IF(INDEX(Schedules!$E$3:$E$123,MATCH('Bachelier Model'!J123,Schedules!$B$3:$B$123,0))="",N122,INDEX(Schedules!$E$3:$E$123,MATCH('Bachelier Model'!J123,Schedules!$B$3:$B$123,0)))))</f>
        <v/>
      </c>
      <c r="O123" s="16" t="str">
        <f>IF(I123="","",IF('Adjustment Surface'!C$9='Data Validation'!$D$2,'Adjustment Surface'!C$10,IF(INDEX(Schedules!$H$3:$H$123,MATCH('Bachelier Model'!J123,Schedules!$B$3:$B$123,0))="",O122,INDEX(Schedules!$H$3:$H$123,MATCH('Bachelier Model'!J123,Schedules!$B$3:$B$123,0)))))</f>
        <v/>
      </c>
      <c r="P123" s="16" t="str" cm="1">
        <f t="array" ref="P123">IF(I123="","",FORECAST(J123,INDEX('Rate &amp; Vol Update'!$C$6:$C$127,MATCH(INDEX('Rate &amp; Vol Update'!$B$6:$B$127,MATCH(J123,'Rate &amp; Vol Update'!$B$6:$B$127,1)),'Rate &amp; Vol Update'!$B$6:$B$127,0)+IF('Adjustment Surface'!C$11='Data Validation'!$E$3,-1,0)):INDEX('Rate &amp; Vol Update'!$C$6:$C$127,MATCH(INDEX('Rate &amp; Vol Update'!$B$6:$B$127,MATCH(J123,'Rate &amp; Vol Update'!$B$6:$B$127,1)+1),'Rate &amp; Vol Update'!$B$6:$B$127,0)+IF('Adjustment Surface'!C$11='Data Validation'!$E$3,-1,0)),INDEX('Rate &amp; Vol Update'!$B$6:$B$127,MATCH(J123,'Rate &amp; Vol Update'!$B$6:$B$127,1)):INDEX('Rate &amp; Vol Update'!$B$6:$B$127,MATCH(J123,'Rate &amp; Vol Update'!$B$6:$B$127,1)+1))/100)</f>
        <v/>
      </c>
      <c r="Q123" s="16" t="str" cm="1">
        <f t="array" ref="Q123">IF(I123="","",IF(J123&lt;'Rate &amp; Vol Update'!$C$2,0.001%,(1/((INDEX('Rate &amp; Vol Update'!$E$6:$Z$6,1,MATCH(O123,'Rate &amp; Vol Update'!$E$6:$Z$6,1)+1)-INDEX('Rate &amp; Vol Update'!$E$6:$Z$6,1,MATCH(O123,'Rate &amp; Vol Update'!$E$6:$Z$6,1)))*(INDEX('Rate &amp; Vol Update'!$B$8:$B$127,MATCH(J123,'Rate &amp; Vol Update'!$B$8:$B$127,1)+1)-INDEX('Rate &amp; Vol Update'!$B$8:$B$127,MATCH(J123,'Rate &amp; Vol Update'!$B$8:$B$127,1))))*(INDEX('Rate &amp; Vol Update'!$E$8:$Z$127,MATCH(INDEX('Rate &amp; Vol Update'!$B$8:$B$127,MATCH(J123,'Rate &amp; Vol Update'!$B$8:$B$127,1)),'Rate &amp; Vol Update'!$B$8:$B$127,0),MATCH(INDEX('Rate &amp; Vol Update'!$E$6:$Z$6,1,MATCH(O123,'Rate &amp; Vol Update'!$E$6:$Z$6,1)),'Rate &amp; Vol Update'!$E$6:$Z$6,0))*(INDEX('Rate &amp; Vol Update'!$E$6:$Z$6,1,MATCH(O123,'Rate &amp; Vol Update'!$E$6:$Z$6,1)+1)-O123)*(INDEX('Rate &amp; Vol Update'!$B$8:$B$127,MATCH(J123,'Rate &amp; Vol Update'!$B$8:$B$127,1)+1)-J123)+INDEX('Rate &amp; Vol Update'!$E$8:$Z$127,MATCH(INDEX('Rate &amp; Vol Update'!$B$8:$B$127,MATCH(J123,'Rate &amp; Vol Update'!$B$8:$B$127,1)),'Rate &amp; Vol Update'!$B$8:$B$127,0),MATCH(INDEX('Rate &amp; Vol Update'!$E$6:$Z$6,1,MATCH(O123,'Rate &amp; Vol Update'!$E$6:$Z$6,1)+1),'Rate &amp; Vol Update'!$E$6:$Z$6,0))*(O123-INDEX('Rate &amp; Vol Update'!$E$6:$Z$6,1,MATCH(O123,'Rate &amp; Vol Update'!$E$6:$Z$6,1)))*(INDEX('Rate &amp; Vol Update'!$B$8:$B$127,MATCH(J123,'Rate &amp; Vol Update'!$B$8:$B$127,1)+1)-J123)+INDEX('Rate &amp; Vol Update'!$E$8:$Z$127,MATCH(INDEX('Rate &amp; Vol Update'!$B$8:$B$127,MATCH(J123,'Rate &amp; Vol Update'!$B$8:$B$127,1)+1),'Rate &amp; Vol Update'!$B$8:$B$127,0),MATCH(INDEX('Rate &amp; Vol Update'!$E$6:$Z$6,1,MATCH(O123,'Rate &amp; Vol Update'!$E$6:$Z$6,1)),'Rate &amp; Vol Update'!$E$6:$Z$6,0))*(INDEX('Rate &amp; Vol Update'!$E$6:$Z$6,1,MATCH(O123,'Rate &amp; Vol Update'!$E$6:$Z$6,1)+1)-O123)*(J123-INDEX('Rate &amp; Vol Update'!$B$8:$B$127,MATCH(J123,'Rate &amp; Vol Update'!$B$8:$B$127,1)))+INDEX('Rate &amp; Vol Update'!$E$8:$Z$127,MATCH(INDEX('Rate &amp; Vol Update'!$B$8:$B$127,MATCH(J123,'Rate &amp; Vol Update'!$B$8:$B$127,1)+1),'Rate &amp; Vol Update'!$B$8:$B$127,0),MATCH(INDEX('Rate &amp; Vol Update'!$E$6:$Z$6,1,MATCH(O123,'Rate &amp; Vol Update'!$E$6:$Z$6,1)+1),'Rate &amp; Vol Update'!$E$6:$Z$6,0))*(O123-INDEX('Rate &amp; Vol Update'!$E$6:$Z$6,1,MATCH(O123,'Rate &amp; Vol Update'!$E$6:$Z$6,1)))*(J123-INDEX('Rate &amp; Vol Update'!$B$8:$B$127,MATCH(J123,'Rate &amp; Vol Update'!$B$8:$B$127,1)))))*0.01%))</f>
        <v/>
      </c>
      <c r="R123" s="5" t="str">
        <f>IF(I123="","",1/((1+P123)^((K123-'Rate &amp; Vol Update'!$C$2)/360)))</f>
        <v/>
      </c>
      <c r="T123" s="15" t="str">
        <f>IF(I123="","",IF(J123&lt;'Rate &amp; Vol Update'!$C$2,MAX(0,P123-O123)*(L123/360)*N123,(((IF('Adjustment Surface'!C$2='Data Validation'!$A$2,P123,IF('Adjustment Surface'!C$2='Data Validation'!$A$3,O123,"Unknown Option Type"))-IF('Adjustment Surface'!C$2='Data Validation'!$A$2,O123,IF('Adjustment Surface'!C$2='Data Validation'!$A$3,P123,"Unknown Option Type")))*(NORMDIST((IF('Adjustment Surface'!C$2='Data Validation'!$A$2,P123,IF('Adjustment Surface'!C$2='Data Validation'!$A$3,O123,"Unknown Option Type"))-IF('Adjustment Surface'!C$2='Data Validation'!$A$2,O123,IF('Adjustment Surface'!C$2='Data Validation'!$A$3,P123,"Unknown Option Type")))/(Q123*SQRT(M123)),0,1,TRUE)))+((Q123*SQRT(M123))*(NORMDIST((IF('Adjustment Surface'!C$2='Data Validation'!$A$2,P123,IF('Adjustment Surface'!C$2='Data Validation'!$A$3,O123,"Unknown Option Type"))-IF('Adjustment Surface'!C$2='Data Validation'!$A$2,O123,IF('Adjustment Surface'!C$2='Data Validation'!$A$3,P123,"Unknown Option Type")))/(Q123*SQRT(M123)),0,1,FALSE))))*R123*(L123/360)*N123))</f>
        <v/>
      </c>
      <c r="U123" s="15" t="str">
        <f>IF(I123="","",SUM(T$4:T123))</f>
        <v/>
      </c>
      <c r="W123" s="15" t="str">
        <f>IF(I123="","",IF(J123&lt;'Rate &amp; Vol Update'!$C$2,0,((((((IF('Adjustment Surface'!C$2='Data Validation'!$A$2,P123,IF('Adjustment Surface'!C$2='Data Validation'!$A$3,O123,"Unknown Option Type"))-IF('Adjustment Surface'!C$2='Data Validation'!$A$2,O123,IF('Adjustment Surface'!C$2='Data Validation'!$A$3,P123,"Unknown Option Type")))*(NORMDIST((IF('Adjustment Surface'!C$2='Data Validation'!$A$2,P123,IF('Adjustment Surface'!C$2='Data Validation'!$A$3,O123,"Unknown Option Type"))-IF('Adjustment Surface'!C$2='Data Validation'!$A$2,O123,IF('Adjustment Surface'!C$2='Data Validation'!$A$3,P123,"Unknown Option Type")))/((Q123+0.01%)*SQRT(M123)),0,1,TRUE)))+(((Q123+0.01%)*SQRT(M123))*(NORMDIST((IF('Adjustment Surface'!C$2='Data Validation'!$A$2,P123,IF('Adjustment Surface'!C$2='Data Validation'!$A$3,O123,"Unknown Option Type"))-IF('Adjustment Surface'!C$2='Data Validation'!$A$2,O123,IF('Adjustment Surface'!C$2='Data Validation'!$A$3,P123,"Unknown Option Type")))/((Q123+0.01%)*SQRT(M123)),0,1,FALSE))))*R123*(L123/360))-(T123/N123))*N123)*R123))</f>
        <v/>
      </c>
      <c r="X123" s="15" t="str">
        <f>IF(I123="","",SUM(W$4:W123))</f>
        <v/>
      </c>
      <c r="Y123" s="15"/>
      <c r="Z123" s="20"/>
      <c r="AB123" s="4" t="str">
        <f>IF(AC122=MAX('Adjustment Surface'!$C$14:$F$14),"",AC122)</f>
        <v/>
      </c>
      <c r="AC123" s="4" t="str">
        <f>IF(AB123="","",IF(AB123&lt;EDATE('Adjustment Surface'!$C$6,DATEDIF('Adjustment Surface'!$C$6,MAX('Adjustment Surface'!$C$14:$F$14),"M")),EDATE(AB$5,COUNT(AB$5:AB123)),IF(AB123=EDATE('Adjustment Surface'!$C$6,DATEDIF('Adjustment Surface'!$C$6,MAX('Adjustment Surface'!$C$14:$F$14),"M")),MAX('Adjustment Surface'!$C$14:$F$14),EDATE('Adjustment Surface'!$C$6,DATEDIF('Adjustment Surface'!$C$6,MAX('Adjustment Surface'!$C$14:$F$14),"M")))))</f>
        <v/>
      </c>
      <c r="AD123" s="3" t="str">
        <f t="shared" si="7"/>
        <v/>
      </c>
      <c r="AE123" s="5" t="str">
        <f>IF(AA123="","",(AC123-'Rate &amp; Vol Update'!$C$2)/360)</f>
        <v/>
      </c>
      <c r="AF123" s="15" t="str">
        <f>IF(AA123="","",IF('Adjustment Surface'!$C$3='Data Validation'!$C$2,'Adjustment Surface'!$C$4,_xlfn.IFNA(IF(INDEX(Schedules!$E$3:$E$123,MATCH('Bachelier Model'!AB123,Schedules!$B$3:$B$123,0))="",AF122,INDEX(Schedules!$E$3:$E$123,MATCH('Bachelier Model'!AB123,Schedules!$B$3:$B$123,0))),AF122)))</f>
        <v/>
      </c>
      <c r="AG123" s="16" t="str">
        <f>IF(AA123="","",'Adjustment Surface'!B$15)</f>
        <v/>
      </c>
      <c r="AH123" s="16" t="str" cm="1">
        <f t="array" ref="AH123">IF(AA123="","",FORECAST(AB123,INDEX('Rate &amp; Vol Update'!$C$6:$C$127,MATCH(INDEX('Rate &amp; Vol Update'!$B$6:$B$127,MATCH(AB123,'Rate &amp; Vol Update'!$B$6:$B$127,1)),'Rate &amp; Vol Update'!$B$6:$B$127,0)+IF('Adjustment Surface'!$C$11='Data Validation'!$E$3,-1,0)):INDEX('Rate &amp; Vol Update'!$C$6:$C$127,MATCH(INDEX('Rate &amp; Vol Update'!$B$6:$B$127,MATCH(AB123,'Rate &amp; Vol Update'!$B$6:$B$127,1)+1),'Rate &amp; Vol Update'!$B$6:$B$127,0)+IF('Adjustment Surface'!$C$11='Data Validation'!$E$3,-1,0)),INDEX('Rate &amp; Vol Update'!$B$6:$B$127,MATCH(AB123,'Rate &amp; Vol Update'!$B$6:$B$127,1)):INDEX('Rate &amp; Vol Update'!$B$6:$B$127,MATCH(AB123,'Rate &amp; Vol Update'!$B$6:$B$127,1)+1))/100)</f>
        <v/>
      </c>
      <c r="AI123" s="16" t="str" cm="1">
        <f t="array" ref="AI123">IF(AA123="","",IF(AB123&lt;'Rate &amp; Vol Update'!$C$2,0.001%,(1/((INDEX('Rate &amp; Vol Update'!$E$6:$Z$6,1,MATCH(AG123,'Rate &amp; Vol Update'!$E$6:$Z$6,1)+1)-INDEX('Rate &amp; Vol Update'!$E$6:$Z$6,1,MATCH(AG123,'Rate &amp; Vol Update'!$E$6:$Z$6,1)))*(INDEX('Rate &amp; Vol Update'!$B$8:$B$127,MATCH(AB123,'Rate &amp; Vol Update'!$B$8:$B$127,1)+1)-INDEX('Rate &amp; Vol Update'!$B$8:$B$127,MATCH(AB123,'Rate &amp; Vol Update'!$B$8:$B$127,1))))*(INDEX('Rate &amp; Vol Update'!$E$8:$Z$127,MATCH(INDEX('Rate &amp; Vol Update'!$B$8:$B$127,MATCH(AB123,'Rate &amp; Vol Update'!$B$8:$B$127,1)),'Rate &amp; Vol Update'!$B$8:$B$127,0),MATCH(INDEX('Rate &amp; Vol Update'!$E$6:$Z$6,1,MATCH(AG123,'Rate &amp; Vol Update'!$E$6:$Z$6,1)),'Rate &amp; Vol Update'!$E$6:$Z$6,0))*(INDEX('Rate &amp; Vol Update'!$E$6:$Z$6,1,MATCH(AG123,'Rate &amp; Vol Update'!$E$6:$Z$6,1)+1)-AG123)*(INDEX('Rate &amp; Vol Update'!$B$8:$B$127,MATCH(AB123,'Rate &amp; Vol Update'!$B$8:$B$127,1)+1)-AB123)+INDEX('Rate &amp; Vol Update'!$E$8:$Z$127,MATCH(INDEX('Rate &amp; Vol Update'!$B$8:$B$127,MATCH(AB123,'Rate &amp; Vol Update'!$B$8:$B$127,1)),'Rate &amp; Vol Update'!$B$8:$B$127,0),MATCH(INDEX('Rate &amp; Vol Update'!$E$6:$Z$6,1,MATCH(AG123,'Rate &amp; Vol Update'!$E$6:$Z$6,1)+1),'Rate &amp; Vol Update'!$E$6:$Z$6,0))*(AG123-INDEX('Rate &amp; Vol Update'!$E$6:$Z$6,1,MATCH(AG123,'Rate &amp; Vol Update'!$E$6:$Z$6,1)))*(INDEX('Rate &amp; Vol Update'!$B$8:$B$127,MATCH(AB123,'Rate &amp; Vol Update'!$B$8:$B$127,1)+1)-AB123)+INDEX('Rate &amp; Vol Update'!$E$8:$Z$127,MATCH(INDEX('Rate &amp; Vol Update'!$B$8:$B$127,MATCH(AB123,'Rate &amp; Vol Update'!$B$8:$B$127,1)+1),'Rate &amp; Vol Update'!$B$8:$B$127,0),MATCH(INDEX('Rate &amp; Vol Update'!$E$6:$Z$6,1,MATCH(AG123,'Rate &amp; Vol Update'!$E$6:$Z$6,1)),'Rate &amp; Vol Update'!$E$6:$Z$6,0))*(INDEX('Rate &amp; Vol Update'!$E$6:$Z$6,1,MATCH(AG123,'Rate &amp; Vol Update'!$E$6:$Z$6,1)+1)-AG123)*(AB123-INDEX('Rate &amp; Vol Update'!$B$8:$B$127,MATCH(AB123,'Rate &amp; Vol Update'!$B$8:$B$127,1)))+INDEX('Rate &amp; Vol Update'!$E$8:$Z$127,MATCH(INDEX('Rate &amp; Vol Update'!$B$8:$B$127,MATCH(AB123,'Rate &amp; Vol Update'!$B$8:$B$127,1)+1),'Rate &amp; Vol Update'!$B$8:$B$127,0),MATCH(INDEX('Rate &amp; Vol Update'!$E$6:$Z$6,1,MATCH(AG123,'Rate &amp; Vol Update'!$E$6:$Z$6,1)+1),'Rate &amp; Vol Update'!$E$6:$Z$6,0))*(AG123-INDEX('Rate &amp; Vol Update'!$E$6:$Z$6,1,MATCH(AG123,'Rate &amp; Vol Update'!$E$6:$Z$6,1)))*(AB123-INDEX('Rate &amp; Vol Update'!$B$8:$B$127,MATCH(AB123,'Rate &amp; Vol Update'!$B$8:$B$127,1)))))*0.01%))</f>
        <v/>
      </c>
      <c r="AJ123" s="5" t="str">
        <f>IF(AA123="","",1/((1+AH123)^((AC123-'Rate &amp; Vol Update'!$C$2)/360)))</f>
        <v/>
      </c>
      <c r="AL123" s="15" t="str">
        <f>IF(AA123="","",IF(AB123&lt;'Rate &amp; Vol Update'!$C$2,MAX(0,AH123-AG123)*(AD123/360)*AF123,(((IF('Adjustment Surface'!$C$2='Data Validation'!$A$2,AH123,IF('Adjustment Surface'!$C$2='Data Validation'!$A$3,AG123,"Unknown Option Type"))-IF('Adjustment Surface'!$C$2='Data Validation'!$A$2,AG123,IF('Adjustment Surface'!$C$2='Data Validation'!$A$3,AH123,"Unknown Option Type")))*(NORMDIST((IF('Adjustment Surface'!$C$2='Data Validation'!$A$2,AH123,IF('Adjustment Surface'!$C$2='Data Validation'!$A$3,AG123,"Unknown Option Type"))-IF('Adjustment Surface'!$C$2='Data Validation'!$A$2,AG123,IF('Adjustment Surface'!$C$2='Data Validation'!$A$3,AH123,"Unknown Option Type")))/(AI123*SQRT(AE123)),0,1,TRUE)))+((AI123*SQRT(AE123))*(NORMDIST((IF('Adjustment Surface'!$C$2='Data Validation'!$A$2,AH123,IF('Adjustment Surface'!$C$2='Data Validation'!$A$3,AG123,"Unknown Option Type"))-IF('Adjustment Surface'!$C$2='Data Validation'!$A$2,AG123,IF('Adjustment Surface'!$C$2='Data Validation'!$A$3,AH123,"Unknown Option Type")))/(AI123*SQRT(AE123)),0,1,FALSE))))*AJ123*(AD123/360)*AF123))</f>
        <v/>
      </c>
      <c r="AM123" s="15" t="str">
        <f>IF(AA123="","",SUM(AL$4:AL123))</f>
        <v/>
      </c>
      <c r="AO123" s="15" t="str">
        <f>IF(AA123="","",IF(AB123&lt;'Rate &amp; Vol Update'!$C$2,0,((((((IF('Adjustment Surface'!$C$2='Data Validation'!$A$2,AH123,IF('Adjustment Surface'!$C$2='Data Validation'!$A$3,AG123,"Unknown Option Type"))-IF('Adjustment Surface'!$C$2='Data Validation'!$A$2,AG123,IF('Adjustment Surface'!$C$2='Data Validation'!$A$3,AH123,"Unknown Option Type")))*(NORMDIST((IF('Adjustment Surface'!$C$2='Data Validation'!$A$2,AH123,IF('Adjustment Surface'!$C$2='Data Validation'!$A$3,AG123,"Unknown Option Type"))-IF('Adjustment Surface'!$C$2='Data Validation'!$A$2,AG123,IF('Adjustment Surface'!$C$2='Data Validation'!$A$3,AH123,"Unknown Option Type")))/((AI123+0.01%)*SQRT(AE123)),0,1,TRUE)))+(((AI123+0.01%)*SQRT(AE123))*(NORMDIST((IF('Adjustment Surface'!$C$2='Data Validation'!$A$2,AH123,IF('Adjustment Surface'!$C$2='Data Validation'!$A$3,AG123,"Unknown Option Type"))-IF('Adjustment Surface'!$C$2='Data Validation'!$A$2,AG123,IF('Adjustment Surface'!$C$2='Data Validation'!$A$3,AH123,"Unknown Option Type")))/((AI123+0.01%)*SQRT(AE123)),0,1,FALSE))))*AJ123*(AD123/360))-(AL123/AF123))*AF123)*AJ123))</f>
        <v/>
      </c>
      <c r="AP123" s="15" t="str">
        <f>IF(AA123="","",SUM(AO$4:AO123))</f>
        <v/>
      </c>
      <c r="AQ123" s="15"/>
      <c r="AR123" s="20"/>
      <c r="AT123" s="4" t="str">
        <f>IF(AU122=MAX('Adjustment Surface'!$C$14:$F$14),"",AU122)</f>
        <v/>
      </c>
      <c r="AU123" s="4" t="str">
        <f>IF(AT123="","",IF(AT123&lt;EDATE('Adjustment Surface'!$C$6,DATEDIF('Adjustment Surface'!$C$6,MAX('Adjustment Surface'!$C$14:$F$14),"M")),EDATE(AT$5,COUNT(AT$5:AT123)),IF(AT123=EDATE('Adjustment Surface'!$C$6,DATEDIF('Adjustment Surface'!$C$6,MAX('Adjustment Surface'!$C$14:$F$14),"M")),MAX('Adjustment Surface'!$C$14:$F$14),EDATE('Adjustment Surface'!$C$6,DATEDIF('Adjustment Surface'!$C$6,MAX('Adjustment Surface'!$C$14:$F$14),"M")))))</f>
        <v/>
      </c>
      <c r="AV123" s="3" t="str">
        <f t="shared" si="8"/>
        <v/>
      </c>
      <c r="AW123" s="5" t="str">
        <f>IF(AS123="","",(AU123-'Rate &amp; Vol Update'!$C$2)/360)</f>
        <v/>
      </c>
      <c r="AX123" s="15" t="str">
        <f>IF(AS123="","",IF('Adjustment Surface'!$C$3='Data Validation'!$C$2,'Adjustment Surface'!$C$4,_xlfn.IFNA(IF(INDEX(Schedules!$E$3:$E$123,MATCH('Bachelier Model'!AT123,Schedules!$B$3:$B$123,0))="",AX122,INDEX(Schedules!$E$3:$E$123,MATCH('Bachelier Model'!AT123,Schedules!$B$3:$B$123,0))),AX122)))</f>
        <v/>
      </c>
      <c r="AY123" s="16" t="str">
        <f>IF(AS123="","",'Adjustment Surface'!B$16)</f>
        <v/>
      </c>
      <c r="AZ123" s="16" t="str" cm="1">
        <f t="array" ref="AZ123">IF(AS123="","",FORECAST(AT123,INDEX('Rate &amp; Vol Update'!$C$6:$C$127,MATCH(INDEX('Rate &amp; Vol Update'!$B$6:$B$127,MATCH(AT123,'Rate &amp; Vol Update'!$B$6:$B$127,1)),'Rate &amp; Vol Update'!$B$6:$B$127,0)+IF('Adjustment Surface'!$C$11='Data Validation'!$E$3,-1,0)):INDEX('Rate &amp; Vol Update'!$C$6:$C$127,MATCH(INDEX('Rate &amp; Vol Update'!$B$6:$B$127,MATCH(AT123,'Rate &amp; Vol Update'!$B$6:$B$127,1)+1),'Rate &amp; Vol Update'!$B$6:$B$127,0)+IF('Adjustment Surface'!$C$11='Data Validation'!$E$3,-1,0)),INDEX('Rate &amp; Vol Update'!$B$6:$B$127,MATCH(AT123,'Rate &amp; Vol Update'!$B$6:$B$127,1)):INDEX('Rate &amp; Vol Update'!$B$6:$B$127,MATCH(AT123,'Rate &amp; Vol Update'!$B$6:$B$127,1)+1))/100)</f>
        <v/>
      </c>
      <c r="BA123" s="16" t="str" cm="1">
        <f t="array" ref="BA123">IF(AS123="","",IF(AT123&lt;'Rate &amp; Vol Update'!$C$2,0.001%,(1/((INDEX('Rate &amp; Vol Update'!$E$6:$Z$6,1,MATCH(AY123,'Rate &amp; Vol Update'!$E$6:$Z$6,1)+1)-INDEX('Rate &amp; Vol Update'!$E$6:$Z$6,1,MATCH(AY123,'Rate &amp; Vol Update'!$E$6:$Z$6,1)))*(INDEX('Rate &amp; Vol Update'!$B$8:$B$127,MATCH(AT123,'Rate &amp; Vol Update'!$B$8:$B$127,1)+1)-INDEX('Rate &amp; Vol Update'!$B$8:$B$127,MATCH(AT123,'Rate &amp; Vol Update'!$B$8:$B$127,1))))*(INDEX('Rate &amp; Vol Update'!$E$8:$Z$127,MATCH(INDEX('Rate &amp; Vol Update'!$B$8:$B$127,MATCH(AT123,'Rate &amp; Vol Update'!$B$8:$B$127,1)),'Rate &amp; Vol Update'!$B$8:$B$127,0),MATCH(INDEX('Rate &amp; Vol Update'!$E$6:$Z$6,1,MATCH(AY123,'Rate &amp; Vol Update'!$E$6:$Z$6,1)),'Rate &amp; Vol Update'!$E$6:$Z$6,0))*(INDEX('Rate &amp; Vol Update'!$E$6:$Z$6,1,MATCH(AY123,'Rate &amp; Vol Update'!$E$6:$Z$6,1)+1)-AY123)*(INDEX('Rate &amp; Vol Update'!$B$8:$B$127,MATCH(AT123,'Rate &amp; Vol Update'!$B$8:$B$127,1)+1)-AT123)+INDEX('Rate &amp; Vol Update'!$E$8:$Z$127,MATCH(INDEX('Rate &amp; Vol Update'!$B$8:$B$127,MATCH(AT123,'Rate &amp; Vol Update'!$B$8:$B$127,1)),'Rate &amp; Vol Update'!$B$8:$B$127,0),MATCH(INDEX('Rate &amp; Vol Update'!$E$6:$Z$6,1,MATCH(AY123,'Rate &amp; Vol Update'!$E$6:$Z$6,1)+1),'Rate &amp; Vol Update'!$E$6:$Z$6,0))*(AY123-INDEX('Rate &amp; Vol Update'!$E$6:$Z$6,1,MATCH(AY123,'Rate &amp; Vol Update'!$E$6:$Z$6,1)))*(INDEX('Rate &amp; Vol Update'!$B$8:$B$127,MATCH(AT123,'Rate &amp; Vol Update'!$B$8:$B$127,1)+1)-AT123)+INDEX('Rate &amp; Vol Update'!$E$8:$Z$127,MATCH(INDEX('Rate &amp; Vol Update'!$B$8:$B$127,MATCH(AT123,'Rate &amp; Vol Update'!$B$8:$B$127,1)+1),'Rate &amp; Vol Update'!$B$8:$B$127,0),MATCH(INDEX('Rate &amp; Vol Update'!$E$6:$Z$6,1,MATCH(AY123,'Rate &amp; Vol Update'!$E$6:$Z$6,1)),'Rate &amp; Vol Update'!$E$6:$Z$6,0))*(INDEX('Rate &amp; Vol Update'!$E$6:$Z$6,1,MATCH(AY123,'Rate &amp; Vol Update'!$E$6:$Z$6,1)+1)-AY123)*(AT123-INDEX('Rate &amp; Vol Update'!$B$8:$B$127,MATCH(AT123,'Rate &amp; Vol Update'!$B$8:$B$127,1)))+INDEX('Rate &amp; Vol Update'!$E$8:$Z$127,MATCH(INDEX('Rate &amp; Vol Update'!$B$8:$B$127,MATCH(AT123,'Rate &amp; Vol Update'!$B$8:$B$127,1)+1),'Rate &amp; Vol Update'!$B$8:$B$127,0),MATCH(INDEX('Rate &amp; Vol Update'!$E$6:$Z$6,1,MATCH(AY123,'Rate &amp; Vol Update'!$E$6:$Z$6,1)+1),'Rate &amp; Vol Update'!$E$6:$Z$6,0))*(AY123-INDEX('Rate &amp; Vol Update'!$E$6:$Z$6,1,MATCH(AY123,'Rate &amp; Vol Update'!$E$6:$Z$6,1)))*(AT123-INDEX('Rate &amp; Vol Update'!$B$8:$B$127,MATCH(AT123,'Rate &amp; Vol Update'!$B$8:$B$127,1)))))*0.01%))</f>
        <v/>
      </c>
      <c r="BB123" s="5" t="str">
        <f>IF(AS123="","",1/((1+AZ123)^((AU123-'Rate &amp; Vol Update'!$C$2)/360)))</f>
        <v/>
      </c>
      <c r="BD123" s="15" t="str">
        <f>IF(AS123="","",IF(AT123&lt;'Rate &amp; Vol Update'!$C$2,MAX(0,AZ123-AY123)*(AV123/360)*AX123,(((IF('Adjustment Surface'!$C$2='Data Validation'!$A$2,AZ123,IF('Adjustment Surface'!$C$2='Data Validation'!$A$3,AY123,"Unknown Option Type"))-IF('Adjustment Surface'!$C$2='Data Validation'!$A$2,AY123,IF('Adjustment Surface'!$C$2='Data Validation'!$A$3,AZ123,"Unknown Option Type")))*(NORMDIST((IF('Adjustment Surface'!$C$2='Data Validation'!$A$2,AZ123,IF('Adjustment Surface'!$C$2='Data Validation'!$A$3,AY123,"Unknown Option Type"))-IF('Adjustment Surface'!$C$2='Data Validation'!$A$2,AY123,IF('Adjustment Surface'!$C$2='Data Validation'!$A$3,AZ123,"Unknown Option Type")))/(BA123*SQRT(AW123)),0,1,TRUE)))+((BA123*SQRT(AW123))*(NORMDIST((IF('Adjustment Surface'!$C$2='Data Validation'!$A$2,AZ123,IF('Adjustment Surface'!$C$2='Data Validation'!$A$3,AY123,"Unknown Option Type"))-IF('Adjustment Surface'!$C$2='Data Validation'!$A$2,AY123,IF('Adjustment Surface'!$C$2='Data Validation'!$A$3,AZ123,"Unknown Option Type")))/(BA123*SQRT(AW123)),0,1,FALSE))))*BB123*(AV123/360)*AX123))</f>
        <v/>
      </c>
      <c r="BE123" s="15" t="str">
        <f>IF(AS123="","",SUM(BD$4:BD123))</f>
        <v/>
      </c>
      <c r="BG123" s="15" t="str">
        <f>IF(AS123="","",IF(AT123&lt;'Rate &amp; Vol Update'!$C$2,0,((((((IF('Adjustment Surface'!$C$2='Data Validation'!$A$2,AZ123,IF('Adjustment Surface'!$C$2='Data Validation'!$A$3,AY123,"Unknown Option Type"))-IF('Adjustment Surface'!$C$2='Data Validation'!$A$2,AY123,IF('Adjustment Surface'!$C$2='Data Validation'!$A$3,AZ123,"Unknown Option Type")))*(NORMDIST((IF('Adjustment Surface'!$C$2='Data Validation'!$A$2,AZ123,IF('Adjustment Surface'!$C$2='Data Validation'!$A$3,AY123,"Unknown Option Type"))-IF('Adjustment Surface'!$C$2='Data Validation'!$A$2,AY123,IF('Adjustment Surface'!$C$2='Data Validation'!$A$3,AZ123,"Unknown Option Type")))/((BA123+0.01%)*SQRT(AW123)),0,1,TRUE)))+(((BA123+0.01%)*SQRT(AW123))*(NORMDIST((IF('Adjustment Surface'!$C$2='Data Validation'!$A$2,AZ123,IF('Adjustment Surface'!$C$2='Data Validation'!$A$3,AY123,"Unknown Option Type"))-IF('Adjustment Surface'!$C$2='Data Validation'!$A$2,AY123,IF('Adjustment Surface'!$C$2='Data Validation'!$A$3,AZ123,"Unknown Option Type")))/((BA123+0.01%)*SQRT(AW123)),0,1,FALSE))))*BB123*(AV123/360))-(BD123/AX123))*AX123)*BB123))</f>
        <v/>
      </c>
      <c r="BH123" s="15" t="str">
        <f>IF(AS123="","",SUM(BG$4:BG123))</f>
        <v/>
      </c>
      <c r="BI123" s="15"/>
      <c r="BJ123" s="20"/>
      <c r="BL123" s="4" t="str">
        <f>IF(BM122=MAX('Adjustment Surface'!$C$14:$F$14),"",BM122)</f>
        <v/>
      </c>
      <c r="BM123" s="4" t="str">
        <f>IF(BL123="","",IF(BL123&lt;EDATE('Adjustment Surface'!$C$6,DATEDIF('Adjustment Surface'!$C$6,MAX('Adjustment Surface'!$C$14:$F$14),"M")),EDATE(BL$5,COUNT(BL$5:BL123)),IF(BL123=EDATE('Adjustment Surface'!$C$6,DATEDIF('Adjustment Surface'!$C$6,MAX('Adjustment Surface'!$C$14:$F$14),"M")),MAX('Adjustment Surface'!$C$14:$F$14),EDATE('Adjustment Surface'!$C$6,DATEDIF('Adjustment Surface'!$C$6,MAX('Adjustment Surface'!$C$14:$F$14),"M")))))</f>
        <v/>
      </c>
      <c r="BN123" s="3" t="str">
        <f t="shared" si="9"/>
        <v/>
      </c>
      <c r="BO123" s="5" t="str">
        <f>IF(BK123="","",(BM123-'Rate &amp; Vol Update'!$C$2)/360)</f>
        <v/>
      </c>
      <c r="BP123" s="15" t="str">
        <f>IF(BK123="","",IF('Adjustment Surface'!$C$3='Data Validation'!$C$2,'Adjustment Surface'!$C$4,_xlfn.IFNA(IF(INDEX(Schedules!$E$3:$E$123,MATCH('Bachelier Model'!BL123,Schedules!$B$3:$B$123,0))="",BP122,INDEX(Schedules!$E$3:$E$123,MATCH('Bachelier Model'!BL123,Schedules!$B$3:$B$123,0))),BP122)))</f>
        <v/>
      </c>
      <c r="BQ123" s="16" t="str">
        <f>IF(BK123="","",'Adjustment Surface'!B$17)</f>
        <v/>
      </c>
      <c r="BR123" s="16" t="str" cm="1">
        <f t="array" ref="BR123">IF(BK123="","",FORECAST(BL123,INDEX('Rate &amp; Vol Update'!$C$6:$C$127,MATCH(INDEX('Rate &amp; Vol Update'!$B$6:$B$127,MATCH(BL123,'Rate &amp; Vol Update'!$B$6:$B$127,1)),'Rate &amp; Vol Update'!$B$6:$B$127,0)+IF('Adjustment Surface'!$C$11='Data Validation'!$E$3,-1,0)):INDEX('Rate &amp; Vol Update'!$C$6:$C$127,MATCH(INDEX('Rate &amp; Vol Update'!$B$6:$B$127,MATCH(BL123,'Rate &amp; Vol Update'!$B$6:$B$127,1)+1),'Rate &amp; Vol Update'!$B$6:$B$127,0)+IF('Adjustment Surface'!$C$11='Data Validation'!$E$3,-1,0)),INDEX('Rate &amp; Vol Update'!$B$6:$B$127,MATCH(BL123,'Rate &amp; Vol Update'!$B$6:$B$127,1)):INDEX('Rate &amp; Vol Update'!$B$6:$B$127,MATCH(BL123,'Rate &amp; Vol Update'!$B$6:$B$127,1)+1))/100)</f>
        <v/>
      </c>
      <c r="BS123" s="16" t="str" cm="1">
        <f t="array" ref="BS123">IF(BK123="","",IF(BL123&lt;'Rate &amp; Vol Update'!$C$2,0.001%,(1/((INDEX('Rate &amp; Vol Update'!$E$6:$Z$6,1,MATCH(BQ123,'Rate &amp; Vol Update'!$E$6:$Z$6,1)+1)-INDEX('Rate &amp; Vol Update'!$E$6:$Z$6,1,MATCH(BQ123,'Rate &amp; Vol Update'!$E$6:$Z$6,1)))*(INDEX('Rate &amp; Vol Update'!$B$8:$B$127,MATCH(BL123,'Rate &amp; Vol Update'!$B$8:$B$127,1)+1)-INDEX('Rate &amp; Vol Update'!$B$8:$B$127,MATCH(BL123,'Rate &amp; Vol Update'!$B$8:$B$127,1))))*(INDEX('Rate &amp; Vol Update'!$E$8:$Z$127,MATCH(INDEX('Rate &amp; Vol Update'!$B$8:$B$127,MATCH(BL123,'Rate &amp; Vol Update'!$B$8:$B$127,1)),'Rate &amp; Vol Update'!$B$8:$B$127,0),MATCH(INDEX('Rate &amp; Vol Update'!$E$6:$Z$6,1,MATCH(BQ123,'Rate &amp; Vol Update'!$E$6:$Z$6,1)),'Rate &amp; Vol Update'!$E$6:$Z$6,0))*(INDEX('Rate &amp; Vol Update'!$E$6:$Z$6,1,MATCH(BQ123,'Rate &amp; Vol Update'!$E$6:$Z$6,1)+1)-BQ123)*(INDEX('Rate &amp; Vol Update'!$B$8:$B$127,MATCH(BL123,'Rate &amp; Vol Update'!$B$8:$B$127,1)+1)-BL123)+INDEX('Rate &amp; Vol Update'!$E$8:$Z$127,MATCH(INDEX('Rate &amp; Vol Update'!$B$8:$B$127,MATCH(BL123,'Rate &amp; Vol Update'!$B$8:$B$127,1)),'Rate &amp; Vol Update'!$B$8:$B$127,0),MATCH(INDEX('Rate &amp; Vol Update'!$E$6:$Z$6,1,MATCH(BQ123,'Rate &amp; Vol Update'!$E$6:$Z$6,1)+1),'Rate &amp; Vol Update'!$E$6:$Z$6,0))*(BQ123-INDEX('Rate &amp; Vol Update'!$E$6:$Z$6,1,MATCH(BQ123,'Rate &amp; Vol Update'!$E$6:$Z$6,1)))*(INDEX('Rate &amp; Vol Update'!$B$8:$B$127,MATCH(BL123,'Rate &amp; Vol Update'!$B$8:$B$127,1)+1)-BL123)+INDEX('Rate &amp; Vol Update'!$E$8:$Z$127,MATCH(INDEX('Rate &amp; Vol Update'!$B$8:$B$127,MATCH(BL123,'Rate &amp; Vol Update'!$B$8:$B$127,1)+1),'Rate &amp; Vol Update'!$B$8:$B$127,0),MATCH(INDEX('Rate &amp; Vol Update'!$E$6:$Z$6,1,MATCH(BQ123,'Rate &amp; Vol Update'!$E$6:$Z$6,1)),'Rate &amp; Vol Update'!$E$6:$Z$6,0))*(INDEX('Rate &amp; Vol Update'!$E$6:$Z$6,1,MATCH(BQ123,'Rate &amp; Vol Update'!$E$6:$Z$6,1)+1)-BQ123)*(BL123-INDEX('Rate &amp; Vol Update'!$B$8:$B$127,MATCH(BL123,'Rate &amp; Vol Update'!$B$8:$B$127,1)))+INDEX('Rate &amp; Vol Update'!$E$8:$Z$127,MATCH(INDEX('Rate &amp; Vol Update'!$B$8:$B$127,MATCH(BL123,'Rate &amp; Vol Update'!$B$8:$B$127,1)+1),'Rate &amp; Vol Update'!$B$8:$B$127,0),MATCH(INDEX('Rate &amp; Vol Update'!$E$6:$Z$6,1,MATCH(BQ123,'Rate &amp; Vol Update'!$E$6:$Z$6,1)+1),'Rate &amp; Vol Update'!$E$6:$Z$6,0))*(BQ123-INDEX('Rate &amp; Vol Update'!$E$6:$Z$6,1,MATCH(BQ123,'Rate &amp; Vol Update'!$E$6:$Z$6,1)))*(BL123-INDEX('Rate &amp; Vol Update'!$B$8:$B$127,MATCH(BL123,'Rate &amp; Vol Update'!$B$8:$B$127,1)))))*0.01%))</f>
        <v/>
      </c>
      <c r="BT123" s="5" t="str">
        <f>IF(BK123="","",1/((1+BR123)^((BM123-'Rate &amp; Vol Update'!$C$2)/360)))</f>
        <v/>
      </c>
      <c r="BV123" s="15" t="str">
        <f>IF(BK123="","",IF(BL123&lt;'Rate &amp; Vol Update'!$C$2,MAX(0,BR123-BQ123)*(BN123/360)*BP123,(((IF('Adjustment Surface'!$C$2='Data Validation'!$A$2,BR123,IF('Adjustment Surface'!$C$2='Data Validation'!$A$3,BQ123,"Unknown Option Type"))-IF('Adjustment Surface'!$C$2='Data Validation'!$A$2,BQ123,IF('Adjustment Surface'!$C$2='Data Validation'!$A$3,BR123,"Unknown Option Type")))*(NORMDIST((IF('Adjustment Surface'!$C$2='Data Validation'!$A$2,BR123,IF('Adjustment Surface'!$C$2='Data Validation'!$A$3,BQ123,"Unknown Option Type"))-IF('Adjustment Surface'!$C$2='Data Validation'!$A$2,BQ123,IF('Adjustment Surface'!$C$2='Data Validation'!$A$3,BR123,"Unknown Option Type")))/(BS123*SQRT(BO123)),0,1,TRUE)))+((BS123*SQRT(BO123))*(NORMDIST((IF('Adjustment Surface'!$C$2='Data Validation'!$A$2,BR123,IF('Adjustment Surface'!$C$2='Data Validation'!$A$3,BQ123,"Unknown Option Type"))-IF('Adjustment Surface'!$C$2='Data Validation'!$A$2,BQ123,IF('Adjustment Surface'!$C$2='Data Validation'!$A$3,BR123,"Unknown Option Type")))/(BS123*SQRT(BO123)),0,1,FALSE))))*BT123*(BN123/360)*BP123))</f>
        <v/>
      </c>
      <c r="BW123" s="15" t="str">
        <f>IF(BK123="","",SUM(BV$4:BV123))</f>
        <v/>
      </c>
      <c r="BY123" s="15" t="str">
        <f>IF(BK123="","",IF(BL123&lt;'Rate &amp; Vol Update'!$C$2,0,((((((IF('Adjustment Surface'!$C$2='Data Validation'!$A$2,BR123,IF('Adjustment Surface'!$C$2='Data Validation'!$A$3,BQ123,"Unknown Option Type"))-IF('Adjustment Surface'!$C$2='Data Validation'!$A$2,BQ123,IF('Adjustment Surface'!$C$2='Data Validation'!$A$3,BR123,"Unknown Option Type")))*(NORMDIST((IF('Adjustment Surface'!$C$2='Data Validation'!$A$2,BR123,IF('Adjustment Surface'!$C$2='Data Validation'!$A$3,BQ123,"Unknown Option Type"))-IF('Adjustment Surface'!$C$2='Data Validation'!$A$2,BQ123,IF('Adjustment Surface'!$C$2='Data Validation'!$A$3,BR123,"Unknown Option Type")))/((BS123+0.01%)*SQRT(BO123)),0,1,TRUE)))+(((BS123+0.01%)*SQRT(BO123))*(NORMDIST((IF('Adjustment Surface'!$C$2='Data Validation'!$A$2,BR123,IF('Adjustment Surface'!$C$2='Data Validation'!$A$3,BQ123,"Unknown Option Type"))-IF('Adjustment Surface'!$C$2='Data Validation'!$A$2,BQ123,IF('Adjustment Surface'!$C$2='Data Validation'!$A$3,BR123,"Unknown Option Type")))/((BS123+0.01%)*SQRT(BO123)),0,1,FALSE))))*BT123*(BN123/360))-(BV123/BP123))*BP123)*BT123))</f>
        <v/>
      </c>
      <c r="BZ123" s="15" t="str">
        <f>IF(BK123="","",SUM(BY$4:BY123))</f>
        <v/>
      </c>
      <c r="CA123" s="15"/>
      <c r="CB123" s="20"/>
      <c r="CD123" s="4" t="str">
        <f>IF(CE122=MAX('Adjustment Surface'!$C$14:$F$14),"",CE122)</f>
        <v/>
      </c>
      <c r="CE123" s="4" t="str">
        <f>IF(CD123="","",IF(CD123&lt;EDATE('Adjustment Surface'!$C$6,DATEDIF('Adjustment Surface'!$C$6,MAX('Adjustment Surface'!$C$14:$F$14),"M")),EDATE(CD$5,COUNT(CD$5:CD123)),IF(CD123=EDATE('Adjustment Surface'!$C$6,DATEDIF('Adjustment Surface'!$C$6,MAX('Adjustment Surface'!$C$14:$F$14),"M")),MAX('Adjustment Surface'!$C$14:$F$14),EDATE('Adjustment Surface'!$C$6,DATEDIF('Adjustment Surface'!$C$6,MAX('Adjustment Surface'!$C$14:$F$14),"M")))))</f>
        <v/>
      </c>
      <c r="CF123" s="3" t="str">
        <f t="shared" si="10"/>
        <v/>
      </c>
      <c r="CG123" s="5" t="str">
        <f>IF(CC123="","",(CE123-'Rate &amp; Vol Update'!$C$2)/360)</f>
        <v/>
      </c>
      <c r="CH123" s="15" t="str">
        <f>IF(CC123="","",IF('Adjustment Surface'!$C$3='Data Validation'!$C$2,'Adjustment Surface'!$C$4,_xlfn.IFNA(IF(INDEX(Schedules!$E$3:$E$123,MATCH('Bachelier Model'!CD123,Schedules!$B$3:$B$123,0))="",CH122,INDEX(Schedules!$E$3:$E$123,MATCH('Bachelier Model'!CD123,Schedules!$B$3:$B$123,0))),CH122)))</f>
        <v/>
      </c>
      <c r="CI123" s="16" t="str">
        <f>IF(CC123="","",'Adjustment Surface'!B$18)</f>
        <v/>
      </c>
      <c r="CJ123" s="16" t="str" cm="1">
        <f t="array" ref="CJ123">IF(CC123="","",FORECAST(CD123,INDEX('Rate &amp; Vol Update'!$C$6:$C$127,MATCH(INDEX('Rate &amp; Vol Update'!$B$6:$B$127,MATCH(CD123,'Rate &amp; Vol Update'!$B$6:$B$127,1)),'Rate &amp; Vol Update'!$B$6:$B$127,0)+IF('Adjustment Surface'!$C$11='Data Validation'!$E$3,-1,0)):INDEX('Rate &amp; Vol Update'!$C$6:$C$127,MATCH(INDEX('Rate &amp; Vol Update'!$B$6:$B$127,MATCH(CD123,'Rate &amp; Vol Update'!$B$6:$B$127,1)+1),'Rate &amp; Vol Update'!$B$6:$B$127,0)+IF('Adjustment Surface'!$C$11='Data Validation'!$E$3,-1,0)),INDEX('Rate &amp; Vol Update'!$B$6:$B$127,MATCH(CD123,'Rate &amp; Vol Update'!$B$6:$B$127,1)):INDEX('Rate &amp; Vol Update'!$B$6:$B$127,MATCH(CD123,'Rate &amp; Vol Update'!$B$6:$B$127,1)+1))/100)</f>
        <v/>
      </c>
      <c r="CK123" s="16" t="str" cm="1">
        <f t="array" ref="CK123">IF(CC123="","",IF(CD123&lt;'Rate &amp; Vol Update'!$C$2,0.001%,(1/((INDEX('Rate &amp; Vol Update'!$E$6:$Z$6,1,MATCH(CI123,'Rate &amp; Vol Update'!$E$6:$Z$6,1)+1)-INDEX('Rate &amp; Vol Update'!$E$6:$Z$6,1,MATCH(CI123,'Rate &amp; Vol Update'!$E$6:$Z$6,1)))*(INDEX('Rate &amp; Vol Update'!$B$8:$B$127,MATCH(CD123,'Rate &amp; Vol Update'!$B$8:$B$127,1)+1)-INDEX('Rate &amp; Vol Update'!$B$8:$B$127,MATCH(CD123,'Rate &amp; Vol Update'!$B$8:$B$127,1))))*(INDEX('Rate &amp; Vol Update'!$E$8:$Z$127,MATCH(INDEX('Rate &amp; Vol Update'!$B$8:$B$127,MATCH(CD123,'Rate &amp; Vol Update'!$B$8:$B$127,1)),'Rate &amp; Vol Update'!$B$8:$B$127,0),MATCH(INDEX('Rate &amp; Vol Update'!$E$6:$Z$6,1,MATCH(CI123,'Rate &amp; Vol Update'!$E$6:$Z$6,1)),'Rate &amp; Vol Update'!$E$6:$Z$6,0))*(INDEX('Rate &amp; Vol Update'!$E$6:$Z$6,1,MATCH(CI123,'Rate &amp; Vol Update'!$E$6:$Z$6,1)+1)-CI123)*(INDEX('Rate &amp; Vol Update'!$B$8:$B$127,MATCH(CD123,'Rate &amp; Vol Update'!$B$8:$B$127,1)+1)-CD123)+INDEX('Rate &amp; Vol Update'!$E$8:$Z$127,MATCH(INDEX('Rate &amp; Vol Update'!$B$8:$B$127,MATCH(CD123,'Rate &amp; Vol Update'!$B$8:$B$127,1)),'Rate &amp; Vol Update'!$B$8:$B$127,0),MATCH(INDEX('Rate &amp; Vol Update'!$E$6:$Z$6,1,MATCH(CI123,'Rate &amp; Vol Update'!$E$6:$Z$6,1)+1),'Rate &amp; Vol Update'!$E$6:$Z$6,0))*(CI123-INDEX('Rate &amp; Vol Update'!$E$6:$Z$6,1,MATCH(CI123,'Rate &amp; Vol Update'!$E$6:$Z$6,1)))*(INDEX('Rate &amp; Vol Update'!$B$8:$B$127,MATCH(CD123,'Rate &amp; Vol Update'!$B$8:$B$127,1)+1)-CD123)+INDEX('Rate &amp; Vol Update'!$E$8:$Z$127,MATCH(INDEX('Rate &amp; Vol Update'!$B$8:$B$127,MATCH(CD123,'Rate &amp; Vol Update'!$B$8:$B$127,1)+1),'Rate &amp; Vol Update'!$B$8:$B$127,0),MATCH(INDEX('Rate &amp; Vol Update'!$E$6:$Z$6,1,MATCH(CI123,'Rate &amp; Vol Update'!$E$6:$Z$6,1)),'Rate &amp; Vol Update'!$E$6:$Z$6,0))*(INDEX('Rate &amp; Vol Update'!$E$6:$Z$6,1,MATCH(CI123,'Rate &amp; Vol Update'!$E$6:$Z$6,1)+1)-CI123)*(CD123-INDEX('Rate &amp; Vol Update'!$B$8:$B$127,MATCH(CD123,'Rate &amp; Vol Update'!$B$8:$B$127,1)))+INDEX('Rate &amp; Vol Update'!$E$8:$Z$127,MATCH(INDEX('Rate &amp; Vol Update'!$B$8:$B$127,MATCH(CD123,'Rate &amp; Vol Update'!$B$8:$B$127,1)+1),'Rate &amp; Vol Update'!$B$8:$B$127,0),MATCH(INDEX('Rate &amp; Vol Update'!$E$6:$Z$6,1,MATCH(CI123,'Rate &amp; Vol Update'!$E$6:$Z$6,1)+1),'Rate &amp; Vol Update'!$E$6:$Z$6,0))*(CI123-INDEX('Rate &amp; Vol Update'!$E$6:$Z$6,1,MATCH(CI123,'Rate &amp; Vol Update'!$E$6:$Z$6,1)))*(CD123-INDEX('Rate &amp; Vol Update'!$B$8:$B$127,MATCH(CD123,'Rate &amp; Vol Update'!$B$8:$B$127,1)))))*0.01%))</f>
        <v/>
      </c>
      <c r="CL123" s="5" t="str">
        <f>IF(CC123="","",1/((1+CJ123)^((CE123-'Rate &amp; Vol Update'!$C$2)/360)))</f>
        <v/>
      </c>
      <c r="CN123" s="15" t="str">
        <f>IF(CC123="","",IF(CD123&lt;'Rate &amp; Vol Update'!$C$2,MAX(0,CJ123-CI123)*(CF123/360)*CH123,(((IF('Adjustment Surface'!$C$2='Data Validation'!$A$2,CJ123,IF('Adjustment Surface'!$C$2='Data Validation'!$A$3,CI123,"Unknown Option Type"))-IF('Adjustment Surface'!$C$2='Data Validation'!$A$2,CI123,IF('Adjustment Surface'!$C$2='Data Validation'!$A$3,CJ123,"Unknown Option Type")))*(NORMDIST((IF('Adjustment Surface'!$C$2='Data Validation'!$A$2,CJ123,IF('Adjustment Surface'!$C$2='Data Validation'!$A$3,CI123,"Unknown Option Type"))-IF('Adjustment Surface'!$C$2='Data Validation'!$A$2,CI123,IF('Adjustment Surface'!$C$2='Data Validation'!$A$3,CJ123,"Unknown Option Type")))/(CK123*SQRT(CG123)),0,1,TRUE)))+((CK123*SQRT(CG123))*(NORMDIST((IF('Adjustment Surface'!$C$2='Data Validation'!$A$2,CJ123,IF('Adjustment Surface'!$C$2='Data Validation'!$A$3,CI123,"Unknown Option Type"))-IF('Adjustment Surface'!$C$2='Data Validation'!$A$2,CI123,IF('Adjustment Surface'!$C$2='Data Validation'!$A$3,CJ123,"Unknown Option Type")))/(CK123*SQRT(CG123)),0,1,FALSE))))*CL123*(CF123/360)*CH123))</f>
        <v/>
      </c>
      <c r="CO123" s="15" t="str">
        <f>IF(CC123="","",SUM(CN$4:CN123))</f>
        <v/>
      </c>
      <c r="CQ123" s="15" t="str">
        <f>IF(CC123="","",IF(CD123&lt;'Rate &amp; Vol Update'!$C$2,0,((((((IF('Adjustment Surface'!$C$2='Data Validation'!$A$2,CJ123,IF('Adjustment Surface'!$C$2='Data Validation'!$A$3,CI123,"Unknown Option Type"))-IF('Adjustment Surface'!$C$2='Data Validation'!$A$2,CI123,IF('Adjustment Surface'!$C$2='Data Validation'!$A$3,CJ123,"Unknown Option Type")))*(NORMDIST((IF('Adjustment Surface'!$C$2='Data Validation'!$A$2,CJ123,IF('Adjustment Surface'!$C$2='Data Validation'!$A$3,CI123,"Unknown Option Type"))-IF('Adjustment Surface'!$C$2='Data Validation'!$A$2,CI123,IF('Adjustment Surface'!$C$2='Data Validation'!$A$3,CJ123,"Unknown Option Type")))/((CK123+0.01%)*SQRT(CG123)),0,1,TRUE)))+(((CK123+0.01%)*SQRT(CG123))*(NORMDIST((IF('Adjustment Surface'!$C$2='Data Validation'!$A$2,CJ123,IF('Adjustment Surface'!$C$2='Data Validation'!$A$3,CI123,"Unknown Option Type"))-IF('Adjustment Surface'!$C$2='Data Validation'!$A$2,CI123,IF('Adjustment Surface'!$C$2='Data Validation'!$A$3,CJ123,"Unknown Option Type")))/((CK123+0.01%)*SQRT(CG123)),0,1,FALSE))))*CL123*(CF123/360))-(CN123/CH123))*CH123)*CL123))</f>
        <v/>
      </c>
      <c r="CR123" s="15" t="str">
        <f>IF(CC123="","",SUM(CQ$4:CQ123))</f>
        <v/>
      </c>
    </row>
    <row r="124" spans="7:96" x14ac:dyDescent="0.25">
      <c r="G124" s="28"/>
      <c r="J124" s="4" t="str">
        <f>IF(K123='Adjustment Surface'!C$8,"",K123)</f>
        <v/>
      </c>
      <c r="K124" s="4" t="str">
        <f>IF(J124="","",IF(J124&lt;'Adjustment Surface'!C$7,EDATE(J$5,COUNT(J$5:J124)),IF(J124='Adjustment Surface'!C$7,'Adjustment Surface'!C$8,'Adjustment Surface'!C$7)))</f>
        <v/>
      </c>
      <c r="L124" s="3" t="str">
        <f t="shared" si="6"/>
        <v/>
      </c>
      <c r="M124" s="5" t="str">
        <f>IF(I124="","",(K124-'Rate &amp; Vol Update'!$C$2)/360)</f>
        <v/>
      </c>
      <c r="N124" s="15" t="str">
        <f>IF(I124="","",IF('Adjustment Surface'!C$3='Data Validation'!$C$2,'Adjustment Surface'!C$4,IF(INDEX(Schedules!$E$3:$E$123,MATCH('Bachelier Model'!J124,Schedules!$B$3:$B$123,0))="",N123,INDEX(Schedules!$E$3:$E$123,MATCH('Bachelier Model'!J124,Schedules!$B$3:$B$123,0)))))</f>
        <v/>
      </c>
      <c r="O124" s="16" t="str">
        <f>IF(I124="","",IF('Adjustment Surface'!C$9='Data Validation'!$D$2,'Adjustment Surface'!C$10,IF(INDEX(Schedules!$H$3:$H$123,MATCH('Bachelier Model'!J124,Schedules!$B$3:$B$123,0))="",O123,INDEX(Schedules!$H$3:$H$123,MATCH('Bachelier Model'!J124,Schedules!$B$3:$B$123,0)))))</f>
        <v/>
      </c>
      <c r="P124" s="16" t="str" cm="1">
        <f t="array" ref="P124">IF(I124="","",FORECAST(J124,INDEX('Rate &amp; Vol Update'!$C$6:$C$127,MATCH(INDEX('Rate &amp; Vol Update'!$B$6:$B$127,MATCH(J124,'Rate &amp; Vol Update'!$B$6:$B$127,1)),'Rate &amp; Vol Update'!$B$6:$B$127,0)+IF('Adjustment Surface'!C$11='Data Validation'!$E$3,-1,0)):INDEX('Rate &amp; Vol Update'!$C$6:$C$127,MATCH(INDEX('Rate &amp; Vol Update'!$B$6:$B$127,MATCH(J124,'Rate &amp; Vol Update'!$B$6:$B$127,1)+1),'Rate &amp; Vol Update'!$B$6:$B$127,0)+IF('Adjustment Surface'!C$11='Data Validation'!$E$3,-1,0)),INDEX('Rate &amp; Vol Update'!$B$6:$B$127,MATCH(J124,'Rate &amp; Vol Update'!$B$6:$B$127,1)):INDEX('Rate &amp; Vol Update'!$B$6:$B$127,MATCH(J124,'Rate &amp; Vol Update'!$B$6:$B$127,1)+1))/100)</f>
        <v/>
      </c>
      <c r="Q124" s="16" t="str" cm="1">
        <f t="array" ref="Q124">IF(I124="","",IF(J124&lt;'Rate &amp; Vol Update'!$C$2,0.001%,(1/((INDEX('Rate &amp; Vol Update'!$E$6:$Z$6,1,MATCH(O124,'Rate &amp; Vol Update'!$E$6:$Z$6,1)+1)-INDEX('Rate &amp; Vol Update'!$E$6:$Z$6,1,MATCH(O124,'Rate &amp; Vol Update'!$E$6:$Z$6,1)))*(INDEX('Rate &amp; Vol Update'!$B$8:$B$127,MATCH(J124,'Rate &amp; Vol Update'!$B$8:$B$127,1)+1)-INDEX('Rate &amp; Vol Update'!$B$8:$B$127,MATCH(J124,'Rate &amp; Vol Update'!$B$8:$B$127,1))))*(INDEX('Rate &amp; Vol Update'!$E$8:$Z$127,MATCH(INDEX('Rate &amp; Vol Update'!$B$8:$B$127,MATCH(J124,'Rate &amp; Vol Update'!$B$8:$B$127,1)),'Rate &amp; Vol Update'!$B$8:$B$127,0),MATCH(INDEX('Rate &amp; Vol Update'!$E$6:$Z$6,1,MATCH(O124,'Rate &amp; Vol Update'!$E$6:$Z$6,1)),'Rate &amp; Vol Update'!$E$6:$Z$6,0))*(INDEX('Rate &amp; Vol Update'!$E$6:$Z$6,1,MATCH(O124,'Rate &amp; Vol Update'!$E$6:$Z$6,1)+1)-O124)*(INDEX('Rate &amp; Vol Update'!$B$8:$B$127,MATCH(J124,'Rate &amp; Vol Update'!$B$8:$B$127,1)+1)-J124)+INDEX('Rate &amp; Vol Update'!$E$8:$Z$127,MATCH(INDEX('Rate &amp; Vol Update'!$B$8:$B$127,MATCH(J124,'Rate &amp; Vol Update'!$B$8:$B$127,1)),'Rate &amp; Vol Update'!$B$8:$B$127,0),MATCH(INDEX('Rate &amp; Vol Update'!$E$6:$Z$6,1,MATCH(O124,'Rate &amp; Vol Update'!$E$6:$Z$6,1)+1),'Rate &amp; Vol Update'!$E$6:$Z$6,0))*(O124-INDEX('Rate &amp; Vol Update'!$E$6:$Z$6,1,MATCH(O124,'Rate &amp; Vol Update'!$E$6:$Z$6,1)))*(INDEX('Rate &amp; Vol Update'!$B$8:$B$127,MATCH(J124,'Rate &amp; Vol Update'!$B$8:$B$127,1)+1)-J124)+INDEX('Rate &amp; Vol Update'!$E$8:$Z$127,MATCH(INDEX('Rate &amp; Vol Update'!$B$8:$B$127,MATCH(J124,'Rate &amp; Vol Update'!$B$8:$B$127,1)+1),'Rate &amp; Vol Update'!$B$8:$B$127,0),MATCH(INDEX('Rate &amp; Vol Update'!$E$6:$Z$6,1,MATCH(O124,'Rate &amp; Vol Update'!$E$6:$Z$6,1)),'Rate &amp; Vol Update'!$E$6:$Z$6,0))*(INDEX('Rate &amp; Vol Update'!$E$6:$Z$6,1,MATCH(O124,'Rate &amp; Vol Update'!$E$6:$Z$6,1)+1)-O124)*(J124-INDEX('Rate &amp; Vol Update'!$B$8:$B$127,MATCH(J124,'Rate &amp; Vol Update'!$B$8:$B$127,1)))+INDEX('Rate &amp; Vol Update'!$E$8:$Z$127,MATCH(INDEX('Rate &amp; Vol Update'!$B$8:$B$127,MATCH(J124,'Rate &amp; Vol Update'!$B$8:$B$127,1)+1),'Rate &amp; Vol Update'!$B$8:$B$127,0),MATCH(INDEX('Rate &amp; Vol Update'!$E$6:$Z$6,1,MATCH(O124,'Rate &amp; Vol Update'!$E$6:$Z$6,1)+1),'Rate &amp; Vol Update'!$E$6:$Z$6,0))*(O124-INDEX('Rate &amp; Vol Update'!$E$6:$Z$6,1,MATCH(O124,'Rate &amp; Vol Update'!$E$6:$Z$6,1)))*(J124-INDEX('Rate &amp; Vol Update'!$B$8:$B$127,MATCH(J124,'Rate &amp; Vol Update'!$B$8:$B$127,1)))))*0.01%))</f>
        <v/>
      </c>
      <c r="R124" s="5" t="str">
        <f>IF(I124="","",1/((1+P124)^((K124-'Rate &amp; Vol Update'!$C$2)/360)))</f>
        <v/>
      </c>
      <c r="T124" s="15" t="str">
        <f>IF(I124="","",IF(J124&lt;'Rate &amp; Vol Update'!$C$2,MAX(0,P124-O124)*(L124/360)*N124,(((IF('Adjustment Surface'!C$2='Data Validation'!$A$2,P124,IF('Adjustment Surface'!C$2='Data Validation'!$A$3,O124,"Unknown Option Type"))-IF('Adjustment Surface'!C$2='Data Validation'!$A$2,O124,IF('Adjustment Surface'!C$2='Data Validation'!$A$3,P124,"Unknown Option Type")))*(NORMDIST((IF('Adjustment Surface'!C$2='Data Validation'!$A$2,P124,IF('Adjustment Surface'!C$2='Data Validation'!$A$3,O124,"Unknown Option Type"))-IF('Adjustment Surface'!C$2='Data Validation'!$A$2,O124,IF('Adjustment Surface'!C$2='Data Validation'!$A$3,P124,"Unknown Option Type")))/(Q124*SQRT(M124)),0,1,TRUE)))+((Q124*SQRT(M124))*(NORMDIST((IF('Adjustment Surface'!C$2='Data Validation'!$A$2,P124,IF('Adjustment Surface'!C$2='Data Validation'!$A$3,O124,"Unknown Option Type"))-IF('Adjustment Surface'!C$2='Data Validation'!$A$2,O124,IF('Adjustment Surface'!C$2='Data Validation'!$A$3,P124,"Unknown Option Type")))/(Q124*SQRT(M124)),0,1,FALSE))))*R124*(L124/360)*N124))</f>
        <v/>
      </c>
      <c r="U124" s="15" t="str">
        <f>IF(I124="","",SUM(T$4:T124))</f>
        <v/>
      </c>
      <c r="W124" s="15" t="str">
        <f>IF(I124="","",IF(J124&lt;'Rate &amp; Vol Update'!$C$2,0,((((((IF('Adjustment Surface'!C$2='Data Validation'!$A$2,P124,IF('Adjustment Surface'!C$2='Data Validation'!$A$3,O124,"Unknown Option Type"))-IF('Adjustment Surface'!C$2='Data Validation'!$A$2,O124,IF('Adjustment Surface'!C$2='Data Validation'!$A$3,P124,"Unknown Option Type")))*(NORMDIST((IF('Adjustment Surface'!C$2='Data Validation'!$A$2,P124,IF('Adjustment Surface'!C$2='Data Validation'!$A$3,O124,"Unknown Option Type"))-IF('Adjustment Surface'!C$2='Data Validation'!$A$2,O124,IF('Adjustment Surface'!C$2='Data Validation'!$A$3,P124,"Unknown Option Type")))/((Q124+0.01%)*SQRT(M124)),0,1,TRUE)))+(((Q124+0.01%)*SQRT(M124))*(NORMDIST((IF('Adjustment Surface'!C$2='Data Validation'!$A$2,P124,IF('Adjustment Surface'!C$2='Data Validation'!$A$3,O124,"Unknown Option Type"))-IF('Adjustment Surface'!C$2='Data Validation'!$A$2,O124,IF('Adjustment Surface'!C$2='Data Validation'!$A$3,P124,"Unknown Option Type")))/((Q124+0.01%)*SQRT(M124)),0,1,FALSE))))*R124*(L124/360))-(T124/N124))*N124)*R124))</f>
        <v/>
      </c>
      <c r="X124" s="15" t="str">
        <f>IF(I124="","",SUM(W$4:W124))</f>
        <v/>
      </c>
      <c r="Y124" s="15"/>
      <c r="Z124" s="20"/>
      <c r="AB124" s="4" t="str">
        <f>IF(AC123=MAX('Adjustment Surface'!$C$14:$F$14),"",AC123)</f>
        <v/>
      </c>
      <c r="AC124" s="4" t="str">
        <f>IF(AB124="","",IF(AB124&lt;EDATE('Adjustment Surface'!$C$6,DATEDIF('Adjustment Surface'!$C$6,MAX('Adjustment Surface'!$C$14:$F$14),"M")),EDATE(AB$5,COUNT(AB$5:AB124)),IF(AB124=EDATE('Adjustment Surface'!$C$6,DATEDIF('Adjustment Surface'!$C$6,MAX('Adjustment Surface'!$C$14:$F$14),"M")),MAX('Adjustment Surface'!$C$14:$F$14),EDATE('Adjustment Surface'!$C$6,DATEDIF('Adjustment Surface'!$C$6,MAX('Adjustment Surface'!$C$14:$F$14),"M")))))</f>
        <v/>
      </c>
      <c r="AD124" s="3" t="str">
        <f t="shared" si="7"/>
        <v/>
      </c>
      <c r="AE124" s="5" t="str">
        <f>IF(AA124="","",(AC124-'Rate &amp; Vol Update'!$C$2)/360)</f>
        <v/>
      </c>
      <c r="AF124" s="15" t="str">
        <f>IF(AA124="","",IF('Adjustment Surface'!$C$3='Data Validation'!$C$2,'Adjustment Surface'!$C$4,_xlfn.IFNA(IF(INDEX(Schedules!$E$3:$E$123,MATCH('Bachelier Model'!AB124,Schedules!$B$3:$B$123,0))="",AF123,INDEX(Schedules!$E$3:$E$123,MATCH('Bachelier Model'!AB124,Schedules!$B$3:$B$123,0))),AF123)))</f>
        <v/>
      </c>
      <c r="AG124" s="16" t="str">
        <f>IF(AA124="","",'Adjustment Surface'!B$15)</f>
        <v/>
      </c>
      <c r="AH124" s="16" t="str" cm="1">
        <f t="array" ref="AH124">IF(AA124="","",FORECAST(AB124,INDEX('Rate &amp; Vol Update'!$C$6:$C$127,MATCH(INDEX('Rate &amp; Vol Update'!$B$6:$B$127,MATCH(AB124,'Rate &amp; Vol Update'!$B$6:$B$127,1)),'Rate &amp; Vol Update'!$B$6:$B$127,0)+IF('Adjustment Surface'!$C$11='Data Validation'!$E$3,-1,0)):INDEX('Rate &amp; Vol Update'!$C$6:$C$127,MATCH(INDEX('Rate &amp; Vol Update'!$B$6:$B$127,MATCH(AB124,'Rate &amp; Vol Update'!$B$6:$B$127,1)+1),'Rate &amp; Vol Update'!$B$6:$B$127,0)+IF('Adjustment Surface'!$C$11='Data Validation'!$E$3,-1,0)),INDEX('Rate &amp; Vol Update'!$B$6:$B$127,MATCH(AB124,'Rate &amp; Vol Update'!$B$6:$B$127,1)):INDEX('Rate &amp; Vol Update'!$B$6:$B$127,MATCH(AB124,'Rate &amp; Vol Update'!$B$6:$B$127,1)+1))/100)</f>
        <v/>
      </c>
      <c r="AI124" s="16" t="str" cm="1">
        <f t="array" ref="AI124">IF(AA124="","",IF(AB124&lt;'Rate &amp; Vol Update'!$C$2,0.001%,(1/((INDEX('Rate &amp; Vol Update'!$E$6:$Z$6,1,MATCH(AG124,'Rate &amp; Vol Update'!$E$6:$Z$6,1)+1)-INDEX('Rate &amp; Vol Update'!$E$6:$Z$6,1,MATCH(AG124,'Rate &amp; Vol Update'!$E$6:$Z$6,1)))*(INDEX('Rate &amp; Vol Update'!$B$8:$B$127,MATCH(AB124,'Rate &amp; Vol Update'!$B$8:$B$127,1)+1)-INDEX('Rate &amp; Vol Update'!$B$8:$B$127,MATCH(AB124,'Rate &amp; Vol Update'!$B$8:$B$127,1))))*(INDEX('Rate &amp; Vol Update'!$E$8:$Z$127,MATCH(INDEX('Rate &amp; Vol Update'!$B$8:$B$127,MATCH(AB124,'Rate &amp; Vol Update'!$B$8:$B$127,1)),'Rate &amp; Vol Update'!$B$8:$B$127,0),MATCH(INDEX('Rate &amp; Vol Update'!$E$6:$Z$6,1,MATCH(AG124,'Rate &amp; Vol Update'!$E$6:$Z$6,1)),'Rate &amp; Vol Update'!$E$6:$Z$6,0))*(INDEX('Rate &amp; Vol Update'!$E$6:$Z$6,1,MATCH(AG124,'Rate &amp; Vol Update'!$E$6:$Z$6,1)+1)-AG124)*(INDEX('Rate &amp; Vol Update'!$B$8:$B$127,MATCH(AB124,'Rate &amp; Vol Update'!$B$8:$B$127,1)+1)-AB124)+INDEX('Rate &amp; Vol Update'!$E$8:$Z$127,MATCH(INDEX('Rate &amp; Vol Update'!$B$8:$B$127,MATCH(AB124,'Rate &amp; Vol Update'!$B$8:$B$127,1)),'Rate &amp; Vol Update'!$B$8:$B$127,0),MATCH(INDEX('Rate &amp; Vol Update'!$E$6:$Z$6,1,MATCH(AG124,'Rate &amp; Vol Update'!$E$6:$Z$6,1)+1),'Rate &amp; Vol Update'!$E$6:$Z$6,0))*(AG124-INDEX('Rate &amp; Vol Update'!$E$6:$Z$6,1,MATCH(AG124,'Rate &amp; Vol Update'!$E$6:$Z$6,1)))*(INDEX('Rate &amp; Vol Update'!$B$8:$B$127,MATCH(AB124,'Rate &amp; Vol Update'!$B$8:$B$127,1)+1)-AB124)+INDEX('Rate &amp; Vol Update'!$E$8:$Z$127,MATCH(INDEX('Rate &amp; Vol Update'!$B$8:$B$127,MATCH(AB124,'Rate &amp; Vol Update'!$B$8:$B$127,1)+1),'Rate &amp; Vol Update'!$B$8:$B$127,0),MATCH(INDEX('Rate &amp; Vol Update'!$E$6:$Z$6,1,MATCH(AG124,'Rate &amp; Vol Update'!$E$6:$Z$6,1)),'Rate &amp; Vol Update'!$E$6:$Z$6,0))*(INDEX('Rate &amp; Vol Update'!$E$6:$Z$6,1,MATCH(AG124,'Rate &amp; Vol Update'!$E$6:$Z$6,1)+1)-AG124)*(AB124-INDEX('Rate &amp; Vol Update'!$B$8:$B$127,MATCH(AB124,'Rate &amp; Vol Update'!$B$8:$B$127,1)))+INDEX('Rate &amp; Vol Update'!$E$8:$Z$127,MATCH(INDEX('Rate &amp; Vol Update'!$B$8:$B$127,MATCH(AB124,'Rate &amp; Vol Update'!$B$8:$B$127,1)+1),'Rate &amp; Vol Update'!$B$8:$B$127,0),MATCH(INDEX('Rate &amp; Vol Update'!$E$6:$Z$6,1,MATCH(AG124,'Rate &amp; Vol Update'!$E$6:$Z$6,1)+1),'Rate &amp; Vol Update'!$E$6:$Z$6,0))*(AG124-INDEX('Rate &amp; Vol Update'!$E$6:$Z$6,1,MATCH(AG124,'Rate &amp; Vol Update'!$E$6:$Z$6,1)))*(AB124-INDEX('Rate &amp; Vol Update'!$B$8:$B$127,MATCH(AB124,'Rate &amp; Vol Update'!$B$8:$B$127,1)))))*0.01%))</f>
        <v/>
      </c>
      <c r="AJ124" s="5" t="str">
        <f>IF(AA124="","",1/((1+AH124)^((AC124-'Rate &amp; Vol Update'!$C$2)/360)))</f>
        <v/>
      </c>
      <c r="AL124" s="15" t="str">
        <f>IF(AA124="","",IF(AB124&lt;'Rate &amp; Vol Update'!$C$2,MAX(0,AH124-AG124)*(AD124/360)*AF124,(((IF('Adjustment Surface'!$C$2='Data Validation'!$A$2,AH124,IF('Adjustment Surface'!$C$2='Data Validation'!$A$3,AG124,"Unknown Option Type"))-IF('Adjustment Surface'!$C$2='Data Validation'!$A$2,AG124,IF('Adjustment Surface'!$C$2='Data Validation'!$A$3,AH124,"Unknown Option Type")))*(NORMDIST((IF('Adjustment Surface'!$C$2='Data Validation'!$A$2,AH124,IF('Adjustment Surface'!$C$2='Data Validation'!$A$3,AG124,"Unknown Option Type"))-IF('Adjustment Surface'!$C$2='Data Validation'!$A$2,AG124,IF('Adjustment Surface'!$C$2='Data Validation'!$A$3,AH124,"Unknown Option Type")))/(AI124*SQRT(AE124)),0,1,TRUE)))+((AI124*SQRT(AE124))*(NORMDIST((IF('Adjustment Surface'!$C$2='Data Validation'!$A$2,AH124,IF('Adjustment Surface'!$C$2='Data Validation'!$A$3,AG124,"Unknown Option Type"))-IF('Adjustment Surface'!$C$2='Data Validation'!$A$2,AG124,IF('Adjustment Surface'!$C$2='Data Validation'!$A$3,AH124,"Unknown Option Type")))/(AI124*SQRT(AE124)),0,1,FALSE))))*AJ124*(AD124/360)*AF124))</f>
        <v/>
      </c>
      <c r="AM124" s="15" t="str">
        <f>IF(AA124="","",SUM(AL$4:AL124))</f>
        <v/>
      </c>
      <c r="AO124" s="15" t="str">
        <f>IF(AA124="","",IF(AB124&lt;'Rate &amp; Vol Update'!$C$2,0,((((((IF('Adjustment Surface'!$C$2='Data Validation'!$A$2,AH124,IF('Adjustment Surface'!$C$2='Data Validation'!$A$3,AG124,"Unknown Option Type"))-IF('Adjustment Surface'!$C$2='Data Validation'!$A$2,AG124,IF('Adjustment Surface'!$C$2='Data Validation'!$A$3,AH124,"Unknown Option Type")))*(NORMDIST((IF('Adjustment Surface'!$C$2='Data Validation'!$A$2,AH124,IF('Adjustment Surface'!$C$2='Data Validation'!$A$3,AG124,"Unknown Option Type"))-IF('Adjustment Surface'!$C$2='Data Validation'!$A$2,AG124,IF('Adjustment Surface'!$C$2='Data Validation'!$A$3,AH124,"Unknown Option Type")))/((AI124+0.01%)*SQRT(AE124)),0,1,TRUE)))+(((AI124+0.01%)*SQRT(AE124))*(NORMDIST((IF('Adjustment Surface'!$C$2='Data Validation'!$A$2,AH124,IF('Adjustment Surface'!$C$2='Data Validation'!$A$3,AG124,"Unknown Option Type"))-IF('Adjustment Surface'!$C$2='Data Validation'!$A$2,AG124,IF('Adjustment Surface'!$C$2='Data Validation'!$A$3,AH124,"Unknown Option Type")))/((AI124+0.01%)*SQRT(AE124)),0,1,FALSE))))*AJ124*(AD124/360))-(AL124/AF124))*AF124)*AJ124))</f>
        <v/>
      </c>
      <c r="AP124" s="15" t="str">
        <f>IF(AA124="","",SUM(AO$4:AO124))</f>
        <v/>
      </c>
      <c r="AQ124" s="15"/>
      <c r="AR124" s="20"/>
      <c r="AT124" s="4" t="str">
        <f>IF(AU123=MAX('Adjustment Surface'!$C$14:$F$14),"",AU123)</f>
        <v/>
      </c>
      <c r="AU124" s="4" t="str">
        <f>IF(AT124="","",IF(AT124&lt;EDATE('Adjustment Surface'!$C$6,DATEDIF('Adjustment Surface'!$C$6,MAX('Adjustment Surface'!$C$14:$F$14),"M")),EDATE(AT$5,COUNT(AT$5:AT124)),IF(AT124=EDATE('Adjustment Surface'!$C$6,DATEDIF('Adjustment Surface'!$C$6,MAX('Adjustment Surface'!$C$14:$F$14),"M")),MAX('Adjustment Surface'!$C$14:$F$14),EDATE('Adjustment Surface'!$C$6,DATEDIF('Adjustment Surface'!$C$6,MAX('Adjustment Surface'!$C$14:$F$14),"M")))))</f>
        <v/>
      </c>
      <c r="AV124" s="3" t="str">
        <f t="shared" si="8"/>
        <v/>
      </c>
      <c r="AW124" s="5" t="str">
        <f>IF(AS124="","",(AU124-'Rate &amp; Vol Update'!$C$2)/360)</f>
        <v/>
      </c>
      <c r="AX124" s="15" t="str">
        <f>IF(AS124="","",IF('Adjustment Surface'!$C$3='Data Validation'!$C$2,'Adjustment Surface'!$C$4,_xlfn.IFNA(IF(INDEX(Schedules!$E$3:$E$123,MATCH('Bachelier Model'!AT124,Schedules!$B$3:$B$123,0))="",AX123,INDEX(Schedules!$E$3:$E$123,MATCH('Bachelier Model'!AT124,Schedules!$B$3:$B$123,0))),AX123)))</f>
        <v/>
      </c>
      <c r="AY124" s="16" t="str">
        <f>IF(AS124="","",'Adjustment Surface'!B$16)</f>
        <v/>
      </c>
      <c r="AZ124" s="16" t="str" cm="1">
        <f t="array" ref="AZ124">IF(AS124="","",FORECAST(AT124,INDEX('Rate &amp; Vol Update'!$C$6:$C$127,MATCH(INDEX('Rate &amp; Vol Update'!$B$6:$B$127,MATCH(AT124,'Rate &amp; Vol Update'!$B$6:$B$127,1)),'Rate &amp; Vol Update'!$B$6:$B$127,0)+IF('Adjustment Surface'!$C$11='Data Validation'!$E$3,-1,0)):INDEX('Rate &amp; Vol Update'!$C$6:$C$127,MATCH(INDEX('Rate &amp; Vol Update'!$B$6:$B$127,MATCH(AT124,'Rate &amp; Vol Update'!$B$6:$B$127,1)+1),'Rate &amp; Vol Update'!$B$6:$B$127,0)+IF('Adjustment Surface'!$C$11='Data Validation'!$E$3,-1,0)),INDEX('Rate &amp; Vol Update'!$B$6:$B$127,MATCH(AT124,'Rate &amp; Vol Update'!$B$6:$B$127,1)):INDEX('Rate &amp; Vol Update'!$B$6:$B$127,MATCH(AT124,'Rate &amp; Vol Update'!$B$6:$B$127,1)+1))/100)</f>
        <v/>
      </c>
      <c r="BA124" s="16" t="str" cm="1">
        <f t="array" ref="BA124">IF(AS124="","",IF(AT124&lt;'Rate &amp; Vol Update'!$C$2,0.001%,(1/((INDEX('Rate &amp; Vol Update'!$E$6:$Z$6,1,MATCH(AY124,'Rate &amp; Vol Update'!$E$6:$Z$6,1)+1)-INDEX('Rate &amp; Vol Update'!$E$6:$Z$6,1,MATCH(AY124,'Rate &amp; Vol Update'!$E$6:$Z$6,1)))*(INDEX('Rate &amp; Vol Update'!$B$8:$B$127,MATCH(AT124,'Rate &amp; Vol Update'!$B$8:$B$127,1)+1)-INDEX('Rate &amp; Vol Update'!$B$8:$B$127,MATCH(AT124,'Rate &amp; Vol Update'!$B$8:$B$127,1))))*(INDEX('Rate &amp; Vol Update'!$E$8:$Z$127,MATCH(INDEX('Rate &amp; Vol Update'!$B$8:$B$127,MATCH(AT124,'Rate &amp; Vol Update'!$B$8:$B$127,1)),'Rate &amp; Vol Update'!$B$8:$B$127,0),MATCH(INDEX('Rate &amp; Vol Update'!$E$6:$Z$6,1,MATCH(AY124,'Rate &amp; Vol Update'!$E$6:$Z$6,1)),'Rate &amp; Vol Update'!$E$6:$Z$6,0))*(INDEX('Rate &amp; Vol Update'!$E$6:$Z$6,1,MATCH(AY124,'Rate &amp; Vol Update'!$E$6:$Z$6,1)+1)-AY124)*(INDEX('Rate &amp; Vol Update'!$B$8:$B$127,MATCH(AT124,'Rate &amp; Vol Update'!$B$8:$B$127,1)+1)-AT124)+INDEX('Rate &amp; Vol Update'!$E$8:$Z$127,MATCH(INDEX('Rate &amp; Vol Update'!$B$8:$B$127,MATCH(AT124,'Rate &amp; Vol Update'!$B$8:$B$127,1)),'Rate &amp; Vol Update'!$B$8:$B$127,0),MATCH(INDEX('Rate &amp; Vol Update'!$E$6:$Z$6,1,MATCH(AY124,'Rate &amp; Vol Update'!$E$6:$Z$6,1)+1),'Rate &amp; Vol Update'!$E$6:$Z$6,0))*(AY124-INDEX('Rate &amp; Vol Update'!$E$6:$Z$6,1,MATCH(AY124,'Rate &amp; Vol Update'!$E$6:$Z$6,1)))*(INDEX('Rate &amp; Vol Update'!$B$8:$B$127,MATCH(AT124,'Rate &amp; Vol Update'!$B$8:$B$127,1)+1)-AT124)+INDEX('Rate &amp; Vol Update'!$E$8:$Z$127,MATCH(INDEX('Rate &amp; Vol Update'!$B$8:$B$127,MATCH(AT124,'Rate &amp; Vol Update'!$B$8:$B$127,1)+1),'Rate &amp; Vol Update'!$B$8:$B$127,0),MATCH(INDEX('Rate &amp; Vol Update'!$E$6:$Z$6,1,MATCH(AY124,'Rate &amp; Vol Update'!$E$6:$Z$6,1)),'Rate &amp; Vol Update'!$E$6:$Z$6,0))*(INDEX('Rate &amp; Vol Update'!$E$6:$Z$6,1,MATCH(AY124,'Rate &amp; Vol Update'!$E$6:$Z$6,1)+1)-AY124)*(AT124-INDEX('Rate &amp; Vol Update'!$B$8:$B$127,MATCH(AT124,'Rate &amp; Vol Update'!$B$8:$B$127,1)))+INDEX('Rate &amp; Vol Update'!$E$8:$Z$127,MATCH(INDEX('Rate &amp; Vol Update'!$B$8:$B$127,MATCH(AT124,'Rate &amp; Vol Update'!$B$8:$B$127,1)+1),'Rate &amp; Vol Update'!$B$8:$B$127,0),MATCH(INDEX('Rate &amp; Vol Update'!$E$6:$Z$6,1,MATCH(AY124,'Rate &amp; Vol Update'!$E$6:$Z$6,1)+1),'Rate &amp; Vol Update'!$E$6:$Z$6,0))*(AY124-INDEX('Rate &amp; Vol Update'!$E$6:$Z$6,1,MATCH(AY124,'Rate &amp; Vol Update'!$E$6:$Z$6,1)))*(AT124-INDEX('Rate &amp; Vol Update'!$B$8:$B$127,MATCH(AT124,'Rate &amp; Vol Update'!$B$8:$B$127,1)))))*0.01%))</f>
        <v/>
      </c>
      <c r="BB124" s="5" t="str">
        <f>IF(AS124="","",1/((1+AZ124)^((AU124-'Rate &amp; Vol Update'!$C$2)/360)))</f>
        <v/>
      </c>
      <c r="BD124" s="15" t="str">
        <f>IF(AS124="","",IF(AT124&lt;'Rate &amp; Vol Update'!$C$2,MAX(0,AZ124-AY124)*(AV124/360)*AX124,(((IF('Adjustment Surface'!$C$2='Data Validation'!$A$2,AZ124,IF('Adjustment Surface'!$C$2='Data Validation'!$A$3,AY124,"Unknown Option Type"))-IF('Adjustment Surface'!$C$2='Data Validation'!$A$2,AY124,IF('Adjustment Surface'!$C$2='Data Validation'!$A$3,AZ124,"Unknown Option Type")))*(NORMDIST((IF('Adjustment Surface'!$C$2='Data Validation'!$A$2,AZ124,IF('Adjustment Surface'!$C$2='Data Validation'!$A$3,AY124,"Unknown Option Type"))-IF('Adjustment Surface'!$C$2='Data Validation'!$A$2,AY124,IF('Adjustment Surface'!$C$2='Data Validation'!$A$3,AZ124,"Unknown Option Type")))/(BA124*SQRT(AW124)),0,1,TRUE)))+((BA124*SQRT(AW124))*(NORMDIST((IF('Adjustment Surface'!$C$2='Data Validation'!$A$2,AZ124,IF('Adjustment Surface'!$C$2='Data Validation'!$A$3,AY124,"Unknown Option Type"))-IF('Adjustment Surface'!$C$2='Data Validation'!$A$2,AY124,IF('Adjustment Surface'!$C$2='Data Validation'!$A$3,AZ124,"Unknown Option Type")))/(BA124*SQRT(AW124)),0,1,FALSE))))*BB124*(AV124/360)*AX124))</f>
        <v/>
      </c>
      <c r="BE124" s="15" t="str">
        <f>IF(AS124="","",SUM(BD$4:BD124))</f>
        <v/>
      </c>
      <c r="BG124" s="15" t="str">
        <f>IF(AS124="","",IF(AT124&lt;'Rate &amp; Vol Update'!$C$2,0,((((((IF('Adjustment Surface'!$C$2='Data Validation'!$A$2,AZ124,IF('Adjustment Surface'!$C$2='Data Validation'!$A$3,AY124,"Unknown Option Type"))-IF('Adjustment Surface'!$C$2='Data Validation'!$A$2,AY124,IF('Adjustment Surface'!$C$2='Data Validation'!$A$3,AZ124,"Unknown Option Type")))*(NORMDIST((IF('Adjustment Surface'!$C$2='Data Validation'!$A$2,AZ124,IF('Adjustment Surface'!$C$2='Data Validation'!$A$3,AY124,"Unknown Option Type"))-IF('Adjustment Surface'!$C$2='Data Validation'!$A$2,AY124,IF('Adjustment Surface'!$C$2='Data Validation'!$A$3,AZ124,"Unknown Option Type")))/((BA124+0.01%)*SQRT(AW124)),0,1,TRUE)))+(((BA124+0.01%)*SQRT(AW124))*(NORMDIST((IF('Adjustment Surface'!$C$2='Data Validation'!$A$2,AZ124,IF('Adjustment Surface'!$C$2='Data Validation'!$A$3,AY124,"Unknown Option Type"))-IF('Adjustment Surface'!$C$2='Data Validation'!$A$2,AY124,IF('Adjustment Surface'!$C$2='Data Validation'!$A$3,AZ124,"Unknown Option Type")))/((BA124+0.01%)*SQRT(AW124)),0,1,FALSE))))*BB124*(AV124/360))-(BD124/AX124))*AX124)*BB124))</f>
        <v/>
      </c>
      <c r="BH124" s="15" t="str">
        <f>IF(AS124="","",SUM(BG$4:BG124))</f>
        <v/>
      </c>
      <c r="BI124" s="15"/>
      <c r="BJ124" s="20"/>
      <c r="BL124" s="4" t="str">
        <f>IF(BM123=MAX('Adjustment Surface'!$C$14:$F$14),"",BM123)</f>
        <v/>
      </c>
      <c r="BM124" s="4" t="str">
        <f>IF(BL124="","",IF(BL124&lt;EDATE('Adjustment Surface'!$C$6,DATEDIF('Adjustment Surface'!$C$6,MAX('Adjustment Surface'!$C$14:$F$14),"M")),EDATE(BL$5,COUNT(BL$5:BL124)),IF(BL124=EDATE('Adjustment Surface'!$C$6,DATEDIF('Adjustment Surface'!$C$6,MAX('Adjustment Surface'!$C$14:$F$14),"M")),MAX('Adjustment Surface'!$C$14:$F$14),EDATE('Adjustment Surface'!$C$6,DATEDIF('Adjustment Surface'!$C$6,MAX('Adjustment Surface'!$C$14:$F$14),"M")))))</f>
        <v/>
      </c>
      <c r="BN124" s="3" t="str">
        <f t="shared" si="9"/>
        <v/>
      </c>
      <c r="BO124" s="5" t="str">
        <f>IF(BK124="","",(BM124-'Rate &amp; Vol Update'!$C$2)/360)</f>
        <v/>
      </c>
      <c r="BP124" s="15" t="str">
        <f>IF(BK124="","",IF('Adjustment Surface'!$C$3='Data Validation'!$C$2,'Adjustment Surface'!$C$4,_xlfn.IFNA(IF(INDEX(Schedules!$E$3:$E$123,MATCH('Bachelier Model'!BL124,Schedules!$B$3:$B$123,0))="",BP123,INDEX(Schedules!$E$3:$E$123,MATCH('Bachelier Model'!BL124,Schedules!$B$3:$B$123,0))),BP123)))</f>
        <v/>
      </c>
      <c r="BQ124" s="16" t="str">
        <f>IF(BK124="","",'Adjustment Surface'!B$17)</f>
        <v/>
      </c>
      <c r="BR124" s="16" t="str" cm="1">
        <f t="array" ref="BR124">IF(BK124="","",FORECAST(BL124,INDEX('Rate &amp; Vol Update'!$C$6:$C$127,MATCH(INDEX('Rate &amp; Vol Update'!$B$6:$B$127,MATCH(BL124,'Rate &amp; Vol Update'!$B$6:$B$127,1)),'Rate &amp; Vol Update'!$B$6:$B$127,0)+IF('Adjustment Surface'!$C$11='Data Validation'!$E$3,-1,0)):INDEX('Rate &amp; Vol Update'!$C$6:$C$127,MATCH(INDEX('Rate &amp; Vol Update'!$B$6:$B$127,MATCH(BL124,'Rate &amp; Vol Update'!$B$6:$B$127,1)+1),'Rate &amp; Vol Update'!$B$6:$B$127,0)+IF('Adjustment Surface'!$C$11='Data Validation'!$E$3,-1,0)),INDEX('Rate &amp; Vol Update'!$B$6:$B$127,MATCH(BL124,'Rate &amp; Vol Update'!$B$6:$B$127,1)):INDEX('Rate &amp; Vol Update'!$B$6:$B$127,MATCH(BL124,'Rate &amp; Vol Update'!$B$6:$B$127,1)+1))/100)</f>
        <v/>
      </c>
      <c r="BS124" s="16" t="str" cm="1">
        <f t="array" ref="BS124">IF(BK124="","",IF(BL124&lt;'Rate &amp; Vol Update'!$C$2,0.001%,(1/((INDEX('Rate &amp; Vol Update'!$E$6:$Z$6,1,MATCH(BQ124,'Rate &amp; Vol Update'!$E$6:$Z$6,1)+1)-INDEX('Rate &amp; Vol Update'!$E$6:$Z$6,1,MATCH(BQ124,'Rate &amp; Vol Update'!$E$6:$Z$6,1)))*(INDEX('Rate &amp; Vol Update'!$B$8:$B$127,MATCH(BL124,'Rate &amp; Vol Update'!$B$8:$B$127,1)+1)-INDEX('Rate &amp; Vol Update'!$B$8:$B$127,MATCH(BL124,'Rate &amp; Vol Update'!$B$8:$B$127,1))))*(INDEX('Rate &amp; Vol Update'!$E$8:$Z$127,MATCH(INDEX('Rate &amp; Vol Update'!$B$8:$B$127,MATCH(BL124,'Rate &amp; Vol Update'!$B$8:$B$127,1)),'Rate &amp; Vol Update'!$B$8:$B$127,0),MATCH(INDEX('Rate &amp; Vol Update'!$E$6:$Z$6,1,MATCH(BQ124,'Rate &amp; Vol Update'!$E$6:$Z$6,1)),'Rate &amp; Vol Update'!$E$6:$Z$6,0))*(INDEX('Rate &amp; Vol Update'!$E$6:$Z$6,1,MATCH(BQ124,'Rate &amp; Vol Update'!$E$6:$Z$6,1)+1)-BQ124)*(INDEX('Rate &amp; Vol Update'!$B$8:$B$127,MATCH(BL124,'Rate &amp; Vol Update'!$B$8:$B$127,1)+1)-BL124)+INDEX('Rate &amp; Vol Update'!$E$8:$Z$127,MATCH(INDEX('Rate &amp; Vol Update'!$B$8:$B$127,MATCH(BL124,'Rate &amp; Vol Update'!$B$8:$B$127,1)),'Rate &amp; Vol Update'!$B$8:$B$127,0),MATCH(INDEX('Rate &amp; Vol Update'!$E$6:$Z$6,1,MATCH(BQ124,'Rate &amp; Vol Update'!$E$6:$Z$6,1)+1),'Rate &amp; Vol Update'!$E$6:$Z$6,0))*(BQ124-INDEX('Rate &amp; Vol Update'!$E$6:$Z$6,1,MATCH(BQ124,'Rate &amp; Vol Update'!$E$6:$Z$6,1)))*(INDEX('Rate &amp; Vol Update'!$B$8:$B$127,MATCH(BL124,'Rate &amp; Vol Update'!$B$8:$B$127,1)+1)-BL124)+INDEX('Rate &amp; Vol Update'!$E$8:$Z$127,MATCH(INDEX('Rate &amp; Vol Update'!$B$8:$B$127,MATCH(BL124,'Rate &amp; Vol Update'!$B$8:$B$127,1)+1),'Rate &amp; Vol Update'!$B$8:$B$127,0),MATCH(INDEX('Rate &amp; Vol Update'!$E$6:$Z$6,1,MATCH(BQ124,'Rate &amp; Vol Update'!$E$6:$Z$6,1)),'Rate &amp; Vol Update'!$E$6:$Z$6,0))*(INDEX('Rate &amp; Vol Update'!$E$6:$Z$6,1,MATCH(BQ124,'Rate &amp; Vol Update'!$E$6:$Z$6,1)+1)-BQ124)*(BL124-INDEX('Rate &amp; Vol Update'!$B$8:$B$127,MATCH(BL124,'Rate &amp; Vol Update'!$B$8:$B$127,1)))+INDEX('Rate &amp; Vol Update'!$E$8:$Z$127,MATCH(INDEX('Rate &amp; Vol Update'!$B$8:$B$127,MATCH(BL124,'Rate &amp; Vol Update'!$B$8:$B$127,1)+1),'Rate &amp; Vol Update'!$B$8:$B$127,0),MATCH(INDEX('Rate &amp; Vol Update'!$E$6:$Z$6,1,MATCH(BQ124,'Rate &amp; Vol Update'!$E$6:$Z$6,1)+1),'Rate &amp; Vol Update'!$E$6:$Z$6,0))*(BQ124-INDEX('Rate &amp; Vol Update'!$E$6:$Z$6,1,MATCH(BQ124,'Rate &amp; Vol Update'!$E$6:$Z$6,1)))*(BL124-INDEX('Rate &amp; Vol Update'!$B$8:$B$127,MATCH(BL124,'Rate &amp; Vol Update'!$B$8:$B$127,1)))))*0.01%))</f>
        <v/>
      </c>
      <c r="BT124" s="5" t="str">
        <f>IF(BK124="","",1/((1+BR124)^((BM124-'Rate &amp; Vol Update'!$C$2)/360)))</f>
        <v/>
      </c>
      <c r="BV124" s="15" t="str">
        <f>IF(BK124="","",IF(BL124&lt;'Rate &amp; Vol Update'!$C$2,MAX(0,BR124-BQ124)*(BN124/360)*BP124,(((IF('Adjustment Surface'!$C$2='Data Validation'!$A$2,BR124,IF('Adjustment Surface'!$C$2='Data Validation'!$A$3,BQ124,"Unknown Option Type"))-IF('Adjustment Surface'!$C$2='Data Validation'!$A$2,BQ124,IF('Adjustment Surface'!$C$2='Data Validation'!$A$3,BR124,"Unknown Option Type")))*(NORMDIST((IF('Adjustment Surface'!$C$2='Data Validation'!$A$2,BR124,IF('Adjustment Surface'!$C$2='Data Validation'!$A$3,BQ124,"Unknown Option Type"))-IF('Adjustment Surface'!$C$2='Data Validation'!$A$2,BQ124,IF('Adjustment Surface'!$C$2='Data Validation'!$A$3,BR124,"Unknown Option Type")))/(BS124*SQRT(BO124)),0,1,TRUE)))+((BS124*SQRT(BO124))*(NORMDIST((IF('Adjustment Surface'!$C$2='Data Validation'!$A$2,BR124,IF('Adjustment Surface'!$C$2='Data Validation'!$A$3,BQ124,"Unknown Option Type"))-IF('Adjustment Surface'!$C$2='Data Validation'!$A$2,BQ124,IF('Adjustment Surface'!$C$2='Data Validation'!$A$3,BR124,"Unknown Option Type")))/(BS124*SQRT(BO124)),0,1,FALSE))))*BT124*(BN124/360)*BP124))</f>
        <v/>
      </c>
      <c r="BW124" s="15" t="str">
        <f>IF(BK124="","",SUM(BV$4:BV124))</f>
        <v/>
      </c>
      <c r="BY124" s="15" t="str">
        <f>IF(BK124="","",IF(BL124&lt;'Rate &amp; Vol Update'!$C$2,0,((((((IF('Adjustment Surface'!$C$2='Data Validation'!$A$2,BR124,IF('Adjustment Surface'!$C$2='Data Validation'!$A$3,BQ124,"Unknown Option Type"))-IF('Adjustment Surface'!$C$2='Data Validation'!$A$2,BQ124,IF('Adjustment Surface'!$C$2='Data Validation'!$A$3,BR124,"Unknown Option Type")))*(NORMDIST((IF('Adjustment Surface'!$C$2='Data Validation'!$A$2,BR124,IF('Adjustment Surface'!$C$2='Data Validation'!$A$3,BQ124,"Unknown Option Type"))-IF('Adjustment Surface'!$C$2='Data Validation'!$A$2,BQ124,IF('Adjustment Surface'!$C$2='Data Validation'!$A$3,BR124,"Unknown Option Type")))/((BS124+0.01%)*SQRT(BO124)),0,1,TRUE)))+(((BS124+0.01%)*SQRT(BO124))*(NORMDIST((IF('Adjustment Surface'!$C$2='Data Validation'!$A$2,BR124,IF('Adjustment Surface'!$C$2='Data Validation'!$A$3,BQ124,"Unknown Option Type"))-IF('Adjustment Surface'!$C$2='Data Validation'!$A$2,BQ124,IF('Adjustment Surface'!$C$2='Data Validation'!$A$3,BR124,"Unknown Option Type")))/((BS124+0.01%)*SQRT(BO124)),0,1,FALSE))))*BT124*(BN124/360))-(BV124/BP124))*BP124)*BT124))</f>
        <v/>
      </c>
      <c r="BZ124" s="15" t="str">
        <f>IF(BK124="","",SUM(BY$4:BY124))</f>
        <v/>
      </c>
      <c r="CA124" s="15"/>
      <c r="CB124" s="20"/>
      <c r="CD124" s="4" t="str">
        <f>IF(CE123=MAX('Adjustment Surface'!$C$14:$F$14),"",CE123)</f>
        <v/>
      </c>
      <c r="CE124" s="4" t="str">
        <f>IF(CD124="","",IF(CD124&lt;EDATE('Adjustment Surface'!$C$6,DATEDIF('Adjustment Surface'!$C$6,MAX('Adjustment Surface'!$C$14:$F$14),"M")),EDATE(CD$5,COUNT(CD$5:CD124)),IF(CD124=EDATE('Adjustment Surface'!$C$6,DATEDIF('Adjustment Surface'!$C$6,MAX('Adjustment Surface'!$C$14:$F$14),"M")),MAX('Adjustment Surface'!$C$14:$F$14),EDATE('Adjustment Surface'!$C$6,DATEDIF('Adjustment Surface'!$C$6,MAX('Adjustment Surface'!$C$14:$F$14),"M")))))</f>
        <v/>
      </c>
      <c r="CF124" s="3" t="str">
        <f t="shared" si="10"/>
        <v/>
      </c>
      <c r="CG124" s="5" t="str">
        <f>IF(CC124="","",(CE124-'Rate &amp; Vol Update'!$C$2)/360)</f>
        <v/>
      </c>
      <c r="CH124" s="15" t="str">
        <f>IF(CC124="","",IF('Adjustment Surface'!$C$3='Data Validation'!$C$2,'Adjustment Surface'!$C$4,_xlfn.IFNA(IF(INDEX(Schedules!$E$3:$E$123,MATCH('Bachelier Model'!CD124,Schedules!$B$3:$B$123,0))="",CH123,INDEX(Schedules!$E$3:$E$123,MATCH('Bachelier Model'!CD124,Schedules!$B$3:$B$123,0))),CH123)))</f>
        <v/>
      </c>
      <c r="CI124" s="16" t="str">
        <f>IF(CC124="","",'Adjustment Surface'!B$18)</f>
        <v/>
      </c>
      <c r="CJ124" s="16" t="str" cm="1">
        <f t="array" ref="CJ124">IF(CC124="","",FORECAST(CD124,INDEX('Rate &amp; Vol Update'!$C$6:$C$127,MATCH(INDEX('Rate &amp; Vol Update'!$B$6:$B$127,MATCH(CD124,'Rate &amp; Vol Update'!$B$6:$B$127,1)),'Rate &amp; Vol Update'!$B$6:$B$127,0)+IF('Adjustment Surface'!$C$11='Data Validation'!$E$3,-1,0)):INDEX('Rate &amp; Vol Update'!$C$6:$C$127,MATCH(INDEX('Rate &amp; Vol Update'!$B$6:$B$127,MATCH(CD124,'Rate &amp; Vol Update'!$B$6:$B$127,1)+1),'Rate &amp; Vol Update'!$B$6:$B$127,0)+IF('Adjustment Surface'!$C$11='Data Validation'!$E$3,-1,0)),INDEX('Rate &amp; Vol Update'!$B$6:$B$127,MATCH(CD124,'Rate &amp; Vol Update'!$B$6:$B$127,1)):INDEX('Rate &amp; Vol Update'!$B$6:$B$127,MATCH(CD124,'Rate &amp; Vol Update'!$B$6:$B$127,1)+1))/100)</f>
        <v/>
      </c>
      <c r="CK124" s="16" t="str" cm="1">
        <f t="array" ref="CK124">IF(CC124="","",IF(CD124&lt;'Rate &amp; Vol Update'!$C$2,0.001%,(1/((INDEX('Rate &amp; Vol Update'!$E$6:$Z$6,1,MATCH(CI124,'Rate &amp; Vol Update'!$E$6:$Z$6,1)+1)-INDEX('Rate &amp; Vol Update'!$E$6:$Z$6,1,MATCH(CI124,'Rate &amp; Vol Update'!$E$6:$Z$6,1)))*(INDEX('Rate &amp; Vol Update'!$B$8:$B$127,MATCH(CD124,'Rate &amp; Vol Update'!$B$8:$B$127,1)+1)-INDEX('Rate &amp; Vol Update'!$B$8:$B$127,MATCH(CD124,'Rate &amp; Vol Update'!$B$8:$B$127,1))))*(INDEX('Rate &amp; Vol Update'!$E$8:$Z$127,MATCH(INDEX('Rate &amp; Vol Update'!$B$8:$B$127,MATCH(CD124,'Rate &amp; Vol Update'!$B$8:$B$127,1)),'Rate &amp; Vol Update'!$B$8:$B$127,0),MATCH(INDEX('Rate &amp; Vol Update'!$E$6:$Z$6,1,MATCH(CI124,'Rate &amp; Vol Update'!$E$6:$Z$6,1)),'Rate &amp; Vol Update'!$E$6:$Z$6,0))*(INDEX('Rate &amp; Vol Update'!$E$6:$Z$6,1,MATCH(CI124,'Rate &amp; Vol Update'!$E$6:$Z$6,1)+1)-CI124)*(INDEX('Rate &amp; Vol Update'!$B$8:$B$127,MATCH(CD124,'Rate &amp; Vol Update'!$B$8:$B$127,1)+1)-CD124)+INDEX('Rate &amp; Vol Update'!$E$8:$Z$127,MATCH(INDEX('Rate &amp; Vol Update'!$B$8:$B$127,MATCH(CD124,'Rate &amp; Vol Update'!$B$8:$B$127,1)),'Rate &amp; Vol Update'!$B$8:$B$127,0),MATCH(INDEX('Rate &amp; Vol Update'!$E$6:$Z$6,1,MATCH(CI124,'Rate &amp; Vol Update'!$E$6:$Z$6,1)+1),'Rate &amp; Vol Update'!$E$6:$Z$6,0))*(CI124-INDEX('Rate &amp; Vol Update'!$E$6:$Z$6,1,MATCH(CI124,'Rate &amp; Vol Update'!$E$6:$Z$6,1)))*(INDEX('Rate &amp; Vol Update'!$B$8:$B$127,MATCH(CD124,'Rate &amp; Vol Update'!$B$8:$B$127,1)+1)-CD124)+INDEX('Rate &amp; Vol Update'!$E$8:$Z$127,MATCH(INDEX('Rate &amp; Vol Update'!$B$8:$B$127,MATCH(CD124,'Rate &amp; Vol Update'!$B$8:$B$127,1)+1),'Rate &amp; Vol Update'!$B$8:$B$127,0),MATCH(INDEX('Rate &amp; Vol Update'!$E$6:$Z$6,1,MATCH(CI124,'Rate &amp; Vol Update'!$E$6:$Z$6,1)),'Rate &amp; Vol Update'!$E$6:$Z$6,0))*(INDEX('Rate &amp; Vol Update'!$E$6:$Z$6,1,MATCH(CI124,'Rate &amp; Vol Update'!$E$6:$Z$6,1)+1)-CI124)*(CD124-INDEX('Rate &amp; Vol Update'!$B$8:$B$127,MATCH(CD124,'Rate &amp; Vol Update'!$B$8:$B$127,1)))+INDEX('Rate &amp; Vol Update'!$E$8:$Z$127,MATCH(INDEX('Rate &amp; Vol Update'!$B$8:$B$127,MATCH(CD124,'Rate &amp; Vol Update'!$B$8:$B$127,1)+1),'Rate &amp; Vol Update'!$B$8:$B$127,0),MATCH(INDEX('Rate &amp; Vol Update'!$E$6:$Z$6,1,MATCH(CI124,'Rate &amp; Vol Update'!$E$6:$Z$6,1)+1),'Rate &amp; Vol Update'!$E$6:$Z$6,0))*(CI124-INDEX('Rate &amp; Vol Update'!$E$6:$Z$6,1,MATCH(CI124,'Rate &amp; Vol Update'!$E$6:$Z$6,1)))*(CD124-INDEX('Rate &amp; Vol Update'!$B$8:$B$127,MATCH(CD124,'Rate &amp; Vol Update'!$B$8:$B$127,1)))))*0.01%))</f>
        <v/>
      </c>
      <c r="CL124" s="5" t="str">
        <f>IF(CC124="","",1/((1+CJ124)^((CE124-'Rate &amp; Vol Update'!$C$2)/360)))</f>
        <v/>
      </c>
      <c r="CN124" s="15" t="str">
        <f>IF(CC124="","",IF(CD124&lt;'Rate &amp; Vol Update'!$C$2,MAX(0,CJ124-CI124)*(CF124/360)*CH124,(((IF('Adjustment Surface'!$C$2='Data Validation'!$A$2,CJ124,IF('Adjustment Surface'!$C$2='Data Validation'!$A$3,CI124,"Unknown Option Type"))-IF('Adjustment Surface'!$C$2='Data Validation'!$A$2,CI124,IF('Adjustment Surface'!$C$2='Data Validation'!$A$3,CJ124,"Unknown Option Type")))*(NORMDIST((IF('Adjustment Surface'!$C$2='Data Validation'!$A$2,CJ124,IF('Adjustment Surface'!$C$2='Data Validation'!$A$3,CI124,"Unknown Option Type"))-IF('Adjustment Surface'!$C$2='Data Validation'!$A$2,CI124,IF('Adjustment Surface'!$C$2='Data Validation'!$A$3,CJ124,"Unknown Option Type")))/(CK124*SQRT(CG124)),0,1,TRUE)))+((CK124*SQRT(CG124))*(NORMDIST((IF('Adjustment Surface'!$C$2='Data Validation'!$A$2,CJ124,IF('Adjustment Surface'!$C$2='Data Validation'!$A$3,CI124,"Unknown Option Type"))-IF('Adjustment Surface'!$C$2='Data Validation'!$A$2,CI124,IF('Adjustment Surface'!$C$2='Data Validation'!$A$3,CJ124,"Unknown Option Type")))/(CK124*SQRT(CG124)),0,1,FALSE))))*CL124*(CF124/360)*CH124))</f>
        <v/>
      </c>
      <c r="CO124" s="15" t="str">
        <f>IF(CC124="","",SUM(CN$4:CN124))</f>
        <v/>
      </c>
      <c r="CQ124" s="15" t="str">
        <f>IF(CC124="","",IF(CD124&lt;'Rate &amp; Vol Update'!$C$2,0,((((((IF('Adjustment Surface'!$C$2='Data Validation'!$A$2,CJ124,IF('Adjustment Surface'!$C$2='Data Validation'!$A$3,CI124,"Unknown Option Type"))-IF('Adjustment Surface'!$C$2='Data Validation'!$A$2,CI124,IF('Adjustment Surface'!$C$2='Data Validation'!$A$3,CJ124,"Unknown Option Type")))*(NORMDIST((IF('Adjustment Surface'!$C$2='Data Validation'!$A$2,CJ124,IF('Adjustment Surface'!$C$2='Data Validation'!$A$3,CI124,"Unknown Option Type"))-IF('Adjustment Surface'!$C$2='Data Validation'!$A$2,CI124,IF('Adjustment Surface'!$C$2='Data Validation'!$A$3,CJ124,"Unknown Option Type")))/((CK124+0.01%)*SQRT(CG124)),0,1,TRUE)))+(((CK124+0.01%)*SQRT(CG124))*(NORMDIST((IF('Adjustment Surface'!$C$2='Data Validation'!$A$2,CJ124,IF('Adjustment Surface'!$C$2='Data Validation'!$A$3,CI124,"Unknown Option Type"))-IF('Adjustment Surface'!$C$2='Data Validation'!$A$2,CI124,IF('Adjustment Surface'!$C$2='Data Validation'!$A$3,CJ124,"Unknown Option Type")))/((CK124+0.01%)*SQRT(CG124)),0,1,FALSE))))*CL124*(CF124/360))-(CN124/CH124))*CH124)*CL124))</f>
        <v/>
      </c>
      <c r="CR124" s="15" t="str">
        <f>IF(CC124="","",SUM(CQ$4:CQ124))</f>
        <v/>
      </c>
    </row>
    <row r="125" spans="7:96" x14ac:dyDescent="0.25">
      <c r="G125" s="28"/>
      <c r="T125" s="22"/>
      <c r="U125" s="22"/>
      <c r="W125" s="22"/>
      <c r="X125" s="22"/>
      <c r="Y125" s="22"/>
      <c r="Z125" s="20"/>
      <c r="AL125" s="22"/>
      <c r="AM125" s="22"/>
      <c r="AO125" s="22"/>
      <c r="AP125" s="22"/>
      <c r="AQ125" s="22"/>
      <c r="AR125" s="20"/>
      <c r="BD125" s="22"/>
      <c r="BE125" s="22"/>
      <c r="BG125" s="22"/>
      <c r="BH125" s="22"/>
      <c r="BI125" s="22"/>
      <c r="BJ125" s="20"/>
      <c r="BV125" s="22"/>
      <c r="BW125" s="22"/>
      <c r="BY125" s="22"/>
      <c r="BZ125" s="22"/>
      <c r="CA125" s="22"/>
      <c r="CB125" s="20"/>
      <c r="CN125" s="22"/>
      <c r="CO125" s="22"/>
      <c r="CQ125" s="22"/>
      <c r="CR125" s="22"/>
    </row>
  </sheetData>
  <sheetProtection algorithmName="SHA-512" hashValue="chCDQc+oOuU12Mi0egcq13AAIdOjeQqsVwhWFUvwDuFgCZX08v95F8VlZ4DVecMDqxu0fMI5bK/52JZWzKuOWA==" saltValue="fC9SoJMWVpZEZrEyQTWF3w==" spinCount="100000"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1C51F9-FD05-4762-9A68-E606460E902C}">
  <sheetPr codeName="Sheet11">
    <tabColor theme="6"/>
  </sheetPr>
  <dimension ref="A1:CF48"/>
  <sheetViews>
    <sheetView showGridLines="0" workbookViewId="0">
      <selection activeCell="F29" sqref="F29"/>
    </sheetView>
  </sheetViews>
  <sheetFormatPr defaultColWidth="0" defaultRowHeight="15" zeroHeight="1" x14ac:dyDescent="0.25"/>
  <cols>
    <col min="1" max="1" width="2.85546875" hidden="1" customWidth="1"/>
    <col min="2" max="2" width="17.85546875" hidden="1" customWidth="1"/>
    <col min="3" max="6" width="16.42578125" hidden="1" customWidth="1"/>
    <col min="7" max="7" width="2.85546875" hidden="1" customWidth="1"/>
    <col min="8" max="8" width="16.85546875" hidden="1" customWidth="1"/>
    <col min="9" max="13" width="12" hidden="1" customWidth="1"/>
    <col min="14" max="14" width="2.85546875" hidden="1" customWidth="1"/>
    <col min="15" max="15" width="9.140625" hidden="1" customWidth="1"/>
    <col min="16" max="35" width="11.28515625" hidden="1" customWidth="1"/>
    <col min="36" max="36" width="2.85546875" hidden="1" customWidth="1"/>
    <col min="37" max="38" width="27.28515625" hidden="1" customWidth="1"/>
    <col min="39" max="39" width="2.85546875" hidden="1" customWidth="1"/>
    <col min="40" max="40" width="9.140625" hidden="1" customWidth="1"/>
    <col min="41" max="60" width="11.28515625" hidden="1" customWidth="1"/>
    <col min="61" max="61" width="2.85546875" style="26" hidden="1" customWidth="1"/>
    <col min="62" max="82" width="9.140625" hidden="1" customWidth="1"/>
    <col min="83" max="84" width="0" hidden="1" customWidth="1"/>
    <col min="85" max="16384" width="9.140625" hidden="1"/>
  </cols>
  <sheetData>
    <row r="1" spans="2:61" x14ac:dyDescent="0.25"/>
    <row r="2" spans="2:61" x14ac:dyDescent="0.25">
      <c r="B2" s="6" t="s">
        <v>16</v>
      </c>
      <c r="C2" s="6" t="str">
        <f>IF('Control Panel'!C3='Data Validation'!J2,#REF!,'Cap and Floor Pricer'!D16)</f>
        <v>Cap</v>
      </c>
      <c r="E2" s="24" t="s">
        <v>41</v>
      </c>
      <c r="F2" s="24"/>
      <c r="H2" s="169" t="s">
        <v>52</v>
      </c>
      <c r="I2" s="24"/>
      <c r="J2" s="24"/>
      <c r="K2" s="24"/>
      <c r="L2" s="24"/>
      <c r="M2" s="24"/>
      <c r="O2" s="169" t="s">
        <v>113</v>
      </c>
      <c r="P2" s="169"/>
      <c r="Q2" s="169"/>
      <c r="R2" s="169"/>
      <c r="S2" s="169"/>
      <c r="T2" s="169"/>
      <c r="U2" s="169"/>
      <c r="V2" s="169"/>
      <c r="W2" s="169"/>
      <c r="X2" s="169"/>
      <c r="Y2" s="169"/>
      <c r="Z2" s="169"/>
      <c r="AA2" s="169"/>
      <c r="AB2" s="169"/>
      <c r="AC2" s="169"/>
      <c r="AD2" s="169"/>
      <c r="AE2" s="169"/>
      <c r="AF2" s="169"/>
      <c r="AG2" s="169"/>
      <c r="AH2" s="169"/>
      <c r="AI2" s="169"/>
      <c r="AK2" s="24" t="s">
        <v>117</v>
      </c>
      <c r="AL2" s="23"/>
      <c r="AN2" s="169" t="s">
        <v>55</v>
      </c>
      <c r="AO2" s="169"/>
      <c r="AP2" s="169"/>
      <c r="AQ2" s="169"/>
      <c r="AR2" s="169"/>
      <c r="AS2" s="169"/>
      <c r="AT2" s="169"/>
      <c r="AU2" s="169"/>
      <c r="AV2" s="169"/>
      <c r="AW2" s="169"/>
      <c r="AX2" s="169"/>
      <c r="AY2" s="169"/>
      <c r="AZ2" s="169"/>
      <c r="BA2" s="169"/>
      <c r="BB2" s="169"/>
      <c r="BC2" s="169"/>
      <c r="BD2" s="169"/>
      <c r="BE2" s="169"/>
      <c r="BF2" s="169"/>
      <c r="BG2" s="169"/>
      <c r="BH2" s="169"/>
    </row>
    <row r="3" spans="2:61" x14ac:dyDescent="0.25">
      <c r="B3" s="6" t="s">
        <v>23</v>
      </c>
      <c r="C3" s="6" t="str">
        <f>IF('Control Panel'!C3='Data Validation'!J2,#REF!,'Data Validation'!C2)</f>
        <v>Bullet</v>
      </c>
      <c r="E3" s="6" t="s">
        <v>46</v>
      </c>
      <c r="F3" s="15">
        <f>INDEX('Bachelier Model'!U4:U124,MATCH(MAX('Bachelier Model'!I4:I124),'Bachelier Model'!I4:I124,0))</f>
        <v>1015717.0387267369</v>
      </c>
      <c r="H3" s="170" t="s">
        <v>50</v>
      </c>
      <c r="I3" s="31">
        <f>C8</f>
        <v>47160</v>
      </c>
      <c r="J3" s="31">
        <f>'Adjustment Surface'!C14</f>
        <v>46429</v>
      </c>
      <c r="K3" s="31">
        <f>'Adjustment Surface'!D14</f>
        <v>46794</v>
      </c>
      <c r="L3" s="31">
        <f>'Adjustment Surface'!E14</f>
        <v>47160</v>
      </c>
      <c r="M3" s="31">
        <f>'Adjustment Surface'!F14</f>
        <v>47525</v>
      </c>
      <c r="O3" s="170" t="s">
        <v>45</v>
      </c>
      <c r="P3" s="171" cm="1">
        <f t="array" ref="P3:X3">IF('Control Panel'!$C$5='Data Validation'!$K$3,TRANSPOSE(_xlfn._xlws.SORT(_xlfn.UNIQUE(IFERROR(VALUE(TRIM($AL$4:$AL$46)),$AL$4)))),TRANSPOSE(_xlfn._xlws.SORT(_xlfn.UNIQUE(_xlfn._xlws.FILTER(IF($C$2='Data Validation'!$A$2,'Bank Adjustments'!E4:E103,IF('Adjustment Surface'!$C$2='Data Validation'!$A$3,'Bank Adjustments'!O4:O103,"Unknown Option Type")),IF($C$2='Data Validation'!$A$2,'Bank Adjustments'!E4:E103,IF('Adjustment Surface'!$C$2='Data Validation'!$A$3,'Bank Adjustments'!O4:O103,"Unknown Option Type")))),,1)))</f>
        <v>46429</v>
      </c>
      <c r="Q3" s="171">
        <v>46518</v>
      </c>
      <c r="R3" s="171">
        <v>46610</v>
      </c>
      <c r="S3" s="171">
        <v>46702</v>
      </c>
      <c r="T3" s="171">
        <v>46794</v>
      </c>
      <c r="U3" s="171">
        <v>46884</v>
      </c>
      <c r="V3" s="171">
        <v>46976</v>
      </c>
      <c r="W3" s="171">
        <v>47068</v>
      </c>
      <c r="X3" s="171">
        <v>47160</v>
      </c>
      <c r="Y3" s="171"/>
      <c r="Z3" s="171"/>
      <c r="AA3" s="171"/>
      <c r="AB3" s="171"/>
      <c r="AC3" s="171"/>
      <c r="AD3" s="171"/>
      <c r="AE3" s="171"/>
      <c r="AF3" s="171"/>
      <c r="AG3" s="171"/>
      <c r="AH3" s="171"/>
      <c r="AI3" s="171"/>
      <c r="AK3" s="75" t="s">
        <v>59</v>
      </c>
      <c r="AL3" s="74" t="s">
        <v>60</v>
      </c>
      <c r="AN3" s="170" t="s">
        <v>45</v>
      </c>
      <c r="AO3" s="171" cm="1">
        <f t="array" ref="AO3:AQ3">TRANSPOSE(_xlfn._xlws.SORT(_xlfn.UNIQUE(_xlfn._xlws.FILTER(IF($C$2='Data Validation'!$A$2,'Bank Adjustments'!E4:E103,IF('Adjustment Surface'!$C$2='Data Validation'!$A$3,'Bank Adjustments'!O4:O103,"Unknown Option Type")),IF($C$2='Data Validation'!$A$2,'Bank Adjustments'!E4:E103,IF('Adjustment Surface'!$C$2='Data Validation'!$A$3,'Bank Adjustments'!O4:O103,"Unknown Option Type")))),,1))</f>
        <v>46429</v>
      </c>
      <c r="AP3" s="171">
        <v>46794</v>
      </c>
      <c r="AQ3" s="171">
        <v>47160</v>
      </c>
      <c r="AR3" s="171"/>
      <c r="AS3" s="171"/>
      <c r="AT3" s="171"/>
      <c r="AU3" s="171"/>
      <c r="AV3" s="171"/>
      <c r="AW3" s="171"/>
      <c r="AX3" s="171"/>
      <c r="AY3" s="171"/>
      <c r="AZ3" s="171"/>
      <c r="BA3" s="171"/>
      <c r="BB3" s="171"/>
      <c r="BC3" s="171"/>
      <c r="BD3" s="171"/>
      <c r="BE3" s="171"/>
      <c r="BF3" s="171"/>
      <c r="BG3" s="171"/>
      <c r="BH3" s="171"/>
    </row>
    <row r="4" spans="2:61" x14ac:dyDescent="0.25">
      <c r="B4" s="6" t="s">
        <v>29</v>
      </c>
      <c r="C4" s="79">
        <f>IF('Control Panel'!C3='Data Validation'!J2,#REF!,'Cap and Floor Pricer'!D22)</f>
        <v>25000000</v>
      </c>
      <c r="E4" s="6" t="s">
        <v>10</v>
      </c>
      <c r="F4" s="14">
        <f>INDEX('Bachelier Model'!X4:X124,MATCH(MAX('Bachelier Model'!I4:I124),'Bachelier Model'!I4:I124,0))</f>
        <v>1716.9293978117178</v>
      </c>
      <c r="H4" s="171" cm="1">
        <f t="array" ref="H4:H12">TRANSPOSE(_xlfn._xlws.FILTER($P$3:$AI$3,$P$3:$AI$3))</f>
        <v>46429</v>
      </c>
      <c r="I4" s="58">
        <f>IF($H4="","",ABS($H4-I$3))</f>
        <v>731</v>
      </c>
      <c r="J4" s="59">
        <f t="shared" ref="J4:M4" si="0">IF($H4="","",ABS($H4-J$3))</f>
        <v>0</v>
      </c>
      <c r="K4" s="59">
        <f t="shared" si="0"/>
        <v>365</v>
      </c>
      <c r="L4" s="59">
        <f t="shared" si="0"/>
        <v>731</v>
      </c>
      <c r="M4" s="60">
        <f t="shared" si="0"/>
        <v>1096</v>
      </c>
      <c r="O4" s="176" cm="1">
        <f t="array" ref="O4:O12">IF('Control Panel'!$C$5='Data Validation'!$K$3,_xlfn._xlws.SORT(_xlfn.UNIQUE(IFERROR(VALUE(TRIM($AK$4:$AK$46)),$AK$4))),_xlfn._xlws.SORT(_xlfn.UNIQUE(_xlfn._xlws.FILTER(IF($C$2='Data Validation'!$A$2,'Bank Adjustments'!C4:C103,IF('Adjustment Surface'!$C$2='Data Validation'!$A$3,'Bank Adjustments'!M4:M103,"Unknown Option Type")),IF($C$2='Data Validation'!$A$2,'Bank Adjustments'!C4:C103,IF('Adjustment Surface'!$C$2='Data Validation'!$A$3,'Bank Adjustments'!M4:M103,"Unknown Option Type")))),,1))</f>
        <v>0.02</v>
      </c>
      <c r="P4" s="177" cm="1">
        <f t="array" ref="P4">IF(OR(P$3="",$O4=""),"",1/((INDEX('Adjustment Surface'!$AN$4:$AN$23,MATCH(('Adjustment Surface'!$O4),'Adjustment Surface'!$AN$4:$AN$23,1)+IF('Adjustment Surface'!$O5="",-1,1))-INDEX('Adjustment Surface'!$AN$4:$AN$23,MATCH(('Adjustment Surface'!$O4),'Adjustment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Surface'!$O4),'Adjustment Surface'!$AN$4:$AN$23,1)),$AN$4:$AN$23,0),MATCH(INDEX('Adjustment Surface'!$AO$3:$BH$3,1,MATCH(('Adjustment Surface'!P$3),'Adjustment Surface'!$AO$3:$BH$3,1)),$AO$3:$BH$3,0))*(INDEX('Adjustment Surface'!$AN$4:$AN$23,MATCH(('Adjustment Surface'!$O4),'Adjustment Surface'!$AN$4:$AN$23,1)+IF('Adjustment Surface'!$O5="",-1,1))-'Adjustment Surface'!$O4)*(INDEX('Adjustment Surface'!$AO$3:$BH$3,1,MATCH(('Adjustment Surface'!P$3),'Adjustment Surface'!$AO$3:$BH$3,1)+IF('Adjustment Surface'!Q$3="",-1,1))-'Adjustment Surface'!P$3)+INDEX($AO$4:$BH$23,MATCH(INDEX('Adjustment Surface'!$AN$4:$AN$23,MATCH(('Adjustment Surface'!$O4),'Adjustment Surface'!$AN$4:$AN$23,1)+IF('Adjustment Surface'!$O5="",-1,1)),$AN$4:$AN$23,0),MATCH(INDEX('Adjustment Surface'!$AO$3:$BH$3,1,MATCH(('Adjustment Surface'!P$3),'Adjustment Surface'!$AO$3:$BH$3,1)),$AO$3:$BH$3,0))*('Adjustment Surface'!$O4-INDEX('Adjustment Surface'!$AN$4:$AN$23,MATCH(('Adjustment Surface'!$O4),'Adjustment Surface'!$AN$4:$AN$23,1)))*(INDEX('Adjustment Surface'!$AO$3:$BH$3,1,MATCH(('Adjustment Surface'!P$3),'Adjustment Surface'!$AO$3:$BH$3,1)+IF('Adjustment Surface'!Q$3="",-1,1))-'Adjustment Surface'!P$3)+INDEX($AO$4:$BH$23,MATCH(INDEX('Adjustment Surface'!$AN$4:$AN$23,MATCH(('Adjustment Surface'!$O4),'Adjustment Surface'!$AN$4:$AN$23,1)),$AN$4:$AN$23,0),MATCH(INDEX('Adjustment Surface'!$AO$3:$BH$3,1,MATCH(('Adjustment Surface'!P$3),'Adjustment Surface'!$AO$3:$BH$3,1)+IF('Adjustment Surface'!Q$3="",-1,1)),$AO$3:$BH$3,0))*(INDEX('Adjustment Surface'!$AN$4:$AN$23,MATCH(('Adjustment Surface'!$O4),'Adjustment Surface'!$AN$4:$AN$23,1)+IF('Adjustment Surface'!$O5="",-1,1))-'Adjustment Surface'!$O4)*('Adjustment Surface'!P$3-INDEX('Adjustment Surface'!$AO$3:$BH$3,1,MATCH(('Adjustment Surface'!P$3),'Adjustment Surface'!$AO$3:$BH$3,1)))+INDEX($AO$4:$BH$23,MATCH(INDEX('Adjustment Surface'!$AN$4:$AN$23,MATCH(('Adjustment Surface'!$O4),'Adjustment Surface'!$AN$4:$AN$23,1)+IF('Adjustment Surface'!$O5="",-1,1)),$AN$4:$AN$23,0),MATCH(INDEX('Adjustment Surface'!$AO$3:$BH$3,1,MATCH(('Adjustment Surface'!P$3),'Adjustment Surface'!$AO$3:$BH$3,1)+IF('Adjustment Surface'!Q$3="",-1,1)),$AO$3:$BH$3,0))*('Adjustment Surface'!$O4-INDEX('Adjustment Surface'!$AN$4:$AN$23,MATCH(('Adjustment Surface'!$O4),'Adjustment Surface'!$AN$4:$AN$23,1)))*('Adjustment Surface'!P$3-INDEX('Adjustment Surface'!$AO$3:$BH$3,1,MATCH(('Adjustment Surface'!P$3),'Adjustment Surface'!$AO$3:$BH$3,1)))))</f>
        <v>163.25900817095376</v>
      </c>
      <c r="Q4" s="178" cm="1">
        <f t="array" ref="Q4">IF(OR(Q$3="",$O4=""),"",1/((INDEX('Adjustment Surface'!$AN$4:$AN$23,MATCH(('Adjustment Surface'!$O4),'Adjustment Surface'!$AN$4:$AN$23,1)+IF('Adjustment Surface'!$O5="",-1,1))-INDEX('Adjustment Surface'!$AN$4:$AN$23,MATCH(('Adjustment Surface'!$O4),'Adjustment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Surface'!$O4),'Adjustment Surface'!$AN$4:$AN$23,1)),$AN$4:$AN$23,0),MATCH(INDEX('Adjustment Surface'!$AO$3:$BH$3,1,MATCH(('Adjustment Surface'!Q$3),'Adjustment Surface'!$AO$3:$BH$3,1)),$AO$3:$BH$3,0))*(INDEX('Adjustment Surface'!$AN$4:$AN$23,MATCH(('Adjustment Surface'!$O4),'Adjustment Surface'!$AN$4:$AN$23,1)+IF('Adjustment Surface'!$O5="",-1,1))-'Adjustment Surface'!$O4)*(INDEX('Adjustment Surface'!$AO$3:$BH$3,1,MATCH(('Adjustment Surface'!Q$3),'Adjustment Surface'!$AO$3:$BH$3,1)+IF('Adjustment Surface'!R$3="",-1,1))-'Adjustment Surface'!Q$3)+INDEX($AO$4:$BH$23,MATCH(INDEX('Adjustment Surface'!$AN$4:$AN$23,MATCH(('Adjustment Surface'!$O4),'Adjustment Surface'!$AN$4:$AN$23,1)+IF('Adjustment Surface'!$O5="",-1,1)),$AN$4:$AN$23,0),MATCH(INDEX('Adjustment Surface'!$AO$3:$BH$3,1,MATCH(('Adjustment Surface'!Q$3),'Adjustment Surface'!$AO$3:$BH$3,1)),$AO$3:$BH$3,0))*('Adjustment Surface'!$O4-INDEX('Adjustment Surface'!$AN$4:$AN$23,MATCH(('Adjustment Surface'!$O4),'Adjustment Surface'!$AN$4:$AN$23,1)))*(INDEX('Adjustment Surface'!$AO$3:$BH$3,1,MATCH(('Adjustment Surface'!Q$3),'Adjustment Surface'!$AO$3:$BH$3,1)+IF('Adjustment Surface'!R$3="",-1,1))-'Adjustment Surface'!Q$3)+INDEX($AO$4:$BH$23,MATCH(INDEX('Adjustment Surface'!$AN$4:$AN$23,MATCH(('Adjustment Surface'!$O4),'Adjustment Surface'!$AN$4:$AN$23,1)),$AN$4:$AN$23,0),MATCH(INDEX('Adjustment Surface'!$AO$3:$BH$3,1,MATCH(('Adjustment Surface'!Q$3),'Adjustment Surface'!$AO$3:$BH$3,1)+IF('Adjustment Surface'!R$3="",-1,1)),$AO$3:$BH$3,0))*(INDEX('Adjustment Surface'!$AN$4:$AN$23,MATCH(('Adjustment Surface'!$O4),'Adjustment Surface'!$AN$4:$AN$23,1)+IF('Adjustment Surface'!$O5="",-1,1))-'Adjustment Surface'!$O4)*('Adjustment Surface'!Q$3-INDEX('Adjustment Surface'!$AO$3:$BH$3,1,MATCH(('Adjustment Surface'!Q$3),'Adjustment Surface'!$AO$3:$BH$3,1)))+INDEX($AO$4:$BH$23,MATCH(INDEX('Adjustment Surface'!$AN$4:$AN$23,MATCH(('Adjustment Surface'!$O4),'Adjustment Surface'!$AN$4:$AN$23,1)+IF('Adjustment Surface'!$O5="",-1,1)),$AN$4:$AN$23,0),MATCH(INDEX('Adjustment Surface'!$AO$3:$BH$3,1,MATCH(('Adjustment Surface'!Q$3),'Adjustment Surface'!$AO$3:$BH$3,1)+IF('Adjustment Surface'!R$3="",-1,1)),$AO$3:$BH$3,0))*('Adjustment Surface'!$O4-INDEX('Adjustment Surface'!$AN$4:$AN$23,MATCH(('Adjustment Surface'!$O4),'Adjustment Surface'!$AN$4:$AN$23,1)))*('Adjustment Surface'!Q$3-INDEX('Adjustment Surface'!$AO$3:$BH$3,1,MATCH(('Adjustment Surface'!Q$3),'Adjustment Surface'!$AO$3:$BH$3,1)))))</f>
        <v>131.99650603693951</v>
      </c>
      <c r="R4" s="178" cm="1">
        <f t="array" ref="R4">IF(OR(R$3="",$O4=""),"",1/((INDEX('Adjustment Surface'!$AN$4:$AN$23,MATCH(('Adjustment Surface'!$O4),'Adjustment Surface'!$AN$4:$AN$23,1)+IF('Adjustment Surface'!$O5="",-1,1))-INDEX('Adjustment Surface'!$AN$4:$AN$23,MATCH(('Adjustment Surface'!$O4),'Adjustment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Surface'!$O4),'Adjustment Surface'!$AN$4:$AN$23,1)),$AN$4:$AN$23,0),MATCH(INDEX('Adjustment Surface'!$AO$3:$BH$3,1,MATCH(('Adjustment Surface'!R$3),'Adjustment Surface'!$AO$3:$BH$3,1)),$AO$3:$BH$3,0))*(INDEX('Adjustment Surface'!$AN$4:$AN$23,MATCH(('Adjustment Surface'!$O4),'Adjustment Surface'!$AN$4:$AN$23,1)+IF('Adjustment Surface'!$O5="",-1,1))-'Adjustment Surface'!$O4)*(INDEX('Adjustment Surface'!$AO$3:$BH$3,1,MATCH(('Adjustment Surface'!R$3),'Adjustment Surface'!$AO$3:$BH$3,1)+IF('Adjustment Surface'!S$3="",-1,1))-'Adjustment Surface'!R$3)+INDEX($AO$4:$BH$23,MATCH(INDEX('Adjustment Surface'!$AN$4:$AN$23,MATCH(('Adjustment Surface'!$O4),'Adjustment Surface'!$AN$4:$AN$23,1)+IF('Adjustment Surface'!$O5="",-1,1)),$AN$4:$AN$23,0),MATCH(INDEX('Adjustment Surface'!$AO$3:$BH$3,1,MATCH(('Adjustment Surface'!R$3),'Adjustment Surface'!$AO$3:$BH$3,1)),$AO$3:$BH$3,0))*('Adjustment Surface'!$O4-INDEX('Adjustment Surface'!$AN$4:$AN$23,MATCH(('Adjustment Surface'!$O4),'Adjustment Surface'!$AN$4:$AN$23,1)))*(INDEX('Adjustment Surface'!$AO$3:$BH$3,1,MATCH(('Adjustment Surface'!R$3),'Adjustment Surface'!$AO$3:$BH$3,1)+IF('Adjustment Surface'!S$3="",-1,1))-'Adjustment Surface'!R$3)+INDEX($AO$4:$BH$23,MATCH(INDEX('Adjustment Surface'!$AN$4:$AN$23,MATCH(('Adjustment Surface'!$O4),'Adjustment Surface'!$AN$4:$AN$23,1)),$AN$4:$AN$23,0),MATCH(INDEX('Adjustment Surface'!$AO$3:$BH$3,1,MATCH(('Adjustment Surface'!R$3),'Adjustment Surface'!$AO$3:$BH$3,1)+IF('Adjustment Surface'!S$3="",-1,1)),$AO$3:$BH$3,0))*(INDEX('Adjustment Surface'!$AN$4:$AN$23,MATCH(('Adjustment Surface'!$O4),'Adjustment Surface'!$AN$4:$AN$23,1)+IF('Adjustment Surface'!$O5="",-1,1))-'Adjustment Surface'!$O4)*('Adjustment Surface'!R$3-INDEX('Adjustment Surface'!$AO$3:$BH$3,1,MATCH(('Adjustment Surface'!R$3),'Adjustment Surface'!$AO$3:$BH$3,1)))+INDEX($AO$4:$BH$23,MATCH(INDEX('Adjustment Surface'!$AN$4:$AN$23,MATCH(('Adjustment Surface'!$O4),'Adjustment Surface'!$AN$4:$AN$23,1)+IF('Adjustment Surface'!$O5="",-1,1)),$AN$4:$AN$23,0),MATCH(INDEX('Adjustment Surface'!$AO$3:$BH$3,1,MATCH(('Adjustment Surface'!R$3),'Adjustment Surface'!$AO$3:$BH$3,1)+IF('Adjustment Surface'!S$3="",-1,1)),$AO$3:$BH$3,0))*('Adjustment Surface'!$O4-INDEX('Adjustment Surface'!$AN$4:$AN$23,MATCH(('Adjustment Surface'!$O4),'Adjustment Surface'!$AN$4:$AN$23,1)))*('Adjustment Surface'!R$3-INDEX('Adjustment Surface'!$AO$3:$BH$3,1,MATCH(('Adjustment Surface'!R$3),'Adjustment Surface'!$AO$3:$BH$3,1)))))</f>
        <v>99.68021169616074</v>
      </c>
      <c r="S4" s="178" cm="1">
        <f t="array" ref="S4">IF(OR(S$3="",$O4=""),"",1/((INDEX('Adjustment Surface'!$AN$4:$AN$23,MATCH(('Adjustment Surface'!$O4),'Adjustment Surface'!$AN$4:$AN$23,1)+IF('Adjustment Surface'!$O5="",-1,1))-INDEX('Adjustment Surface'!$AN$4:$AN$23,MATCH(('Adjustment Surface'!$O4),'Adjustment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Surface'!$O4),'Adjustment Surface'!$AN$4:$AN$23,1)),$AN$4:$AN$23,0),MATCH(INDEX('Adjustment Surface'!$AO$3:$BH$3,1,MATCH(('Adjustment Surface'!S$3),'Adjustment Surface'!$AO$3:$BH$3,1)),$AO$3:$BH$3,0))*(INDEX('Adjustment Surface'!$AN$4:$AN$23,MATCH(('Adjustment Surface'!$O4),'Adjustment Surface'!$AN$4:$AN$23,1)+IF('Adjustment Surface'!$O5="",-1,1))-'Adjustment Surface'!$O4)*(INDEX('Adjustment Surface'!$AO$3:$BH$3,1,MATCH(('Adjustment Surface'!S$3),'Adjustment Surface'!$AO$3:$BH$3,1)+IF('Adjustment Surface'!T$3="",-1,1))-'Adjustment Surface'!S$3)+INDEX($AO$4:$BH$23,MATCH(INDEX('Adjustment Surface'!$AN$4:$AN$23,MATCH(('Adjustment Surface'!$O4),'Adjustment Surface'!$AN$4:$AN$23,1)+IF('Adjustment Surface'!$O5="",-1,1)),$AN$4:$AN$23,0),MATCH(INDEX('Adjustment Surface'!$AO$3:$BH$3,1,MATCH(('Adjustment Surface'!S$3),'Adjustment Surface'!$AO$3:$BH$3,1)),$AO$3:$BH$3,0))*('Adjustment Surface'!$O4-INDEX('Adjustment Surface'!$AN$4:$AN$23,MATCH(('Adjustment Surface'!$O4),'Adjustment Surface'!$AN$4:$AN$23,1)))*(INDEX('Adjustment Surface'!$AO$3:$BH$3,1,MATCH(('Adjustment Surface'!S$3),'Adjustment Surface'!$AO$3:$BH$3,1)+IF('Adjustment Surface'!T$3="",-1,1))-'Adjustment Surface'!S$3)+INDEX($AO$4:$BH$23,MATCH(INDEX('Adjustment Surface'!$AN$4:$AN$23,MATCH(('Adjustment Surface'!$O4),'Adjustment Surface'!$AN$4:$AN$23,1)),$AN$4:$AN$23,0),MATCH(INDEX('Adjustment Surface'!$AO$3:$BH$3,1,MATCH(('Adjustment Surface'!S$3),'Adjustment Surface'!$AO$3:$BH$3,1)+IF('Adjustment Surface'!T$3="",-1,1)),$AO$3:$BH$3,0))*(INDEX('Adjustment Surface'!$AN$4:$AN$23,MATCH(('Adjustment Surface'!$O4),'Adjustment Surface'!$AN$4:$AN$23,1)+IF('Adjustment Surface'!$O5="",-1,1))-'Adjustment Surface'!$O4)*('Adjustment Surface'!S$3-INDEX('Adjustment Surface'!$AO$3:$BH$3,1,MATCH(('Adjustment Surface'!S$3),'Adjustment Surface'!$AO$3:$BH$3,1)))+INDEX($AO$4:$BH$23,MATCH(INDEX('Adjustment Surface'!$AN$4:$AN$23,MATCH(('Adjustment Surface'!$O4),'Adjustment Surface'!$AN$4:$AN$23,1)+IF('Adjustment Surface'!$O5="",-1,1)),$AN$4:$AN$23,0),MATCH(INDEX('Adjustment Surface'!$AO$3:$BH$3,1,MATCH(('Adjustment Surface'!S$3),'Adjustment Surface'!$AO$3:$BH$3,1)+IF('Adjustment Surface'!T$3="",-1,1)),$AO$3:$BH$3,0))*('Adjustment Surface'!$O4-INDEX('Adjustment Surface'!$AN$4:$AN$23,MATCH(('Adjustment Surface'!$O4),'Adjustment Surface'!$AN$4:$AN$23,1)))*('Adjustment Surface'!S$3-INDEX('Adjustment Surface'!$AO$3:$BH$3,1,MATCH(('Adjustment Surface'!S$3),'Adjustment Surface'!$AO$3:$BH$3,1)))))</f>
        <v>67.363917355381986</v>
      </c>
      <c r="T4" s="178" cm="1">
        <f t="array" ref="T4">IF(OR(T$3="",$O4=""),"",1/((INDEX('Adjustment Surface'!$AN$4:$AN$23,MATCH(('Adjustment Surface'!$O4),'Adjustment Surface'!$AN$4:$AN$23,1)+IF('Adjustment Surface'!$O5="",-1,1))-INDEX('Adjustment Surface'!$AN$4:$AN$23,MATCH(('Adjustment Surface'!$O4),'Adjustment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Surface'!$O4),'Adjustment Surface'!$AN$4:$AN$23,1)),$AN$4:$AN$23,0),MATCH(INDEX('Adjustment Surface'!$AO$3:$BH$3,1,MATCH(('Adjustment Surface'!T$3),'Adjustment Surface'!$AO$3:$BH$3,1)),$AO$3:$BH$3,0))*(INDEX('Adjustment Surface'!$AN$4:$AN$23,MATCH(('Adjustment Surface'!$O4),'Adjustment Surface'!$AN$4:$AN$23,1)+IF('Adjustment Surface'!$O5="",-1,1))-'Adjustment Surface'!$O4)*(INDEX('Adjustment Surface'!$AO$3:$BH$3,1,MATCH(('Adjustment Surface'!T$3),'Adjustment Surface'!$AO$3:$BH$3,1)+IF('Adjustment Surface'!U$3="",-1,1))-'Adjustment Surface'!T$3)+INDEX($AO$4:$BH$23,MATCH(INDEX('Adjustment Surface'!$AN$4:$AN$23,MATCH(('Adjustment Surface'!$O4),'Adjustment Surface'!$AN$4:$AN$23,1)+IF('Adjustment Surface'!$O5="",-1,1)),$AN$4:$AN$23,0),MATCH(INDEX('Adjustment Surface'!$AO$3:$BH$3,1,MATCH(('Adjustment Surface'!T$3),'Adjustment Surface'!$AO$3:$BH$3,1)),$AO$3:$BH$3,0))*('Adjustment Surface'!$O4-INDEX('Adjustment Surface'!$AN$4:$AN$23,MATCH(('Adjustment Surface'!$O4),'Adjustment Surface'!$AN$4:$AN$23,1)))*(INDEX('Adjustment Surface'!$AO$3:$BH$3,1,MATCH(('Adjustment Surface'!T$3),'Adjustment Surface'!$AO$3:$BH$3,1)+IF('Adjustment Surface'!U$3="",-1,1))-'Adjustment Surface'!T$3)+INDEX($AO$4:$BH$23,MATCH(INDEX('Adjustment Surface'!$AN$4:$AN$23,MATCH(('Adjustment Surface'!$O4),'Adjustment Surface'!$AN$4:$AN$23,1)),$AN$4:$AN$23,0),MATCH(INDEX('Adjustment Surface'!$AO$3:$BH$3,1,MATCH(('Adjustment Surface'!T$3),'Adjustment Surface'!$AO$3:$BH$3,1)+IF('Adjustment Surface'!U$3="",-1,1)),$AO$3:$BH$3,0))*(INDEX('Adjustment Surface'!$AN$4:$AN$23,MATCH(('Adjustment Surface'!$O4),'Adjustment Surface'!$AN$4:$AN$23,1)+IF('Adjustment Surface'!$O5="",-1,1))-'Adjustment Surface'!$O4)*('Adjustment Surface'!T$3-INDEX('Adjustment Surface'!$AO$3:$BH$3,1,MATCH(('Adjustment Surface'!T$3),'Adjustment Surface'!$AO$3:$BH$3,1)))+INDEX($AO$4:$BH$23,MATCH(INDEX('Adjustment Surface'!$AN$4:$AN$23,MATCH(('Adjustment Surface'!$O4),'Adjustment Surface'!$AN$4:$AN$23,1)+IF('Adjustment Surface'!$O5="",-1,1)),$AN$4:$AN$23,0),MATCH(INDEX('Adjustment Surface'!$AO$3:$BH$3,1,MATCH(('Adjustment Surface'!T$3),'Adjustment Surface'!$AO$3:$BH$3,1)+IF('Adjustment Surface'!U$3="",-1,1)),$AO$3:$BH$3,0))*('Adjustment Surface'!$O4-INDEX('Adjustment Surface'!$AN$4:$AN$23,MATCH(('Adjustment Surface'!$O4),'Adjustment Surface'!$AN$4:$AN$23,1)))*('Adjustment Surface'!T$3-INDEX('Adjustment Surface'!$AO$3:$BH$3,1,MATCH(('Adjustment Surface'!T$3),'Adjustment Surface'!$AO$3:$BH$3,1)))))</f>
        <v>35.047623014603225</v>
      </c>
      <c r="U4" s="178" cm="1">
        <f t="array" ref="U4">IF(OR(U$3="",$O4=""),"",1/((INDEX('Adjustment Surface'!$AN$4:$AN$23,MATCH(('Adjustment Surface'!$O4),'Adjustment Surface'!$AN$4:$AN$23,1)+IF('Adjustment Surface'!$O5="",-1,1))-INDEX('Adjustment Surface'!$AN$4:$AN$23,MATCH(('Adjustment Surface'!$O4),'Adjustment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Surface'!$O4),'Adjustment Surface'!$AN$4:$AN$23,1)),$AN$4:$AN$23,0),MATCH(INDEX('Adjustment Surface'!$AO$3:$BH$3,1,MATCH(('Adjustment Surface'!U$3),'Adjustment Surface'!$AO$3:$BH$3,1)),$AO$3:$BH$3,0))*(INDEX('Adjustment Surface'!$AN$4:$AN$23,MATCH(('Adjustment Surface'!$O4),'Adjustment Surface'!$AN$4:$AN$23,1)+IF('Adjustment Surface'!$O5="",-1,1))-'Adjustment Surface'!$O4)*(INDEX('Adjustment Surface'!$AO$3:$BH$3,1,MATCH(('Adjustment Surface'!U$3),'Adjustment Surface'!$AO$3:$BH$3,1)+IF('Adjustment Surface'!V$3="",-1,1))-'Adjustment Surface'!U$3)+INDEX($AO$4:$BH$23,MATCH(INDEX('Adjustment Surface'!$AN$4:$AN$23,MATCH(('Adjustment Surface'!$O4),'Adjustment Surface'!$AN$4:$AN$23,1)+IF('Adjustment Surface'!$O5="",-1,1)),$AN$4:$AN$23,0),MATCH(INDEX('Adjustment Surface'!$AO$3:$BH$3,1,MATCH(('Adjustment Surface'!U$3),'Adjustment Surface'!$AO$3:$BH$3,1)),$AO$3:$BH$3,0))*('Adjustment Surface'!$O4-INDEX('Adjustment Surface'!$AN$4:$AN$23,MATCH(('Adjustment Surface'!$O4),'Adjustment Surface'!$AN$4:$AN$23,1)))*(INDEX('Adjustment Surface'!$AO$3:$BH$3,1,MATCH(('Adjustment Surface'!U$3),'Adjustment Surface'!$AO$3:$BH$3,1)+IF('Adjustment Surface'!V$3="",-1,1))-'Adjustment Surface'!U$3)+INDEX($AO$4:$BH$23,MATCH(INDEX('Adjustment Surface'!$AN$4:$AN$23,MATCH(('Adjustment Surface'!$O4),'Adjustment Surface'!$AN$4:$AN$23,1)),$AN$4:$AN$23,0),MATCH(INDEX('Adjustment Surface'!$AO$3:$BH$3,1,MATCH(('Adjustment Surface'!U$3),'Adjustment Surface'!$AO$3:$BH$3,1)+IF('Adjustment Surface'!V$3="",-1,1)),$AO$3:$BH$3,0))*(INDEX('Adjustment Surface'!$AN$4:$AN$23,MATCH(('Adjustment Surface'!$O4),'Adjustment Surface'!$AN$4:$AN$23,1)+IF('Adjustment Surface'!$O5="",-1,1))-'Adjustment Surface'!$O4)*('Adjustment Surface'!U$3-INDEX('Adjustment Surface'!$AO$3:$BH$3,1,MATCH(('Adjustment Surface'!U$3),'Adjustment Surface'!$AO$3:$BH$3,1)))+INDEX($AO$4:$BH$23,MATCH(INDEX('Adjustment Surface'!$AN$4:$AN$23,MATCH(('Adjustment Surface'!$O4),'Adjustment Surface'!$AN$4:$AN$23,1)+IF('Adjustment Surface'!$O5="",-1,1)),$AN$4:$AN$23,0),MATCH(INDEX('Adjustment Surface'!$AO$3:$BH$3,1,MATCH(('Adjustment Surface'!U$3),'Adjustment Surface'!$AO$3:$BH$3,1)+IF('Adjustment Surface'!V$3="",-1,1)),$AO$3:$BH$3,0))*('Adjustment Surface'!$O4-INDEX('Adjustment Surface'!$AN$4:$AN$23,MATCH(('Adjustment Surface'!$O4),'Adjustment Surface'!$AN$4:$AN$23,1)))*('Adjustment Surface'!U$3-INDEX('Adjustment Surface'!$AO$3:$BH$3,1,MATCH(('Adjustment Surface'!U$3),'Adjustment Surface'!$AO$3:$BH$3,1)))))</f>
        <v>30.157841423410677</v>
      </c>
      <c r="V4" s="178" cm="1">
        <f t="array" ref="V4">IF(OR(V$3="",$O4=""),"",1/((INDEX('Adjustment Surface'!$AN$4:$AN$23,MATCH(('Adjustment Surface'!$O4),'Adjustment Surface'!$AN$4:$AN$23,1)+IF('Adjustment Surface'!$O5="",-1,1))-INDEX('Adjustment Surface'!$AN$4:$AN$23,MATCH(('Adjustment Surface'!$O4),'Adjustment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Surface'!$O4),'Adjustment Surface'!$AN$4:$AN$23,1)),$AN$4:$AN$23,0),MATCH(INDEX('Adjustment Surface'!$AO$3:$BH$3,1,MATCH(('Adjustment Surface'!V$3),'Adjustment Surface'!$AO$3:$BH$3,1)),$AO$3:$BH$3,0))*(INDEX('Adjustment Surface'!$AN$4:$AN$23,MATCH(('Adjustment Surface'!$O4),'Adjustment Surface'!$AN$4:$AN$23,1)+IF('Adjustment Surface'!$O5="",-1,1))-'Adjustment Surface'!$O4)*(INDEX('Adjustment Surface'!$AO$3:$BH$3,1,MATCH(('Adjustment Surface'!V$3),'Adjustment Surface'!$AO$3:$BH$3,1)+IF('Adjustment Surface'!W$3="",-1,1))-'Adjustment Surface'!V$3)+INDEX($AO$4:$BH$23,MATCH(INDEX('Adjustment Surface'!$AN$4:$AN$23,MATCH(('Adjustment Surface'!$O4),'Adjustment Surface'!$AN$4:$AN$23,1)+IF('Adjustment Surface'!$O5="",-1,1)),$AN$4:$AN$23,0),MATCH(INDEX('Adjustment Surface'!$AO$3:$BH$3,1,MATCH(('Adjustment Surface'!V$3),'Adjustment Surface'!$AO$3:$BH$3,1)),$AO$3:$BH$3,0))*('Adjustment Surface'!$O4-INDEX('Adjustment Surface'!$AN$4:$AN$23,MATCH(('Adjustment Surface'!$O4),'Adjustment Surface'!$AN$4:$AN$23,1)))*(INDEX('Adjustment Surface'!$AO$3:$BH$3,1,MATCH(('Adjustment Surface'!V$3),'Adjustment Surface'!$AO$3:$BH$3,1)+IF('Adjustment Surface'!W$3="",-1,1))-'Adjustment Surface'!V$3)+INDEX($AO$4:$BH$23,MATCH(INDEX('Adjustment Surface'!$AN$4:$AN$23,MATCH(('Adjustment Surface'!$O4),'Adjustment Surface'!$AN$4:$AN$23,1)),$AN$4:$AN$23,0),MATCH(INDEX('Adjustment Surface'!$AO$3:$BH$3,1,MATCH(('Adjustment Surface'!V$3),'Adjustment Surface'!$AO$3:$BH$3,1)+IF('Adjustment Surface'!W$3="",-1,1)),$AO$3:$BH$3,0))*(INDEX('Adjustment Surface'!$AN$4:$AN$23,MATCH(('Adjustment Surface'!$O4),'Adjustment Surface'!$AN$4:$AN$23,1)+IF('Adjustment Surface'!$O5="",-1,1))-'Adjustment Surface'!$O4)*('Adjustment Surface'!V$3-INDEX('Adjustment Surface'!$AO$3:$BH$3,1,MATCH(('Adjustment Surface'!V$3),'Adjustment Surface'!$AO$3:$BH$3,1)))+INDEX($AO$4:$BH$23,MATCH(INDEX('Adjustment Surface'!$AN$4:$AN$23,MATCH(('Adjustment Surface'!$O4),'Adjustment Surface'!$AN$4:$AN$23,1)+IF('Adjustment Surface'!$O5="",-1,1)),$AN$4:$AN$23,0),MATCH(INDEX('Adjustment Surface'!$AO$3:$BH$3,1,MATCH(('Adjustment Surface'!V$3),'Adjustment Surface'!$AO$3:$BH$3,1)+IF('Adjustment Surface'!W$3="",-1,1)),$AO$3:$BH$3,0))*('Adjustment Surface'!$O4-INDEX('Adjustment Surface'!$AN$4:$AN$23,MATCH(('Adjustment Surface'!$O4),'Adjustment Surface'!$AN$4:$AN$23,1)))*('Adjustment Surface'!V$3-INDEX('Adjustment Surface'!$AO$3:$BH$3,1,MATCH(('Adjustment Surface'!V$3),'Adjustment Surface'!$AO$3:$BH$3,1)))))</f>
        <v>25.159398019080513</v>
      </c>
      <c r="W4" s="178" cm="1">
        <f t="array" ref="W4">IF(OR(W$3="",$O4=""),"",1/((INDEX('Adjustment Surface'!$AN$4:$AN$23,MATCH(('Adjustment Surface'!$O4),'Adjustment Surface'!$AN$4:$AN$23,1)+IF('Adjustment Surface'!$O5="",-1,1))-INDEX('Adjustment Surface'!$AN$4:$AN$23,MATCH(('Adjustment Surface'!$O4),'Adjustment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Surface'!$O4),'Adjustment Surface'!$AN$4:$AN$23,1)),$AN$4:$AN$23,0),MATCH(INDEX('Adjustment Surface'!$AO$3:$BH$3,1,MATCH(('Adjustment Surface'!W$3),'Adjustment Surface'!$AO$3:$BH$3,1)),$AO$3:$BH$3,0))*(INDEX('Adjustment Surface'!$AN$4:$AN$23,MATCH(('Adjustment Surface'!$O4),'Adjustment Surface'!$AN$4:$AN$23,1)+IF('Adjustment Surface'!$O5="",-1,1))-'Adjustment Surface'!$O4)*(INDEX('Adjustment Surface'!$AO$3:$BH$3,1,MATCH(('Adjustment Surface'!W$3),'Adjustment Surface'!$AO$3:$BH$3,1)+IF('Adjustment Surface'!X$3="",-1,1))-'Adjustment Surface'!W$3)+INDEX($AO$4:$BH$23,MATCH(INDEX('Adjustment Surface'!$AN$4:$AN$23,MATCH(('Adjustment Surface'!$O4),'Adjustment Surface'!$AN$4:$AN$23,1)+IF('Adjustment Surface'!$O5="",-1,1)),$AN$4:$AN$23,0),MATCH(INDEX('Adjustment Surface'!$AO$3:$BH$3,1,MATCH(('Adjustment Surface'!W$3),'Adjustment Surface'!$AO$3:$BH$3,1)),$AO$3:$BH$3,0))*('Adjustment Surface'!$O4-INDEX('Adjustment Surface'!$AN$4:$AN$23,MATCH(('Adjustment Surface'!$O4),'Adjustment Surface'!$AN$4:$AN$23,1)))*(INDEX('Adjustment Surface'!$AO$3:$BH$3,1,MATCH(('Adjustment Surface'!W$3),'Adjustment Surface'!$AO$3:$BH$3,1)+IF('Adjustment Surface'!X$3="",-1,1))-'Adjustment Surface'!W$3)+INDEX($AO$4:$BH$23,MATCH(INDEX('Adjustment Surface'!$AN$4:$AN$23,MATCH(('Adjustment Surface'!$O4),'Adjustment Surface'!$AN$4:$AN$23,1)),$AN$4:$AN$23,0),MATCH(INDEX('Adjustment Surface'!$AO$3:$BH$3,1,MATCH(('Adjustment Surface'!W$3),'Adjustment Surface'!$AO$3:$BH$3,1)+IF('Adjustment Surface'!X$3="",-1,1)),$AO$3:$BH$3,0))*(INDEX('Adjustment Surface'!$AN$4:$AN$23,MATCH(('Adjustment Surface'!$O4),'Adjustment Surface'!$AN$4:$AN$23,1)+IF('Adjustment Surface'!$O5="",-1,1))-'Adjustment Surface'!$O4)*('Adjustment Surface'!W$3-INDEX('Adjustment Surface'!$AO$3:$BH$3,1,MATCH(('Adjustment Surface'!W$3),'Adjustment Surface'!$AO$3:$BH$3,1)))+INDEX($AO$4:$BH$23,MATCH(INDEX('Adjustment Surface'!$AN$4:$AN$23,MATCH(('Adjustment Surface'!$O4),'Adjustment Surface'!$AN$4:$AN$23,1)+IF('Adjustment Surface'!$O5="",-1,1)),$AN$4:$AN$23,0),MATCH(INDEX('Adjustment Surface'!$AO$3:$BH$3,1,MATCH(('Adjustment Surface'!W$3),'Adjustment Surface'!$AO$3:$BH$3,1)+IF('Adjustment Surface'!X$3="",-1,1)),$AO$3:$BH$3,0))*('Adjustment Surface'!$O4-INDEX('Adjustment Surface'!$AN$4:$AN$23,MATCH(('Adjustment Surface'!$O4),'Adjustment Surface'!$AN$4:$AN$23,1)))*('Adjustment Surface'!W$3-INDEX('Adjustment Surface'!$AO$3:$BH$3,1,MATCH(('Adjustment Surface'!W$3),'Adjustment Surface'!$AO$3:$BH$3,1)))))</f>
        <v>20.160954614750345</v>
      </c>
      <c r="X4" s="178" cm="1">
        <f t="array" ref="X4">IF(OR(X$3="",$O4=""),"",1/((INDEX('Adjustment Surface'!$AN$4:$AN$23,MATCH(('Adjustment Surface'!$O4),'Adjustment Surface'!$AN$4:$AN$23,1)+IF('Adjustment Surface'!$O5="",-1,1))-INDEX('Adjustment Surface'!$AN$4:$AN$23,MATCH(('Adjustment Surface'!$O4),'Adjustment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Surface'!$O4),'Adjustment Surface'!$AN$4:$AN$23,1)),$AN$4:$AN$23,0),MATCH(INDEX('Adjustment Surface'!$AO$3:$BH$3,1,MATCH(('Adjustment Surface'!X$3),'Adjustment Surface'!$AO$3:$BH$3,1)),$AO$3:$BH$3,0))*(INDEX('Adjustment Surface'!$AN$4:$AN$23,MATCH(('Adjustment Surface'!$O4),'Adjustment Surface'!$AN$4:$AN$23,1)+IF('Adjustment Surface'!$O5="",-1,1))-'Adjustment Surface'!$O4)*(INDEX('Adjustment Surface'!$AO$3:$BH$3,1,MATCH(('Adjustment Surface'!X$3),'Adjustment Surface'!$AO$3:$BH$3,1)+IF('Adjustment Surface'!Y$3="",-1,1))-'Adjustment Surface'!X$3)+INDEX($AO$4:$BH$23,MATCH(INDEX('Adjustment Surface'!$AN$4:$AN$23,MATCH(('Adjustment Surface'!$O4),'Adjustment Surface'!$AN$4:$AN$23,1)+IF('Adjustment Surface'!$O5="",-1,1)),$AN$4:$AN$23,0),MATCH(INDEX('Adjustment Surface'!$AO$3:$BH$3,1,MATCH(('Adjustment Surface'!X$3),'Adjustment Surface'!$AO$3:$BH$3,1)),$AO$3:$BH$3,0))*('Adjustment Surface'!$O4-INDEX('Adjustment Surface'!$AN$4:$AN$23,MATCH(('Adjustment Surface'!$O4),'Adjustment Surface'!$AN$4:$AN$23,1)))*(INDEX('Adjustment Surface'!$AO$3:$BH$3,1,MATCH(('Adjustment Surface'!X$3),'Adjustment Surface'!$AO$3:$BH$3,1)+IF('Adjustment Surface'!Y$3="",-1,1))-'Adjustment Surface'!X$3)+INDEX($AO$4:$BH$23,MATCH(INDEX('Adjustment Surface'!$AN$4:$AN$23,MATCH(('Adjustment Surface'!$O4),'Adjustment Surface'!$AN$4:$AN$23,1)),$AN$4:$AN$23,0),MATCH(INDEX('Adjustment Surface'!$AO$3:$BH$3,1,MATCH(('Adjustment Surface'!X$3),'Adjustment Surface'!$AO$3:$BH$3,1)+IF('Adjustment Surface'!Y$3="",-1,1)),$AO$3:$BH$3,0))*(INDEX('Adjustment Surface'!$AN$4:$AN$23,MATCH(('Adjustment Surface'!$O4),'Adjustment Surface'!$AN$4:$AN$23,1)+IF('Adjustment Surface'!$O5="",-1,1))-'Adjustment Surface'!$O4)*('Adjustment Surface'!X$3-INDEX('Adjustment Surface'!$AO$3:$BH$3,1,MATCH(('Adjustment Surface'!X$3),'Adjustment Surface'!$AO$3:$BH$3,1)))+INDEX($AO$4:$BH$23,MATCH(INDEX('Adjustment Surface'!$AN$4:$AN$23,MATCH(('Adjustment Surface'!$O4),'Adjustment Surface'!$AN$4:$AN$23,1)+IF('Adjustment Surface'!$O5="",-1,1)),$AN$4:$AN$23,0),MATCH(INDEX('Adjustment Surface'!$AO$3:$BH$3,1,MATCH(('Adjustment Surface'!X$3),'Adjustment Surface'!$AO$3:$BH$3,1)+IF('Adjustment Surface'!Y$3="",-1,1)),$AO$3:$BH$3,0))*('Adjustment Surface'!$O4-INDEX('Adjustment Surface'!$AN$4:$AN$23,MATCH(('Adjustment Surface'!$O4),'Adjustment Surface'!$AN$4:$AN$23,1)))*('Adjustment Surface'!X$3-INDEX('Adjustment Surface'!$AO$3:$BH$3,1,MATCH(('Adjustment Surface'!X$3),'Adjustment Surface'!$AO$3:$BH$3,1)))))</f>
        <v>15.162511210420186</v>
      </c>
      <c r="Y4" s="178" t="str" cm="1">
        <f t="array" ref="Y4">IF(OR(Y$3="",$O4=""),"",1/((INDEX('Adjustment Surface'!$AN$4:$AN$23,MATCH(('Adjustment Surface'!$O4),'Adjustment Surface'!$AN$4:$AN$23,1)+IF('Adjustment Surface'!$O5="",-1,1))-INDEX('Adjustment Surface'!$AN$4:$AN$23,MATCH(('Adjustment Surface'!$O4),'Adjustment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Surface'!$O4),'Adjustment Surface'!$AN$4:$AN$23,1)),$AN$4:$AN$23,0),MATCH(INDEX('Adjustment Surface'!$AO$3:$BH$3,1,MATCH(('Adjustment Surface'!Y$3),'Adjustment Surface'!$AO$3:$BH$3,1)),$AO$3:$BH$3,0))*(INDEX('Adjustment Surface'!$AN$4:$AN$23,MATCH(('Adjustment Surface'!$O4),'Adjustment Surface'!$AN$4:$AN$23,1)+IF('Adjustment Surface'!$O5="",-1,1))-'Adjustment Surface'!$O4)*(INDEX('Adjustment Surface'!$AO$3:$BH$3,1,MATCH(('Adjustment Surface'!Y$3),'Adjustment Surface'!$AO$3:$BH$3,1)+IF('Adjustment Surface'!Z$3="",-1,1))-'Adjustment Surface'!Y$3)+INDEX($AO$4:$BH$23,MATCH(INDEX('Adjustment Surface'!$AN$4:$AN$23,MATCH(('Adjustment Surface'!$O4),'Adjustment Surface'!$AN$4:$AN$23,1)+IF('Adjustment Surface'!$O5="",-1,1)),$AN$4:$AN$23,0),MATCH(INDEX('Adjustment Surface'!$AO$3:$BH$3,1,MATCH(('Adjustment Surface'!Y$3),'Adjustment Surface'!$AO$3:$BH$3,1)),$AO$3:$BH$3,0))*('Adjustment Surface'!$O4-INDEX('Adjustment Surface'!$AN$4:$AN$23,MATCH(('Adjustment Surface'!$O4),'Adjustment Surface'!$AN$4:$AN$23,1)))*(INDEX('Adjustment Surface'!$AO$3:$BH$3,1,MATCH(('Adjustment Surface'!Y$3),'Adjustment Surface'!$AO$3:$BH$3,1)+IF('Adjustment Surface'!Z$3="",-1,1))-'Adjustment Surface'!Y$3)+INDEX($AO$4:$BH$23,MATCH(INDEX('Adjustment Surface'!$AN$4:$AN$23,MATCH(('Adjustment Surface'!$O4),'Adjustment Surface'!$AN$4:$AN$23,1)),$AN$4:$AN$23,0),MATCH(INDEX('Adjustment Surface'!$AO$3:$BH$3,1,MATCH(('Adjustment Surface'!Y$3),'Adjustment Surface'!$AO$3:$BH$3,1)+IF('Adjustment Surface'!Z$3="",-1,1)),$AO$3:$BH$3,0))*(INDEX('Adjustment Surface'!$AN$4:$AN$23,MATCH(('Adjustment Surface'!$O4),'Adjustment Surface'!$AN$4:$AN$23,1)+IF('Adjustment Surface'!$O5="",-1,1))-'Adjustment Surface'!$O4)*('Adjustment Surface'!Y$3-INDEX('Adjustment Surface'!$AO$3:$BH$3,1,MATCH(('Adjustment Surface'!Y$3),'Adjustment Surface'!$AO$3:$BH$3,1)))+INDEX($AO$4:$BH$23,MATCH(INDEX('Adjustment Surface'!$AN$4:$AN$23,MATCH(('Adjustment Surface'!$O4),'Adjustment Surface'!$AN$4:$AN$23,1)+IF('Adjustment Surface'!$O5="",-1,1)),$AN$4:$AN$23,0),MATCH(INDEX('Adjustment Surface'!$AO$3:$BH$3,1,MATCH(('Adjustment Surface'!Y$3),'Adjustment Surface'!$AO$3:$BH$3,1)+IF('Adjustment Surface'!Z$3="",-1,1)),$AO$3:$BH$3,0))*('Adjustment Surface'!$O4-INDEX('Adjustment Surface'!$AN$4:$AN$23,MATCH(('Adjustment Surface'!$O4),'Adjustment Surface'!$AN$4:$AN$23,1)))*('Adjustment Surface'!Y$3-INDEX('Adjustment Surface'!$AO$3:$BH$3,1,MATCH(('Adjustment Surface'!Y$3),'Adjustment Surface'!$AO$3:$BH$3,1)))))</f>
        <v/>
      </c>
      <c r="Z4" s="178" t="str" cm="1">
        <f t="array" ref="Z4">IF(OR(Z$3="",$O4=""),"",1/((INDEX('Adjustment Surface'!$AN$4:$AN$23,MATCH(('Adjustment Surface'!$O4),'Adjustment Surface'!$AN$4:$AN$23,1)+IF('Adjustment Surface'!$O5="",-1,1))-INDEX('Adjustment Surface'!$AN$4:$AN$23,MATCH(('Adjustment Surface'!$O4),'Adjustment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Surface'!$O4),'Adjustment Surface'!$AN$4:$AN$23,1)),$AN$4:$AN$23,0),MATCH(INDEX('Adjustment Surface'!$AO$3:$BH$3,1,MATCH(('Adjustment Surface'!Z$3),'Adjustment Surface'!$AO$3:$BH$3,1)),$AO$3:$BH$3,0))*(INDEX('Adjustment Surface'!$AN$4:$AN$23,MATCH(('Adjustment Surface'!$O4),'Adjustment Surface'!$AN$4:$AN$23,1)+IF('Adjustment Surface'!$O5="",-1,1))-'Adjustment Surface'!$O4)*(INDEX('Adjustment Surface'!$AO$3:$BH$3,1,MATCH(('Adjustment Surface'!Z$3),'Adjustment Surface'!$AO$3:$BH$3,1)+IF('Adjustment Surface'!AA$3="",-1,1))-'Adjustment Surface'!Z$3)+INDEX($AO$4:$BH$23,MATCH(INDEX('Adjustment Surface'!$AN$4:$AN$23,MATCH(('Adjustment Surface'!$O4),'Adjustment Surface'!$AN$4:$AN$23,1)+IF('Adjustment Surface'!$O5="",-1,1)),$AN$4:$AN$23,0),MATCH(INDEX('Adjustment Surface'!$AO$3:$BH$3,1,MATCH(('Adjustment Surface'!Z$3),'Adjustment Surface'!$AO$3:$BH$3,1)),$AO$3:$BH$3,0))*('Adjustment Surface'!$O4-INDEX('Adjustment Surface'!$AN$4:$AN$23,MATCH(('Adjustment Surface'!$O4),'Adjustment Surface'!$AN$4:$AN$23,1)))*(INDEX('Adjustment Surface'!$AO$3:$BH$3,1,MATCH(('Adjustment Surface'!Z$3),'Adjustment Surface'!$AO$3:$BH$3,1)+IF('Adjustment Surface'!AA$3="",-1,1))-'Adjustment Surface'!Z$3)+INDEX($AO$4:$BH$23,MATCH(INDEX('Adjustment Surface'!$AN$4:$AN$23,MATCH(('Adjustment Surface'!$O4),'Adjustment Surface'!$AN$4:$AN$23,1)),$AN$4:$AN$23,0),MATCH(INDEX('Adjustment Surface'!$AO$3:$BH$3,1,MATCH(('Adjustment Surface'!Z$3),'Adjustment Surface'!$AO$3:$BH$3,1)+IF('Adjustment Surface'!AA$3="",-1,1)),$AO$3:$BH$3,0))*(INDEX('Adjustment Surface'!$AN$4:$AN$23,MATCH(('Adjustment Surface'!$O4),'Adjustment Surface'!$AN$4:$AN$23,1)+IF('Adjustment Surface'!$O5="",-1,1))-'Adjustment Surface'!$O4)*('Adjustment Surface'!Z$3-INDEX('Adjustment Surface'!$AO$3:$BH$3,1,MATCH(('Adjustment Surface'!Z$3),'Adjustment Surface'!$AO$3:$BH$3,1)))+INDEX($AO$4:$BH$23,MATCH(INDEX('Adjustment Surface'!$AN$4:$AN$23,MATCH(('Adjustment Surface'!$O4),'Adjustment Surface'!$AN$4:$AN$23,1)+IF('Adjustment Surface'!$O5="",-1,1)),$AN$4:$AN$23,0),MATCH(INDEX('Adjustment Surface'!$AO$3:$BH$3,1,MATCH(('Adjustment Surface'!Z$3),'Adjustment Surface'!$AO$3:$BH$3,1)+IF('Adjustment Surface'!AA$3="",-1,1)),$AO$3:$BH$3,0))*('Adjustment Surface'!$O4-INDEX('Adjustment Surface'!$AN$4:$AN$23,MATCH(('Adjustment Surface'!$O4),'Adjustment Surface'!$AN$4:$AN$23,1)))*('Adjustment Surface'!Z$3-INDEX('Adjustment Surface'!$AO$3:$BH$3,1,MATCH(('Adjustment Surface'!Z$3),'Adjustment Surface'!$AO$3:$BH$3,1)))))</f>
        <v/>
      </c>
      <c r="AA4" s="178" t="str" cm="1">
        <f t="array" ref="AA4">IF(OR(AA$3="",$O4=""),"",1/((INDEX('Adjustment Surface'!$AN$4:$AN$23,MATCH(('Adjustment Surface'!$O4),'Adjustment Surface'!$AN$4:$AN$23,1)+IF('Adjustment Surface'!$O5="",-1,1))-INDEX('Adjustment Surface'!$AN$4:$AN$23,MATCH(('Adjustment Surface'!$O4),'Adjustment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Surface'!$O4),'Adjustment Surface'!$AN$4:$AN$23,1)),$AN$4:$AN$23,0),MATCH(INDEX('Adjustment Surface'!$AO$3:$BH$3,1,MATCH(('Adjustment Surface'!AA$3),'Adjustment Surface'!$AO$3:$BH$3,1)),$AO$3:$BH$3,0))*(INDEX('Adjustment Surface'!$AN$4:$AN$23,MATCH(('Adjustment Surface'!$O4),'Adjustment Surface'!$AN$4:$AN$23,1)+IF('Adjustment Surface'!$O5="",-1,1))-'Adjustment Surface'!$O4)*(INDEX('Adjustment Surface'!$AO$3:$BH$3,1,MATCH(('Adjustment Surface'!AA$3),'Adjustment Surface'!$AO$3:$BH$3,1)+IF('Adjustment Surface'!AB$3="",-1,1))-'Adjustment Surface'!AA$3)+INDEX($AO$4:$BH$23,MATCH(INDEX('Adjustment Surface'!$AN$4:$AN$23,MATCH(('Adjustment Surface'!$O4),'Adjustment Surface'!$AN$4:$AN$23,1)+IF('Adjustment Surface'!$O5="",-1,1)),$AN$4:$AN$23,0),MATCH(INDEX('Adjustment Surface'!$AO$3:$BH$3,1,MATCH(('Adjustment Surface'!AA$3),'Adjustment Surface'!$AO$3:$BH$3,1)),$AO$3:$BH$3,0))*('Adjustment Surface'!$O4-INDEX('Adjustment Surface'!$AN$4:$AN$23,MATCH(('Adjustment Surface'!$O4),'Adjustment Surface'!$AN$4:$AN$23,1)))*(INDEX('Adjustment Surface'!$AO$3:$BH$3,1,MATCH(('Adjustment Surface'!AA$3),'Adjustment Surface'!$AO$3:$BH$3,1)+IF('Adjustment Surface'!AB$3="",-1,1))-'Adjustment Surface'!AA$3)+INDEX($AO$4:$BH$23,MATCH(INDEX('Adjustment Surface'!$AN$4:$AN$23,MATCH(('Adjustment Surface'!$O4),'Adjustment Surface'!$AN$4:$AN$23,1)),$AN$4:$AN$23,0),MATCH(INDEX('Adjustment Surface'!$AO$3:$BH$3,1,MATCH(('Adjustment Surface'!AA$3),'Adjustment Surface'!$AO$3:$BH$3,1)+IF('Adjustment Surface'!AB$3="",-1,1)),$AO$3:$BH$3,0))*(INDEX('Adjustment Surface'!$AN$4:$AN$23,MATCH(('Adjustment Surface'!$O4),'Adjustment Surface'!$AN$4:$AN$23,1)+IF('Adjustment Surface'!$O5="",-1,1))-'Adjustment Surface'!$O4)*('Adjustment Surface'!AA$3-INDEX('Adjustment Surface'!$AO$3:$BH$3,1,MATCH(('Adjustment Surface'!AA$3),'Adjustment Surface'!$AO$3:$BH$3,1)))+INDEX($AO$4:$BH$23,MATCH(INDEX('Adjustment Surface'!$AN$4:$AN$23,MATCH(('Adjustment Surface'!$O4),'Adjustment Surface'!$AN$4:$AN$23,1)+IF('Adjustment Surface'!$O5="",-1,1)),$AN$4:$AN$23,0),MATCH(INDEX('Adjustment Surface'!$AO$3:$BH$3,1,MATCH(('Adjustment Surface'!AA$3),'Adjustment Surface'!$AO$3:$BH$3,1)+IF('Adjustment Surface'!AB$3="",-1,1)),$AO$3:$BH$3,0))*('Adjustment Surface'!$O4-INDEX('Adjustment Surface'!$AN$4:$AN$23,MATCH(('Adjustment Surface'!$O4),'Adjustment Surface'!$AN$4:$AN$23,1)))*('Adjustment Surface'!AA$3-INDEX('Adjustment Surface'!$AO$3:$BH$3,1,MATCH(('Adjustment Surface'!AA$3),'Adjustment Surface'!$AO$3:$BH$3,1)))))</f>
        <v/>
      </c>
      <c r="AB4" s="178" t="str" cm="1">
        <f t="array" ref="AB4">IF(OR(AB$3="",$O4=""),"",1/((INDEX('Adjustment Surface'!$AN$4:$AN$23,MATCH(('Adjustment Surface'!$O4),'Adjustment Surface'!$AN$4:$AN$23,1)+IF('Adjustment Surface'!$O5="",-1,1))-INDEX('Adjustment Surface'!$AN$4:$AN$23,MATCH(('Adjustment Surface'!$O4),'Adjustment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Surface'!$O4),'Adjustment Surface'!$AN$4:$AN$23,1)),$AN$4:$AN$23,0),MATCH(INDEX('Adjustment Surface'!$AO$3:$BH$3,1,MATCH(('Adjustment Surface'!AB$3),'Adjustment Surface'!$AO$3:$BH$3,1)),$AO$3:$BH$3,0))*(INDEX('Adjustment Surface'!$AN$4:$AN$23,MATCH(('Adjustment Surface'!$O4),'Adjustment Surface'!$AN$4:$AN$23,1)+IF('Adjustment Surface'!$O5="",-1,1))-'Adjustment Surface'!$O4)*(INDEX('Adjustment Surface'!$AO$3:$BH$3,1,MATCH(('Adjustment Surface'!AB$3),'Adjustment Surface'!$AO$3:$BH$3,1)+IF('Adjustment Surface'!AC$3="",-1,1))-'Adjustment Surface'!AB$3)+INDEX($AO$4:$BH$23,MATCH(INDEX('Adjustment Surface'!$AN$4:$AN$23,MATCH(('Adjustment Surface'!$O4),'Adjustment Surface'!$AN$4:$AN$23,1)+IF('Adjustment Surface'!$O5="",-1,1)),$AN$4:$AN$23,0),MATCH(INDEX('Adjustment Surface'!$AO$3:$BH$3,1,MATCH(('Adjustment Surface'!AB$3),'Adjustment Surface'!$AO$3:$BH$3,1)),$AO$3:$BH$3,0))*('Adjustment Surface'!$O4-INDEX('Adjustment Surface'!$AN$4:$AN$23,MATCH(('Adjustment Surface'!$O4),'Adjustment Surface'!$AN$4:$AN$23,1)))*(INDEX('Adjustment Surface'!$AO$3:$BH$3,1,MATCH(('Adjustment Surface'!AB$3),'Adjustment Surface'!$AO$3:$BH$3,1)+IF('Adjustment Surface'!AC$3="",-1,1))-'Adjustment Surface'!AB$3)+INDEX($AO$4:$BH$23,MATCH(INDEX('Adjustment Surface'!$AN$4:$AN$23,MATCH(('Adjustment Surface'!$O4),'Adjustment Surface'!$AN$4:$AN$23,1)),$AN$4:$AN$23,0),MATCH(INDEX('Adjustment Surface'!$AO$3:$BH$3,1,MATCH(('Adjustment Surface'!AB$3),'Adjustment Surface'!$AO$3:$BH$3,1)+IF('Adjustment Surface'!AC$3="",-1,1)),$AO$3:$BH$3,0))*(INDEX('Adjustment Surface'!$AN$4:$AN$23,MATCH(('Adjustment Surface'!$O4),'Adjustment Surface'!$AN$4:$AN$23,1)+IF('Adjustment Surface'!$O5="",-1,1))-'Adjustment Surface'!$O4)*('Adjustment Surface'!AB$3-INDEX('Adjustment Surface'!$AO$3:$BH$3,1,MATCH(('Adjustment Surface'!AB$3),'Adjustment Surface'!$AO$3:$BH$3,1)))+INDEX($AO$4:$BH$23,MATCH(INDEX('Adjustment Surface'!$AN$4:$AN$23,MATCH(('Adjustment Surface'!$O4),'Adjustment Surface'!$AN$4:$AN$23,1)+IF('Adjustment Surface'!$O5="",-1,1)),$AN$4:$AN$23,0),MATCH(INDEX('Adjustment Surface'!$AO$3:$BH$3,1,MATCH(('Adjustment Surface'!AB$3),'Adjustment Surface'!$AO$3:$BH$3,1)+IF('Adjustment Surface'!AC$3="",-1,1)),$AO$3:$BH$3,0))*('Adjustment Surface'!$O4-INDEX('Adjustment Surface'!$AN$4:$AN$23,MATCH(('Adjustment Surface'!$O4),'Adjustment Surface'!$AN$4:$AN$23,1)))*('Adjustment Surface'!AB$3-INDEX('Adjustment Surface'!$AO$3:$BH$3,1,MATCH(('Adjustment Surface'!AB$3),'Adjustment Surface'!$AO$3:$BH$3,1)))))</f>
        <v/>
      </c>
      <c r="AC4" s="178" t="str" cm="1">
        <f t="array" ref="AC4">IF(OR(AC$3="",$O4=""),"",1/((INDEX('Adjustment Surface'!$AN$4:$AN$23,MATCH(('Adjustment Surface'!$O4),'Adjustment Surface'!$AN$4:$AN$23,1)+IF('Adjustment Surface'!$O5="",-1,1))-INDEX('Adjustment Surface'!$AN$4:$AN$23,MATCH(('Adjustment Surface'!$O4),'Adjustment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Surface'!$O4),'Adjustment Surface'!$AN$4:$AN$23,1)),$AN$4:$AN$23,0),MATCH(INDEX('Adjustment Surface'!$AO$3:$BH$3,1,MATCH(('Adjustment Surface'!AC$3),'Adjustment Surface'!$AO$3:$BH$3,1)),$AO$3:$BH$3,0))*(INDEX('Adjustment Surface'!$AN$4:$AN$23,MATCH(('Adjustment Surface'!$O4),'Adjustment Surface'!$AN$4:$AN$23,1)+IF('Adjustment Surface'!$O5="",-1,1))-'Adjustment Surface'!$O4)*(INDEX('Adjustment Surface'!$AO$3:$BH$3,1,MATCH(('Adjustment Surface'!AC$3),'Adjustment Surface'!$AO$3:$BH$3,1)+IF('Adjustment Surface'!AD$3="",-1,1))-'Adjustment Surface'!AC$3)+INDEX($AO$4:$BH$23,MATCH(INDEX('Adjustment Surface'!$AN$4:$AN$23,MATCH(('Adjustment Surface'!$O4),'Adjustment Surface'!$AN$4:$AN$23,1)+IF('Adjustment Surface'!$O5="",-1,1)),$AN$4:$AN$23,0),MATCH(INDEX('Adjustment Surface'!$AO$3:$BH$3,1,MATCH(('Adjustment Surface'!AC$3),'Adjustment Surface'!$AO$3:$BH$3,1)),$AO$3:$BH$3,0))*('Adjustment Surface'!$O4-INDEX('Adjustment Surface'!$AN$4:$AN$23,MATCH(('Adjustment Surface'!$O4),'Adjustment Surface'!$AN$4:$AN$23,1)))*(INDEX('Adjustment Surface'!$AO$3:$BH$3,1,MATCH(('Adjustment Surface'!AC$3),'Adjustment Surface'!$AO$3:$BH$3,1)+IF('Adjustment Surface'!AD$3="",-1,1))-'Adjustment Surface'!AC$3)+INDEX($AO$4:$BH$23,MATCH(INDEX('Adjustment Surface'!$AN$4:$AN$23,MATCH(('Adjustment Surface'!$O4),'Adjustment Surface'!$AN$4:$AN$23,1)),$AN$4:$AN$23,0),MATCH(INDEX('Adjustment Surface'!$AO$3:$BH$3,1,MATCH(('Adjustment Surface'!AC$3),'Adjustment Surface'!$AO$3:$BH$3,1)+IF('Adjustment Surface'!AD$3="",-1,1)),$AO$3:$BH$3,0))*(INDEX('Adjustment Surface'!$AN$4:$AN$23,MATCH(('Adjustment Surface'!$O4),'Adjustment Surface'!$AN$4:$AN$23,1)+IF('Adjustment Surface'!$O5="",-1,1))-'Adjustment Surface'!$O4)*('Adjustment Surface'!AC$3-INDEX('Adjustment Surface'!$AO$3:$BH$3,1,MATCH(('Adjustment Surface'!AC$3),'Adjustment Surface'!$AO$3:$BH$3,1)))+INDEX($AO$4:$BH$23,MATCH(INDEX('Adjustment Surface'!$AN$4:$AN$23,MATCH(('Adjustment Surface'!$O4),'Adjustment Surface'!$AN$4:$AN$23,1)+IF('Adjustment Surface'!$O5="",-1,1)),$AN$4:$AN$23,0),MATCH(INDEX('Adjustment Surface'!$AO$3:$BH$3,1,MATCH(('Adjustment Surface'!AC$3),'Adjustment Surface'!$AO$3:$BH$3,1)+IF('Adjustment Surface'!AD$3="",-1,1)),$AO$3:$BH$3,0))*('Adjustment Surface'!$O4-INDEX('Adjustment Surface'!$AN$4:$AN$23,MATCH(('Adjustment Surface'!$O4),'Adjustment Surface'!$AN$4:$AN$23,1)))*('Adjustment Surface'!AC$3-INDEX('Adjustment Surface'!$AO$3:$BH$3,1,MATCH(('Adjustment Surface'!AC$3),'Adjustment Surface'!$AO$3:$BH$3,1)))))</f>
        <v/>
      </c>
      <c r="AD4" s="178" t="str" cm="1">
        <f t="array" ref="AD4">IF(OR(AD$3="",$O4=""),"",1/((INDEX('Adjustment Surface'!$AN$4:$AN$23,MATCH(('Adjustment Surface'!$O4),'Adjustment Surface'!$AN$4:$AN$23,1)+IF('Adjustment Surface'!$O5="",-1,1))-INDEX('Adjustment Surface'!$AN$4:$AN$23,MATCH(('Adjustment Surface'!$O4),'Adjustment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Surface'!$O4),'Adjustment Surface'!$AN$4:$AN$23,1)),$AN$4:$AN$23,0),MATCH(INDEX('Adjustment Surface'!$AO$3:$BH$3,1,MATCH(('Adjustment Surface'!AD$3),'Adjustment Surface'!$AO$3:$BH$3,1)),$AO$3:$BH$3,0))*(INDEX('Adjustment Surface'!$AN$4:$AN$23,MATCH(('Adjustment Surface'!$O4),'Adjustment Surface'!$AN$4:$AN$23,1)+IF('Adjustment Surface'!$O5="",-1,1))-'Adjustment Surface'!$O4)*(INDEX('Adjustment Surface'!$AO$3:$BH$3,1,MATCH(('Adjustment Surface'!AD$3),'Adjustment Surface'!$AO$3:$BH$3,1)+IF('Adjustment Surface'!AE$3="",-1,1))-'Adjustment Surface'!AD$3)+INDEX($AO$4:$BH$23,MATCH(INDEX('Adjustment Surface'!$AN$4:$AN$23,MATCH(('Adjustment Surface'!$O4),'Adjustment Surface'!$AN$4:$AN$23,1)+IF('Adjustment Surface'!$O5="",-1,1)),$AN$4:$AN$23,0),MATCH(INDEX('Adjustment Surface'!$AO$3:$BH$3,1,MATCH(('Adjustment Surface'!AD$3),'Adjustment Surface'!$AO$3:$BH$3,1)),$AO$3:$BH$3,0))*('Adjustment Surface'!$O4-INDEX('Adjustment Surface'!$AN$4:$AN$23,MATCH(('Adjustment Surface'!$O4),'Adjustment Surface'!$AN$4:$AN$23,1)))*(INDEX('Adjustment Surface'!$AO$3:$BH$3,1,MATCH(('Adjustment Surface'!AD$3),'Adjustment Surface'!$AO$3:$BH$3,1)+IF('Adjustment Surface'!AE$3="",-1,1))-'Adjustment Surface'!AD$3)+INDEX($AO$4:$BH$23,MATCH(INDEX('Adjustment Surface'!$AN$4:$AN$23,MATCH(('Adjustment Surface'!$O4),'Adjustment Surface'!$AN$4:$AN$23,1)),$AN$4:$AN$23,0),MATCH(INDEX('Adjustment Surface'!$AO$3:$BH$3,1,MATCH(('Adjustment Surface'!AD$3),'Adjustment Surface'!$AO$3:$BH$3,1)+IF('Adjustment Surface'!AE$3="",-1,1)),$AO$3:$BH$3,0))*(INDEX('Adjustment Surface'!$AN$4:$AN$23,MATCH(('Adjustment Surface'!$O4),'Adjustment Surface'!$AN$4:$AN$23,1)+IF('Adjustment Surface'!$O5="",-1,1))-'Adjustment Surface'!$O4)*('Adjustment Surface'!AD$3-INDEX('Adjustment Surface'!$AO$3:$BH$3,1,MATCH(('Adjustment Surface'!AD$3),'Adjustment Surface'!$AO$3:$BH$3,1)))+INDEX($AO$4:$BH$23,MATCH(INDEX('Adjustment Surface'!$AN$4:$AN$23,MATCH(('Adjustment Surface'!$O4),'Adjustment Surface'!$AN$4:$AN$23,1)+IF('Adjustment Surface'!$O5="",-1,1)),$AN$4:$AN$23,0),MATCH(INDEX('Adjustment Surface'!$AO$3:$BH$3,1,MATCH(('Adjustment Surface'!AD$3),'Adjustment Surface'!$AO$3:$BH$3,1)+IF('Adjustment Surface'!AE$3="",-1,1)),$AO$3:$BH$3,0))*('Adjustment Surface'!$O4-INDEX('Adjustment Surface'!$AN$4:$AN$23,MATCH(('Adjustment Surface'!$O4),'Adjustment Surface'!$AN$4:$AN$23,1)))*('Adjustment Surface'!AD$3-INDEX('Adjustment Surface'!$AO$3:$BH$3,1,MATCH(('Adjustment Surface'!AD$3),'Adjustment Surface'!$AO$3:$BH$3,1)))))</f>
        <v/>
      </c>
      <c r="AE4" s="178" t="str" cm="1">
        <f t="array" ref="AE4">IF(OR(AE$3="",$O4=""),"",1/((INDEX('Adjustment Surface'!$AN$4:$AN$23,MATCH(('Adjustment Surface'!$O4),'Adjustment Surface'!$AN$4:$AN$23,1)+IF('Adjustment Surface'!$O5="",-1,1))-INDEX('Adjustment Surface'!$AN$4:$AN$23,MATCH(('Adjustment Surface'!$O4),'Adjustment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Surface'!$O4),'Adjustment Surface'!$AN$4:$AN$23,1)),$AN$4:$AN$23,0),MATCH(INDEX('Adjustment Surface'!$AO$3:$BH$3,1,MATCH(('Adjustment Surface'!AE$3),'Adjustment Surface'!$AO$3:$BH$3,1)),$AO$3:$BH$3,0))*(INDEX('Adjustment Surface'!$AN$4:$AN$23,MATCH(('Adjustment Surface'!$O4),'Adjustment Surface'!$AN$4:$AN$23,1)+IF('Adjustment Surface'!$O5="",-1,1))-'Adjustment Surface'!$O4)*(INDEX('Adjustment Surface'!$AO$3:$BH$3,1,MATCH(('Adjustment Surface'!AE$3),'Adjustment Surface'!$AO$3:$BH$3,1)+IF('Adjustment Surface'!AF$3="",-1,1))-'Adjustment Surface'!AE$3)+INDEX($AO$4:$BH$23,MATCH(INDEX('Adjustment Surface'!$AN$4:$AN$23,MATCH(('Adjustment Surface'!$O4),'Adjustment Surface'!$AN$4:$AN$23,1)+IF('Adjustment Surface'!$O5="",-1,1)),$AN$4:$AN$23,0),MATCH(INDEX('Adjustment Surface'!$AO$3:$BH$3,1,MATCH(('Adjustment Surface'!AE$3),'Adjustment Surface'!$AO$3:$BH$3,1)),$AO$3:$BH$3,0))*('Adjustment Surface'!$O4-INDEX('Adjustment Surface'!$AN$4:$AN$23,MATCH(('Adjustment Surface'!$O4),'Adjustment Surface'!$AN$4:$AN$23,1)))*(INDEX('Adjustment Surface'!$AO$3:$BH$3,1,MATCH(('Adjustment Surface'!AE$3),'Adjustment Surface'!$AO$3:$BH$3,1)+IF('Adjustment Surface'!AF$3="",-1,1))-'Adjustment Surface'!AE$3)+INDEX($AO$4:$BH$23,MATCH(INDEX('Adjustment Surface'!$AN$4:$AN$23,MATCH(('Adjustment Surface'!$O4),'Adjustment Surface'!$AN$4:$AN$23,1)),$AN$4:$AN$23,0),MATCH(INDEX('Adjustment Surface'!$AO$3:$BH$3,1,MATCH(('Adjustment Surface'!AE$3),'Adjustment Surface'!$AO$3:$BH$3,1)+IF('Adjustment Surface'!AF$3="",-1,1)),$AO$3:$BH$3,0))*(INDEX('Adjustment Surface'!$AN$4:$AN$23,MATCH(('Adjustment Surface'!$O4),'Adjustment Surface'!$AN$4:$AN$23,1)+IF('Adjustment Surface'!$O5="",-1,1))-'Adjustment Surface'!$O4)*('Adjustment Surface'!AE$3-INDEX('Adjustment Surface'!$AO$3:$BH$3,1,MATCH(('Adjustment Surface'!AE$3),'Adjustment Surface'!$AO$3:$BH$3,1)))+INDEX($AO$4:$BH$23,MATCH(INDEX('Adjustment Surface'!$AN$4:$AN$23,MATCH(('Adjustment Surface'!$O4),'Adjustment Surface'!$AN$4:$AN$23,1)+IF('Adjustment Surface'!$O5="",-1,1)),$AN$4:$AN$23,0),MATCH(INDEX('Adjustment Surface'!$AO$3:$BH$3,1,MATCH(('Adjustment Surface'!AE$3),'Adjustment Surface'!$AO$3:$BH$3,1)+IF('Adjustment Surface'!AF$3="",-1,1)),$AO$3:$BH$3,0))*('Adjustment Surface'!$O4-INDEX('Adjustment Surface'!$AN$4:$AN$23,MATCH(('Adjustment Surface'!$O4),'Adjustment Surface'!$AN$4:$AN$23,1)))*('Adjustment Surface'!AE$3-INDEX('Adjustment Surface'!$AO$3:$BH$3,1,MATCH(('Adjustment Surface'!AE$3),'Adjustment Surface'!$AO$3:$BH$3,1)))))</f>
        <v/>
      </c>
      <c r="AF4" s="178" t="str" cm="1">
        <f t="array" ref="AF4">IF(OR(AF$3="",$O4=""),"",1/((INDEX('Adjustment Surface'!$AN$4:$AN$23,MATCH(('Adjustment Surface'!$O4),'Adjustment Surface'!$AN$4:$AN$23,1)+IF('Adjustment Surface'!$O5="",-1,1))-INDEX('Adjustment Surface'!$AN$4:$AN$23,MATCH(('Adjustment Surface'!$O4),'Adjustment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Surface'!$O4),'Adjustment Surface'!$AN$4:$AN$23,1)),$AN$4:$AN$23,0),MATCH(INDEX('Adjustment Surface'!$AO$3:$BH$3,1,MATCH(('Adjustment Surface'!AF$3),'Adjustment Surface'!$AO$3:$BH$3,1)),$AO$3:$BH$3,0))*(INDEX('Adjustment Surface'!$AN$4:$AN$23,MATCH(('Adjustment Surface'!$O4),'Adjustment Surface'!$AN$4:$AN$23,1)+IF('Adjustment Surface'!$O5="",-1,1))-'Adjustment Surface'!$O4)*(INDEX('Adjustment Surface'!$AO$3:$BH$3,1,MATCH(('Adjustment Surface'!AF$3),'Adjustment Surface'!$AO$3:$BH$3,1)+IF('Adjustment Surface'!AG$3="",-1,1))-'Adjustment Surface'!AF$3)+INDEX($AO$4:$BH$23,MATCH(INDEX('Adjustment Surface'!$AN$4:$AN$23,MATCH(('Adjustment Surface'!$O4),'Adjustment Surface'!$AN$4:$AN$23,1)+IF('Adjustment Surface'!$O5="",-1,1)),$AN$4:$AN$23,0),MATCH(INDEX('Adjustment Surface'!$AO$3:$BH$3,1,MATCH(('Adjustment Surface'!AF$3),'Adjustment Surface'!$AO$3:$BH$3,1)),$AO$3:$BH$3,0))*('Adjustment Surface'!$O4-INDEX('Adjustment Surface'!$AN$4:$AN$23,MATCH(('Adjustment Surface'!$O4),'Adjustment Surface'!$AN$4:$AN$23,1)))*(INDEX('Adjustment Surface'!$AO$3:$BH$3,1,MATCH(('Adjustment Surface'!AF$3),'Adjustment Surface'!$AO$3:$BH$3,1)+IF('Adjustment Surface'!AG$3="",-1,1))-'Adjustment Surface'!AF$3)+INDEX($AO$4:$BH$23,MATCH(INDEX('Adjustment Surface'!$AN$4:$AN$23,MATCH(('Adjustment Surface'!$O4),'Adjustment Surface'!$AN$4:$AN$23,1)),$AN$4:$AN$23,0),MATCH(INDEX('Adjustment Surface'!$AO$3:$BH$3,1,MATCH(('Adjustment Surface'!AF$3),'Adjustment Surface'!$AO$3:$BH$3,1)+IF('Adjustment Surface'!AG$3="",-1,1)),$AO$3:$BH$3,0))*(INDEX('Adjustment Surface'!$AN$4:$AN$23,MATCH(('Adjustment Surface'!$O4),'Adjustment Surface'!$AN$4:$AN$23,1)+IF('Adjustment Surface'!$O5="",-1,1))-'Adjustment Surface'!$O4)*('Adjustment Surface'!AF$3-INDEX('Adjustment Surface'!$AO$3:$BH$3,1,MATCH(('Adjustment Surface'!AF$3),'Adjustment Surface'!$AO$3:$BH$3,1)))+INDEX($AO$4:$BH$23,MATCH(INDEX('Adjustment Surface'!$AN$4:$AN$23,MATCH(('Adjustment Surface'!$O4),'Adjustment Surface'!$AN$4:$AN$23,1)+IF('Adjustment Surface'!$O5="",-1,1)),$AN$4:$AN$23,0),MATCH(INDEX('Adjustment Surface'!$AO$3:$BH$3,1,MATCH(('Adjustment Surface'!AF$3),'Adjustment Surface'!$AO$3:$BH$3,1)+IF('Adjustment Surface'!AG$3="",-1,1)),$AO$3:$BH$3,0))*('Adjustment Surface'!$O4-INDEX('Adjustment Surface'!$AN$4:$AN$23,MATCH(('Adjustment Surface'!$O4),'Adjustment Surface'!$AN$4:$AN$23,1)))*('Adjustment Surface'!AF$3-INDEX('Adjustment Surface'!$AO$3:$BH$3,1,MATCH(('Adjustment Surface'!AF$3),'Adjustment Surface'!$AO$3:$BH$3,1)))))</f>
        <v/>
      </c>
      <c r="AG4" s="178" t="str" cm="1">
        <f t="array" ref="AG4">IF(OR(AG$3="",$O4=""),"",1/((INDEX('Adjustment Surface'!$AN$4:$AN$23,MATCH(('Adjustment Surface'!$O4),'Adjustment Surface'!$AN$4:$AN$23,1)+IF('Adjustment Surface'!$O5="",-1,1))-INDEX('Adjustment Surface'!$AN$4:$AN$23,MATCH(('Adjustment Surface'!$O4),'Adjustment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Surface'!$O4),'Adjustment Surface'!$AN$4:$AN$23,1)),$AN$4:$AN$23,0),MATCH(INDEX('Adjustment Surface'!$AO$3:$BH$3,1,MATCH(('Adjustment Surface'!AG$3),'Adjustment Surface'!$AO$3:$BH$3,1)),$AO$3:$BH$3,0))*(INDEX('Adjustment Surface'!$AN$4:$AN$23,MATCH(('Adjustment Surface'!$O4),'Adjustment Surface'!$AN$4:$AN$23,1)+IF('Adjustment Surface'!$O5="",-1,1))-'Adjustment Surface'!$O4)*(INDEX('Adjustment Surface'!$AO$3:$BH$3,1,MATCH(('Adjustment Surface'!AG$3),'Adjustment Surface'!$AO$3:$BH$3,1)+IF('Adjustment Surface'!AH$3="",-1,1))-'Adjustment Surface'!AG$3)+INDEX($AO$4:$BH$23,MATCH(INDEX('Adjustment Surface'!$AN$4:$AN$23,MATCH(('Adjustment Surface'!$O4),'Adjustment Surface'!$AN$4:$AN$23,1)+IF('Adjustment Surface'!$O5="",-1,1)),$AN$4:$AN$23,0),MATCH(INDEX('Adjustment Surface'!$AO$3:$BH$3,1,MATCH(('Adjustment Surface'!AG$3),'Adjustment Surface'!$AO$3:$BH$3,1)),$AO$3:$BH$3,0))*('Adjustment Surface'!$O4-INDEX('Adjustment Surface'!$AN$4:$AN$23,MATCH(('Adjustment Surface'!$O4),'Adjustment Surface'!$AN$4:$AN$23,1)))*(INDEX('Adjustment Surface'!$AO$3:$BH$3,1,MATCH(('Adjustment Surface'!AG$3),'Adjustment Surface'!$AO$3:$BH$3,1)+IF('Adjustment Surface'!AH$3="",-1,1))-'Adjustment Surface'!AG$3)+INDEX($AO$4:$BH$23,MATCH(INDEX('Adjustment Surface'!$AN$4:$AN$23,MATCH(('Adjustment Surface'!$O4),'Adjustment Surface'!$AN$4:$AN$23,1)),$AN$4:$AN$23,0),MATCH(INDEX('Adjustment Surface'!$AO$3:$BH$3,1,MATCH(('Adjustment Surface'!AG$3),'Adjustment Surface'!$AO$3:$BH$3,1)+IF('Adjustment Surface'!AH$3="",-1,1)),$AO$3:$BH$3,0))*(INDEX('Adjustment Surface'!$AN$4:$AN$23,MATCH(('Adjustment Surface'!$O4),'Adjustment Surface'!$AN$4:$AN$23,1)+IF('Adjustment Surface'!$O5="",-1,1))-'Adjustment Surface'!$O4)*('Adjustment Surface'!AG$3-INDEX('Adjustment Surface'!$AO$3:$BH$3,1,MATCH(('Adjustment Surface'!AG$3),'Adjustment Surface'!$AO$3:$BH$3,1)))+INDEX($AO$4:$BH$23,MATCH(INDEX('Adjustment Surface'!$AN$4:$AN$23,MATCH(('Adjustment Surface'!$O4),'Adjustment Surface'!$AN$4:$AN$23,1)+IF('Adjustment Surface'!$O5="",-1,1)),$AN$4:$AN$23,0),MATCH(INDEX('Adjustment Surface'!$AO$3:$BH$3,1,MATCH(('Adjustment Surface'!AG$3),'Adjustment Surface'!$AO$3:$BH$3,1)+IF('Adjustment Surface'!AH$3="",-1,1)),$AO$3:$BH$3,0))*('Adjustment Surface'!$O4-INDEX('Adjustment Surface'!$AN$4:$AN$23,MATCH(('Adjustment Surface'!$O4),'Adjustment Surface'!$AN$4:$AN$23,1)))*('Adjustment Surface'!AG$3-INDEX('Adjustment Surface'!$AO$3:$BH$3,1,MATCH(('Adjustment Surface'!AG$3),'Adjustment Surface'!$AO$3:$BH$3,1)))))</f>
        <v/>
      </c>
      <c r="AH4" s="178" t="str" cm="1">
        <f t="array" ref="AH4">IF(OR(AH$3="",$O4=""),"",1/((INDEX('Adjustment Surface'!$AN$4:$AN$23,MATCH(('Adjustment Surface'!$O4),'Adjustment Surface'!$AN$4:$AN$23,1)+IF('Adjustment Surface'!$O5="",-1,1))-INDEX('Adjustment Surface'!$AN$4:$AN$23,MATCH(('Adjustment Surface'!$O4),'Adjustment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Surface'!$O4),'Adjustment Surface'!$AN$4:$AN$23,1)),$AN$4:$AN$23,0),MATCH(INDEX('Adjustment Surface'!$AO$3:$BH$3,1,MATCH(('Adjustment Surface'!AH$3),'Adjustment Surface'!$AO$3:$BH$3,1)),$AO$3:$BH$3,0))*(INDEX('Adjustment Surface'!$AN$4:$AN$23,MATCH(('Adjustment Surface'!$O4),'Adjustment Surface'!$AN$4:$AN$23,1)+IF('Adjustment Surface'!$O5="",-1,1))-'Adjustment Surface'!$O4)*(INDEX('Adjustment Surface'!$AO$3:$BH$3,1,MATCH(('Adjustment Surface'!AH$3),'Adjustment Surface'!$AO$3:$BH$3,1)+IF('Adjustment Surface'!AI$3="",-1,1))-'Adjustment Surface'!AH$3)+INDEX($AO$4:$BH$23,MATCH(INDEX('Adjustment Surface'!$AN$4:$AN$23,MATCH(('Adjustment Surface'!$O4),'Adjustment Surface'!$AN$4:$AN$23,1)+IF('Adjustment Surface'!$O5="",-1,1)),$AN$4:$AN$23,0),MATCH(INDEX('Adjustment Surface'!$AO$3:$BH$3,1,MATCH(('Adjustment Surface'!AH$3),'Adjustment Surface'!$AO$3:$BH$3,1)),$AO$3:$BH$3,0))*('Adjustment Surface'!$O4-INDEX('Adjustment Surface'!$AN$4:$AN$23,MATCH(('Adjustment Surface'!$O4),'Adjustment Surface'!$AN$4:$AN$23,1)))*(INDEX('Adjustment Surface'!$AO$3:$BH$3,1,MATCH(('Adjustment Surface'!AH$3),'Adjustment Surface'!$AO$3:$BH$3,1)+IF('Adjustment Surface'!AI$3="",-1,1))-'Adjustment Surface'!AH$3)+INDEX($AO$4:$BH$23,MATCH(INDEX('Adjustment Surface'!$AN$4:$AN$23,MATCH(('Adjustment Surface'!$O4),'Adjustment Surface'!$AN$4:$AN$23,1)),$AN$4:$AN$23,0),MATCH(INDEX('Adjustment Surface'!$AO$3:$BH$3,1,MATCH(('Adjustment Surface'!AH$3),'Adjustment Surface'!$AO$3:$BH$3,1)+IF('Adjustment Surface'!AI$3="",-1,1)),$AO$3:$BH$3,0))*(INDEX('Adjustment Surface'!$AN$4:$AN$23,MATCH(('Adjustment Surface'!$O4),'Adjustment Surface'!$AN$4:$AN$23,1)+IF('Adjustment Surface'!$O5="",-1,1))-'Adjustment Surface'!$O4)*('Adjustment Surface'!AH$3-INDEX('Adjustment Surface'!$AO$3:$BH$3,1,MATCH(('Adjustment Surface'!AH$3),'Adjustment Surface'!$AO$3:$BH$3,1)))+INDEX($AO$4:$BH$23,MATCH(INDEX('Adjustment Surface'!$AN$4:$AN$23,MATCH(('Adjustment Surface'!$O4),'Adjustment Surface'!$AN$4:$AN$23,1)+IF('Adjustment Surface'!$O5="",-1,1)),$AN$4:$AN$23,0),MATCH(INDEX('Adjustment Surface'!$AO$3:$BH$3,1,MATCH(('Adjustment Surface'!AH$3),'Adjustment Surface'!$AO$3:$BH$3,1)+IF('Adjustment Surface'!AI$3="",-1,1)),$AO$3:$BH$3,0))*('Adjustment Surface'!$O4-INDEX('Adjustment Surface'!$AN$4:$AN$23,MATCH(('Adjustment Surface'!$O4),'Adjustment Surface'!$AN$4:$AN$23,1)))*('Adjustment Surface'!AH$3-INDEX('Adjustment Surface'!$AO$3:$BH$3,1,MATCH(('Adjustment Surface'!AH$3),'Adjustment Surface'!$AO$3:$BH$3,1)))))</f>
        <v/>
      </c>
      <c r="AI4" s="179" t="str" cm="1">
        <f t="array" ref="AI4">IF(OR(AI$3="",$O4=""),"",1/((INDEX('Adjustment Surface'!$AN$4:$AN$23,MATCH(('Adjustment Surface'!$O4),'Adjustment Surface'!$AN$4:$AN$23,1)+IF('Adjustment Surface'!$O5="",-1,1))-INDEX('Adjustment Surface'!$AN$4:$AN$23,MATCH(('Adjustment Surface'!$O4),'Adjustment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Surface'!$O4),'Adjustment Surface'!$AN$4:$AN$23,1)),$AN$4:$AN$23,0),MATCH(INDEX('Adjustment Surface'!$AO$3:$BH$3,1,MATCH(('Adjustment Surface'!AI$3),'Adjustment Surface'!$AO$3:$BH$3,1)),$AO$3:$BH$3,0))*(INDEX('Adjustment Surface'!$AN$4:$AN$23,MATCH(('Adjustment Surface'!$O4),'Adjustment Surface'!$AN$4:$AN$23,1)+IF('Adjustment Surface'!$O5="",-1,1))-'Adjustment Surface'!$O4)*(INDEX('Adjustment Surface'!$AO$3:$BH$3,1,MATCH(('Adjustment Surface'!AI$3),'Adjustment Surface'!$AO$3:$BH$3,1)+IF('Adjustment Surface'!AJ$3="",-1,1))-'Adjustment Surface'!AI$3)+INDEX($AO$4:$BH$23,MATCH(INDEX('Adjustment Surface'!$AN$4:$AN$23,MATCH(('Adjustment Surface'!$O4),'Adjustment Surface'!$AN$4:$AN$23,1)+IF('Adjustment Surface'!$O5="",-1,1)),$AN$4:$AN$23,0),MATCH(INDEX('Adjustment Surface'!$AO$3:$BH$3,1,MATCH(('Adjustment Surface'!AI$3),'Adjustment Surface'!$AO$3:$BH$3,1)),$AO$3:$BH$3,0))*('Adjustment Surface'!$O4-INDEX('Adjustment Surface'!$AN$4:$AN$23,MATCH(('Adjustment Surface'!$O4),'Adjustment Surface'!$AN$4:$AN$23,1)))*(INDEX('Adjustment Surface'!$AO$3:$BH$3,1,MATCH(('Adjustment Surface'!AI$3),'Adjustment Surface'!$AO$3:$BH$3,1)+IF('Adjustment Surface'!AJ$3="",-1,1))-'Adjustment Surface'!AI$3)+INDEX($AO$4:$BH$23,MATCH(INDEX('Adjustment Surface'!$AN$4:$AN$23,MATCH(('Adjustment Surface'!$O4),'Adjustment Surface'!$AN$4:$AN$23,1)),$AN$4:$AN$23,0),MATCH(INDEX('Adjustment Surface'!$AO$3:$BH$3,1,MATCH(('Adjustment Surface'!AI$3),'Adjustment Surface'!$AO$3:$BH$3,1)+IF('Adjustment Surface'!AJ$3="",-1,1)),$AO$3:$BH$3,0))*(INDEX('Adjustment Surface'!$AN$4:$AN$23,MATCH(('Adjustment Surface'!$O4),'Adjustment Surface'!$AN$4:$AN$23,1)+IF('Adjustment Surface'!$O5="",-1,1))-'Adjustment Surface'!$O4)*('Adjustment Surface'!AI$3-INDEX('Adjustment Surface'!$AO$3:$BH$3,1,MATCH(('Adjustment Surface'!AI$3),'Adjustment Surface'!$AO$3:$BH$3,1)))+INDEX($AO$4:$BH$23,MATCH(INDEX('Adjustment Surface'!$AN$4:$AN$23,MATCH(('Adjustment Surface'!$O4),'Adjustment Surface'!$AN$4:$AN$23,1)+IF('Adjustment Surface'!$O5="",-1,1)),$AN$4:$AN$23,0),MATCH(INDEX('Adjustment Surface'!$AO$3:$BH$3,1,MATCH(('Adjustment Surface'!AI$3),'Adjustment Surface'!$AO$3:$BH$3,1)+IF('Adjustment Surface'!AJ$3="",-1,1)),$AO$3:$BH$3,0))*('Adjustment Surface'!$O4-INDEX('Adjustment Surface'!$AN$4:$AN$23,MATCH(('Adjustment Surface'!$O4),'Adjustment Surface'!$AN$4:$AN$23,1)))*('Adjustment Surface'!AI$3-INDEX('Adjustment Surface'!$AO$3:$BH$3,1,MATCH(('Adjustment Surface'!AI$3),'Adjustment Surface'!$AO$3:$BH$3,1)))))</f>
        <v/>
      </c>
      <c r="AK4" s="201">
        <f>IF('Adjustment Surface'!$C$2='Data Validation'!$A$2,_xlfn.CEILING.MATH(MIN('Bank Adjustments'!$C$4:$C$103),0.5%,2),IF('Adjustment Surface'!$C$2='Data Validation'!$A$3,_xlfn.CEILING.MATH(MIN('Bank Adjustments'!$M$4:$M$103),0.5%,2),"Unknown Option Type"))</f>
        <v>0.02</v>
      </c>
      <c r="AL4" s="202">
        <f>IF('Adjustment Surface'!$C$2='Data Validation'!$A$2,IF(EDATE('Rate &amp; Vol Update'!$C$2,_xlfn.CEILING.MATH(DATEDIF('Rate &amp; Vol Update'!$C$2,MIN('Bank Adjustments'!$E$4:$E$103),"M"),3,2))&lt;MIN('Bank Adjustments'!$E$4:$E$103),EDATE('Rate &amp; Vol Update'!$C$2,_xlfn.CEILING.MATH(DATEDIF('Rate &amp; Vol Update'!$C$2,MIN('Bank Adjustments'!$E$4:$E$103),"M")+3,3,2)),EDATE('Rate &amp; Vol Update'!$C$2,_xlfn.CEILING.MATH(DATEDIF('Rate &amp; Vol Update'!$C$2,MIN('Bank Adjustments'!$E$4:$E$103),"M"),3,2))),IF('Adjustment Surface'!$C$2='Data Validation'!$A$3,IF(EDATE('Rate &amp; Vol Update'!$C$2,_xlfn.CEILING.MATH(DATEDIF('Rate &amp; Vol Update'!$C$2,MIN('Bank Adjustments'!$O$4:$O$103),"M"),3,2))&lt;MIN('Bank Adjustments'!$O$4:$O$103),EDATE('Rate &amp; Vol Update'!$C$2,_xlfn.CEILING.MATH(DATEDIF('Rate &amp; Vol Update'!$C$2,MIN('Bank Adjustments'!$O$4:$O$103),"M")+3,3,2)),EDATE('Rate &amp; Vol Update'!$C$2,_xlfn.CEILING.MATH(DATEDIF('Rate &amp; Vol Update'!$C$2,MIN('Bank Adjustments'!$O$4:$O$103),"M"),3,2))),"Unkown Option Type"))</f>
        <v>46429</v>
      </c>
      <c r="AN4" s="176" cm="1">
        <f t="array" ref="AN4:AN8">_xlfn._xlws.SORT(_xlfn.UNIQUE(_xlfn._xlws.FILTER(IF($C$2='Data Validation'!$A$2,'Bank Adjustments'!C4:C103,IF('Adjustment Surface'!$C$2='Data Validation'!$A$3,'Bank Adjustments'!M4:M103,"Unknown Option Type")),IF($C$2='Data Validation'!$A$2,'Bank Adjustments'!C4:C103,IF('Adjustment Surface'!$C$2='Data Validation'!$A$3,'Bank Adjustments'!M4:M103,"Unknown Option Type")))),,1)</f>
        <v>0.02</v>
      </c>
      <c r="AO4" s="177" cm="1">
        <f t="array" ref="AO4">IF(OR(AO$3="",$AN4=""),"",INDEX(IF($C$2='Data Validation'!$A$2,'Bank Adjustments'!$H$4:$H$103,IF('Adjustment Surface'!$C$2='Data Validation'!$A$3,'Bank Adjustments'!$R$4:$R$103,"Unknown Option Type")),MATCH(1,($AN4=IF($C$2='Data Validation'!$A$2,'Bank Adjustments'!$C$4:$C$103,IF('Adjustment Surface'!$C$2='Data Validation'!$A$3,'Bank Adjustments'!$M$4:$M$103,"Unknown Option Type")))*(AO$3=IF($C$2='Data Validation'!$A$2,'Bank Adjustments'!$E$4:$E$103,IF('Adjustment Surface'!$C$2='Data Validation'!$A$3,'Bank Adjustments'!$O$4:$O$103,"Unknown Option Type"))),0)))</f>
        <v>163.25900817095373</v>
      </c>
      <c r="AP4" s="178" cm="1">
        <f t="array" ref="AP4">IF(OR(AP$3="",$AN4=""),"",INDEX(IF($C$2='Data Validation'!$A$2,'Bank Adjustments'!$H$4:$H$103,IF('Adjustment Surface'!$C$2='Data Validation'!$A$3,'Bank Adjustments'!$R$4:$R$103,"Unknown Option Type")),MATCH(1,($AN4=IF($C$2='Data Validation'!$A$2,'Bank Adjustments'!$C$4:$C$103,IF('Adjustment Surface'!$C$2='Data Validation'!$A$3,'Bank Adjustments'!$M$4:$M$103,"Unknown Option Type")))*(AP$3=IF($C$2='Data Validation'!$A$2,'Bank Adjustments'!$E$4:$E$103,IF('Adjustment Surface'!$C$2='Data Validation'!$A$3,'Bank Adjustments'!$O$4:$O$103,"Unknown Option Type"))),0)))</f>
        <v>35.047623014603225</v>
      </c>
      <c r="AQ4" s="178" cm="1">
        <f t="array" ref="AQ4">IF(OR(AQ$3="",$AN4=""),"",INDEX(IF($C$2='Data Validation'!$A$2,'Bank Adjustments'!$H$4:$H$103,IF('Adjustment Surface'!$C$2='Data Validation'!$A$3,'Bank Adjustments'!$R$4:$R$103,"Unknown Option Type")),MATCH(1,($AN4=IF($C$2='Data Validation'!$A$2,'Bank Adjustments'!$C$4:$C$103,IF('Adjustment Surface'!$C$2='Data Validation'!$A$3,'Bank Adjustments'!$M$4:$M$103,"Unknown Option Type")))*(AQ$3=IF($C$2='Data Validation'!$A$2,'Bank Adjustments'!$E$4:$E$103,IF('Adjustment Surface'!$C$2='Data Validation'!$A$3,'Bank Adjustments'!$O$4:$O$103,"Unknown Option Type"))),0)))</f>
        <v>15.162511210420185</v>
      </c>
      <c r="AR4" s="178" t="str" cm="1">
        <f t="array" ref="AR4">IF(OR(AR$3="",$AN4=""),"",INDEX(IF($C$2='Data Validation'!$A$2,'Bank Adjustments'!$H$4:$H$103,IF('Adjustment Surface'!$C$2='Data Validation'!$A$3,'Bank Adjustments'!$R$4:$R$103,"Unknown Option Type")),MATCH(1,($AN4=IF($C$2='Data Validation'!$A$2,'Bank Adjustments'!$C$4:$C$103,IF('Adjustment Surface'!$C$2='Data Validation'!$A$3,'Bank Adjustments'!$M$4:$M$103,"Unknown Option Type")))*(AR$3=IF($C$2='Data Validation'!$A$2,'Bank Adjustments'!$E$4:$E$103,IF('Adjustment Surface'!$C$2='Data Validation'!$A$3,'Bank Adjustments'!$O$4:$O$103,"Unknown Option Type"))),0)))</f>
        <v/>
      </c>
      <c r="AS4" s="178" t="str" cm="1">
        <f t="array" ref="AS4">IF(OR(AS$3="",$AN4=""),"",INDEX(IF($C$2='Data Validation'!$A$2,'Bank Adjustments'!$H$4:$H$103,IF('Adjustment Surface'!$C$2='Data Validation'!$A$3,'Bank Adjustments'!$R$4:$R$103,"Unknown Option Type")),MATCH(1,($AN4=IF($C$2='Data Validation'!$A$2,'Bank Adjustments'!$C$4:$C$103,IF('Adjustment Surface'!$C$2='Data Validation'!$A$3,'Bank Adjustments'!$M$4:$M$103,"Unknown Option Type")))*(AS$3=IF($C$2='Data Validation'!$A$2,'Bank Adjustments'!$E$4:$E$103,IF('Adjustment Surface'!$C$2='Data Validation'!$A$3,'Bank Adjustments'!$O$4:$O$103,"Unknown Option Type"))),0)))</f>
        <v/>
      </c>
      <c r="AT4" s="178" t="str" cm="1">
        <f t="array" ref="AT4">IF(OR(AT$3="",$AN4=""),"",INDEX(IF($C$2='Data Validation'!$A$2,'Bank Adjustments'!$H$4:$H$103,IF('Adjustment Surface'!$C$2='Data Validation'!$A$3,'Bank Adjustments'!$R$4:$R$103,"Unknown Option Type")),MATCH(1,($AN4=IF($C$2='Data Validation'!$A$2,'Bank Adjustments'!$C$4:$C$103,IF('Adjustment Surface'!$C$2='Data Validation'!$A$3,'Bank Adjustments'!$M$4:$M$103,"Unknown Option Type")))*(AT$3=IF($C$2='Data Validation'!$A$2,'Bank Adjustments'!$E$4:$E$103,IF('Adjustment Surface'!$C$2='Data Validation'!$A$3,'Bank Adjustments'!$O$4:$O$103,"Unknown Option Type"))),0)))</f>
        <v/>
      </c>
      <c r="AU4" s="178" t="str" cm="1">
        <f t="array" ref="AU4">IF(OR(AU$3="",$AN4=""),"",INDEX(IF($C$2='Data Validation'!$A$2,'Bank Adjustments'!$H$4:$H$103,IF('Adjustment Surface'!$C$2='Data Validation'!$A$3,'Bank Adjustments'!$R$4:$R$103,"Unknown Option Type")),MATCH(1,($AN4=IF($C$2='Data Validation'!$A$2,'Bank Adjustments'!$C$4:$C$103,IF('Adjustment Surface'!$C$2='Data Validation'!$A$3,'Bank Adjustments'!$M$4:$M$103,"Unknown Option Type")))*(AU$3=IF($C$2='Data Validation'!$A$2,'Bank Adjustments'!$E$4:$E$103,IF('Adjustment Surface'!$C$2='Data Validation'!$A$3,'Bank Adjustments'!$O$4:$O$103,"Unknown Option Type"))),0)))</f>
        <v/>
      </c>
      <c r="AV4" s="178" t="str" cm="1">
        <f t="array" ref="AV4">IF(OR(AV$3="",$AN4=""),"",INDEX(IF($C$2='Data Validation'!$A$2,'Bank Adjustments'!$H$4:$H$103,IF('Adjustment Surface'!$C$2='Data Validation'!$A$3,'Bank Adjustments'!$R$4:$R$103,"Unknown Option Type")),MATCH(1,($AN4=IF($C$2='Data Validation'!$A$2,'Bank Adjustments'!$C$4:$C$103,IF('Adjustment Surface'!$C$2='Data Validation'!$A$3,'Bank Adjustments'!$M$4:$M$103,"Unknown Option Type")))*(AV$3=IF($C$2='Data Validation'!$A$2,'Bank Adjustments'!$E$4:$E$103,IF('Adjustment Surface'!$C$2='Data Validation'!$A$3,'Bank Adjustments'!$O$4:$O$103,"Unknown Option Type"))),0)))</f>
        <v/>
      </c>
      <c r="AW4" s="178" t="str" cm="1">
        <f t="array" ref="AW4">IF(OR(AW$3="",$AN4=""),"",INDEX(IF($C$2='Data Validation'!$A$2,'Bank Adjustments'!$H$4:$H$103,IF('Adjustment Surface'!$C$2='Data Validation'!$A$3,'Bank Adjustments'!$R$4:$R$103,"Unknown Option Type")),MATCH(1,($AN4=IF($C$2='Data Validation'!$A$2,'Bank Adjustments'!$C$4:$C$103,IF('Adjustment Surface'!$C$2='Data Validation'!$A$3,'Bank Adjustments'!$M$4:$M$103,"Unknown Option Type")))*(AW$3=IF($C$2='Data Validation'!$A$2,'Bank Adjustments'!$E$4:$E$103,IF('Adjustment Surface'!$C$2='Data Validation'!$A$3,'Bank Adjustments'!$O$4:$O$103,"Unknown Option Type"))),0)))</f>
        <v/>
      </c>
      <c r="AX4" s="178" t="str" cm="1">
        <f t="array" ref="AX4">IF(OR(AX$3="",$AN4=""),"",INDEX(IF($C$2='Data Validation'!$A$2,'Bank Adjustments'!$H$4:$H$103,IF('Adjustment Surface'!$C$2='Data Validation'!$A$3,'Bank Adjustments'!$R$4:$R$103,"Unknown Option Type")),MATCH(1,($AN4=IF($C$2='Data Validation'!$A$2,'Bank Adjustments'!$C$4:$C$103,IF('Adjustment Surface'!$C$2='Data Validation'!$A$3,'Bank Adjustments'!$M$4:$M$103,"Unknown Option Type")))*(AX$3=IF($C$2='Data Validation'!$A$2,'Bank Adjustments'!$E$4:$E$103,IF('Adjustment Surface'!$C$2='Data Validation'!$A$3,'Bank Adjustments'!$O$4:$O$103,"Unknown Option Type"))),0)))</f>
        <v/>
      </c>
      <c r="AY4" s="178" t="str" cm="1">
        <f t="array" ref="AY4">IF(OR(AY$3="",$AN4=""),"",INDEX(IF($C$2='Data Validation'!$A$2,'Bank Adjustments'!$H$4:$H$103,IF('Adjustment Surface'!$C$2='Data Validation'!$A$3,'Bank Adjustments'!$R$4:$R$103,"Unknown Option Type")),MATCH(1,($AN4=IF($C$2='Data Validation'!$A$2,'Bank Adjustments'!$C$4:$C$103,IF('Adjustment Surface'!$C$2='Data Validation'!$A$3,'Bank Adjustments'!$M$4:$M$103,"Unknown Option Type")))*(AY$3=IF($C$2='Data Validation'!$A$2,'Bank Adjustments'!$E$4:$E$103,IF('Adjustment Surface'!$C$2='Data Validation'!$A$3,'Bank Adjustments'!$O$4:$O$103,"Unknown Option Type"))),0)))</f>
        <v/>
      </c>
      <c r="AZ4" s="178" t="str" cm="1">
        <f t="array" ref="AZ4">IF(OR(AZ$3="",$AN4=""),"",INDEX(IF($C$2='Data Validation'!$A$2,'Bank Adjustments'!$H$4:$H$103,IF('Adjustment Surface'!$C$2='Data Validation'!$A$3,'Bank Adjustments'!$R$4:$R$103,"Unknown Option Type")),MATCH(1,($AN4=IF($C$2='Data Validation'!$A$2,'Bank Adjustments'!$C$4:$C$103,IF('Adjustment Surface'!$C$2='Data Validation'!$A$3,'Bank Adjustments'!$M$4:$M$103,"Unknown Option Type")))*(AZ$3=IF($C$2='Data Validation'!$A$2,'Bank Adjustments'!$E$4:$E$103,IF('Adjustment Surface'!$C$2='Data Validation'!$A$3,'Bank Adjustments'!$O$4:$O$103,"Unknown Option Type"))),0)))</f>
        <v/>
      </c>
      <c r="BA4" s="178" t="str" cm="1">
        <f t="array" ref="BA4">IF(OR(BA$3="",$AN4=""),"",INDEX(IF($C$2='Data Validation'!$A$2,'Bank Adjustments'!$H$4:$H$103,IF('Adjustment Surface'!$C$2='Data Validation'!$A$3,'Bank Adjustments'!$R$4:$R$103,"Unknown Option Type")),MATCH(1,($AN4=IF($C$2='Data Validation'!$A$2,'Bank Adjustments'!$C$4:$C$103,IF('Adjustment Surface'!$C$2='Data Validation'!$A$3,'Bank Adjustments'!$M$4:$M$103,"Unknown Option Type")))*(BA$3=IF($C$2='Data Validation'!$A$2,'Bank Adjustments'!$E$4:$E$103,IF('Adjustment Surface'!$C$2='Data Validation'!$A$3,'Bank Adjustments'!$O$4:$O$103,"Unknown Option Type"))),0)))</f>
        <v/>
      </c>
      <c r="BB4" s="178" t="str" cm="1">
        <f t="array" ref="BB4">IF(OR(BB$3="",$AN4=""),"",INDEX(IF($C$2='Data Validation'!$A$2,'Bank Adjustments'!$H$4:$H$103,IF('Adjustment Surface'!$C$2='Data Validation'!$A$3,'Bank Adjustments'!$R$4:$R$103,"Unknown Option Type")),MATCH(1,($AN4=IF($C$2='Data Validation'!$A$2,'Bank Adjustments'!$C$4:$C$103,IF('Adjustment Surface'!$C$2='Data Validation'!$A$3,'Bank Adjustments'!$M$4:$M$103,"Unknown Option Type")))*(BB$3=IF($C$2='Data Validation'!$A$2,'Bank Adjustments'!$E$4:$E$103,IF('Adjustment Surface'!$C$2='Data Validation'!$A$3,'Bank Adjustments'!$O$4:$O$103,"Unknown Option Type"))),0)))</f>
        <v/>
      </c>
      <c r="BC4" s="178" t="str" cm="1">
        <f t="array" ref="BC4">IF(OR(BC$3="",$AN4=""),"",INDEX(IF($C$2='Data Validation'!$A$2,'Bank Adjustments'!$H$4:$H$103,IF('Adjustment Surface'!$C$2='Data Validation'!$A$3,'Bank Adjustments'!$R$4:$R$103,"Unknown Option Type")),MATCH(1,($AN4=IF($C$2='Data Validation'!$A$2,'Bank Adjustments'!$C$4:$C$103,IF('Adjustment Surface'!$C$2='Data Validation'!$A$3,'Bank Adjustments'!$M$4:$M$103,"Unknown Option Type")))*(BC$3=IF($C$2='Data Validation'!$A$2,'Bank Adjustments'!$E$4:$E$103,IF('Adjustment Surface'!$C$2='Data Validation'!$A$3,'Bank Adjustments'!$O$4:$O$103,"Unknown Option Type"))),0)))</f>
        <v/>
      </c>
      <c r="BD4" s="178" t="str" cm="1">
        <f t="array" ref="BD4">IF(OR(BD$3="",$AN4=""),"",INDEX(IF($C$2='Data Validation'!$A$2,'Bank Adjustments'!$H$4:$H$103,IF('Adjustment Surface'!$C$2='Data Validation'!$A$3,'Bank Adjustments'!$R$4:$R$103,"Unknown Option Type")),MATCH(1,($AN4=IF($C$2='Data Validation'!$A$2,'Bank Adjustments'!$C$4:$C$103,IF('Adjustment Surface'!$C$2='Data Validation'!$A$3,'Bank Adjustments'!$M$4:$M$103,"Unknown Option Type")))*(BD$3=IF($C$2='Data Validation'!$A$2,'Bank Adjustments'!$E$4:$E$103,IF('Adjustment Surface'!$C$2='Data Validation'!$A$3,'Bank Adjustments'!$O$4:$O$103,"Unknown Option Type"))),0)))</f>
        <v/>
      </c>
      <c r="BE4" s="178" t="str" cm="1">
        <f t="array" ref="BE4">IF(OR(BE$3="",$AN4=""),"",INDEX(IF($C$2='Data Validation'!$A$2,'Bank Adjustments'!$H$4:$H$103,IF('Adjustment Surface'!$C$2='Data Validation'!$A$3,'Bank Adjustments'!$R$4:$R$103,"Unknown Option Type")),MATCH(1,($AN4=IF($C$2='Data Validation'!$A$2,'Bank Adjustments'!$C$4:$C$103,IF('Adjustment Surface'!$C$2='Data Validation'!$A$3,'Bank Adjustments'!$M$4:$M$103,"Unknown Option Type")))*(BE$3=IF($C$2='Data Validation'!$A$2,'Bank Adjustments'!$E$4:$E$103,IF('Adjustment Surface'!$C$2='Data Validation'!$A$3,'Bank Adjustments'!$O$4:$O$103,"Unknown Option Type"))),0)))</f>
        <v/>
      </c>
      <c r="BF4" s="178" t="str" cm="1">
        <f t="array" ref="BF4">IF(OR(BF$3="",$AN4=""),"",INDEX(IF($C$2='Data Validation'!$A$2,'Bank Adjustments'!$H$4:$H$103,IF('Adjustment Surface'!$C$2='Data Validation'!$A$3,'Bank Adjustments'!$R$4:$R$103,"Unknown Option Type")),MATCH(1,($AN4=IF($C$2='Data Validation'!$A$2,'Bank Adjustments'!$C$4:$C$103,IF('Adjustment Surface'!$C$2='Data Validation'!$A$3,'Bank Adjustments'!$M$4:$M$103,"Unknown Option Type")))*(BF$3=IF($C$2='Data Validation'!$A$2,'Bank Adjustments'!$E$4:$E$103,IF('Adjustment Surface'!$C$2='Data Validation'!$A$3,'Bank Adjustments'!$O$4:$O$103,"Unknown Option Type"))),0)))</f>
        <v/>
      </c>
      <c r="BG4" s="178" t="str" cm="1">
        <f t="array" ref="BG4">IF(OR(BG$3="",$AN4=""),"",INDEX(IF($C$2='Data Validation'!$A$2,'Bank Adjustments'!$H$4:$H$103,IF('Adjustment Surface'!$C$2='Data Validation'!$A$3,'Bank Adjustments'!$R$4:$R$103,"Unknown Option Type")),MATCH(1,($AN4=IF($C$2='Data Validation'!$A$2,'Bank Adjustments'!$C$4:$C$103,IF('Adjustment Surface'!$C$2='Data Validation'!$A$3,'Bank Adjustments'!$M$4:$M$103,"Unknown Option Type")))*(BG$3=IF($C$2='Data Validation'!$A$2,'Bank Adjustments'!$E$4:$E$103,IF('Adjustment Surface'!$C$2='Data Validation'!$A$3,'Bank Adjustments'!$O$4:$O$103,"Unknown Option Type"))),0)))</f>
        <v/>
      </c>
      <c r="BH4" s="179" t="str" cm="1">
        <f t="array" ref="BH4">IF(OR(BH$3="",$AN4=""),"",INDEX(IF($C$2='Data Validation'!$A$2,'Bank Adjustments'!$H$4:$H$103,IF('Adjustment Surface'!$C$2='Data Validation'!$A$3,'Bank Adjustments'!$R$4:$R$103,"Unknown Option Type")),MATCH(1,($AN4=IF($C$2='Data Validation'!$A$2,'Bank Adjustments'!$C$4:$C$103,IF('Adjustment Surface'!$C$2='Data Validation'!$A$3,'Bank Adjustments'!$M$4:$M$103,"Unknown Option Type")))*(BH$3=IF($C$2='Data Validation'!$A$2,'Bank Adjustments'!$E$4:$E$103,IF('Adjustment Surface'!$C$2='Data Validation'!$A$3,'Bank Adjustments'!$O$4:$O$103,"Unknown Option Type"))),0)))</f>
        <v/>
      </c>
      <c r="BI4" s="206"/>
    </row>
    <row r="5" spans="2:61" x14ac:dyDescent="0.25">
      <c r="B5" s="6" t="s">
        <v>14</v>
      </c>
      <c r="C5" s="71">
        <f>IF('Control Panel'!C3='Data Validation'!J2,#REF!,'Rate &amp; Vol Update'!C2)</f>
        <v>46064</v>
      </c>
      <c r="E5" s="6" t="s">
        <v>48</v>
      </c>
      <c r="F5" s="50" cm="1">
        <f t="array" ref="F5">IF(AND(COUNT(O4:O23)&lt;2,COUNT(P3:AI3)&lt;2),P4,IF(COUNT(O4:O23)&lt;2,_xlfn.FORECAST.LINEAR(C8,INDEX(P4:AI4,1,MATCH(IF(C8&lt;MIN(P3:AI3),INDEX(P3:AI3,1,MATCH(MIN(P3:AI3),P3:AI3,0)),IF(C8&gt;=MAX(P3:AI3),INDEX(P3:AI3,1,MATCH(MAX(P3:AI3),P3:AI3,0)),INDEX(P3:AI3,1,MATCH(C8,P3:AI3,1)))):IF(C8&lt;MIN(P3:AI3),INDEX(P3:AI3,1,MATCH(MIN(P3:AI3),P3:AI3,0)+1),IF(C8&gt;=MAX(P3:AI3),INDEX(P3:AI3,1,MATCH(MAX(P3:AI3),P3:AI3,0)-1),INDEX(P3:AI3,1,MATCH(C8,P3:AI3,1)+1))),P3:AI3,0)),IF(C8&lt;MIN(P3:AI3),INDEX(P3:AI3,1,MATCH(MIN(P3:AI3),P3:AI3,0)),IF(C8&gt;=MAX(P3:AI3),INDEX(P3:AI3,1,MATCH(MAX(P3:AI3),P3:AI3,0)),INDEX(P3:AI3,1,MATCH(C8,P3:AI3,1)))):IF(C8&lt;MIN(P3:AI3),INDEX(P3:AI3,1,MATCH(MIN(P3:AI3),P3:AI3,0)+1),IF(C8&gt;=MAX(P3:AI3),INDEX(P3:AI3,1,MATCH(MAX(P3:AI3),P3:AI3,0)-1),INDEX(P3:AI3,1,MATCH(C8,P3:AI3,1)+1)))),IF(COUNT(P3:AI3)&lt;2,_xlfn.FORECAST.LINEAR(C10,INDEX(P4:P23,MATCH(IF(C10&lt;MIN(O4:O23),INDEX(O4:O23,MATCH(MIN(O4:O23),O4:O23,0)),IF(C10&gt;=MAX(O4:O23),INDEX(O4:O23,MATCH(MAX(O4:O23),O4:O23,0)),INDEX(O4:O23,MATCH(C10,O4:O23,1)))):IF(C10&lt;MIN(O4:O23),INDEX(O4:O23,MATCH(MIN(O4:O23),O4:O23,0)+1),IF(C10&gt;=MAX(O4:O23),INDEX(O4:O23,MATCH(MAX(O4:O23),O4:O23,0)-1),INDEX(O4:O23,MATCH(C10,O4:O23,1)+1))),O4:O23,0)),IF(C10&lt;MIN(O4:O23),INDEX(O4:O23,MATCH(MIN(O4:O23),O4:O23,0)),IF(C10&gt;=MAX(O4:O23),INDEX(O4:O23,MATCH(MAX(O4:O23),O4:O23,0)),INDEX(O4:O23,MATCH(C10,O4:O23,1)))):IF(C10&lt;MIN(O4:O23),INDEX(O4:O23,MATCH(MIN(O4:O23),O4:O23,0)+1),IF(C10&gt;=MAX(O4:O23),INDEX(O4:O23,MATCH(MAX(O4:O23),O4:O23,0)-1),INDEX(O4:O23,MATCH(C10,O4:O23,1)+1)))),1/((INDEX(_xlfn._xlws.FILTER(H4:H23,(INDEX(H4:H23,MATCH(SMALL(I4:I23,1),I4:I23,0))=H4:H23)=FALSE()),MATCH(SMALL(I4:I23,2),_xlfn._xlws.FILTER(I4:I23,(INDEX(H4:H23,MATCH(SMALL(I4:I23,1),I4:I23,0))=H4:H23)=FALSE()),0))-INDEX(H4:H23,MATCH(SMALL(I4:I23,1),I4:I23,0)))*(INDEX(_xlfn._xlws.FILTER(H27:H46,(INDEX(H27:H46,MATCH(SMALL(I27:I46,1),I27:I46,0))=H27:H46)=FALSE()),MATCH(SMALL(I27:I46,2),_xlfn._xlws.FILTER(I27:I46,(INDEX(H27:H46,MATCH(SMALL(I27:I46,1),I27:I46,0))=H27:H46)=FALSE()),0))-INDEX(H27:H46,MATCH(SMALL(I27:I46,1),I27:I46,0))))*(INDEX(P4:AI23,MATCH(INDEX(H27:H46,MATCH(SMALL(I27:I46,1),I27:I46,0)),O4:O23,0),MATCH(INDEX(H4:H23,MATCH(SMALL(I4:I23,1),I4:I23,0)),P3:AI3,0))*(INDEX(_xlfn._xlws.FILTER(H4:H23,(INDEX(H4:H23,MATCH(SMALL(I4:I23,1),I4:I23,0))=H4:H23)=FALSE()),MATCH(SMALL(I4:I23,2),_xlfn._xlws.FILTER(I4:I23,(INDEX(H4:H23,MATCH(SMALL(I4:I23,1),I4:I23,0))=H4:H23)=FALSE()),0))-C8)*(INDEX(_xlfn._xlws.FILTER(H27:H46,(INDEX(H27:H46,MATCH(SMALL(I27:I46,1),I27:I46,0))=H27:H46)=FALSE()),MATCH(SMALL(I27:I46,2),_xlfn._xlws.FILTER(I27:I46,(INDEX(H27:H46,MATCH(SMALL(I27:I46,1),I27:I46,0))=H27:H46)=FALSE()),0))-IF(C9='Data Validation'!D2,C10,IF(C9='Data Validation'!D3,SUMPRODUCT('Bachelier Model'!N4:N124,'Bachelier Model'!O4:O124)/SUM('Bachelier Model'!N4:N124),"Strike Type Unknown")))+INDEX(P4:AI23,MATCH(INDEX(H27:H46,MATCH(SMALL(I27:I46,1),I27:I46,0)),O4:O23,0),MATCH(INDEX(_xlfn._xlws.FILTER(H4:H23,(INDEX(H4:H23,MATCH(SMALL(I4:I23,1),I4:I23,0))=H4:H23)=FALSE()),MATCH(SMALL(I4:I23,2),_xlfn._xlws.FILTER(I4:I23,(INDEX(H4:H23,MATCH(SMALL(I4:I23,1),I4:I23,0))=H4:H23)=FALSE()),0)),P3:AI3,0))*(C8-INDEX(H4:H23,MATCH(SMALL(I4:I23,1),I4:I23,0)))*(INDEX(_xlfn._xlws.FILTER(H27:H46,(INDEX(H27:H46,MATCH(SMALL(I27:I46,1),I27:I46,0))=H27:H46)=FALSE()),MATCH(SMALL(I27:I46,2),_xlfn._xlws.FILTER(I27:I46,(INDEX(H27:H46,MATCH(SMALL(I27:I46,1),I27:I46,0))=H27:H46)=FALSE()),0))-IF(C9='Data Validation'!D2,C10,IF(C9='Data Validation'!D3,SUMPRODUCT('Bachelier Model'!N4:N124,'Bachelier Model'!O4:O124)/SUM('Bachelier Model'!N4:N124),"Strike Type Unknown")))+INDEX(P4:AI23,MATCH(INDEX(_xlfn._xlws.FILTER(H27:H46,(INDEX(H27:H46,MATCH(SMALL(I27:I46,1),I27:I46,0))=H27:H46)=FALSE()),MATCH(SMALL(I27:I46,2),_xlfn._xlws.FILTER(I27:I46,(INDEX(H27:H46,MATCH(SMALL(I27:I46,1),I27:I46,0))=H27:H46)=FALSE()),0)),O4:O23,0),MATCH(INDEX(H4:H23,MATCH(SMALL(I4:I23,1),I4:I23,0)),P3:AI3,0))*(INDEX(_xlfn._xlws.FILTER(H4:H23,(INDEX(H4:H23,MATCH(SMALL(I4:I23,1),I4:I23,0))=H4:H23)=FALSE()),MATCH(SMALL(I4:I23,2),_xlfn._xlws.FILTER(I4:I23,(INDEX(H4:H23,MATCH(SMALL(I4:I23,1),I4:I23,0))=H4:H23)=FALSE()),0))-C8)*(IF(C9='Data Validation'!D2,C10,IF(C9='Data Validation'!D3,SUMPRODUCT('Bachelier Model'!N4:N124,'Bachelier Model'!O4:O124)/SUM('Bachelier Model'!N4:N124),"Strike Type Unknown"))-INDEX(H27:H46,MATCH(SMALL(I27:I46,1),I27:I46,0)))+INDEX(P4:AI23,MATCH(INDEX(_xlfn._xlws.FILTER(H27:H46,(INDEX(H27:H46,MATCH(SMALL(I27:I46,1),I27:I46,0))=H27:H46)=FALSE()),MATCH(SMALL(I27:I46,2),_xlfn._xlws.FILTER(I27:I46,(INDEX(H27:H46,MATCH(SMALL(I27:I46,1),I27:I46,0))=H27:H46)=FALSE()),0)),O4:O23,0),MATCH(INDEX(_xlfn._xlws.FILTER(H4:H23,(INDEX(H4:H23,MATCH(SMALL(I4:I23,1),I4:I23,0))=H4:H23)=FALSE()),MATCH(SMALL(I4:I23,2),_xlfn._xlws.FILTER(I4:I23,(INDEX(H4:H23,MATCH(SMALL(I4:I23,1),I4:I23,0))=H4:H23)=FALSE()),0)),P3:AI3,0))*(C8-INDEX(H4:H23,MATCH(SMALL(I4:I23,1),I4:I23,0)))*(IF(C9='Data Validation'!D2,C10,IF(C9='Data Validation'!D3,SUMPRODUCT('Bachelier Model'!N4:N124,'Bachelier Model'!O4:O124)/SUM('Bachelier Model'!N4:N124),"Strike Type Unknown"))-INDEX(H27:H46,MATCH(SMALL(I27:I46,1),I27:I46,0)))))))</f>
        <v>15.162511210420186</v>
      </c>
      <c r="G5" s="66"/>
      <c r="H5" s="172">
        <v>46518</v>
      </c>
      <c r="I5" s="61">
        <f t="shared" ref="I5:M23" si="1">IF($H5="","",ABS($H5-I$3))</f>
        <v>642</v>
      </c>
      <c r="J5" s="62">
        <f t="shared" si="1"/>
        <v>89</v>
      </c>
      <c r="K5" s="62">
        <f t="shared" si="1"/>
        <v>276</v>
      </c>
      <c r="L5" s="62">
        <f t="shared" si="1"/>
        <v>642</v>
      </c>
      <c r="M5" s="63">
        <f t="shared" si="1"/>
        <v>1007</v>
      </c>
      <c r="O5" s="176">
        <v>2.5000000000000001E-2</v>
      </c>
      <c r="P5" s="180" cm="1">
        <f t="array" ref="P5">IF(OR(P$3="",$O5=""),"",1/((INDEX('Adjustment Surface'!$AN$4:$AN$23,MATCH(('Adjustment Surface'!$O5),'Adjustment Surface'!$AN$4:$AN$23,1)+IF('Adjustment Surface'!$O6="",-1,1))-INDEX('Adjustment Surface'!$AN$4:$AN$23,MATCH(('Adjustment Surface'!$O5),'Adjustment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Surface'!$O5),'Adjustment Surface'!$AN$4:$AN$23,1)),$AN$4:$AN$23,0),MATCH(INDEX('Adjustment Surface'!$AO$3:$BH$3,1,MATCH(('Adjustment Surface'!P$3),'Adjustment Surface'!$AO$3:$BH$3,1)),$AO$3:$BH$3,0))*(INDEX('Adjustment Surface'!$AN$4:$AN$23,MATCH(('Adjustment Surface'!$O5),'Adjustment Surface'!$AN$4:$AN$23,1)+IF('Adjustment Surface'!$O6="",-1,1))-'Adjustment Surface'!$O5)*(INDEX('Adjustment Surface'!$AO$3:$BH$3,1,MATCH(('Adjustment Surface'!P$3),'Adjustment Surface'!$AO$3:$BH$3,1)+IF('Adjustment Surface'!Q$3="",-1,1))-'Adjustment Surface'!P$3)+INDEX($AO$4:$BH$23,MATCH(INDEX('Adjustment Surface'!$AN$4:$AN$23,MATCH(('Adjustment Surface'!$O5),'Adjustment Surface'!$AN$4:$AN$23,1)+IF('Adjustment Surface'!$O6="",-1,1)),$AN$4:$AN$23,0),MATCH(INDEX('Adjustment Surface'!$AO$3:$BH$3,1,MATCH(('Adjustment Surface'!P$3),'Adjustment Surface'!$AO$3:$BH$3,1)),$AO$3:$BH$3,0))*('Adjustment Surface'!$O5-INDEX('Adjustment Surface'!$AN$4:$AN$23,MATCH(('Adjustment Surface'!$O5),'Adjustment Surface'!$AN$4:$AN$23,1)))*(INDEX('Adjustment Surface'!$AO$3:$BH$3,1,MATCH(('Adjustment Surface'!P$3),'Adjustment Surface'!$AO$3:$BH$3,1)+IF('Adjustment Surface'!Q$3="",-1,1))-'Adjustment Surface'!P$3)+INDEX($AO$4:$BH$23,MATCH(INDEX('Adjustment Surface'!$AN$4:$AN$23,MATCH(('Adjustment Surface'!$O5),'Adjustment Surface'!$AN$4:$AN$23,1)),$AN$4:$AN$23,0),MATCH(INDEX('Adjustment Surface'!$AO$3:$BH$3,1,MATCH(('Adjustment Surface'!P$3),'Adjustment Surface'!$AO$3:$BH$3,1)+IF('Adjustment Surface'!Q$3="",-1,1)),$AO$3:$BH$3,0))*(INDEX('Adjustment Surface'!$AN$4:$AN$23,MATCH(('Adjustment Surface'!$O5),'Adjustment Surface'!$AN$4:$AN$23,1)+IF('Adjustment Surface'!$O6="",-1,1))-'Adjustment Surface'!$O5)*('Adjustment Surface'!P$3-INDEX('Adjustment Surface'!$AO$3:$BH$3,1,MATCH(('Adjustment Surface'!P$3),'Adjustment Surface'!$AO$3:$BH$3,1)))+INDEX($AO$4:$BH$23,MATCH(INDEX('Adjustment Surface'!$AN$4:$AN$23,MATCH(('Adjustment Surface'!$O5),'Adjustment Surface'!$AN$4:$AN$23,1)+IF('Adjustment Surface'!$O6="",-1,1)),$AN$4:$AN$23,0),MATCH(INDEX('Adjustment Surface'!$AO$3:$BH$3,1,MATCH(('Adjustment Surface'!P$3),'Adjustment Surface'!$AO$3:$BH$3,1)+IF('Adjustment Surface'!Q$3="",-1,1)),$AO$3:$BH$3,0))*('Adjustment Surface'!$O5-INDEX('Adjustment Surface'!$AN$4:$AN$23,MATCH(('Adjustment Surface'!$O5),'Adjustment Surface'!$AN$4:$AN$23,1)))*('Adjustment Surface'!P$3-INDEX('Adjustment Surface'!$AO$3:$BH$3,1,MATCH(('Adjustment Surface'!P$3),'Adjustment Surface'!$AO$3:$BH$3,1)))))</f>
        <v>95.62088576882087</v>
      </c>
      <c r="Q5" s="181" cm="1">
        <f t="array" ref="Q5">IF(OR(Q$3="",$O5=""),"",1/((INDEX('Adjustment Surface'!$AN$4:$AN$23,MATCH(('Adjustment Surface'!$O5),'Adjustment Surface'!$AN$4:$AN$23,1)+IF('Adjustment Surface'!$O6="",-1,1))-INDEX('Adjustment Surface'!$AN$4:$AN$23,MATCH(('Adjustment Surface'!$O5),'Adjustment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Surface'!$O5),'Adjustment Surface'!$AN$4:$AN$23,1)),$AN$4:$AN$23,0),MATCH(INDEX('Adjustment Surface'!$AO$3:$BH$3,1,MATCH(('Adjustment Surface'!Q$3),'Adjustment Surface'!$AO$3:$BH$3,1)),$AO$3:$BH$3,0))*(INDEX('Adjustment Surface'!$AN$4:$AN$23,MATCH(('Adjustment Surface'!$O5),'Adjustment Surface'!$AN$4:$AN$23,1)+IF('Adjustment Surface'!$O6="",-1,1))-'Adjustment Surface'!$O5)*(INDEX('Adjustment Surface'!$AO$3:$BH$3,1,MATCH(('Adjustment Surface'!Q$3),'Adjustment Surface'!$AO$3:$BH$3,1)+IF('Adjustment Surface'!R$3="",-1,1))-'Adjustment Surface'!Q$3)+INDEX($AO$4:$BH$23,MATCH(INDEX('Adjustment Surface'!$AN$4:$AN$23,MATCH(('Adjustment Surface'!$O5),'Adjustment Surface'!$AN$4:$AN$23,1)+IF('Adjustment Surface'!$O6="",-1,1)),$AN$4:$AN$23,0),MATCH(INDEX('Adjustment Surface'!$AO$3:$BH$3,1,MATCH(('Adjustment Surface'!Q$3),'Adjustment Surface'!$AO$3:$BH$3,1)),$AO$3:$BH$3,0))*('Adjustment Surface'!$O5-INDEX('Adjustment Surface'!$AN$4:$AN$23,MATCH(('Adjustment Surface'!$O5),'Adjustment Surface'!$AN$4:$AN$23,1)))*(INDEX('Adjustment Surface'!$AO$3:$BH$3,1,MATCH(('Adjustment Surface'!Q$3),'Adjustment Surface'!$AO$3:$BH$3,1)+IF('Adjustment Surface'!R$3="",-1,1))-'Adjustment Surface'!Q$3)+INDEX($AO$4:$BH$23,MATCH(INDEX('Adjustment Surface'!$AN$4:$AN$23,MATCH(('Adjustment Surface'!$O5),'Adjustment Surface'!$AN$4:$AN$23,1)),$AN$4:$AN$23,0),MATCH(INDEX('Adjustment Surface'!$AO$3:$BH$3,1,MATCH(('Adjustment Surface'!Q$3),'Adjustment Surface'!$AO$3:$BH$3,1)+IF('Adjustment Surface'!R$3="",-1,1)),$AO$3:$BH$3,0))*(INDEX('Adjustment Surface'!$AN$4:$AN$23,MATCH(('Adjustment Surface'!$O5),'Adjustment Surface'!$AN$4:$AN$23,1)+IF('Adjustment Surface'!$O6="",-1,1))-'Adjustment Surface'!$O5)*('Adjustment Surface'!Q$3-INDEX('Adjustment Surface'!$AO$3:$BH$3,1,MATCH(('Adjustment Surface'!Q$3),'Adjustment Surface'!$AO$3:$BH$3,1)))+INDEX($AO$4:$BH$23,MATCH(INDEX('Adjustment Surface'!$AN$4:$AN$23,MATCH(('Adjustment Surface'!$O5),'Adjustment Surface'!$AN$4:$AN$23,1)+IF('Adjustment Surface'!$O6="",-1,1)),$AN$4:$AN$23,0),MATCH(INDEX('Adjustment Surface'!$AO$3:$BH$3,1,MATCH(('Adjustment Surface'!Q$3),'Adjustment Surface'!$AO$3:$BH$3,1)+IF('Adjustment Surface'!R$3="",-1,1)),$AO$3:$BH$3,0))*('Adjustment Surface'!$O5-INDEX('Adjustment Surface'!$AN$4:$AN$23,MATCH(('Adjustment Surface'!$O5),'Adjustment Surface'!$AN$4:$AN$23,1)))*('Adjustment Surface'!Q$3-INDEX('Adjustment Surface'!$AO$3:$BH$3,1,MATCH(('Adjustment Surface'!Q$3),'Adjustment Surface'!$AO$3:$BH$3,1)))))</f>
        <v>79.333909934991595</v>
      </c>
      <c r="R5" s="181" cm="1">
        <f t="array" ref="R5">IF(OR(R$3="",$O5=""),"",1/((INDEX('Adjustment Surface'!$AN$4:$AN$23,MATCH(('Adjustment Surface'!$O5),'Adjustment Surface'!$AN$4:$AN$23,1)+IF('Adjustment Surface'!$O6="",-1,1))-INDEX('Adjustment Surface'!$AN$4:$AN$23,MATCH(('Adjustment Surface'!$O5),'Adjustment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Surface'!$O5),'Adjustment Surface'!$AN$4:$AN$23,1)),$AN$4:$AN$23,0),MATCH(INDEX('Adjustment Surface'!$AO$3:$BH$3,1,MATCH(('Adjustment Surface'!R$3),'Adjustment Surface'!$AO$3:$BH$3,1)),$AO$3:$BH$3,0))*(INDEX('Adjustment Surface'!$AN$4:$AN$23,MATCH(('Adjustment Surface'!$O5),'Adjustment Surface'!$AN$4:$AN$23,1)+IF('Adjustment Surface'!$O6="",-1,1))-'Adjustment Surface'!$O5)*(INDEX('Adjustment Surface'!$AO$3:$BH$3,1,MATCH(('Adjustment Surface'!R$3),'Adjustment Surface'!$AO$3:$BH$3,1)+IF('Adjustment Surface'!S$3="",-1,1))-'Adjustment Surface'!R$3)+INDEX($AO$4:$BH$23,MATCH(INDEX('Adjustment Surface'!$AN$4:$AN$23,MATCH(('Adjustment Surface'!$O5),'Adjustment Surface'!$AN$4:$AN$23,1)+IF('Adjustment Surface'!$O6="",-1,1)),$AN$4:$AN$23,0),MATCH(INDEX('Adjustment Surface'!$AO$3:$BH$3,1,MATCH(('Adjustment Surface'!R$3),'Adjustment Surface'!$AO$3:$BH$3,1)),$AO$3:$BH$3,0))*('Adjustment Surface'!$O5-INDEX('Adjustment Surface'!$AN$4:$AN$23,MATCH(('Adjustment Surface'!$O5),'Adjustment Surface'!$AN$4:$AN$23,1)))*(INDEX('Adjustment Surface'!$AO$3:$BH$3,1,MATCH(('Adjustment Surface'!R$3),'Adjustment Surface'!$AO$3:$BH$3,1)+IF('Adjustment Surface'!S$3="",-1,1))-'Adjustment Surface'!R$3)+INDEX($AO$4:$BH$23,MATCH(INDEX('Adjustment Surface'!$AN$4:$AN$23,MATCH(('Adjustment Surface'!$O5),'Adjustment Surface'!$AN$4:$AN$23,1)),$AN$4:$AN$23,0),MATCH(INDEX('Adjustment Surface'!$AO$3:$BH$3,1,MATCH(('Adjustment Surface'!R$3),'Adjustment Surface'!$AO$3:$BH$3,1)+IF('Adjustment Surface'!S$3="",-1,1)),$AO$3:$BH$3,0))*(INDEX('Adjustment Surface'!$AN$4:$AN$23,MATCH(('Adjustment Surface'!$O5),'Adjustment Surface'!$AN$4:$AN$23,1)+IF('Adjustment Surface'!$O6="",-1,1))-'Adjustment Surface'!$O5)*('Adjustment Surface'!R$3-INDEX('Adjustment Surface'!$AO$3:$BH$3,1,MATCH(('Adjustment Surface'!R$3),'Adjustment Surface'!$AO$3:$BH$3,1)))+INDEX($AO$4:$BH$23,MATCH(INDEX('Adjustment Surface'!$AN$4:$AN$23,MATCH(('Adjustment Surface'!$O5),'Adjustment Surface'!$AN$4:$AN$23,1)+IF('Adjustment Surface'!$O6="",-1,1)),$AN$4:$AN$23,0),MATCH(INDEX('Adjustment Surface'!$AO$3:$BH$3,1,MATCH(('Adjustment Surface'!R$3),'Adjustment Surface'!$AO$3:$BH$3,1)+IF('Adjustment Surface'!S$3="",-1,1)),$AO$3:$BH$3,0))*('Adjustment Surface'!$O5-INDEX('Adjustment Surface'!$AN$4:$AN$23,MATCH(('Adjustment Surface'!$O5),'Adjustment Surface'!$AN$4:$AN$23,1)))*('Adjustment Surface'!R$3-INDEX('Adjustment Surface'!$AO$3:$BH$3,1,MATCH(('Adjustment Surface'!R$3),'Adjustment Surface'!$AO$3:$BH$3,1)))))</f>
        <v>62.497934915752303</v>
      </c>
      <c r="S5" s="181" cm="1">
        <f t="array" ref="S5">IF(OR(S$3="",$O5=""),"",1/((INDEX('Adjustment Surface'!$AN$4:$AN$23,MATCH(('Adjustment Surface'!$O5),'Adjustment Surface'!$AN$4:$AN$23,1)+IF('Adjustment Surface'!$O6="",-1,1))-INDEX('Adjustment Surface'!$AN$4:$AN$23,MATCH(('Adjustment Surface'!$O5),'Adjustment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Surface'!$O5),'Adjustment Surface'!$AN$4:$AN$23,1)),$AN$4:$AN$23,0),MATCH(INDEX('Adjustment Surface'!$AO$3:$BH$3,1,MATCH(('Adjustment Surface'!S$3),'Adjustment Surface'!$AO$3:$BH$3,1)),$AO$3:$BH$3,0))*(INDEX('Adjustment Surface'!$AN$4:$AN$23,MATCH(('Adjustment Surface'!$O5),'Adjustment Surface'!$AN$4:$AN$23,1)+IF('Adjustment Surface'!$O6="",-1,1))-'Adjustment Surface'!$O5)*(INDEX('Adjustment Surface'!$AO$3:$BH$3,1,MATCH(('Adjustment Surface'!S$3),'Adjustment Surface'!$AO$3:$BH$3,1)+IF('Adjustment Surface'!T$3="",-1,1))-'Adjustment Surface'!S$3)+INDEX($AO$4:$BH$23,MATCH(INDEX('Adjustment Surface'!$AN$4:$AN$23,MATCH(('Adjustment Surface'!$O5),'Adjustment Surface'!$AN$4:$AN$23,1)+IF('Adjustment Surface'!$O6="",-1,1)),$AN$4:$AN$23,0),MATCH(INDEX('Adjustment Surface'!$AO$3:$BH$3,1,MATCH(('Adjustment Surface'!S$3),'Adjustment Surface'!$AO$3:$BH$3,1)),$AO$3:$BH$3,0))*('Adjustment Surface'!$O5-INDEX('Adjustment Surface'!$AN$4:$AN$23,MATCH(('Adjustment Surface'!$O5),'Adjustment Surface'!$AN$4:$AN$23,1)))*(INDEX('Adjustment Surface'!$AO$3:$BH$3,1,MATCH(('Adjustment Surface'!S$3),'Adjustment Surface'!$AO$3:$BH$3,1)+IF('Adjustment Surface'!T$3="",-1,1))-'Adjustment Surface'!S$3)+INDEX($AO$4:$BH$23,MATCH(INDEX('Adjustment Surface'!$AN$4:$AN$23,MATCH(('Adjustment Surface'!$O5),'Adjustment Surface'!$AN$4:$AN$23,1)),$AN$4:$AN$23,0),MATCH(INDEX('Adjustment Surface'!$AO$3:$BH$3,1,MATCH(('Adjustment Surface'!S$3),'Adjustment Surface'!$AO$3:$BH$3,1)+IF('Adjustment Surface'!T$3="",-1,1)),$AO$3:$BH$3,0))*(INDEX('Adjustment Surface'!$AN$4:$AN$23,MATCH(('Adjustment Surface'!$O5),'Adjustment Surface'!$AN$4:$AN$23,1)+IF('Adjustment Surface'!$O6="",-1,1))-'Adjustment Surface'!$O5)*('Adjustment Surface'!S$3-INDEX('Adjustment Surface'!$AO$3:$BH$3,1,MATCH(('Adjustment Surface'!S$3),'Adjustment Surface'!$AO$3:$BH$3,1)))+INDEX($AO$4:$BH$23,MATCH(INDEX('Adjustment Surface'!$AN$4:$AN$23,MATCH(('Adjustment Surface'!$O5),'Adjustment Surface'!$AN$4:$AN$23,1)+IF('Adjustment Surface'!$O6="",-1,1)),$AN$4:$AN$23,0),MATCH(INDEX('Adjustment Surface'!$AO$3:$BH$3,1,MATCH(('Adjustment Surface'!S$3),'Adjustment Surface'!$AO$3:$BH$3,1)+IF('Adjustment Surface'!T$3="",-1,1)),$AO$3:$BH$3,0))*('Adjustment Surface'!$O5-INDEX('Adjustment Surface'!$AN$4:$AN$23,MATCH(('Adjustment Surface'!$O5),'Adjustment Surface'!$AN$4:$AN$23,1)))*('Adjustment Surface'!S$3-INDEX('Adjustment Surface'!$AO$3:$BH$3,1,MATCH(('Adjustment Surface'!S$3),'Adjustment Surface'!$AO$3:$BH$3,1)))))</f>
        <v>45.661959896513018</v>
      </c>
      <c r="T5" s="181" cm="1">
        <f t="array" ref="T5">IF(OR(T$3="",$O5=""),"",1/((INDEX('Adjustment Surface'!$AN$4:$AN$23,MATCH(('Adjustment Surface'!$O5),'Adjustment Surface'!$AN$4:$AN$23,1)+IF('Adjustment Surface'!$O6="",-1,1))-INDEX('Adjustment Surface'!$AN$4:$AN$23,MATCH(('Adjustment Surface'!$O5),'Adjustment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Surface'!$O5),'Adjustment Surface'!$AN$4:$AN$23,1)),$AN$4:$AN$23,0),MATCH(INDEX('Adjustment Surface'!$AO$3:$BH$3,1,MATCH(('Adjustment Surface'!T$3),'Adjustment Surface'!$AO$3:$BH$3,1)),$AO$3:$BH$3,0))*(INDEX('Adjustment Surface'!$AN$4:$AN$23,MATCH(('Adjustment Surface'!$O5),'Adjustment Surface'!$AN$4:$AN$23,1)+IF('Adjustment Surface'!$O6="",-1,1))-'Adjustment Surface'!$O5)*(INDEX('Adjustment Surface'!$AO$3:$BH$3,1,MATCH(('Adjustment Surface'!T$3),'Adjustment Surface'!$AO$3:$BH$3,1)+IF('Adjustment Surface'!U$3="",-1,1))-'Adjustment Surface'!T$3)+INDEX($AO$4:$BH$23,MATCH(INDEX('Adjustment Surface'!$AN$4:$AN$23,MATCH(('Adjustment Surface'!$O5),'Adjustment Surface'!$AN$4:$AN$23,1)+IF('Adjustment Surface'!$O6="",-1,1)),$AN$4:$AN$23,0),MATCH(INDEX('Adjustment Surface'!$AO$3:$BH$3,1,MATCH(('Adjustment Surface'!T$3),'Adjustment Surface'!$AO$3:$BH$3,1)),$AO$3:$BH$3,0))*('Adjustment Surface'!$O5-INDEX('Adjustment Surface'!$AN$4:$AN$23,MATCH(('Adjustment Surface'!$O5),'Adjustment Surface'!$AN$4:$AN$23,1)))*(INDEX('Adjustment Surface'!$AO$3:$BH$3,1,MATCH(('Adjustment Surface'!T$3),'Adjustment Surface'!$AO$3:$BH$3,1)+IF('Adjustment Surface'!U$3="",-1,1))-'Adjustment Surface'!T$3)+INDEX($AO$4:$BH$23,MATCH(INDEX('Adjustment Surface'!$AN$4:$AN$23,MATCH(('Adjustment Surface'!$O5),'Adjustment Surface'!$AN$4:$AN$23,1)),$AN$4:$AN$23,0),MATCH(INDEX('Adjustment Surface'!$AO$3:$BH$3,1,MATCH(('Adjustment Surface'!T$3),'Adjustment Surface'!$AO$3:$BH$3,1)+IF('Adjustment Surface'!U$3="",-1,1)),$AO$3:$BH$3,0))*(INDEX('Adjustment Surface'!$AN$4:$AN$23,MATCH(('Adjustment Surface'!$O5),'Adjustment Surface'!$AN$4:$AN$23,1)+IF('Adjustment Surface'!$O6="",-1,1))-'Adjustment Surface'!$O5)*('Adjustment Surface'!T$3-INDEX('Adjustment Surface'!$AO$3:$BH$3,1,MATCH(('Adjustment Surface'!T$3),'Adjustment Surface'!$AO$3:$BH$3,1)))+INDEX($AO$4:$BH$23,MATCH(INDEX('Adjustment Surface'!$AN$4:$AN$23,MATCH(('Adjustment Surface'!$O5),'Adjustment Surface'!$AN$4:$AN$23,1)+IF('Adjustment Surface'!$O6="",-1,1)),$AN$4:$AN$23,0),MATCH(INDEX('Adjustment Surface'!$AO$3:$BH$3,1,MATCH(('Adjustment Surface'!T$3),'Adjustment Surface'!$AO$3:$BH$3,1)+IF('Adjustment Surface'!U$3="",-1,1)),$AO$3:$BH$3,0))*('Adjustment Surface'!$O5-INDEX('Adjustment Surface'!$AN$4:$AN$23,MATCH(('Adjustment Surface'!$O5),'Adjustment Surface'!$AN$4:$AN$23,1)))*('Adjustment Surface'!T$3-INDEX('Adjustment Surface'!$AO$3:$BH$3,1,MATCH(('Adjustment Surface'!T$3),'Adjustment Surface'!$AO$3:$BH$3,1)))))</f>
        <v>28.825984877273747</v>
      </c>
      <c r="U5" s="181" cm="1">
        <f t="array" ref="U5">IF(OR(U$3="",$O5=""),"",1/((INDEX('Adjustment Surface'!$AN$4:$AN$23,MATCH(('Adjustment Surface'!$O5),'Adjustment Surface'!$AN$4:$AN$23,1)+IF('Adjustment Surface'!$O6="",-1,1))-INDEX('Adjustment Surface'!$AN$4:$AN$23,MATCH(('Adjustment Surface'!$O5),'Adjustment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Surface'!$O5),'Adjustment Surface'!$AN$4:$AN$23,1)),$AN$4:$AN$23,0),MATCH(INDEX('Adjustment Surface'!$AO$3:$BH$3,1,MATCH(('Adjustment Surface'!U$3),'Adjustment Surface'!$AO$3:$BH$3,1)),$AO$3:$BH$3,0))*(INDEX('Adjustment Surface'!$AN$4:$AN$23,MATCH(('Adjustment Surface'!$O5),'Adjustment Surface'!$AN$4:$AN$23,1)+IF('Adjustment Surface'!$O6="",-1,1))-'Adjustment Surface'!$O5)*(INDEX('Adjustment Surface'!$AO$3:$BH$3,1,MATCH(('Adjustment Surface'!U$3),'Adjustment Surface'!$AO$3:$BH$3,1)+IF('Adjustment Surface'!V$3="",-1,1))-'Adjustment Surface'!U$3)+INDEX($AO$4:$BH$23,MATCH(INDEX('Adjustment Surface'!$AN$4:$AN$23,MATCH(('Adjustment Surface'!$O5),'Adjustment Surface'!$AN$4:$AN$23,1)+IF('Adjustment Surface'!$O6="",-1,1)),$AN$4:$AN$23,0),MATCH(INDEX('Adjustment Surface'!$AO$3:$BH$3,1,MATCH(('Adjustment Surface'!U$3),'Adjustment Surface'!$AO$3:$BH$3,1)),$AO$3:$BH$3,0))*('Adjustment Surface'!$O5-INDEX('Adjustment Surface'!$AN$4:$AN$23,MATCH(('Adjustment Surface'!$O5),'Adjustment Surface'!$AN$4:$AN$23,1)))*(INDEX('Adjustment Surface'!$AO$3:$BH$3,1,MATCH(('Adjustment Surface'!U$3),'Adjustment Surface'!$AO$3:$BH$3,1)+IF('Adjustment Surface'!V$3="",-1,1))-'Adjustment Surface'!U$3)+INDEX($AO$4:$BH$23,MATCH(INDEX('Adjustment Surface'!$AN$4:$AN$23,MATCH(('Adjustment Surface'!$O5),'Adjustment Surface'!$AN$4:$AN$23,1)),$AN$4:$AN$23,0),MATCH(INDEX('Adjustment Surface'!$AO$3:$BH$3,1,MATCH(('Adjustment Surface'!U$3),'Adjustment Surface'!$AO$3:$BH$3,1)+IF('Adjustment Surface'!V$3="",-1,1)),$AO$3:$BH$3,0))*(INDEX('Adjustment Surface'!$AN$4:$AN$23,MATCH(('Adjustment Surface'!$O5),'Adjustment Surface'!$AN$4:$AN$23,1)+IF('Adjustment Surface'!$O6="",-1,1))-'Adjustment Surface'!$O5)*('Adjustment Surface'!U$3-INDEX('Adjustment Surface'!$AO$3:$BH$3,1,MATCH(('Adjustment Surface'!U$3),'Adjustment Surface'!$AO$3:$BH$3,1)))+INDEX($AO$4:$BH$23,MATCH(INDEX('Adjustment Surface'!$AN$4:$AN$23,MATCH(('Adjustment Surface'!$O5),'Adjustment Surface'!$AN$4:$AN$23,1)+IF('Adjustment Surface'!$O6="",-1,1)),$AN$4:$AN$23,0),MATCH(INDEX('Adjustment Surface'!$AO$3:$BH$3,1,MATCH(('Adjustment Surface'!U$3),'Adjustment Surface'!$AO$3:$BH$3,1)+IF('Adjustment Surface'!V$3="",-1,1)),$AO$3:$BH$3,0))*('Adjustment Surface'!$O5-INDEX('Adjustment Surface'!$AN$4:$AN$23,MATCH(('Adjustment Surface'!$O5),'Adjustment Surface'!$AN$4:$AN$23,1)))*('Adjustment Surface'!U$3-INDEX('Adjustment Surface'!$AO$3:$BH$3,1,MATCH(('Adjustment Surface'!U$3),'Adjustment Surface'!$AO$3:$BH$3,1)))))</f>
        <v>24.617739312285238</v>
      </c>
      <c r="V5" s="181" cm="1">
        <f t="array" ref="V5">IF(OR(V$3="",$O5=""),"",1/((INDEX('Adjustment Surface'!$AN$4:$AN$23,MATCH(('Adjustment Surface'!$O5),'Adjustment Surface'!$AN$4:$AN$23,1)+IF('Adjustment Surface'!$O6="",-1,1))-INDEX('Adjustment Surface'!$AN$4:$AN$23,MATCH(('Adjustment Surface'!$O5),'Adjustment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Surface'!$O5),'Adjustment Surface'!$AN$4:$AN$23,1)),$AN$4:$AN$23,0),MATCH(INDEX('Adjustment Surface'!$AO$3:$BH$3,1,MATCH(('Adjustment Surface'!V$3),'Adjustment Surface'!$AO$3:$BH$3,1)),$AO$3:$BH$3,0))*(INDEX('Adjustment Surface'!$AN$4:$AN$23,MATCH(('Adjustment Surface'!$O5),'Adjustment Surface'!$AN$4:$AN$23,1)+IF('Adjustment Surface'!$O6="",-1,1))-'Adjustment Surface'!$O5)*(INDEX('Adjustment Surface'!$AO$3:$BH$3,1,MATCH(('Adjustment Surface'!V$3),'Adjustment Surface'!$AO$3:$BH$3,1)+IF('Adjustment Surface'!W$3="",-1,1))-'Adjustment Surface'!V$3)+INDEX($AO$4:$BH$23,MATCH(INDEX('Adjustment Surface'!$AN$4:$AN$23,MATCH(('Adjustment Surface'!$O5),'Adjustment Surface'!$AN$4:$AN$23,1)+IF('Adjustment Surface'!$O6="",-1,1)),$AN$4:$AN$23,0),MATCH(INDEX('Adjustment Surface'!$AO$3:$BH$3,1,MATCH(('Adjustment Surface'!V$3),'Adjustment Surface'!$AO$3:$BH$3,1)),$AO$3:$BH$3,0))*('Adjustment Surface'!$O5-INDEX('Adjustment Surface'!$AN$4:$AN$23,MATCH(('Adjustment Surface'!$O5),'Adjustment Surface'!$AN$4:$AN$23,1)))*(INDEX('Adjustment Surface'!$AO$3:$BH$3,1,MATCH(('Adjustment Surface'!V$3),'Adjustment Surface'!$AO$3:$BH$3,1)+IF('Adjustment Surface'!W$3="",-1,1))-'Adjustment Surface'!V$3)+INDEX($AO$4:$BH$23,MATCH(INDEX('Adjustment Surface'!$AN$4:$AN$23,MATCH(('Adjustment Surface'!$O5),'Adjustment Surface'!$AN$4:$AN$23,1)),$AN$4:$AN$23,0),MATCH(INDEX('Adjustment Surface'!$AO$3:$BH$3,1,MATCH(('Adjustment Surface'!V$3),'Adjustment Surface'!$AO$3:$BH$3,1)+IF('Adjustment Surface'!W$3="",-1,1)),$AO$3:$BH$3,0))*(INDEX('Adjustment Surface'!$AN$4:$AN$23,MATCH(('Adjustment Surface'!$O5),'Adjustment Surface'!$AN$4:$AN$23,1)+IF('Adjustment Surface'!$O6="",-1,1))-'Adjustment Surface'!$O5)*('Adjustment Surface'!V$3-INDEX('Adjustment Surface'!$AO$3:$BH$3,1,MATCH(('Adjustment Surface'!V$3),'Adjustment Surface'!$AO$3:$BH$3,1)))+INDEX($AO$4:$BH$23,MATCH(INDEX('Adjustment Surface'!$AN$4:$AN$23,MATCH(('Adjustment Surface'!$O5),'Adjustment Surface'!$AN$4:$AN$23,1)+IF('Adjustment Surface'!$O6="",-1,1)),$AN$4:$AN$23,0),MATCH(INDEX('Adjustment Surface'!$AO$3:$BH$3,1,MATCH(('Adjustment Surface'!V$3),'Adjustment Surface'!$AO$3:$BH$3,1)+IF('Adjustment Surface'!W$3="",-1,1)),$AO$3:$BH$3,0))*('Adjustment Surface'!$O5-INDEX('Adjustment Surface'!$AN$4:$AN$23,MATCH(('Adjustment Surface'!$O5),'Adjustment Surface'!$AN$4:$AN$23,1)))*('Adjustment Surface'!V$3-INDEX('Adjustment Surface'!$AO$3:$BH$3,1,MATCH(('Adjustment Surface'!V$3),'Adjustment Surface'!$AO$3:$BH$3,1)))))</f>
        <v>20.315977179185875</v>
      </c>
      <c r="W5" s="181" cm="1">
        <f t="array" ref="W5">IF(OR(W$3="",$O5=""),"",1/((INDEX('Adjustment Surface'!$AN$4:$AN$23,MATCH(('Adjustment Surface'!$O5),'Adjustment Surface'!$AN$4:$AN$23,1)+IF('Adjustment Surface'!$O6="",-1,1))-INDEX('Adjustment Surface'!$AN$4:$AN$23,MATCH(('Adjustment Surface'!$O5),'Adjustment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Surface'!$O5),'Adjustment Surface'!$AN$4:$AN$23,1)),$AN$4:$AN$23,0),MATCH(INDEX('Adjustment Surface'!$AO$3:$BH$3,1,MATCH(('Adjustment Surface'!W$3),'Adjustment Surface'!$AO$3:$BH$3,1)),$AO$3:$BH$3,0))*(INDEX('Adjustment Surface'!$AN$4:$AN$23,MATCH(('Adjustment Surface'!$O5),'Adjustment Surface'!$AN$4:$AN$23,1)+IF('Adjustment Surface'!$O6="",-1,1))-'Adjustment Surface'!$O5)*(INDEX('Adjustment Surface'!$AO$3:$BH$3,1,MATCH(('Adjustment Surface'!W$3),'Adjustment Surface'!$AO$3:$BH$3,1)+IF('Adjustment Surface'!X$3="",-1,1))-'Adjustment Surface'!W$3)+INDEX($AO$4:$BH$23,MATCH(INDEX('Adjustment Surface'!$AN$4:$AN$23,MATCH(('Adjustment Surface'!$O5),'Adjustment Surface'!$AN$4:$AN$23,1)+IF('Adjustment Surface'!$O6="",-1,1)),$AN$4:$AN$23,0),MATCH(INDEX('Adjustment Surface'!$AO$3:$BH$3,1,MATCH(('Adjustment Surface'!W$3),'Adjustment Surface'!$AO$3:$BH$3,1)),$AO$3:$BH$3,0))*('Adjustment Surface'!$O5-INDEX('Adjustment Surface'!$AN$4:$AN$23,MATCH(('Adjustment Surface'!$O5),'Adjustment Surface'!$AN$4:$AN$23,1)))*(INDEX('Adjustment Surface'!$AO$3:$BH$3,1,MATCH(('Adjustment Surface'!W$3),'Adjustment Surface'!$AO$3:$BH$3,1)+IF('Adjustment Surface'!X$3="",-1,1))-'Adjustment Surface'!W$3)+INDEX($AO$4:$BH$23,MATCH(INDEX('Adjustment Surface'!$AN$4:$AN$23,MATCH(('Adjustment Surface'!$O5),'Adjustment Surface'!$AN$4:$AN$23,1)),$AN$4:$AN$23,0),MATCH(INDEX('Adjustment Surface'!$AO$3:$BH$3,1,MATCH(('Adjustment Surface'!W$3),'Adjustment Surface'!$AO$3:$BH$3,1)+IF('Adjustment Surface'!X$3="",-1,1)),$AO$3:$BH$3,0))*(INDEX('Adjustment Surface'!$AN$4:$AN$23,MATCH(('Adjustment Surface'!$O5),'Adjustment Surface'!$AN$4:$AN$23,1)+IF('Adjustment Surface'!$O6="",-1,1))-'Adjustment Surface'!$O5)*('Adjustment Surface'!W$3-INDEX('Adjustment Surface'!$AO$3:$BH$3,1,MATCH(('Adjustment Surface'!W$3),'Adjustment Surface'!$AO$3:$BH$3,1)))+INDEX($AO$4:$BH$23,MATCH(INDEX('Adjustment Surface'!$AN$4:$AN$23,MATCH(('Adjustment Surface'!$O5),'Adjustment Surface'!$AN$4:$AN$23,1)+IF('Adjustment Surface'!$O6="",-1,1)),$AN$4:$AN$23,0),MATCH(INDEX('Adjustment Surface'!$AO$3:$BH$3,1,MATCH(('Adjustment Surface'!W$3),'Adjustment Surface'!$AO$3:$BH$3,1)+IF('Adjustment Surface'!X$3="",-1,1)),$AO$3:$BH$3,0))*('Adjustment Surface'!$O5-INDEX('Adjustment Surface'!$AN$4:$AN$23,MATCH(('Adjustment Surface'!$O5),'Adjustment Surface'!$AN$4:$AN$23,1)))*('Adjustment Surface'!W$3-INDEX('Adjustment Surface'!$AO$3:$BH$3,1,MATCH(('Adjustment Surface'!W$3),'Adjustment Surface'!$AO$3:$BH$3,1)))))</f>
        <v>16.014215046086512</v>
      </c>
      <c r="X5" s="181" cm="1">
        <f t="array" ref="X5">IF(OR(X$3="",$O5=""),"",1/((INDEX('Adjustment Surface'!$AN$4:$AN$23,MATCH(('Adjustment Surface'!$O5),'Adjustment Surface'!$AN$4:$AN$23,1)+IF('Adjustment Surface'!$O6="",-1,1))-INDEX('Adjustment Surface'!$AN$4:$AN$23,MATCH(('Adjustment Surface'!$O5),'Adjustment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Surface'!$O5),'Adjustment Surface'!$AN$4:$AN$23,1)),$AN$4:$AN$23,0),MATCH(INDEX('Adjustment Surface'!$AO$3:$BH$3,1,MATCH(('Adjustment Surface'!X$3),'Adjustment Surface'!$AO$3:$BH$3,1)),$AO$3:$BH$3,0))*(INDEX('Adjustment Surface'!$AN$4:$AN$23,MATCH(('Adjustment Surface'!$O5),'Adjustment Surface'!$AN$4:$AN$23,1)+IF('Adjustment Surface'!$O6="",-1,1))-'Adjustment Surface'!$O5)*(INDEX('Adjustment Surface'!$AO$3:$BH$3,1,MATCH(('Adjustment Surface'!X$3),'Adjustment Surface'!$AO$3:$BH$3,1)+IF('Adjustment Surface'!Y$3="",-1,1))-'Adjustment Surface'!X$3)+INDEX($AO$4:$BH$23,MATCH(INDEX('Adjustment Surface'!$AN$4:$AN$23,MATCH(('Adjustment Surface'!$O5),'Adjustment Surface'!$AN$4:$AN$23,1)+IF('Adjustment Surface'!$O6="",-1,1)),$AN$4:$AN$23,0),MATCH(INDEX('Adjustment Surface'!$AO$3:$BH$3,1,MATCH(('Adjustment Surface'!X$3),'Adjustment Surface'!$AO$3:$BH$3,1)),$AO$3:$BH$3,0))*('Adjustment Surface'!$O5-INDEX('Adjustment Surface'!$AN$4:$AN$23,MATCH(('Adjustment Surface'!$O5),'Adjustment Surface'!$AN$4:$AN$23,1)))*(INDEX('Adjustment Surface'!$AO$3:$BH$3,1,MATCH(('Adjustment Surface'!X$3),'Adjustment Surface'!$AO$3:$BH$3,1)+IF('Adjustment Surface'!Y$3="",-1,1))-'Adjustment Surface'!X$3)+INDEX($AO$4:$BH$23,MATCH(INDEX('Adjustment Surface'!$AN$4:$AN$23,MATCH(('Adjustment Surface'!$O5),'Adjustment Surface'!$AN$4:$AN$23,1)),$AN$4:$AN$23,0),MATCH(INDEX('Adjustment Surface'!$AO$3:$BH$3,1,MATCH(('Adjustment Surface'!X$3),'Adjustment Surface'!$AO$3:$BH$3,1)+IF('Adjustment Surface'!Y$3="",-1,1)),$AO$3:$BH$3,0))*(INDEX('Adjustment Surface'!$AN$4:$AN$23,MATCH(('Adjustment Surface'!$O5),'Adjustment Surface'!$AN$4:$AN$23,1)+IF('Adjustment Surface'!$O6="",-1,1))-'Adjustment Surface'!$O5)*('Adjustment Surface'!X$3-INDEX('Adjustment Surface'!$AO$3:$BH$3,1,MATCH(('Adjustment Surface'!X$3),'Adjustment Surface'!$AO$3:$BH$3,1)))+INDEX($AO$4:$BH$23,MATCH(INDEX('Adjustment Surface'!$AN$4:$AN$23,MATCH(('Adjustment Surface'!$O5),'Adjustment Surface'!$AN$4:$AN$23,1)+IF('Adjustment Surface'!$O6="",-1,1)),$AN$4:$AN$23,0),MATCH(INDEX('Adjustment Surface'!$AO$3:$BH$3,1,MATCH(('Adjustment Surface'!X$3),'Adjustment Surface'!$AO$3:$BH$3,1)+IF('Adjustment Surface'!Y$3="",-1,1)),$AO$3:$BH$3,0))*('Adjustment Surface'!$O5-INDEX('Adjustment Surface'!$AN$4:$AN$23,MATCH(('Adjustment Surface'!$O5),'Adjustment Surface'!$AN$4:$AN$23,1)))*('Adjustment Surface'!X$3-INDEX('Adjustment Surface'!$AO$3:$BH$3,1,MATCH(('Adjustment Surface'!X$3),'Adjustment Surface'!$AO$3:$BH$3,1)))))</f>
        <v>11.712452912987153</v>
      </c>
      <c r="Y5" s="181" t="str" cm="1">
        <f t="array" ref="Y5">IF(OR(Y$3="",$O5=""),"",1/((INDEX('Adjustment Surface'!$AN$4:$AN$23,MATCH(('Adjustment Surface'!$O5),'Adjustment Surface'!$AN$4:$AN$23,1)+IF('Adjustment Surface'!$O6="",-1,1))-INDEX('Adjustment Surface'!$AN$4:$AN$23,MATCH(('Adjustment Surface'!$O5),'Adjustment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Surface'!$O5),'Adjustment Surface'!$AN$4:$AN$23,1)),$AN$4:$AN$23,0),MATCH(INDEX('Adjustment Surface'!$AO$3:$BH$3,1,MATCH(('Adjustment Surface'!Y$3),'Adjustment Surface'!$AO$3:$BH$3,1)),$AO$3:$BH$3,0))*(INDEX('Adjustment Surface'!$AN$4:$AN$23,MATCH(('Adjustment Surface'!$O5),'Adjustment Surface'!$AN$4:$AN$23,1)+IF('Adjustment Surface'!$O6="",-1,1))-'Adjustment Surface'!$O5)*(INDEX('Adjustment Surface'!$AO$3:$BH$3,1,MATCH(('Adjustment Surface'!Y$3),'Adjustment Surface'!$AO$3:$BH$3,1)+IF('Adjustment Surface'!Z$3="",-1,1))-'Adjustment Surface'!Y$3)+INDEX($AO$4:$BH$23,MATCH(INDEX('Adjustment Surface'!$AN$4:$AN$23,MATCH(('Adjustment Surface'!$O5),'Adjustment Surface'!$AN$4:$AN$23,1)+IF('Adjustment Surface'!$O6="",-1,1)),$AN$4:$AN$23,0),MATCH(INDEX('Adjustment Surface'!$AO$3:$BH$3,1,MATCH(('Adjustment Surface'!Y$3),'Adjustment Surface'!$AO$3:$BH$3,1)),$AO$3:$BH$3,0))*('Adjustment Surface'!$O5-INDEX('Adjustment Surface'!$AN$4:$AN$23,MATCH(('Adjustment Surface'!$O5),'Adjustment Surface'!$AN$4:$AN$23,1)))*(INDEX('Adjustment Surface'!$AO$3:$BH$3,1,MATCH(('Adjustment Surface'!Y$3),'Adjustment Surface'!$AO$3:$BH$3,1)+IF('Adjustment Surface'!Z$3="",-1,1))-'Adjustment Surface'!Y$3)+INDEX($AO$4:$BH$23,MATCH(INDEX('Adjustment Surface'!$AN$4:$AN$23,MATCH(('Adjustment Surface'!$O5),'Adjustment Surface'!$AN$4:$AN$23,1)),$AN$4:$AN$23,0),MATCH(INDEX('Adjustment Surface'!$AO$3:$BH$3,1,MATCH(('Adjustment Surface'!Y$3),'Adjustment Surface'!$AO$3:$BH$3,1)+IF('Adjustment Surface'!Z$3="",-1,1)),$AO$3:$BH$3,0))*(INDEX('Adjustment Surface'!$AN$4:$AN$23,MATCH(('Adjustment Surface'!$O5),'Adjustment Surface'!$AN$4:$AN$23,1)+IF('Adjustment Surface'!$O6="",-1,1))-'Adjustment Surface'!$O5)*('Adjustment Surface'!Y$3-INDEX('Adjustment Surface'!$AO$3:$BH$3,1,MATCH(('Adjustment Surface'!Y$3),'Adjustment Surface'!$AO$3:$BH$3,1)))+INDEX($AO$4:$BH$23,MATCH(INDEX('Adjustment Surface'!$AN$4:$AN$23,MATCH(('Adjustment Surface'!$O5),'Adjustment Surface'!$AN$4:$AN$23,1)+IF('Adjustment Surface'!$O6="",-1,1)),$AN$4:$AN$23,0),MATCH(INDEX('Adjustment Surface'!$AO$3:$BH$3,1,MATCH(('Adjustment Surface'!Y$3),'Adjustment Surface'!$AO$3:$BH$3,1)+IF('Adjustment Surface'!Z$3="",-1,1)),$AO$3:$BH$3,0))*('Adjustment Surface'!$O5-INDEX('Adjustment Surface'!$AN$4:$AN$23,MATCH(('Adjustment Surface'!$O5),'Adjustment Surface'!$AN$4:$AN$23,1)))*('Adjustment Surface'!Y$3-INDEX('Adjustment Surface'!$AO$3:$BH$3,1,MATCH(('Adjustment Surface'!Y$3),'Adjustment Surface'!$AO$3:$BH$3,1)))))</f>
        <v/>
      </c>
      <c r="Z5" s="181" t="str" cm="1">
        <f t="array" ref="Z5">IF(OR(Z$3="",$O5=""),"",1/((INDEX('Adjustment Surface'!$AN$4:$AN$23,MATCH(('Adjustment Surface'!$O5),'Adjustment Surface'!$AN$4:$AN$23,1)+IF('Adjustment Surface'!$O6="",-1,1))-INDEX('Adjustment Surface'!$AN$4:$AN$23,MATCH(('Adjustment Surface'!$O5),'Adjustment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Surface'!$O5),'Adjustment Surface'!$AN$4:$AN$23,1)),$AN$4:$AN$23,0),MATCH(INDEX('Adjustment Surface'!$AO$3:$BH$3,1,MATCH(('Adjustment Surface'!Z$3),'Adjustment Surface'!$AO$3:$BH$3,1)),$AO$3:$BH$3,0))*(INDEX('Adjustment Surface'!$AN$4:$AN$23,MATCH(('Adjustment Surface'!$O5),'Adjustment Surface'!$AN$4:$AN$23,1)+IF('Adjustment Surface'!$O6="",-1,1))-'Adjustment Surface'!$O5)*(INDEX('Adjustment Surface'!$AO$3:$BH$3,1,MATCH(('Adjustment Surface'!Z$3),'Adjustment Surface'!$AO$3:$BH$3,1)+IF('Adjustment Surface'!AA$3="",-1,1))-'Adjustment Surface'!Z$3)+INDEX($AO$4:$BH$23,MATCH(INDEX('Adjustment Surface'!$AN$4:$AN$23,MATCH(('Adjustment Surface'!$O5),'Adjustment Surface'!$AN$4:$AN$23,1)+IF('Adjustment Surface'!$O6="",-1,1)),$AN$4:$AN$23,0),MATCH(INDEX('Adjustment Surface'!$AO$3:$BH$3,1,MATCH(('Adjustment Surface'!Z$3),'Adjustment Surface'!$AO$3:$BH$3,1)),$AO$3:$BH$3,0))*('Adjustment Surface'!$O5-INDEX('Adjustment Surface'!$AN$4:$AN$23,MATCH(('Adjustment Surface'!$O5),'Adjustment Surface'!$AN$4:$AN$23,1)))*(INDEX('Adjustment Surface'!$AO$3:$BH$3,1,MATCH(('Adjustment Surface'!Z$3),'Adjustment Surface'!$AO$3:$BH$3,1)+IF('Adjustment Surface'!AA$3="",-1,1))-'Adjustment Surface'!Z$3)+INDEX($AO$4:$BH$23,MATCH(INDEX('Adjustment Surface'!$AN$4:$AN$23,MATCH(('Adjustment Surface'!$O5),'Adjustment Surface'!$AN$4:$AN$23,1)),$AN$4:$AN$23,0),MATCH(INDEX('Adjustment Surface'!$AO$3:$BH$3,1,MATCH(('Adjustment Surface'!Z$3),'Adjustment Surface'!$AO$3:$BH$3,1)+IF('Adjustment Surface'!AA$3="",-1,1)),$AO$3:$BH$3,0))*(INDEX('Adjustment Surface'!$AN$4:$AN$23,MATCH(('Adjustment Surface'!$O5),'Adjustment Surface'!$AN$4:$AN$23,1)+IF('Adjustment Surface'!$O6="",-1,1))-'Adjustment Surface'!$O5)*('Adjustment Surface'!Z$3-INDEX('Adjustment Surface'!$AO$3:$BH$3,1,MATCH(('Adjustment Surface'!Z$3),'Adjustment Surface'!$AO$3:$BH$3,1)))+INDEX($AO$4:$BH$23,MATCH(INDEX('Adjustment Surface'!$AN$4:$AN$23,MATCH(('Adjustment Surface'!$O5),'Adjustment Surface'!$AN$4:$AN$23,1)+IF('Adjustment Surface'!$O6="",-1,1)),$AN$4:$AN$23,0),MATCH(INDEX('Adjustment Surface'!$AO$3:$BH$3,1,MATCH(('Adjustment Surface'!Z$3),'Adjustment Surface'!$AO$3:$BH$3,1)+IF('Adjustment Surface'!AA$3="",-1,1)),$AO$3:$BH$3,0))*('Adjustment Surface'!$O5-INDEX('Adjustment Surface'!$AN$4:$AN$23,MATCH(('Adjustment Surface'!$O5),'Adjustment Surface'!$AN$4:$AN$23,1)))*('Adjustment Surface'!Z$3-INDEX('Adjustment Surface'!$AO$3:$BH$3,1,MATCH(('Adjustment Surface'!Z$3),'Adjustment Surface'!$AO$3:$BH$3,1)))))</f>
        <v/>
      </c>
      <c r="AA5" s="181" t="str" cm="1">
        <f t="array" ref="AA5">IF(OR(AA$3="",$O5=""),"",1/((INDEX('Adjustment Surface'!$AN$4:$AN$23,MATCH(('Adjustment Surface'!$O5),'Adjustment Surface'!$AN$4:$AN$23,1)+IF('Adjustment Surface'!$O6="",-1,1))-INDEX('Adjustment Surface'!$AN$4:$AN$23,MATCH(('Adjustment Surface'!$O5),'Adjustment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Surface'!$O5),'Adjustment Surface'!$AN$4:$AN$23,1)),$AN$4:$AN$23,0),MATCH(INDEX('Adjustment Surface'!$AO$3:$BH$3,1,MATCH(('Adjustment Surface'!AA$3),'Adjustment Surface'!$AO$3:$BH$3,1)),$AO$3:$BH$3,0))*(INDEX('Adjustment Surface'!$AN$4:$AN$23,MATCH(('Adjustment Surface'!$O5),'Adjustment Surface'!$AN$4:$AN$23,1)+IF('Adjustment Surface'!$O6="",-1,1))-'Adjustment Surface'!$O5)*(INDEX('Adjustment Surface'!$AO$3:$BH$3,1,MATCH(('Adjustment Surface'!AA$3),'Adjustment Surface'!$AO$3:$BH$3,1)+IF('Adjustment Surface'!AB$3="",-1,1))-'Adjustment Surface'!AA$3)+INDEX($AO$4:$BH$23,MATCH(INDEX('Adjustment Surface'!$AN$4:$AN$23,MATCH(('Adjustment Surface'!$O5),'Adjustment Surface'!$AN$4:$AN$23,1)+IF('Adjustment Surface'!$O6="",-1,1)),$AN$4:$AN$23,0),MATCH(INDEX('Adjustment Surface'!$AO$3:$BH$3,1,MATCH(('Adjustment Surface'!AA$3),'Adjustment Surface'!$AO$3:$BH$3,1)),$AO$3:$BH$3,0))*('Adjustment Surface'!$O5-INDEX('Adjustment Surface'!$AN$4:$AN$23,MATCH(('Adjustment Surface'!$O5),'Adjustment Surface'!$AN$4:$AN$23,1)))*(INDEX('Adjustment Surface'!$AO$3:$BH$3,1,MATCH(('Adjustment Surface'!AA$3),'Adjustment Surface'!$AO$3:$BH$3,1)+IF('Adjustment Surface'!AB$3="",-1,1))-'Adjustment Surface'!AA$3)+INDEX($AO$4:$BH$23,MATCH(INDEX('Adjustment Surface'!$AN$4:$AN$23,MATCH(('Adjustment Surface'!$O5),'Adjustment Surface'!$AN$4:$AN$23,1)),$AN$4:$AN$23,0),MATCH(INDEX('Adjustment Surface'!$AO$3:$BH$3,1,MATCH(('Adjustment Surface'!AA$3),'Adjustment Surface'!$AO$3:$BH$3,1)+IF('Adjustment Surface'!AB$3="",-1,1)),$AO$3:$BH$3,0))*(INDEX('Adjustment Surface'!$AN$4:$AN$23,MATCH(('Adjustment Surface'!$O5),'Adjustment Surface'!$AN$4:$AN$23,1)+IF('Adjustment Surface'!$O6="",-1,1))-'Adjustment Surface'!$O5)*('Adjustment Surface'!AA$3-INDEX('Adjustment Surface'!$AO$3:$BH$3,1,MATCH(('Adjustment Surface'!AA$3),'Adjustment Surface'!$AO$3:$BH$3,1)))+INDEX($AO$4:$BH$23,MATCH(INDEX('Adjustment Surface'!$AN$4:$AN$23,MATCH(('Adjustment Surface'!$O5),'Adjustment Surface'!$AN$4:$AN$23,1)+IF('Adjustment Surface'!$O6="",-1,1)),$AN$4:$AN$23,0),MATCH(INDEX('Adjustment Surface'!$AO$3:$BH$3,1,MATCH(('Adjustment Surface'!AA$3),'Adjustment Surface'!$AO$3:$BH$3,1)+IF('Adjustment Surface'!AB$3="",-1,1)),$AO$3:$BH$3,0))*('Adjustment Surface'!$O5-INDEX('Adjustment Surface'!$AN$4:$AN$23,MATCH(('Adjustment Surface'!$O5),'Adjustment Surface'!$AN$4:$AN$23,1)))*('Adjustment Surface'!AA$3-INDEX('Adjustment Surface'!$AO$3:$BH$3,1,MATCH(('Adjustment Surface'!AA$3),'Adjustment Surface'!$AO$3:$BH$3,1)))))</f>
        <v/>
      </c>
      <c r="AB5" s="181" t="str" cm="1">
        <f t="array" ref="AB5">IF(OR(AB$3="",$O5=""),"",1/((INDEX('Adjustment Surface'!$AN$4:$AN$23,MATCH(('Adjustment Surface'!$O5),'Adjustment Surface'!$AN$4:$AN$23,1)+IF('Adjustment Surface'!$O6="",-1,1))-INDEX('Adjustment Surface'!$AN$4:$AN$23,MATCH(('Adjustment Surface'!$O5),'Adjustment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Surface'!$O5),'Adjustment Surface'!$AN$4:$AN$23,1)),$AN$4:$AN$23,0),MATCH(INDEX('Adjustment Surface'!$AO$3:$BH$3,1,MATCH(('Adjustment Surface'!AB$3),'Adjustment Surface'!$AO$3:$BH$3,1)),$AO$3:$BH$3,0))*(INDEX('Adjustment Surface'!$AN$4:$AN$23,MATCH(('Adjustment Surface'!$O5),'Adjustment Surface'!$AN$4:$AN$23,1)+IF('Adjustment Surface'!$O6="",-1,1))-'Adjustment Surface'!$O5)*(INDEX('Adjustment Surface'!$AO$3:$BH$3,1,MATCH(('Adjustment Surface'!AB$3),'Adjustment Surface'!$AO$3:$BH$3,1)+IF('Adjustment Surface'!AC$3="",-1,1))-'Adjustment Surface'!AB$3)+INDEX($AO$4:$BH$23,MATCH(INDEX('Adjustment Surface'!$AN$4:$AN$23,MATCH(('Adjustment Surface'!$O5),'Adjustment Surface'!$AN$4:$AN$23,1)+IF('Adjustment Surface'!$O6="",-1,1)),$AN$4:$AN$23,0),MATCH(INDEX('Adjustment Surface'!$AO$3:$BH$3,1,MATCH(('Adjustment Surface'!AB$3),'Adjustment Surface'!$AO$3:$BH$3,1)),$AO$3:$BH$3,0))*('Adjustment Surface'!$O5-INDEX('Adjustment Surface'!$AN$4:$AN$23,MATCH(('Adjustment Surface'!$O5),'Adjustment Surface'!$AN$4:$AN$23,1)))*(INDEX('Adjustment Surface'!$AO$3:$BH$3,1,MATCH(('Adjustment Surface'!AB$3),'Adjustment Surface'!$AO$3:$BH$3,1)+IF('Adjustment Surface'!AC$3="",-1,1))-'Adjustment Surface'!AB$3)+INDEX($AO$4:$BH$23,MATCH(INDEX('Adjustment Surface'!$AN$4:$AN$23,MATCH(('Adjustment Surface'!$O5),'Adjustment Surface'!$AN$4:$AN$23,1)),$AN$4:$AN$23,0),MATCH(INDEX('Adjustment Surface'!$AO$3:$BH$3,1,MATCH(('Adjustment Surface'!AB$3),'Adjustment Surface'!$AO$3:$BH$3,1)+IF('Adjustment Surface'!AC$3="",-1,1)),$AO$3:$BH$3,0))*(INDEX('Adjustment Surface'!$AN$4:$AN$23,MATCH(('Adjustment Surface'!$O5),'Adjustment Surface'!$AN$4:$AN$23,1)+IF('Adjustment Surface'!$O6="",-1,1))-'Adjustment Surface'!$O5)*('Adjustment Surface'!AB$3-INDEX('Adjustment Surface'!$AO$3:$BH$3,1,MATCH(('Adjustment Surface'!AB$3),'Adjustment Surface'!$AO$3:$BH$3,1)))+INDEX($AO$4:$BH$23,MATCH(INDEX('Adjustment Surface'!$AN$4:$AN$23,MATCH(('Adjustment Surface'!$O5),'Adjustment Surface'!$AN$4:$AN$23,1)+IF('Adjustment Surface'!$O6="",-1,1)),$AN$4:$AN$23,0),MATCH(INDEX('Adjustment Surface'!$AO$3:$BH$3,1,MATCH(('Adjustment Surface'!AB$3),'Adjustment Surface'!$AO$3:$BH$3,1)+IF('Adjustment Surface'!AC$3="",-1,1)),$AO$3:$BH$3,0))*('Adjustment Surface'!$O5-INDEX('Adjustment Surface'!$AN$4:$AN$23,MATCH(('Adjustment Surface'!$O5),'Adjustment Surface'!$AN$4:$AN$23,1)))*('Adjustment Surface'!AB$3-INDEX('Adjustment Surface'!$AO$3:$BH$3,1,MATCH(('Adjustment Surface'!AB$3),'Adjustment Surface'!$AO$3:$BH$3,1)))))</f>
        <v/>
      </c>
      <c r="AC5" s="181" t="str" cm="1">
        <f t="array" ref="AC5">IF(OR(AC$3="",$O5=""),"",1/((INDEX('Adjustment Surface'!$AN$4:$AN$23,MATCH(('Adjustment Surface'!$O5),'Adjustment Surface'!$AN$4:$AN$23,1)+IF('Adjustment Surface'!$O6="",-1,1))-INDEX('Adjustment Surface'!$AN$4:$AN$23,MATCH(('Adjustment Surface'!$O5),'Adjustment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Surface'!$O5),'Adjustment Surface'!$AN$4:$AN$23,1)),$AN$4:$AN$23,0),MATCH(INDEX('Adjustment Surface'!$AO$3:$BH$3,1,MATCH(('Adjustment Surface'!AC$3),'Adjustment Surface'!$AO$3:$BH$3,1)),$AO$3:$BH$3,0))*(INDEX('Adjustment Surface'!$AN$4:$AN$23,MATCH(('Adjustment Surface'!$O5),'Adjustment Surface'!$AN$4:$AN$23,1)+IF('Adjustment Surface'!$O6="",-1,1))-'Adjustment Surface'!$O5)*(INDEX('Adjustment Surface'!$AO$3:$BH$3,1,MATCH(('Adjustment Surface'!AC$3),'Adjustment Surface'!$AO$3:$BH$3,1)+IF('Adjustment Surface'!AD$3="",-1,1))-'Adjustment Surface'!AC$3)+INDEX($AO$4:$BH$23,MATCH(INDEX('Adjustment Surface'!$AN$4:$AN$23,MATCH(('Adjustment Surface'!$O5),'Adjustment Surface'!$AN$4:$AN$23,1)+IF('Adjustment Surface'!$O6="",-1,1)),$AN$4:$AN$23,0),MATCH(INDEX('Adjustment Surface'!$AO$3:$BH$3,1,MATCH(('Adjustment Surface'!AC$3),'Adjustment Surface'!$AO$3:$BH$3,1)),$AO$3:$BH$3,0))*('Adjustment Surface'!$O5-INDEX('Adjustment Surface'!$AN$4:$AN$23,MATCH(('Adjustment Surface'!$O5),'Adjustment Surface'!$AN$4:$AN$23,1)))*(INDEX('Adjustment Surface'!$AO$3:$BH$3,1,MATCH(('Adjustment Surface'!AC$3),'Adjustment Surface'!$AO$3:$BH$3,1)+IF('Adjustment Surface'!AD$3="",-1,1))-'Adjustment Surface'!AC$3)+INDEX($AO$4:$BH$23,MATCH(INDEX('Adjustment Surface'!$AN$4:$AN$23,MATCH(('Adjustment Surface'!$O5),'Adjustment Surface'!$AN$4:$AN$23,1)),$AN$4:$AN$23,0),MATCH(INDEX('Adjustment Surface'!$AO$3:$BH$3,1,MATCH(('Adjustment Surface'!AC$3),'Adjustment Surface'!$AO$3:$BH$3,1)+IF('Adjustment Surface'!AD$3="",-1,1)),$AO$3:$BH$3,0))*(INDEX('Adjustment Surface'!$AN$4:$AN$23,MATCH(('Adjustment Surface'!$O5),'Adjustment Surface'!$AN$4:$AN$23,1)+IF('Adjustment Surface'!$O6="",-1,1))-'Adjustment Surface'!$O5)*('Adjustment Surface'!AC$3-INDEX('Adjustment Surface'!$AO$3:$BH$3,1,MATCH(('Adjustment Surface'!AC$3),'Adjustment Surface'!$AO$3:$BH$3,1)))+INDEX($AO$4:$BH$23,MATCH(INDEX('Adjustment Surface'!$AN$4:$AN$23,MATCH(('Adjustment Surface'!$O5),'Adjustment Surface'!$AN$4:$AN$23,1)+IF('Adjustment Surface'!$O6="",-1,1)),$AN$4:$AN$23,0),MATCH(INDEX('Adjustment Surface'!$AO$3:$BH$3,1,MATCH(('Adjustment Surface'!AC$3),'Adjustment Surface'!$AO$3:$BH$3,1)+IF('Adjustment Surface'!AD$3="",-1,1)),$AO$3:$BH$3,0))*('Adjustment Surface'!$O5-INDEX('Adjustment Surface'!$AN$4:$AN$23,MATCH(('Adjustment Surface'!$O5),'Adjustment Surface'!$AN$4:$AN$23,1)))*('Adjustment Surface'!AC$3-INDEX('Adjustment Surface'!$AO$3:$BH$3,1,MATCH(('Adjustment Surface'!AC$3),'Adjustment Surface'!$AO$3:$BH$3,1)))))</f>
        <v/>
      </c>
      <c r="AD5" s="181" t="str" cm="1">
        <f t="array" ref="AD5">IF(OR(AD$3="",$O5=""),"",1/((INDEX('Adjustment Surface'!$AN$4:$AN$23,MATCH(('Adjustment Surface'!$O5),'Adjustment Surface'!$AN$4:$AN$23,1)+IF('Adjustment Surface'!$O6="",-1,1))-INDEX('Adjustment Surface'!$AN$4:$AN$23,MATCH(('Adjustment Surface'!$O5),'Adjustment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Surface'!$O5),'Adjustment Surface'!$AN$4:$AN$23,1)),$AN$4:$AN$23,0),MATCH(INDEX('Adjustment Surface'!$AO$3:$BH$3,1,MATCH(('Adjustment Surface'!AD$3),'Adjustment Surface'!$AO$3:$BH$3,1)),$AO$3:$BH$3,0))*(INDEX('Adjustment Surface'!$AN$4:$AN$23,MATCH(('Adjustment Surface'!$O5),'Adjustment Surface'!$AN$4:$AN$23,1)+IF('Adjustment Surface'!$O6="",-1,1))-'Adjustment Surface'!$O5)*(INDEX('Adjustment Surface'!$AO$3:$BH$3,1,MATCH(('Adjustment Surface'!AD$3),'Adjustment Surface'!$AO$3:$BH$3,1)+IF('Adjustment Surface'!AE$3="",-1,1))-'Adjustment Surface'!AD$3)+INDEX($AO$4:$BH$23,MATCH(INDEX('Adjustment Surface'!$AN$4:$AN$23,MATCH(('Adjustment Surface'!$O5),'Adjustment Surface'!$AN$4:$AN$23,1)+IF('Adjustment Surface'!$O6="",-1,1)),$AN$4:$AN$23,0),MATCH(INDEX('Adjustment Surface'!$AO$3:$BH$3,1,MATCH(('Adjustment Surface'!AD$3),'Adjustment Surface'!$AO$3:$BH$3,1)),$AO$3:$BH$3,0))*('Adjustment Surface'!$O5-INDEX('Adjustment Surface'!$AN$4:$AN$23,MATCH(('Adjustment Surface'!$O5),'Adjustment Surface'!$AN$4:$AN$23,1)))*(INDEX('Adjustment Surface'!$AO$3:$BH$3,1,MATCH(('Adjustment Surface'!AD$3),'Adjustment Surface'!$AO$3:$BH$3,1)+IF('Adjustment Surface'!AE$3="",-1,1))-'Adjustment Surface'!AD$3)+INDEX($AO$4:$BH$23,MATCH(INDEX('Adjustment Surface'!$AN$4:$AN$23,MATCH(('Adjustment Surface'!$O5),'Adjustment Surface'!$AN$4:$AN$23,1)),$AN$4:$AN$23,0),MATCH(INDEX('Adjustment Surface'!$AO$3:$BH$3,1,MATCH(('Adjustment Surface'!AD$3),'Adjustment Surface'!$AO$3:$BH$3,1)+IF('Adjustment Surface'!AE$3="",-1,1)),$AO$3:$BH$3,0))*(INDEX('Adjustment Surface'!$AN$4:$AN$23,MATCH(('Adjustment Surface'!$O5),'Adjustment Surface'!$AN$4:$AN$23,1)+IF('Adjustment Surface'!$O6="",-1,1))-'Adjustment Surface'!$O5)*('Adjustment Surface'!AD$3-INDEX('Adjustment Surface'!$AO$3:$BH$3,1,MATCH(('Adjustment Surface'!AD$3),'Adjustment Surface'!$AO$3:$BH$3,1)))+INDEX($AO$4:$BH$23,MATCH(INDEX('Adjustment Surface'!$AN$4:$AN$23,MATCH(('Adjustment Surface'!$O5),'Adjustment Surface'!$AN$4:$AN$23,1)+IF('Adjustment Surface'!$O6="",-1,1)),$AN$4:$AN$23,0),MATCH(INDEX('Adjustment Surface'!$AO$3:$BH$3,1,MATCH(('Adjustment Surface'!AD$3),'Adjustment Surface'!$AO$3:$BH$3,1)+IF('Adjustment Surface'!AE$3="",-1,1)),$AO$3:$BH$3,0))*('Adjustment Surface'!$O5-INDEX('Adjustment Surface'!$AN$4:$AN$23,MATCH(('Adjustment Surface'!$O5),'Adjustment Surface'!$AN$4:$AN$23,1)))*('Adjustment Surface'!AD$3-INDEX('Adjustment Surface'!$AO$3:$BH$3,1,MATCH(('Adjustment Surface'!AD$3),'Adjustment Surface'!$AO$3:$BH$3,1)))))</f>
        <v/>
      </c>
      <c r="AE5" s="181" t="str" cm="1">
        <f t="array" ref="AE5">IF(OR(AE$3="",$O5=""),"",1/((INDEX('Adjustment Surface'!$AN$4:$AN$23,MATCH(('Adjustment Surface'!$O5),'Adjustment Surface'!$AN$4:$AN$23,1)+IF('Adjustment Surface'!$O6="",-1,1))-INDEX('Adjustment Surface'!$AN$4:$AN$23,MATCH(('Adjustment Surface'!$O5),'Adjustment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Surface'!$O5),'Adjustment Surface'!$AN$4:$AN$23,1)),$AN$4:$AN$23,0),MATCH(INDEX('Adjustment Surface'!$AO$3:$BH$3,1,MATCH(('Adjustment Surface'!AE$3),'Adjustment Surface'!$AO$3:$BH$3,1)),$AO$3:$BH$3,0))*(INDEX('Adjustment Surface'!$AN$4:$AN$23,MATCH(('Adjustment Surface'!$O5),'Adjustment Surface'!$AN$4:$AN$23,1)+IF('Adjustment Surface'!$O6="",-1,1))-'Adjustment Surface'!$O5)*(INDEX('Adjustment Surface'!$AO$3:$BH$3,1,MATCH(('Adjustment Surface'!AE$3),'Adjustment Surface'!$AO$3:$BH$3,1)+IF('Adjustment Surface'!AF$3="",-1,1))-'Adjustment Surface'!AE$3)+INDEX($AO$4:$BH$23,MATCH(INDEX('Adjustment Surface'!$AN$4:$AN$23,MATCH(('Adjustment Surface'!$O5),'Adjustment Surface'!$AN$4:$AN$23,1)+IF('Adjustment Surface'!$O6="",-1,1)),$AN$4:$AN$23,0),MATCH(INDEX('Adjustment Surface'!$AO$3:$BH$3,1,MATCH(('Adjustment Surface'!AE$3),'Adjustment Surface'!$AO$3:$BH$3,1)),$AO$3:$BH$3,0))*('Adjustment Surface'!$O5-INDEX('Adjustment Surface'!$AN$4:$AN$23,MATCH(('Adjustment Surface'!$O5),'Adjustment Surface'!$AN$4:$AN$23,1)))*(INDEX('Adjustment Surface'!$AO$3:$BH$3,1,MATCH(('Adjustment Surface'!AE$3),'Adjustment Surface'!$AO$3:$BH$3,1)+IF('Adjustment Surface'!AF$3="",-1,1))-'Adjustment Surface'!AE$3)+INDEX($AO$4:$BH$23,MATCH(INDEX('Adjustment Surface'!$AN$4:$AN$23,MATCH(('Adjustment Surface'!$O5),'Adjustment Surface'!$AN$4:$AN$23,1)),$AN$4:$AN$23,0),MATCH(INDEX('Adjustment Surface'!$AO$3:$BH$3,1,MATCH(('Adjustment Surface'!AE$3),'Adjustment Surface'!$AO$3:$BH$3,1)+IF('Adjustment Surface'!AF$3="",-1,1)),$AO$3:$BH$3,0))*(INDEX('Adjustment Surface'!$AN$4:$AN$23,MATCH(('Adjustment Surface'!$O5),'Adjustment Surface'!$AN$4:$AN$23,1)+IF('Adjustment Surface'!$O6="",-1,1))-'Adjustment Surface'!$O5)*('Adjustment Surface'!AE$3-INDEX('Adjustment Surface'!$AO$3:$BH$3,1,MATCH(('Adjustment Surface'!AE$3),'Adjustment Surface'!$AO$3:$BH$3,1)))+INDEX($AO$4:$BH$23,MATCH(INDEX('Adjustment Surface'!$AN$4:$AN$23,MATCH(('Adjustment Surface'!$O5),'Adjustment Surface'!$AN$4:$AN$23,1)+IF('Adjustment Surface'!$O6="",-1,1)),$AN$4:$AN$23,0),MATCH(INDEX('Adjustment Surface'!$AO$3:$BH$3,1,MATCH(('Adjustment Surface'!AE$3),'Adjustment Surface'!$AO$3:$BH$3,1)+IF('Adjustment Surface'!AF$3="",-1,1)),$AO$3:$BH$3,0))*('Adjustment Surface'!$O5-INDEX('Adjustment Surface'!$AN$4:$AN$23,MATCH(('Adjustment Surface'!$O5),'Adjustment Surface'!$AN$4:$AN$23,1)))*('Adjustment Surface'!AE$3-INDEX('Adjustment Surface'!$AO$3:$BH$3,1,MATCH(('Adjustment Surface'!AE$3),'Adjustment Surface'!$AO$3:$BH$3,1)))))</f>
        <v/>
      </c>
      <c r="AF5" s="181" t="str" cm="1">
        <f t="array" ref="AF5">IF(OR(AF$3="",$O5=""),"",1/((INDEX('Adjustment Surface'!$AN$4:$AN$23,MATCH(('Adjustment Surface'!$O5),'Adjustment Surface'!$AN$4:$AN$23,1)+IF('Adjustment Surface'!$O6="",-1,1))-INDEX('Adjustment Surface'!$AN$4:$AN$23,MATCH(('Adjustment Surface'!$O5),'Adjustment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Surface'!$O5),'Adjustment Surface'!$AN$4:$AN$23,1)),$AN$4:$AN$23,0),MATCH(INDEX('Adjustment Surface'!$AO$3:$BH$3,1,MATCH(('Adjustment Surface'!AF$3),'Adjustment Surface'!$AO$3:$BH$3,1)),$AO$3:$BH$3,0))*(INDEX('Adjustment Surface'!$AN$4:$AN$23,MATCH(('Adjustment Surface'!$O5),'Adjustment Surface'!$AN$4:$AN$23,1)+IF('Adjustment Surface'!$O6="",-1,1))-'Adjustment Surface'!$O5)*(INDEX('Adjustment Surface'!$AO$3:$BH$3,1,MATCH(('Adjustment Surface'!AF$3),'Adjustment Surface'!$AO$3:$BH$3,1)+IF('Adjustment Surface'!AG$3="",-1,1))-'Adjustment Surface'!AF$3)+INDEX($AO$4:$BH$23,MATCH(INDEX('Adjustment Surface'!$AN$4:$AN$23,MATCH(('Adjustment Surface'!$O5),'Adjustment Surface'!$AN$4:$AN$23,1)+IF('Adjustment Surface'!$O6="",-1,1)),$AN$4:$AN$23,0),MATCH(INDEX('Adjustment Surface'!$AO$3:$BH$3,1,MATCH(('Adjustment Surface'!AF$3),'Adjustment Surface'!$AO$3:$BH$3,1)),$AO$3:$BH$3,0))*('Adjustment Surface'!$O5-INDEX('Adjustment Surface'!$AN$4:$AN$23,MATCH(('Adjustment Surface'!$O5),'Adjustment Surface'!$AN$4:$AN$23,1)))*(INDEX('Adjustment Surface'!$AO$3:$BH$3,1,MATCH(('Adjustment Surface'!AF$3),'Adjustment Surface'!$AO$3:$BH$3,1)+IF('Adjustment Surface'!AG$3="",-1,1))-'Adjustment Surface'!AF$3)+INDEX($AO$4:$BH$23,MATCH(INDEX('Adjustment Surface'!$AN$4:$AN$23,MATCH(('Adjustment Surface'!$O5),'Adjustment Surface'!$AN$4:$AN$23,1)),$AN$4:$AN$23,0),MATCH(INDEX('Adjustment Surface'!$AO$3:$BH$3,1,MATCH(('Adjustment Surface'!AF$3),'Adjustment Surface'!$AO$3:$BH$3,1)+IF('Adjustment Surface'!AG$3="",-1,1)),$AO$3:$BH$3,0))*(INDEX('Adjustment Surface'!$AN$4:$AN$23,MATCH(('Adjustment Surface'!$O5),'Adjustment Surface'!$AN$4:$AN$23,1)+IF('Adjustment Surface'!$O6="",-1,1))-'Adjustment Surface'!$O5)*('Adjustment Surface'!AF$3-INDEX('Adjustment Surface'!$AO$3:$BH$3,1,MATCH(('Adjustment Surface'!AF$3),'Adjustment Surface'!$AO$3:$BH$3,1)))+INDEX($AO$4:$BH$23,MATCH(INDEX('Adjustment Surface'!$AN$4:$AN$23,MATCH(('Adjustment Surface'!$O5),'Adjustment Surface'!$AN$4:$AN$23,1)+IF('Adjustment Surface'!$O6="",-1,1)),$AN$4:$AN$23,0),MATCH(INDEX('Adjustment Surface'!$AO$3:$BH$3,1,MATCH(('Adjustment Surface'!AF$3),'Adjustment Surface'!$AO$3:$BH$3,1)+IF('Adjustment Surface'!AG$3="",-1,1)),$AO$3:$BH$3,0))*('Adjustment Surface'!$O5-INDEX('Adjustment Surface'!$AN$4:$AN$23,MATCH(('Adjustment Surface'!$O5),'Adjustment Surface'!$AN$4:$AN$23,1)))*('Adjustment Surface'!AF$3-INDEX('Adjustment Surface'!$AO$3:$BH$3,1,MATCH(('Adjustment Surface'!AF$3),'Adjustment Surface'!$AO$3:$BH$3,1)))))</f>
        <v/>
      </c>
      <c r="AG5" s="181" t="str" cm="1">
        <f t="array" ref="AG5">IF(OR(AG$3="",$O5=""),"",1/((INDEX('Adjustment Surface'!$AN$4:$AN$23,MATCH(('Adjustment Surface'!$O5),'Adjustment Surface'!$AN$4:$AN$23,1)+IF('Adjustment Surface'!$O6="",-1,1))-INDEX('Adjustment Surface'!$AN$4:$AN$23,MATCH(('Adjustment Surface'!$O5),'Adjustment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Surface'!$O5),'Adjustment Surface'!$AN$4:$AN$23,1)),$AN$4:$AN$23,0),MATCH(INDEX('Adjustment Surface'!$AO$3:$BH$3,1,MATCH(('Adjustment Surface'!AG$3),'Adjustment Surface'!$AO$3:$BH$3,1)),$AO$3:$BH$3,0))*(INDEX('Adjustment Surface'!$AN$4:$AN$23,MATCH(('Adjustment Surface'!$O5),'Adjustment Surface'!$AN$4:$AN$23,1)+IF('Adjustment Surface'!$O6="",-1,1))-'Adjustment Surface'!$O5)*(INDEX('Adjustment Surface'!$AO$3:$BH$3,1,MATCH(('Adjustment Surface'!AG$3),'Adjustment Surface'!$AO$3:$BH$3,1)+IF('Adjustment Surface'!AH$3="",-1,1))-'Adjustment Surface'!AG$3)+INDEX($AO$4:$BH$23,MATCH(INDEX('Adjustment Surface'!$AN$4:$AN$23,MATCH(('Adjustment Surface'!$O5),'Adjustment Surface'!$AN$4:$AN$23,1)+IF('Adjustment Surface'!$O6="",-1,1)),$AN$4:$AN$23,0),MATCH(INDEX('Adjustment Surface'!$AO$3:$BH$3,1,MATCH(('Adjustment Surface'!AG$3),'Adjustment Surface'!$AO$3:$BH$3,1)),$AO$3:$BH$3,0))*('Adjustment Surface'!$O5-INDEX('Adjustment Surface'!$AN$4:$AN$23,MATCH(('Adjustment Surface'!$O5),'Adjustment Surface'!$AN$4:$AN$23,1)))*(INDEX('Adjustment Surface'!$AO$3:$BH$3,1,MATCH(('Adjustment Surface'!AG$3),'Adjustment Surface'!$AO$3:$BH$3,1)+IF('Adjustment Surface'!AH$3="",-1,1))-'Adjustment Surface'!AG$3)+INDEX($AO$4:$BH$23,MATCH(INDEX('Adjustment Surface'!$AN$4:$AN$23,MATCH(('Adjustment Surface'!$O5),'Adjustment Surface'!$AN$4:$AN$23,1)),$AN$4:$AN$23,0),MATCH(INDEX('Adjustment Surface'!$AO$3:$BH$3,1,MATCH(('Adjustment Surface'!AG$3),'Adjustment Surface'!$AO$3:$BH$3,1)+IF('Adjustment Surface'!AH$3="",-1,1)),$AO$3:$BH$3,0))*(INDEX('Adjustment Surface'!$AN$4:$AN$23,MATCH(('Adjustment Surface'!$O5),'Adjustment Surface'!$AN$4:$AN$23,1)+IF('Adjustment Surface'!$O6="",-1,1))-'Adjustment Surface'!$O5)*('Adjustment Surface'!AG$3-INDEX('Adjustment Surface'!$AO$3:$BH$3,1,MATCH(('Adjustment Surface'!AG$3),'Adjustment Surface'!$AO$3:$BH$3,1)))+INDEX($AO$4:$BH$23,MATCH(INDEX('Adjustment Surface'!$AN$4:$AN$23,MATCH(('Adjustment Surface'!$O5),'Adjustment Surface'!$AN$4:$AN$23,1)+IF('Adjustment Surface'!$O6="",-1,1)),$AN$4:$AN$23,0),MATCH(INDEX('Adjustment Surface'!$AO$3:$BH$3,1,MATCH(('Adjustment Surface'!AG$3),'Adjustment Surface'!$AO$3:$BH$3,1)+IF('Adjustment Surface'!AH$3="",-1,1)),$AO$3:$BH$3,0))*('Adjustment Surface'!$O5-INDEX('Adjustment Surface'!$AN$4:$AN$23,MATCH(('Adjustment Surface'!$O5),'Adjustment Surface'!$AN$4:$AN$23,1)))*('Adjustment Surface'!AG$3-INDEX('Adjustment Surface'!$AO$3:$BH$3,1,MATCH(('Adjustment Surface'!AG$3),'Adjustment Surface'!$AO$3:$BH$3,1)))))</f>
        <v/>
      </c>
      <c r="AH5" s="181" t="str" cm="1">
        <f t="array" ref="AH5">IF(OR(AH$3="",$O5=""),"",1/((INDEX('Adjustment Surface'!$AN$4:$AN$23,MATCH(('Adjustment Surface'!$O5),'Adjustment Surface'!$AN$4:$AN$23,1)+IF('Adjustment Surface'!$O6="",-1,1))-INDEX('Adjustment Surface'!$AN$4:$AN$23,MATCH(('Adjustment Surface'!$O5),'Adjustment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Surface'!$O5),'Adjustment Surface'!$AN$4:$AN$23,1)),$AN$4:$AN$23,0),MATCH(INDEX('Adjustment Surface'!$AO$3:$BH$3,1,MATCH(('Adjustment Surface'!AH$3),'Adjustment Surface'!$AO$3:$BH$3,1)),$AO$3:$BH$3,0))*(INDEX('Adjustment Surface'!$AN$4:$AN$23,MATCH(('Adjustment Surface'!$O5),'Adjustment Surface'!$AN$4:$AN$23,1)+IF('Adjustment Surface'!$O6="",-1,1))-'Adjustment Surface'!$O5)*(INDEX('Adjustment Surface'!$AO$3:$BH$3,1,MATCH(('Adjustment Surface'!AH$3),'Adjustment Surface'!$AO$3:$BH$3,1)+IF('Adjustment Surface'!AI$3="",-1,1))-'Adjustment Surface'!AH$3)+INDEX($AO$4:$BH$23,MATCH(INDEX('Adjustment Surface'!$AN$4:$AN$23,MATCH(('Adjustment Surface'!$O5),'Adjustment Surface'!$AN$4:$AN$23,1)+IF('Adjustment Surface'!$O6="",-1,1)),$AN$4:$AN$23,0),MATCH(INDEX('Adjustment Surface'!$AO$3:$BH$3,1,MATCH(('Adjustment Surface'!AH$3),'Adjustment Surface'!$AO$3:$BH$3,1)),$AO$3:$BH$3,0))*('Adjustment Surface'!$O5-INDEX('Adjustment Surface'!$AN$4:$AN$23,MATCH(('Adjustment Surface'!$O5),'Adjustment Surface'!$AN$4:$AN$23,1)))*(INDEX('Adjustment Surface'!$AO$3:$BH$3,1,MATCH(('Adjustment Surface'!AH$3),'Adjustment Surface'!$AO$3:$BH$3,1)+IF('Adjustment Surface'!AI$3="",-1,1))-'Adjustment Surface'!AH$3)+INDEX($AO$4:$BH$23,MATCH(INDEX('Adjustment Surface'!$AN$4:$AN$23,MATCH(('Adjustment Surface'!$O5),'Adjustment Surface'!$AN$4:$AN$23,1)),$AN$4:$AN$23,0),MATCH(INDEX('Adjustment Surface'!$AO$3:$BH$3,1,MATCH(('Adjustment Surface'!AH$3),'Adjustment Surface'!$AO$3:$BH$3,1)+IF('Adjustment Surface'!AI$3="",-1,1)),$AO$3:$BH$3,0))*(INDEX('Adjustment Surface'!$AN$4:$AN$23,MATCH(('Adjustment Surface'!$O5),'Adjustment Surface'!$AN$4:$AN$23,1)+IF('Adjustment Surface'!$O6="",-1,1))-'Adjustment Surface'!$O5)*('Adjustment Surface'!AH$3-INDEX('Adjustment Surface'!$AO$3:$BH$3,1,MATCH(('Adjustment Surface'!AH$3),'Adjustment Surface'!$AO$3:$BH$3,1)))+INDEX($AO$4:$BH$23,MATCH(INDEX('Adjustment Surface'!$AN$4:$AN$23,MATCH(('Adjustment Surface'!$O5),'Adjustment Surface'!$AN$4:$AN$23,1)+IF('Adjustment Surface'!$O6="",-1,1)),$AN$4:$AN$23,0),MATCH(INDEX('Adjustment Surface'!$AO$3:$BH$3,1,MATCH(('Adjustment Surface'!AH$3),'Adjustment Surface'!$AO$3:$BH$3,1)+IF('Adjustment Surface'!AI$3="",-1,1)),$AO$3:$BH$3,0))*('Adjustment Surface'!$O5-INDEX('Adjustment Surface'!$AN$4:$AN$23,MATCH(('Adjustment Surface'!$O5),'Adjustment Surface'!$AN$4:$AN$23,1)))*('Adjustment Surface'!AH$3-INDEX('Adjustment Surface'!$AO$3:$BH$3,1,MATCH(('Adjustment Surface'!AH$3),'Adjustment Surface'!$AO$3:$BH$3,1)))))</f>
        <v/>
      </c>
      <c r="AI5" s="182" t="str" cm="1">
        <f t="array" ref="AI5">IF(OR(AI$3="",$O5=""),"",1/((INDEX('Adjustment Surface'!$AN$4:$AN$23,MATCH(('Adjustment Surface'!$O5),'Adjustment Surface'!$AN$4:$AN$23,1)+IF('Adjustment Surface'!$O6="",-1,1))-INDEX('Adjustment Surface'!$AN$4:$AN$23,MATCH(('Adjustment Surface'!$O5),'Adjustment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Surface'!$O5),'Adjustment Surface'!$AN$4:$AN$23,1)),$AN$4:$AN$23,0),MATCH(INDEX('Adjustment Surface'!$AO$3:$BH$3,1,MATCH(('Adjustment Surface'!AI$3),'Adjustment Surface'!$AO$3:$BH$3,1)),$AO$3:$BH$3,0))*(INDEX('Adjustment Surface'!$AN$4:$AN$23,MATCH(('Adjustment Surface'!$O5),'Adjustment Surface'!$AN$4:$AN$23,1)+IF('Adjustment Surface'!$O6="",-1,1))-'Adjustment Surface'!$O5)*(INDEX('Adjustment Surface'!$AO$3:$BH$3,1,MATCH(('Adjustment Surface'!AI$3),'Adjustment Surface'!$AO$3:$BH$3,1)+IF('Adjustment Surface'!AJ$3="",-1,1))-'Adjustment Surface'!AI$3)+INDEX($AO$4:$BH$23,MATCH(INDEX('Adjustment Surface'!$AN$4:$AN$23,MATCH(('Adjustment Surface'!$O5),'Adjustment Surface'!$AN$4:$AN$23,1)+IF('Adjustment Surface'!$O6="",-1,1)),$AN$4:$AN$23,0),MATCH(INDEX('Adjustment Surface'!$AO$3:$BH$3,1,MATCH(('Adjustment Surface'!AI$3),'Adjustment Surface'!$AO$3:$BH$3,1)),$AO$3:$BH$3,0))*('Adjustment Surface'!$O5-INDEX('Adjustment Surface'!$AN$4:$AN$23,MATCH(('Adjustment Surface'!$O5),'Adjustment Surface'!$AN$4:$AN$23,1)))*(INDEX('Adjustment Surface'!$AO$3:$BH$3,1,MATCH(('Adjustment Surface'!AI$3),'Adjustment Surface'!$AO$3:$BH$3,1)+IF('Adjustment Surface'!AJ$3="",-1,1))-'Adjustment Surface'!AI$3)+INDEX($AO$4:$BH$23,MATCH(INDEX('Adjustment Surface'!$AN$4:$AN$23,MATCH(('Adjustment Surface'!$O5),'Adjustment Surface'!$AN$4:$AN$23,1)),$AN$4:$AN$23,0),MATCH(INDEX('Adjustment Surface'!$AO$3:$BH$3,1,MATCH(('Adjustment Surface'!AI$3),'Adjustment Surface'!$AO$3:$BH$3,1)+IF('Adjustment Surface'!AJ$3="",-1,1)),$AO$3:$BH$3,0))*(INDEX('Adjustment Surface'!$AN$4:$AN$23,MATCH(('Adjustment Surface'!$O5),'Adjustment Surface'!$AN$4:$AN$23,1)+IF('Adjustment Surface'!$O6="",-1,1))-'Adjustment Surface'!$O5)*('Adjustment Surface'!AI$3-INDEX('Adjustment Surface'!$AO$3:$BH$3,1,MATCH(('Adjustment Surface'!AI$3),'Adjustment Surface'!$AO$3:$BH$3,1)))+INDEX($AO$4:$BH$23,MATCH(INDEX('Adjustment Surface'!$AN$4:$AN$23,MATCH(('Adjustment Surface'!$O5),'Adjustment Surface'!$AN$4:$AN$23,1)+IF('Adjustment Surface'!$O6="",-1,1)),$AN$4:$AN$23,0),MATCH(INDEX('Adjustment Surface'!$AO$3:$BH$3,1,MATCH(('Adjustment Surface'!AI$3),'Adjustment Surface'!$AO$3:$BH$3,1)+IF('Adjustment Surface'!AJ$3="",-1,1)),$AO$3:$BH$3,0))*('Adjustment Surface'!$O5-INDEX('Adjustment Surface'!$AN$4:$AN$23,MATCH(('Adjustment Surface'!$O5),'Adjustment Surface'!$AN$4:$AN$23,1)))*('Adjustment Surface'!AI$3-INDEX('Adjustment Surface'!$AO$3:$BH$3,1,MATCH(('Adjustment Surface'!AI$3),'Adjustment Surface'!$AO$3:$BH$3,1)))))</f>
        <v/>
      </c>
      <c r="AK5" s="203">
        <f>IF(OR(AK4=IF('Adjustment Surface'!$C$2='Data Validation'!$A$2,_xlfn.FLOOR.MATH(MAX('Bank Adjustments'!$C$4:$C$103),0.5%,2),IF('Adjustment Surface'!$C$2='Data Validation'!$A$3,_xlfn.FLOOR.MATH(MAX('Bank Adjustments'!$M$4:$M$103),0.5%,2),"Uknown Option Type")),AK4=""),"",AK4+0.5%)</f>
        <v>2.5000000000000001E-2</v>
      </c>
      <c r="AL5" s="204">
        <f>IF(OR(AL4=IF('Adjustment Surface'!$C$2='Data Validation'!$A$2,IF(EDATE('Rate &amp; Vol Update'!$C$2,_xlfn.FLOOR.MATH(DATEDIF('Rate &amp; Vol Update'!$C$2,MAX('Bank Adjustments'!$E$4:$E$103),"M"),3,2))&gt;MAX('Bank Adjustments'!$E$4:$E$103),EDATE('Rate &amp; Vol Update'!$C$2,_xlfn.FLOOR.MATH(DATEDIF('Rate &amp; Vol Update'!$C$2,MAX('Bank Adjustments'!$E$4:$E$103),"M")-3,3,2)),EDATE('Rate &amp; Vol Update'!$C$2,_xlfn.FLOOR.MATH(DATEDIF('Rate &amp; Vol Update'!$C$2,MAX('Bank Adjustments'!$E$4:$E$103),"M"),3,2))),IF('Adjustment Surface'!$C$2='Data Validation'!$A$3,IF(EDATE('Rate &amp; Vol Update'!$C$2,_xlfn.FLOOR.MATH(DATEDIF('Rate &amp; Vol Update'!$C$2,MAX('Bank Adjustments'!$O$4:$O$103),"M"),3,2))&gt;MAX('Bank Adjustments'!$O$4:$O$103),EDATE('Rate &amp; Vol Update'!$C$2,_xlfn.FLOOR.MATH(DATEDIF('Rate &amp; Vol Update'!$C$2,MAX('Bank Adjustments'!$O$4:$O$103),"M")-3,3,2)),EDATE('Rate &amp; Vol Update'!$C$2,_xlfn.FLOOR.MATH(DATEDIF('Rate &amp; Vol Update'!$C$2,MAX('Bank Adjustments'!$O$4:$O$103),"M"),3,2))),"Unkown Option Type")),AL4=""),"",EDATE(AL4,3))</f>
        <v>46518</v>
      </c>
      <c r="AN5" s="176">
        <v>0.03</v>
      </c>
      <c r="AO5" s="180" cm="1">
        <f t="array" ref="AO5">IF(OR(AO$3="",$AN5=""),"",INDEX(IF($C$2='Data Validation'!$A$2,'Bank Adjustments'!$H$4:$H$103,IF('Adjustment Surface'!$C$2='Data Validation'!$A$3,'Bank Adjustments'!$R$4:$R$103,"Unknown Option Type")),MATCH(1,($AN5=IF($C$2='Data Validation'!$A$2,'Bank Adjustments'!$C$4:$C$103,IF('Adjustment Surface'!$C$2='Data Validation'!$A$3,'Bank Adjustments'!$M$4:$M$103,"Unknown Option Type")))*(AO$3=IF($C$2='Data Validation'!$A$2,'Bank Adjustments'!$E$4:$E$103,IF('Adjustment Surface'!$C$2='Data Validation'!$A$3,'Bank Adjustments'!$O$4:$O$103,"Unknown Option Type"))),0)))</f>
        <v>27.982763366688097</v>
      </c>
      <c r="AP5" s="181" cm="1">
        <f t="array" ref="AP5">IF(OR(AP$3="",$AN5=""),"",INDEX(IF($C$2='Data Validation'!$A$2,'Bank Adjustments'!$H$4:$H$103,IF('Adjustment Surface'!$C$2='Data Validation'!$A$3,'Bank Adjustments'!$R$4:$R$103,"Unknown Option Type")),MATCH(1,($AN5=IF($C$2='Data Validation'!$A$2,'Bank Adjustments'!$C$4:$C$103,IF('Adjustment Surface'!$C$2='Data Validation'!$A$3,'Bank Adjustments'!$M$4:$M$103,"Unknown Option Type")))*(AP$3=IF($C$2='Data Validation'!$A$2,'Bank Adjustments'!$E$4:$E$103,IF('Adjustment Surface'!$C$2='Data Validation'!$A$3,'Bank Adjustments'!$O$4:$O$103,"Unknown Option Type"))),0)))</f>
        <v>22.604346739944265</v>
      </c>
      <c r="AQ5" s="181" cm="1">
        <f t="array" ref="AQ5">IF(OR(AQ$3="",$AN5=""),"",INDEX(IF($C$2='Data Validation'!$A$2,'Bank Adjustments'!$H$4:$H$103,IF('Adjustment Surface'!$C$2='Data Validation'!$A$3,'Bank Adjustments'!$R$4:$R$103,"Unknown Option Type")),MATCH(1,($AN5=IF($C$2='Data Validation'!$A$2,'Bank Adjustments'!$C$4:$C$103,IF('Adjustment Surface'!$C$2='Data Validation'!$A$3,'Bank Adjustments'!$M$4:$M$103,"Unknown Option Type")))*(AQ$3=IF($C$2='Data Validation'!$A$2,'Bank Adjustments'!$E$4:$E$103,IF('Adjustment Surface'!$C$2='Data Validation'!$A$3,'Bank Adjustments'!$O$4:$O$103,"Unknown Option Type"))),0)))</f>
        <v>8.2623946155541219</v>
      </c>
      <c r="AR5" s="181" t="str" cm="1">
        <f t="array" ref="AR5">IF(OR(AR$3="",$AN5=""),"",INDEX(IF($C$2='Data Validation'!$A$2,'Bank Adjustments'!$H$4:$H$103,IF('Adjustment Surface'!$C$2='Data Validation'!$A$3,'Bank Adjustments'!$R$4:$R$103,"Unknown Option Type")),MATCH(1,($AN5=IF($C$2='Data Validation'!$A$2,'Bank Adjustments'!$C$4:$C$103,IF('Adjustment Surface'!$C$2='Data Validation'!$A$3,'Bank Adjustments'!$M$4:$M$103,"Unknown Option Type")))*(AR$3=IF($C$2='Data Validation'!$A$2,'Bank Adjustments'!$E$4:$E$103,IF('Adjustment Surface'!$C$2='Data Validation'!$A$3,'Bank Adjustments'!$O$4:$O$103,"Unknown Option Type"))),0)))</f>
        <v/>
      </c>
      <c r="AS5" s="181" t="str" cm="1">
        <f t="array" ref="AS5">IF(OR(AS$3="",$AN5=""),"",INDEX(IF($C$2='Data Validation'!$A$2,'Bank Adjustments'!$H$4:$H$103,IF('Adjustment Surface'!$C$2='Data Validation'!$A$3,'Bank Adjustments'!$R$4:$R$103,"Unknown Option Type")),MATCH(1,($AN5=IF($C$2='Data Validation'!$A$2,'Bank Adjustments'!$C$4:$C$103,IF('Adjustment Surface'!$C$2='Data Validation'!$A$3,'Bank Adjustments'!$M$4:$M$103,"Unknown Option Type")))*(AS$3=IF($C$2='Data Validation'!$A$2,'Bank Adjustments'!$E$4:$E$103,IF('Adjustment Surface'!$C$2='Data Validation'!$A$3,'Bank Adjustments'!$O$4:$O$103,"Unknown Option Type"))),0)))</f>
        <v/>
      </c>
      <c r="AT5" s="181" t="str" cm="1">
        <f t="array" ref="AT5">IF(OR(AT$3="",$AN5=""),"",INDEX(IF($C$2='Data Validation'!$A$2,'Bank Adjustments'!$H$4:$H$103,IF('Adjustment Surface'!$C$2='Data Validation'!$A$3,'Bank Adjustments'!$R$4:$R$103,"Unknown Option Type")),MATCH(1,($AN5=IF($C$2='Data Validation'!$A$2,'Bank Adjustments'!$C$4:$C$103,IF('Adjustment Surface'!$C$2='Data Validation'!$A$3,'Bank Adjustments'!$M$4:$M$103,"Unknown Option Type")))*(AT$3=IF($C$2='Data Validation'!$A$2,'Bank Adjustments'!$E$4:$E$103,IF('Adjustment Surface'!$C$2='Data Validation'!$A$3,'Bank Adjustments'!$O$4:$O$103,"Unknown Option Type"))),0)))</f>
        <v/>
      </c>
      <c r="AU5" s="181" t="str" cm="1">
        <f t="array" ref="AU5">IF(OR(AU$3="",$AN5=""),"",INDEX(IF($C$2='Data Validation'!$A$2,'Bank Adjustments'!$H$4:$H$103,IF('Adjustment Surface'!$C$2='Data Validation'!$A$3,'Bank Adjustments'!$R$4:$R$103,"Unknown Option Type")),MATCH(1,($AN5=IF($C$2='Data Validation'!$A$2,'Bank Adjustments'!$C$4:$C$103,IF('Adjustment Surface'!$C$2='Data Validation'!$A$3,'Bank Adjustments'!$M$4:$M$103,"Unknown Option Type")))*(AU$3=IF($C$2='Data Validation'!$A$2,'Bank Adjustments'!$E$4:$E$103,IF('Adjustment Surface'!$C$2='Data Validation'!$A$3,'Bank Adjustments'!$O$4:$O$103,"Unknown Option Type"))),0)))</f>
        <v/>
      </c>
      <c r="AV5" s="181" t="str" cm="1">
        <f t="array" ref="AV5">IF(OR(AV$3="",$AN5=""),"",INDEX(IF($C$2='Data Validation'!$A$2,'Bank Adjustments'!$H$4:$H$103,IF('Adjustment Surface'!$C$2='Data Validation'!$A$3,'Bank Adjustments'!$R$4:$R$103,"Unknown Option Type")),MATCH(1,($AN5=IF($C$2='Data Validation'!$A$2,'Bank Adjustments'!$C$4:$C$103,IF('Adjustment Surface'!$C$2='Data Validation'!$A$3,'Bank Adjustments'!$M$4:$M$103,"Unknown Option Type")))*(AV$3=IF($C$2='Data Validation'!$A$2,'Bank Adjustments'!$E$4:$E$103,IF('Adjustment Surface'!$C$2='Data Validation'!$A$3,'Bank Adjustments'!$O$4:$O$103,"Unknown Option Type"))),0)))</f>
        <v/>
      </c>
      <c r="AW5" s="181" t="str" cm="1">
        <f t="array" ref="AW5">IF(OR(AW$3="",$AN5=""),"",INDEX(IF($C$2='Data Validation'!$A$2,'Bank Adjustments'!$H$4:$H$103,IF('Adjustment Surface'!$C$2='Data Validation'!$A$3,'Bank Adjustments'!$R$4:$R$103,"Unknown Option Type")),MATCH(1,($AN5=IF($C$2='Data Validation'!$A$2,'Bank Adjustments'!$C$4:$C$103,IF('Adjustment Surface'!$C$2='Data Validation'!$A$3,'Bank Adjustments'!$M$4:$M$103,"Unknown Option Type")))*(AW$3=IF($C$2='Data Validation'!$A$2,'Bank Adjustments'!$E$4:$E$103,IF('Adjustment Surface'!$C$2='Data Validation'!$A$3,'Bank Adjustments'!$O$4:$O$103,"Unknown Option Type"))),0)))</f>
        <v/>
      </c>
      <c r="AX5" s="181" t="str" cm="1">
        <f t="array" ref="AX5">IF(OR(AX$3="",$AN5=""),"",INDEX(IF($C$2='Data Validation'!$A$2,'Bank Adjustments'!$H$4:$H$103,IF('Adjustment Surface'!$C$2='Data Validation'!$A$3,'Bank Adjustments'!$R$4:$R$103,"Unknown Option Type")),MATCH(1,($AN5=IF($C$2='Data Validation'!$A$2,'Bank Adjustments'!$C$4:$C$103,IF('Adjustment Surface'!$C$2='Data Validation'!$A$3,'Bank Adjustments'!$M$4:$M$103,"Unknown Option Type")))*(AX$3=IF($C$2='Data Validation'!$A$2,'Bank Adjustments'!$E$4:$E$103,IF('Adjustment Surface'!$C$2='Data Validation'!$A$3,'Bank Adjustments'!$O$4:$O$103,"Unknown Option Type"))),0)))</f>
        <v/>
      </c>
      <c r="AY5" s="181" t="str" cm="1">
        <f t="array" ref="AY5">IF(OR(AY$3="",$AN5=""),"",INDEX(IF($C$2='Data Validation'!$A$2,'Bank Adjustments'!$H$4:$H$103,IF('Adjustment Surface'!$C$2='Data Validation'!$A$3,'Bank Adjustments'!$R$4:$R$103,"Unknown Option Type")),MATCH(1,($AN5=IF($C$2='Data Validation'!$A$2,'Bank Adjustments'!$C$4:$C$103,IF('Adjustment Surface'!$C$2='Data Validation'!$A$3,'Bank Adjustments'!$M$4:$M$103,"Unknown Option Type")))*(AY$3=IF($C$2='Data Validation'!$A$2,'Bank Adjustments'!$E$4:$E$103,IF('Adjustment Surface'!$C$2='Data Validation'!$A$3,'Bank Adjustments'!$O$4:$O$103,"Unknown Option Type"))),0)))</f>
        <v/>
      </c>
      <c r="AZ5" s="181" t="str" cm="1">
        <f t="array" ref="AZ5">IF(OR(AZ$3="",$AN5=""),"",INDEX(IF($C$2='Data Validation'!$A$2,'Bank Adjustments'!$H$4:$H$103,IF('Adjustment Surface'!$C$2='Data Validation'!$A$3,'Bank Adjustments'!$R$4:$R$103,"Unknown Option Type")),MATCH(1,($AN5=IF($C$2='Data Validation'!$A$2,'Bank Adjustments'!$C$4:$C$103,IF('Adjustment Surface'!$C$2='Data Validation'!$A$3,'Bank Adjustments'!$M$4:$M$103,"Unknown Option Type")))*(AZ$3=IF($C$2='Data Validation'!$A$2,'Bank Adjustments'!$E$4:$E$103,IF('Adjustment Surface'!$C$2='Data Validation'!$A$3,'Bank Adjustments'!$O$4:$O$103,"Unknown Option Type"))),0)))</f>
        <v/>
      </c>
      <c r="BA5" s="181" t="str" cm="1">
        <f t="array" ref="BA5">IF(OR(BA$3="",$AN5=""),"",INDEX(IF($C$2='Data Validation'!$A$2,'Bank Adjustments'!$H$4:$H$103,IF('Adjustment Surface'!$C$2='Data Validation'!$A$3,'Bank Adjustments'!$R$4:$R$103,"Unknown Option Type")),MATCH(1,($AN5=IF($C$2='Data Validation'!$A$2,'Bank Adjustments'!$C$4:$C$103,IF('Adjustment Surface'!$C$2='Data Validation'!$A$3,'Bank Adjustments'!$M$4:$M$103,"Unknown Option Type")))*(BA$3=IF($C$2='Data Validation'!$A$2,'Bank Adjustments'!$E$4:$E$103,IF('Adjustment Surface'!$C$2='Data Validation'!$A$3,'Bank Adjustments'!$O$4:$O$103,"Unknown Option Type"))),0)))</f>
        <v/>
      </c>
      <c r="BB5" s="181" t="str" cm="1">
        <f t="array" ref="BB5">IF(OR(BB$3="",$AN5=""),"",INDEX(IF($C$2='Data Validation'!$A$2,'Bank Adjustments'!$H$4:$H$103,IF('Adjustment Surface'!$C$2='Data Validation'!$A$3,'Bank Adjustments'!$R$4:$R$103,"Unknown Option Type")),MATCH(1,($AN5=IF($C$2='Data Validation'!$A$2,'Bank Adjustments'!$C$4:$C$103,IF('Adjustment Surface'!$C$2='Data Validation'!$A$3,'Bank Adjustments'!$M$4:$M$103,"Unknown Option Type")))*(BB$3=IF($C$2='Data Validation'!$A$2,'Bank Adjustments'!$E$4:$E$103,IF('Adjustment Surface'!$C$2='Data Validation'!$A$3,'Bank Adjustments'!$O$4:$O$103,"Unknown Option Type"))),0)))</f>
        <v/>
      </c>
      <c r="BC5" s="181" t="str" cm="1">
        <f t="array" ref="BC5">IF(OR(BC$3="",$AN5=""),"",INDEX(IF($C$2='Data Validation'!$A$2,'Bank Adjustments'!$H$4:$H$103,IF('Adjustment Surface'!$C$2='Data Validation'!$A$3,'Bank Adjustments'!$R$4:$R$103,"Unknown Option Type")),MATCH(1,($AN5=IF($C$2='Data Validation'!$A$2,'Bank Adjustments'!$C$4:$C$103,IF('Adjustment Surface'!$C$2='Data Validation'!$A$3,'Bank Adjustments'!$M$4:$M$103,"Unknown Option Type")))*(BC$3=IF($C$2='Data Validation'!$A$2,'Bank Adjustments'!$E$4:$E$103,IF('Adjustment Surface'!$C$2='Data Validation'!$A$3,'Bank Adjustments'!$O$4:$O$103,"Unknown Option Type"))),0)))</f>
        <v/>
      </c>
      <c r="BD5" s="181" t="str" cm="1">
        <f t="array" ref="BD5">IF(OR(BD$3="",$AN5=""),"",INDEX(IF($C$2='Data Validation'!$A$2,'Bank Adjustments'!$H$4:$H$103,IF('Adjustment Surface'!$C$2='Data Validation'!$A$3,'Bank Adjustments'!$R$4:$R$103,"Unknown Option Type")),MATCH(1,($AN5=IF($C$2='Data Validation'!$A$2,'Bank Adjustments'!$C$4:$C$103,IF('Adjustment Surface'!$C$2='Data Validation'!$A$3,'Bank Adjustments'!$M$4:$M$103,"Unknown Option Type")))*(BD$3=IF($C$2='Data Validation'!$A$2,'Bank Adjustments'!$E$4:$E$103,IF('Adjustment Surface'!$C$2='Data Validation'!$A$3,'Bank Adjustments'!$O$4:$O$103,"Unknown Option Type"))),0)))</f>
        <v/>
      </c>
      <c r="BE5" s="181" t="str" cm="1">
        <f t="array" ref="BE5">IF(OR(BE$3="",$AN5=""),"",INDEX(IF($C$2='Data Validation'!$A$2,'Bank Adjustments'!$H$4:$H$103,IF('Adjustment Surface'!$C$2='Data Validation'!$A$3,'Bank Adjustments'!$R$4:$R$103,"Unknown Option Type")),MATCH(1,($AN5=IF($C$2='Data Validation'!$A$2,'Bank Adjustments'!$C$4:$C$103,IF('Adjustment Surface'!$C$2='Data Validation'!$A$3,'Bank Adjustments'!$M$4:$M$103,"Unknown Option Type")))*(BE$3=IF($C$2='Data Validation'!$A$2,'Bank Adjustments'!$E$4:$E$103,IF('Adjustment Surface'!$C$2='Data Validation'!$A$3,'Bank Adjustments'!$O$4:$O$103,"Unknown Option Type"))),0)))</f>
        <v/>
      </c>
      <c r="BF5" s="181" t="str" cm="1">
        <f t="array" ref="BF5">IF(OR(BF$3="",$AN5=""),"",INDEX(IF($C$2='Data Validation'!$A$2,'Bank Adjustments'!$H$4:$H$103,IF('Adjustment Surface'!$C$2='Data Validation'!$A$3,'Bank Adjustments'!$R$4:$R$103,"Unknown Option Type")),MATCH(1,($AN5=IF($C$2='Data Validation'!$A$2,'Bank Adjustments'!$C$4:$C$103,IF('Adjustment Surface'!$C$2='Data Validation'!$A$3,'Bank Adjustments'!$M$4:$M$103,"Unknown Option Type")))*(BF$3=IF($C$2='Data Validation'!$A$2,'Bank Adjustments'!$E$4:$E$103,IF('Adjustment Surface'!$C$2='Data Validation'!$A$3,'Bank Adjustments'!$O$4:$O$103,"Unknown Option Type"))),0)))</f>
        <v/>
      </c>
      <c r="BG5" s="181" t="str" cm="1">
        <f t="array" ref="BG5">IF(OR(BG$3="",$AN5=""),"",INDEX(IF($C$2='Data Validation'!$A$2,'Bank Adjustments'!$H$4:$H$103,IF('Adjustment Surface'!$C$2='Data Validation'!$A$3,'Bank Adjustments'!$R$4:$R$103,"Unknown Option Type")),MATCH(1,($AN5=IF($C$2='Data Validation'!$A$2,'Bank Adjustments'!$C$4:$C$103,IF('Adjustment Surface'!$C$2='Data Validation'!$A$3,'Bank Adjustments'!$M$4:$M$103,"Unknown Option Type")))*(BG$3=IF($C$2='Data Validation'!$A$2,'Bank Adjustments'!$E$4:$E$103,IF('Adjustment Surface'!$C$2='Data Validation'!$A$3,'Bank Adjustments'!$O$4:$O$103,"Unknown Option Type"))),0)))</f>
        <v/>
      </c>
      <c r="BH5" s="182" t="str" cm="1">
        <f t="array" ref="BH5">IF(OR(BH$3="",$AN5=""),"",INDEX(IF($C$2='Data Validation'!$A$2,'Bank Adjustments'!$H$4:$H$103,IF('Adjustment Surface'!$C$2='Data Validation'!$A$3,'Bank Adjustments'!$R$4:$R$103,"Unknown Option Type")),MATCH(1,($AN5=IF($C$2='Data Validation'!$A$2,'Bank Adjustments'!$C$4:$C$103,IF('Adjustment Surface'!$C$2='Data Validation'!$A$3,'Bank Adjustments'!$M$4:$M$103,"Unknown Option Type")))*(BH$3=IF($C$2='Data Validation'!$A$2,'Bank Adjustments'!$E$4:$E$103,IF('Adjustment Surface'!$C$2='Data Validation'!$A$3,'Bank Adjustments'!$O$4:$O$103,"Unknown Option Type"))),0)))</f>
        <v/>
      </c>
    </row>
    <row r="6" spans="2:61" x14ac:dyDescent="0.25">
      <c r="B6" s="6" t="s">
        <v>15</v>
      </c>
      <c r="C6" s="71">
        <f>IF('Control Panel'!C3='Data Validation'!J2,#REF!,EDATE(C8,IF(EDATE(C8,-DATEDIF(C5,C8,"M"))=C5,1,0)-DATEDIF(C5,C8,"M")))</f>
        <v>46092</v>
      </c>
      <c r="E6" s="6" t="s">
        <v>47</v>
      </c>
      <c r="F6" s="26" cm="1">
        <f t="array" ref="F6">IF(AND(COUNT(O4:O23)&lt;2,COUNT(P3:AI3)&lt;2),P27,IF(COUNT(O4:O23)&lt;2,_xlfn.FORECAST.LINEAR(C8,INDEX(P27:AI27,1,MATCH(IF(C8&lt;MIN(P3:AI3),INDEX(P3:AI3,1,MATCH(MIN(P3:AI3),P3:AI3,0)),IF(C8&gt;=MAX(P3:AI3),INDEX(P3:AI3,1,MATCH(MAX(P3:AI3),P3:AI3,0)),INDEX(P3:AI3,1,MATCH(C8,P3:AI3,1)))):IF(C8&lt;MIN(P3:AI3),INDEX(P3:AI3,1,MATCH(MIN(P3:AI3),P3:AI3,0)+1),IF(C8&gt;=MAX(P3:AI3),INDEX(P3:AI3,1,MATCH(MAX(P3:AI3),P3:AI3,0)-1),INDEX(P3:AI3,1,MATCH(C8,P3:AI3,1)+1))),P3:AI3,0)),IF(C8&lt;MIN(P3:AI3),INDEX(P3:AI3,1,MATCH(MIN(P3:AI3),P3:AI3,0)),IF(C8&gt;=MAX(P3:AI3),INDEX(P3:AI3,1,MATCH(MAX(P3:AI3),P3:AI3,0)),INDEX(P3:AI3,1,MATCH(C8,P3:AI3,1)))):IF(C8&lt;MIN(P3:AI3),INDEX(P3:AI3,1,MATCH(MIN(P3:AI3),P3:AI3,0)+1),IF(C8&gt;=MAX(P3:AI3),INDEX(P3:AI3,1,MATCH(MAX(P3:AI3),P3:AI3,0)-1),INDEX(P3:AI3,1,MATCH(C8,P3:AI3,1)+1)))),IF(COUNT(P3:AI3)&lt;2,_xlfn.FORECAST.LINEAR(C10,INDEX(P27:P46,MATCH(IF(C10&lt;MIN(O4:O23),INDEX(O4:O23,MATCH(MIN(O4:O23),O4:O23,0)),IF(C10&gt;=MAX(O4:O23),INDEX(O4:O23,MATCH(MAX(O4:O23),O4:O23,0)),INDEX(O4:O23,MATCH(C10,O4:O23,1)))):IF(C10&lt;MIN(O4:O23),INDEX(O4:O23,MATCH(MIN(O4:O23),O4:O23,0)+1),IF(C10&gt;=MAX(O4:O23),INDEX(O4:O23,MATCH(MAX(O4:O23),O4:O23,0)-1),INDEX(O4:O23,MATCH(C10,O4:O23,1)+1))),O4:O23,0)),IF(C10&lt;MIN(O4:O23),INDEX(O4:O23,MATCH(MIN(O4:O23),O4:O23,0)),IF(C10&gt;=MAX(O4:O23),INDEX(O4:O23,MATCH(MAX(O4:O23),O4:O23,0)),INDEX(O4:O23,MATCH(C10,O4:O23,1)))):IF(C10&lt;MIN(O4:O23),INDEX(O4:O23,MATCH(MIN(O4:O23),O4:O23,0)+1),IF(C10&gt;=MAX(O4:O23),INDEX(O4:O23,MATCH(MAX(O4:O23),O4:O23,0)-1),INDEX(O4:O23,MATCH(C10,O4:O23,1)+1)))),1/((INDEX(_xlfn._xlws.FILTER(H4:H23,(INDEX(H4:H23,MATCH(SMALL(I4:I23,1),I4:I23,0))=H4:H23)=FALSE()),MATCH(SMALL(I4:I23,2),_xlfn._xlws.FILTER(I4:I23,(INDEX(H4:H23,MATCH(SMALL(I4:I23,1),I4:I23,0))=H4:H23)=FALSE()),0))-INDEX(H4:H23,MATCH(SMALL(I4:I23,1),I4:I23,0)))*(INDEX(_xlfn._xlws.FILTER(H27:H46,(INDEX(H27:H46,MATCH(SMALL(I27:I46,1),I27:I46,0))=H27:H46)=FALSE()),MATCH(SMALL(I27:I46,2),_xlfn._xlws.FILTER(I27:I46,(INDEX(H27:H46,MATCH(SMALL(I27:I46,1),I27:I46,0))=H27:H46)=FALSE()),0))-INDEX(H27:H46,MATCH(SMALL(I27:I46,1),I27:I46,0))))*(INDEX(P27:AI46,MATCH(INDEX(H27:H46,MATCH(SMALL(I27:I46,1),I27:I46,0)),O27:O46,0),MATCH(INDEX(H4:H23,MATCH(SMALL(I4:I23,1),I4:I23,0)),P26:AI26,0))*(INDEX(_xlfn._xlws.FILTER(H4:H23,(INDEX(H4:H23,MATCH(SMALL(I4:I23,1),I4:I23,0))=H4:H23)=FALSE()),MATCH(SMALL(I4:I23,2),_xlfn._xlws.FILTER(I4:I23,(INDEX(H4:H23,MATCH(SMALL(I4:I23,1),I4:I23,0))=H4:H23)=FALSE()),0))-C8)*(INDEX(_xlfn._xlws.FILTER(H27:H46,(INDEX(H27:H46,MATCH(SMALL(I27:I46,1),I27:I46,0))=H27:H46)=FALSE()),MATCH(SMALL(I27:I46,2),_xlfn._xlws.FILTER(I27:I46,(INDEX(H27:H46,MATCH(SMALL(I27:I46,1),I27:I46,0))=H27:H46)=FALSE()),0))-IF(C9='Data Validation'!D2,C10,IF(C9='Data Validation'!D3,SUMPRODUCT('Bachelier Model'!N4:N124,'Bachelier Model'!O4:O124)/SUM('Bachelier Model'!N4:N124),"Strike Type Unknown")))+INDEX(P27:AI46,MATCH(INDEX(H27:H46,MATCH(SMALL(I27:I46,1),I27:I46,0)),O27:O46,0),MATCH(INDEX(_xlfn._xlws.FILTER(H4:H23,(INDEX(H4:H23,MATCH(SMALL(I4:I23,1),I4:I23,0))=H4:H23)=FALSE()),MATCH(SMALL(I4:I23,2),_xlfn._xlws.FILTER(I4:I23,(INDEX(H4:H23,MATCH(SMALL(I4:I23,1),I4:I23,0))=H4:H23)=FALSE()),0)),P26:AI26,0))*(C8-INDEX(H4:H23,MATCH(SMALL(I4:I23,1),I4:I23,0)))*(INDEX(_xlfn._xlws.FILTER(H27:H46,(INDEX(H27:H46,MATCH(SMALL(I27:I46,1),I27:I46,0))=H27:H46)=FALSE()),MATCH(SMALL(I27:I46,2),_xlfn._xlws.FILTER(I27:I46,(INDEX(H27:H46,MATCH(SMALL(I27:I46,1),I27:I46,0))=H27:H46)=FALSE()),0))-IF(C9='Data Validation'!D2,C10,IF(C9='Data Validation'!D3,SUMPRODUCT('Bachelier Model'!N4:N124,'Bachelier Model'!O4:O124)/SUM('Bachelier Model'!N4:N124),"Strike Type Unknown")))+INDEX(P27:AI46,MATCH(INDEX(_xlfn._xlws.FILTER(H27:H46,(INDEX(H27:H46,MATCH(SMALL(I27:I46,1),I27:I46,0))=H27:H46)=FALSE()),MATCH(SMALL(I27:I46,2),_xlfn._xlws.FILTER(I27:I46,(INDEX(H27:H46,MATCH(SMALL(I27:I46,1),I27:I46,0))=H27:H46)=FALSE()),0)),O27:O46,0),MATCH(INDEX(H4:H23,MATCH(SMALL(I4:I23,1),I4:I23,0)),P26:AI26,0))*(INDEX(_xlfn._xlws.FILTER(H4:H23,(INDEX(H4:H23,MATCH(SMALL(I4:I23,1),I4:I23,0))=H4:H23)=FALSE()),MATCH(SMALL(I4:I23,2),_xlfn._xlws.FILTER(I4:I23,(INDEX(H4:H23,MATCH(SMALL(I4:I23,1),I4:I23,0))=H4:H23)=FALSE()),0))-C8)*(IF(C9='Data Validation'!D2,C10,IF(C9='Data Validation'!D3,SUMPRODUCT('Bachelier Model'!N4:N124,'Bachelier Model'!O4:O124)/SUM('Bachelier Model'!N4:N124),"Strike Type Unknown"))-INDEX(H27:H46,MATCH(SMALL(I27:I46,1),I27:I46,0)))+INDEX(P27:AI46,MATCH(INDEX(_xlfn._xlws.FILTER(H27:H46,(INDEX(H27:H46,MATCH(SMALL(I27:I46,1),I27:I46,0))=H27:H46)=FALSE()),MATCH(SMALL(I27:I46,2),_xlfn._xlws.FILTER(I27:I46,(INDEX(H27:H46,MATCH(SMALL(I27:I46,1),I27:I46,0))=H27:H46)=FALSE()),0)),O27:O46,0),MATCH(INDEX(_xlfn._xlws.FILTER(H4:H23,(INDEX(H4:H23,MATCH(SMALL(I4:I23,1),I4:I23,0))=H4:H23)=FALSE()),MATCH(SMALL(I4:I23,2),_xlfn._xlws.FILTER(I4:I23,(INDEX(H4:H23,MATCH(SMALL(I4:I23,1),I4:I23,0))=H4:H23)=FALSE()),0)),P26:AI26,0))*(C8-INDEX(H4:H23,MATCH(SMALL(I4:I23,1),I4:I23,0)))*(IF(C9='Data Validation'!D2,C10,IF(C9='Data Validation'!D3,SUMPRODUCT('Bachelier Model'!N4:N124,'Bachelier Model'!O4:O124)/SUM('Bachelier Model'!N4:N124),"Strike Type Unknown"))-INDEX(H27:H46,MATCH(SMALL(I27:I46,1),I27:I46,0)))))))</f>
        <v>2.5630131505599646E-2</v>
      </c>
      <c r="H6" s="171">
        <v>46610</v>
      </c>
      <c r="I6" s="61">
        <f t="shared" si="1"/>
        <v>550</v>
      </c>
      <c r="J6" s="62">
        <f t="shared" si="1"/>
        <v>181</v>
      </c>
      <c r="K6" s="62">
        <f t="shared" si="1"/>
        <v>184</v>
      </c>
      <c r="L6" s="62">
        <f t="shared" si="1"/>
        <v>550</v>
      </c>
      <c r="M6" s="63">
        <f t="shared" si="1"/>
        <v>915</v>
      </c>
      <c r="O6" s="176">
        <v>0.03</v>
      </c>
      <c r="P6" s="180" cm="1">
        <f t="array" ref="P6">IF(OR(P$3="",$O6=""),"",1/((INDEX('Adjustment Surface'!$AN$4:$AN$23,MATCH(('Adjustment Surface'!$O6),'Adjustment Surface'!$AN$4:$AN$23,1)+IF('Adjustment Surface'!$O7="",-1,1))-INDEX('Adjustment Surface'!$AN$4:$AN$23,MATCH(('Adjustment Surface'!$O6),'Adjustment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Surface'!$O6),'Adjustment Surface'!$AN$4:$AN$23,1)),$AN$4:$AN$23,0),MATCH(INDEX('Adjustment Surface'!$AO$3:$BH$3,1,MATCH(('Adjustment Surface'!P$3),'Adjustment Surface'!$AO$3:$BH$3,1)),$AO$3:$BH$3,0))*(INDEX('Adjustment Surface'!$AN$4:$AN$23,MATCH(('Adjustment Surface'!$O6),'Adjustment Surface'!$AN$4:$AN$23,1)+IF('Adjustment Surface'!$O7="",-1,1))-'Adjustment Surface'!$O6)*(INDEX('Adjustment Surface'!$AO$3:$BH$3,1,MATCH(('Adjustment Surface'!P$3),'Adjustment Surface'!$AO$3:$BH$3,1)+IF('Adjustment Surface'!Q$3="",-1,1))-'Adjustment Surface'!P$3)+INDEX($AO$4:$BH$23,MATCH(INDEX('Adjustment Surface'!$AN$4:$AN$23,MATCH(('Adjustment Surface'!$O6),'Adjustment Surface'!$AN$4:$AN$23,1)+IF('Adjustment Surface'!$O7="",-1,1)),$AN$4:$AN$23,0),MATCH(INDEX('Adjustment Surface'!$AO$3:$BH$3,1,MATCH(('Adjustment Surface'!P$3),'Adjustment Surface'!$AO$3:$BH$3,1)),$AO$3:$BH$3,0))*('Adjustment Surface'!$O6-INDEX('Adjustment Surface'!$AN$4:$AN$23,MATCH(('Adjustment Surface'!$O6),'Adjustment Surface'!$AN$4:$AN$23,1)))*(INDEX('Adjustment Surface'!$AO$3:$BH$3,1,MATCH(('Adjustment Surface'!P$3),'Adjustment Surface'!$AO$3:$BH$3,1)+IF('Adjustment Surface'!Q$3="",-1,1))-'Adjustment Surface'!P$3)+INDEX($AO$4:$BH$23,MATCH(INDEX('Adjustment Surface'!$AN$4:$AN$23,MATCH(('Adjustment Surface'!$O6),'Adjustment Surface'!$AN$4:$AN$23,1)),$AN$4:$AN$23,0),MATCH(INDEX('Adjustment Surface'!$AO$3:$BH$3,1,MATCH(('Adjustment Surface'!P$3),'Adjustment Surface'!$AO$3:$BH$3,1)+IF('Adjustment Surface'!Q$3="",-1,1)),$AO$3:$BH$3,0))*(INDEX('Adjustment Surface'!$AN$4:$AN$23,MATCH(('Adjustment Surface'!$O6),'Adjustment Surface'!$AN$4:$AN$23,1)+IF('Adjustment Surface'!$O7="",-1,1))-'Adjustment Surface'!$O6)*('Adjustment Surface'!P$3-INDEX('Adjustment Surface'!$AO$3:$BH$3,1,MATCH(('Adjustment Surface'!P$3),'Adjustment Surface'!$AO$3:$BH$3,1)))+INDEX($AO$4:$BH$23,MATCH(INDEX('Adjustment Surface'!$AN$4:$AN$23,MATCH(('Adjustment Surface'!$O6),'Adjustment Surface'!$AN$4:$AN$23,1)+IF('Adjustment Surface'!$O7="",-1,1)),$AN$4:$AN$23,0),MATCH(INDEX('Adjustment Surface'!$AO$3:$BH$3,1,MATCH(('Adjustment Surface'!P$3),'Adjustment Surface'!$AO$3:$BH$3,1)+IF('Adjustment Surface'!Q$3="",-1,1)),$AO$3:$BH$3,0))*('Adjustment Surface'!$O6-INDEX('Adjustment Surface'!$AN$4:$AN$23,MATCH(('Adjustment Surface'!$O6),'Adjustment Surface'!$AN$4:$AN$23,1)))*('Adjustment Surface'!P$3-INDEX('Adjustment Surface'!$AO$3:$BH$3,1,MATCH(('Adjustment Surface'!P$3),'Adjustment Surface'!$AO$3:$BH$3,1)))))</f>
        <v>27.982763366688093</v>
      </c>
      <c r="Q6" s="181" cm="1">
        <f t="array" ref="Q6">IF(OR(Q$3="",$O6=""),"",1/((INDEX('Adjustment Surface'!$AN$4:$AN$23,MATCH(('Adjustment Surface'!$O6),'Adjustment Surface'!$AN$4:$AN$23,1)+IF('Adjustment Surface'!$O7="",-1,1))-INDEX('Adjustment Surface'!$AN$4:$AN$23,MATCH(('Adjustment Surface'!$O6),'Adjustment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Surface'!$O6),'Adjustment Surface'!$AN$4:$AN$23,1)),$AN$4:$AN$23,0),MATCH(INDEX('Adjustment Surface'!$AO$3:$BH$3,1,MATCH(('Adjustment Surface'!Q$3),'Adjustment Surface'!$AO$3:$BH$3,1)),$AO$3:$BH$3,0))*(INDEX('Adjustment Surface'!$AN$4:$AN$23,MATCH(('Adjustment Surface'!$O6),'Adjustment Surface'!$AN$4:$AN$23,1)+IF('Adjustment Surface'!$O7="",-1,1))-'Adjustment Surface'!$O6)*(INDEX('Adjustment Surface'!$AO$3:$BH$3,1,MATCH(('Adjustment Surface'!Q$3),'Adjustment Surface'!$AO$3:$BH$3,1)+IF('Adjustment Surface'!R$3="",-1,1))-'Adjustment Surface'!Q$3)+INDEX($AO$4:$BH$23,MATCH(INDEX('Adjustment Surface'!$AN$4:$AN$23,MATCH(('Adjustment Surface'!$O6),'Adjustment Surface'!$AN$4:$AN$23,1)+IF('Adjustment Surface'!$O7="",-1,1)),$AN$4:$AN$23,0),MATCH(INDEX('Adjustment Surface'!$AO$3:$BH$3,1,MATCH(('Adjustment Surface'!Q$3),'Adjustment Surface'!$AO$3:$BH$3,1)),$AO$3:$BH$3,0))*('Adjustment Surface'!$O6-INDEX('Adjustment Surface'!$AN$4:$AN$23,MATCH(('Adjustment Surface'!$O6),'Adjustment Surface'!$AN$4:$AN$23,1)))*(INDEX('Adjustment Surface'!$AO$3:$BH$3,1,MATCH(('Adjustment Surface'!Q$3),'Adjustment Surface'!$AO$3:$BH$3,1)+IF('Adjustment Surface'!R$3="",-1,1))-'Adjustment Surface'!Q$3)+INDEX($AO$4:$BH$23,MATCH(INDEX('Adjustment Surface'!$AN$4:$AN$23,MATCH(('Adjustment Surface'!$O6),'Adjustment Surface'!$AN$4:$AN$23,1)),$AN$4:$AN$23,0),MATCH(INDEX('Adjustment Surface'!$AO$3:$BH$3,1,MATCH(('Adjustment Surface'!Q$3),'Adjustment Surface'!$AO$3:$BH$3,1)+IF('Adjustment Surface'!R$3="",-1,1)),$AO$3:$BH$3,0))*(INDEX('Adjustment Surface'!$AN$4:$AN$23,MATCH(('Adjustment Surface'!$O6),'Adjustment Surface'!$AN$4:$AN$23,1)+IF('Adjustment Surface'!$O7="",-1,1))-'Adjustment Surface'!$O6)*('Adjustment Surface'!Q$3-INDEX('Adjustment Surface'!$AO$3:$BH$3,1,MATCH(('Adjustment Surface'!Q$3),'Adjustment Surface'!$AO$3:$BH$3,1)))+INDEX($AO$4:$BH$23,MATCH(INDEX('Adjustment Surface'!$AN$4:$AN$23,MATCH(('Adjustment Surface'!$O6),'Adjustment Surface'!$AN$4:$AN$23,1)+IF('Adjustment Surface'!$O7="",-1,1)),$AN$4:$AN$23,0),MATCH(INDEX('Adjustment Surface'!$AO$3:$BH$3,1,MATCH(('Adjustment Surface'!Q$3),'Adjustment Surface'!$AO$3:$BH$3,1)+IF('Adjustment Surface'!R$3="",-1,1)),$AO$3:$BH$3,0))*('Adjustment Surface'!$O6-INDEX('Adjustment Surface'!$AN$4:$AN$23,MATCH(('Adjustment Surface'!$O6),'Adjustment Surface'!$AN$4:$AN$23,1)))*('Adjustment Surface'!Q$3-INDEX('Adjustment Surface'!$AO$3:$BH$3,1,MATCH(('Adjustment Surface'!Q$3),'Adjustment Surface'!$AO$3:$BH$3,1)))))</f>
        <v>26.671313833043712</v>
      </c>
      <c r="R6" s="181" cm="1">
        <f t="array" ref="R6">IF(OR(R$3="",$O6=""),"",1/((INDEX('Adjustment Surface'!$AN$4:$AN$23,MATCH(('Adjustment Surface'!$O6),'Adjustment Surface'!$AN$4:$AN$23,1)+IF('Adjustment Surface'!$O7="",-1,1))-INDEX('Adjustment Surface'!$AN$4:$AN$23,MATCH(('Adjustment Surface'!$O6),'Adjustment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Surface'!$O6),'Adjustment Surface'!$AN$4:$AN$23,1)),$AN$4:$AN$23,0),MATCH(INDEX('Adjustment Surface'!$AO$3:$BH$3,1,MATCH(('Adjustment Surface'!R$3),'Adjustment Surface'!$AO$3:$BH$3,1)),$AO$3:$BH$3,0))*(INDEX('Adjustment Surface'!$AN$4:$AN$23,MATCH(('Adjustment Surface'!$O6),'Adjustment Surface'!$AN$4:$AN$23,1)+IF('Adjustment Surface'!$O7="",-1,1))-'Adjustment Surface'!$O6)*(INDEX('Adjustment Surface'!$AO$3:$BH$3,1,MATCH(('Adjustment Surface'!R$3),'Adjustment Surface'!$AO$3:$BH$3,1)+IF('Adjustment Surface'!S$3="",-1,1))-'Adjustment Surface'!R$3)+INDEX($AO$4:$BH$23,MATCH(INDEX('Adjustment Surface'!$AN$4:$AN$23,MATCH(('Adjustment Surface'!$O6),'Adjustment Surface'!$AN$4:$AN$23,1)+IF('Adjustment Surface'!$O7="",-1,1)),$AN$4:$AN$23,0),MATCH(INDEX('Adjustment Surface'!$AO$3:$BH$3,1,MATCH(('Adjustment Surface'!R$3),'Adjustment Surface'!$AO$3:$BH$3,1)),$AO$3:$BH$3,0))*('Adjustment Surface'!$O6-INDEX('Adjustment Surface'!$AN$4:$AN$23,MATCH(('Adjustment Surface'!$O6),'Adjustment Surface'!$AN$4:$AN$23,1)))*(INDEX('Adjustment Surface'!$AO$3:$BH$3,1,MATCH(('Adjustment Surface'!R$3),'Adjustment Surface'!$AO$3:$BH$3,1)+IF('Adjustment Surface'!S$3="",-1,1))-'Adjustment Surface'!R$3)+INDEX($AO$4:$BH$23,MATCH(INDEX('Adjustment Surface'!$AN$4:$AN$23,MATCH(('Adjustment Surface'!$O6),'Adjustment Surface'!$AN$4:$AN$23,1)),$AN$4:$AN$23,0),MATCH(INDEX('Adjustment Surface'!$AO$3:$BH$3,1,MATCH(('Adjustment Surface'!R$3),'Adjustment Surface'!$AO$3:$BH$3,1)+IF('Adjustment Surface'!S$3="",-1,1)),$AO$3:$BH$3,0))*(INDEX('Adjustment Surface'!$AN$4:$AN$23,MATCH(('Adjustment Surface'!$O6),'Adjustment Surface'!$AN$4:$AN$23,1)+IF('Adjustment Surface'!$O7="",-1,1))-'Adjustment Surface'!$O6)*('Adjustment Surface'!R$3-INDEX('Adjustment Surface'!$AO$3:$BH$3,1,MATCH(('Adjustment Surface'!R$3),'Adjustment Surface'!$AO$3:$BH$3,1)))+INDEX($AO$4:$BH$23,MATCH(INDEX('Adjustment Surface'!$AN$4:$AN$23,MATCH(('Adjustment Surface'!$O6),'Adjustment Surface'!$AN$4:$AN$23,1)+IF('Adjustment Surface'!$O7="",-1,1)),$AN$4:$AN$23,0),MATCH(INDEX('Adjustment Surface'!$AO$3:$BH$3,1,MATCH(('Adjustment Surface'!R$3),'Adjustment Surface'!$AO$3:$BH$3,1)+IF('Adjustment Surface'!S$3="",-1,1)),$AO$3:$BH$3,0))*('Adjustment Surface'!$O6-INDEX('Adjustment Surface'!$AN$4:$AN$23,MATCH(('Adjustment Surface'!$O6),'Adjustment Surface'!$AN$4:$AN$23,1)))*('Adjustment Surface'!R$3-INDEX('Adjustment Surface'!$AO$3:$BH$3,1,MATCH(('Adjustment Surface'!R$3),'Adjustment Surface'!$AO$3:$BH$3,1)))))</f>
        <v>25.315658135343895</v>
      </c>
      <c r="S6" s="181" cm="1">
        <f t="array" ref="S6">IF(OR(S$3="",$O6=""),"",1/((INDEX('Adjustment Surface'!$AN$4:$AN$23,MATCH(('Adjustment Surface'!$O6),'Adjustment Surface'!$AN$4:$AN$23,1)+IF('Adjustment Surface'!$O7="",-1,1))-INDEX('Adjustment Surface'!$AN$4:$AN$23,MATCH(('Adjustment Surface'!$O6),'Adjustment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Surface'!$O6),'Adjustment Surface'!$AN$4:$AN$23,1)),$AN$4:$AN$23,0),MATCH(INDEX('Adjustment Surface'!$AO$3:$BH$3,1,MATCH(('Adjustment Surface'!S$3),'Adjustment Surface'!$AO$3:$BH$3,1)),$AO$3:$BH$3,0))*(INDEX('Adjustment Surface'!$AN$4:$AN$23,MATCH(('Adjustment Surface'!$O6),'Adjustment Surface'!$AN$4:$AN$23,1)+IF('Adjustment Surface'!$O7="",-1,1))-'Adjustment Surface'!$O6)*(INDEX('Adjustment Surface'!$AO$3:$BH$3,1,MATCH(('Adjustment Surface'!S$3),'Adjustment Surface'!$AO$3:$BH$3,1)+IF('Adjustment Surface'!T$3="",-1,1))-'Adjustment Surface'!S$3)+INDEX($AO$4:$BH$23,MATCH(INDEX('Adjustment Surface'!$AN$4:$AN$23,MATCH(('Adjustment Surface'!$O6),'Adjustment Surface'!$AN$4:$AN$23,1)+IF('Adjustment Surface'!$O7="",-1,1)),$AN$4:$AN$23,0),MATCH(INDEX('Adjustment Surface'!$AO$3:$BH$3,1,MATCH(('Adjustment Surface'!S$3),'Adjustment Surface'!$AO$3:$BH$3,1)),$AO$3:$BH$3,0))*('Adjustment Surface'!$O6-INDEX('Adjustment Surface'!$AN$4:$AN$23,MATCH(('Adjustment Surface'!$O6),'Adjustment Surface'!$AN$4:$AN$23,1)))*(INDEX('Adjustment Surface'!$AO$3:$BH$3,1,MATCH(('Adjustment Surface'!S$3),'Adjustment Surface'!$AO$3:$BH$3,1)+IF('Adjustment Surface'!T$3="",-1,1))-'Adjustment Surface'!S$3)+INDEX($AO$4:$BH$23,MATCH(INDEX('Adjustment Surface'!$AN$4:$AN$23,MATCH(('Adjustment Surface'!$O6),'Adjustment Surface'!$AN$4:$AN$23,1)),$AN$4:$AN$23,0),MATCH(INDEX('Adjustment Surface'!$AO$3:$BH$3,1,MATCH(('Adjustment Surface'!S$3),'Adjustment Surface'!$AO$3:$BH$3,1)+IF('Adjustment Surface'!T$3="",-1,1)),$AO$3:$BH$3,0))*(INDEX('Adjustment Surface'!$AN$4:$AN$23,MATCH(('Adjustment Surface'!$O6),'Adjustment Surface'!$AN$4:$AN$23,1)+IF('Adjustment Surface'!$O7="",-1,1))-'Adjustment Surface'!$O6)*('Adjustment Surface'!S$3-INDEX('Adjustment Surface'!$AO$3:$BH$3,1,MATCH(('Adjustment Surface'!S$3),'Adjustment Surface'!$AO$3:$BH$3,1)))+INDEX($AO$4:$BH$23,MATCH(INDEX('Adjustment Surface'!$AN$4:$AN$23,MATCH(('Adjustment Surface'!$O6),'Adjustment Surface'!$AN$4:$AN$23,1)+IF('Adjustment Surface'!$O7="",-1,1)),$AN$4:$AN$23,0),MATCH(INDEX('Adjustment Surface'!$AO$3:$BH$3,1,MATCH(('Adjustment Surface'!S$3),'Adjustment Surface'!$AO$3:$BH$3,1)+IF('Adjustment Surface'!T$3="",-1,1)),$AO$3:$BH$3,0))*('Adjustment Surface'!$O6-INDEX('Adjustment Surface'!$AN$4:$AN$23,MATCH(('Adjustment Surface'!$O6),'Adjustment Surface'!$AN$4:$AN$23,1)))*('Adjustment Surface'!S$3-INDEX('Adjustment Surface'!$AO$3:$BH$3,1,MATCH(('Adjustment Surface'!S$3),'Adjustment Surface'!$AO$3:$BH$3,1)))))</f>
        <v>23.960002437644079</v>
      </c>
      <c r="T6" s="181" cm="1">
        <f t="array" ref="T6">IF(OR(T$3="",$O6=""),"",1/((INDEX('Adjustment Surface'!$AN$4:$AN$23,MATCH(('Adjustment Surface'!$O6),'Adjustment Surface'!$AN$4:$AN$23,1)+IF('Adjustment Surface'!$O7="",-1,1))-INDEX('Adjustment Surface'!$AN$4:$AN$23,MATCH(('Adjustment Surface'!$O6),'Adjustment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Surface'!$O6),'Adjustment Surface'!$AN$4:$AN$23,1)),$AN$4:$AN$23,0),MATCH(INDEX('Adjustment Surface'!$AO$3:$BH$3,1,MATCH(('Adjustment Surface'!T$3),'Adjustment Surface'!$AO$3:$BH$3,1)),$AO$3:$BH$3,0))*(INDEX('Adjustment Surface'!$AN$4:$AN$23,MATCH(('Adjustment Surface'!$O6),'Adjustment Surface'!$AN$4:$AN$23,1)+IF('Adjustment Surface'!$O7="",-1,1))-'Adjustment Surface'!$O6)*(INDEX('Adjustment Surface'!$AO$3:$BH$3,1,MATCH(('Adjustment Surface'!T$3),'Adjustment Surface'!$AO$3:$BH$3,1)+IF('Adjustment Surface'!U$3="",-1,1))-'Adjustment Surface'!T$3)+INDEX($AO$4:$BH$23,MATCH(INDEX('Adjustment Surface'!$AN$4:$AN$23,MATCH(('Adjustment Surface'!$O6),'Adjustment Surface'!$AN$4:$AN$23,1)+IF('Adjustment Surface'!$O7="",-1,1)),$AN$4:$AN$23,0),MATCH(INDEX('Adjustment Surface'!$AO$3:$BH$3,1,MATCH(('Adjustment Surface'!T$3),'Adjustment Surface'!$AO$3:$BH$3,1)),$AO$3:$BH$3,0))*('Adjustment Surface'!$O6-INDEX('Adjustment Surface'!$AN$4:$AN$23,MATCH(('Adjustment Surface'!$O6),'Adjustment Surface'!$AN$4:$AN$23,1)))*(INDEX('Adjustment Surface'!$AO$3:$BH$3,1,MATCH(('Adjustment Surface'!T$3),'Adjustment Surface'!$AO$3:$BH$3,1)+IF('Adjustment Surface'!U$3="",-1,1))-'Adjustment Surface'!T$3)+INDEX($AO$4:$BH$23,MATCH(INDEX('Adjustment Surface'!$AN$4:$AN$23,MATCH(('Adjustment Surface'!$O6),'Adjustment Surface'!$AN$4:$AN$23,1)),$AN$4:$AN$23,0),MATCH(INDEX('Adjustment Surface'!$AO$3:$BH$3,1,MATCH(('Adjustment Surface'!T$3),'Adjustment Surface'!$AO$3:$BH$3,1)+IF('Adjustment Surface'!U$3="",-1,1)),$AO$3:$BH$3,0))*(INDEX('Adjustment Surface'!$AN$4:$AN$23,MATCH(('Adjustment Surface'!$O6),'Adjustment Surface'!$AN$4:$AN$23,1)+IF('Adjustment Surface'!$O7="",-1,1))-'Adjustment Surface'!$O6)*('Adjustment Surface'!T$3-INDEX('Adjustment Surface'!$AO$3:$BH$3,1,MATCH(('Adjustment Surface'!T$3),'Adjustment Surface'!$AO$3:$BH$3,1)))+INDEX($AO$4:$BH$23,MATCH(INDEX('Adjustment Surface'!$AN$4:$AN$23,MATCH(('Adjustment Surface'!$O6),'Adjustment Surface'!$AN$4:$AN$23,1)+IF('Adjustment Surface'!$O7="",-1,1)),$AN$4:$AN$23,0),MATCH(INDEX('Adjustment Surface'!$AO$3:$BH$3,1,MATCH(('Adjustment Surface'!T$3),'Adjustment Surface'!$AO$3:$BH$3,1)+IF('Adjustment Surface'!U$3="",-1,1)),$AO$3:$BH$3,0))*('Adjustment Surface'!$O6-INDEX('Adjustment Surface'!$AN$4:$AN$23,MATCH(('Adjustment Surface'!$O6),'Adjustment Surface'!$AN$4:$AN$23,1)))*('Adjustment Surface'!T$3-INDEX('Adjustment Surface'!$AO$3:$BH$3,1,MATCH(('Adjustment Surface'!T$3),'Adjustment Surface'!$AO$3:$BH$3,1)))))</f>
        <v>22.604346739944269</v>
      </c>
      <c r="U6" s="181" cm="1">
        <f t="array" ref="U6">IF(OR(U$3="",$O6=""),"",1/((INDEX('Adjustment Surface'!$AN$4:$AN$23,MATCH(('Adjustment Surface'!$O6),'Adjustment Surface'!$AN$4:$AN$23,1)+IF('Adjustment Surface'!$O7="",-1,1))-INDEX('Adjustment Surface'!$AN$4:$AN$23,MATCH(('Adjustment Surface'!$O6),'Adjustment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Surface'!$O6),'Adjustment Surface'!$AN$4:$AN$23,1)),$AN$4:$AN$23,0),MATCH(INDEX('Adjustment Surface'!$AO$3:$BH$3,1,MATCH(('Adjustment Surface'!U$3),'Adjustment Surface'!$AO$3:$BH$3,1)),$AO$3:$BH$3,0))*(INDEX('Adjustment Surface'!$AN$4:$AN$23,MATCH(('Adjustment Surface'!$O6),'Adjustment Surface'!$AN$4:$AN$23,1)+IF('Adjustment Surface'!$O7="",-1,1))-'Adjustment Surface'!$O6)*(INDEX('Adjustment Surface'!$AO$3:$BH$3,1,MATCH(('Adjustment Surface'!U$3),'Adjustment Surface'!$AO$3:$BH$3,1)+IF('Adjustment Surface'!V$3="",-1,1))-'Adjustment Surface'!U$3)+INDEX($AO$4:$BH$23,MATCH(INDEX('Adjustment Surface'!$AN$4:$AN$23,MATCH(('Adjustment Surface'!$O6),'Adjustment Surface'!$AN$4:$AN$23,1)+IF('Adjustment Surface'!$O7="",-1,1)),$AN$4:$AN$23,0),MATCH(INDEX('Adjustment Surface'!$AO$3:$BH$3,1,MATCH(('Adjustment Surface'!U$3),'Adjustment Surface'!$AO$3:$BH$3,1)),$AO$3:$BH$3,0))*('Adjustment Surface'!$O6-INDEX('Adjustment Surface'!$AN$4:$AN$23,MATCH(('Adjustment Surface'!$O6),'Adjustment Surface'!$AN$4:$AN$23,1)))*(INDEX('Adjustment Surface'!$AO$3:$BH$3,1,MATCH(('Adjustment Surface'!U$3),'Adjustment Surface'!$AO$3:$BH$3,1)+IF('Adjustment Surface'!V$3="",-1,1))-'Adjustment Surface'!U$3)+INDEX($AO$4:$BH$23,MATCH(INDEX('Adjustment Surface'!$AN$4:$AN$23,MATCH(('Adjustment Surface'!$O6),'Adjustment Surface'!$AN$4:$AN$23,1)),$AN$4:$AN$23,0),MATCH(INDEX('Adjustment Surface'!$AO$3:$BH$3,1,MATCH(('Adjustment Surface'!U$3),'Adjustment Surface'!$AO$3:$BH$3,1)+IF('Adjustment Surface'!V$3="",-1,1)),$AO$3:$BH$3,0))*(INDEX('Adjustment Surface'!$AN$4:$AN$23,MATCH(('Adjustment Surface'!$O6),'Adjustment Surface'!$AN$4:$AN$23,1)+IF('Adjustment Surface'!$O7="",-1,1))-'Adjustment Surface'!$O6)*('Adjustment Surface'!U$3-INDEX('Adjustment Surface'!$AO$3:$BH$3,1,MATCH(('Adjustment Surface'!U$3),'Adjustment Surface'!$AO$3:$BH$3,1)))+INDEX($AO$4:$BH$23,MATCH(INDEX('Adjustment Surface'!$AN$4:$AN$23,MATCH(('Adjustment Surface'!$O6),'Adjustment Surface'!$AN$4:$AN$23,1)+IF('Adjustment Surface'!$O7="",-1,1)),$AN$4:$AN$23,0),MATCH(INDEX('Adjustment Surface'!$AO$3:$BH$3,1,MATCH(('Adjustment Surface'!U$3),'Adjustment Surface'!$AO$3:$BH$3,1)+IF('Adjustment Surface'!V$3="",-1,1)),$AO$3:$BH$3,0))*('Adjustment Surface'!$O6-INDEX('Adjustment Surface'!$AN$4:$AN$23,MATCH(('Adjustment Surface'!$O6),'Adjustment Surface'!$AN$4:$AN$23,1)))*('Adjustment Surface'!U$3-INDEX('Adjustment Surface'!$AO$3:$BH$3,1,MATCH(('Adjustment Surface'!U$3),'Adjustment Surface'!$AO$3:$BH$3,1)))))</f>
        <v>19.077637201159806</v>
      </c>
      <c r="V6" s="181" cm="1">
        <f t="array" ref="V6">IF(OR(V$3="",$O6=""),"",1/((INDEX('Adjustment Surface'!$AN$4:$AN$23,MATCH(('Adjustment Surface'!$O6),'Adjustment Surface'!$AN$4:$AN$23,1)+IF('Adjustment Surface'!$O7="",-1,1))-INDEX('Adjustment Surface'!$AN$4:$AN$23,MATCH(('Adjustment Surface'!$O6),'Adjustment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Surface'!$O6),'Adjustment Surface'!$AN$4:$AN$23,1)),$AN$4:$AN$23,0),MATCH(INDEX('Adjustment Surface'!$AO$3:$BH$3,1,MATCH(('Adjustment Surface'!V$3),'Adjustment Surface'!$AO$3:$BH$3,1)),$AO$3:$BH$3,0))*(INDEX('Adjustment Surface'!$AN$4:$AN$23,MATCH(('Adjustment Surface'!$O6),'Adjustment Surface'!$AN$4:$AN$23,1)+IF('Adjustment Surface'!$O7="",-1,1))-'Adjustment Surface'!$O6)*(INDEX('Adjustment Surface'!$AO$3:$BH$3,1,MATCH(('Adjustment Surface'!V$3),'Adjustment Surface'!$AO$3:$BH$3,1)+IF('Adjustment Surface'!W$3="",-1,1))-'Adjustment Surface'!V$3)+INDEX($AO$4:$BH$23,MATCH(INDEX('Adjustment Surface'!$AN$4:$AN$23,MATCH(('Adjustment Surface'!$O6),'Adjustment Surface'!$AN$4:$AN$23,1)+IF('Adjustment Surface'!$O7="",-1,1)),$AN$4:$AN$23,0),MATCH(INDEX('Adjustment Surface'!$AO$3:$BH$3,1,MATCH(('Adjustment Surface'!V$3),'Adjustment Surface'!$AO$3:$BH$3,1)),$AO$3:$BH$3,0))*('Adjustment Surface'!$O6-INDEX('Adjustment Surface'!$AN$4:$AN$23,MATCH(('Adjustment Surface'!$O6),'Adjustment Surface'!$AN$4:$AN$23,1)))*(INDEX('Adjustment Surface'!$AO$3:$BH$3,1,MATCH(('Adjustment Surface'!V$3),'Adjustment Surface'!$AO$3:$BH$3,1)+IF('Adjustment Surface'!W$3="",-1,1))-'Adjustment Surface'!V$3)+INDEX($AO$4:$BH$23,MATCH(INDEX('Adjustment Surface'!$AN$4:$AN$23,MATCH(('Adjustment Surface'!$O6),'Adjustment Surface'!$AN$4:$AN$23,1)),$AN$4:$AN$23,0),MATCH(INDEX('Adjustment Surface'!$AO$3:$BH$3,1,MATCH(('Adjustment Surface'!V$3),'Adjustment Surface'!$AO$3:$BH$3,1)+IF('Adjustment Surface'!W$3="",-1,1)),$AO$3:$BH$3,0))*(INDEX('Adjustment Surface'!$AN$4:$AN$23,MATCH(('Adjustment Surface'!$O6),'Adjustment Surface'!$AN$4:$AN$23,1)+IF('Adjustment Surface'!$O7="",-1,1))-'Adjustment Surface'!$O6)*('Adjustment Surface'!V$3-INDEX('Adjustment Surface'!$AO$3:$BH$3,1,MATCH(('Adjustment Surface'!V$3),'Adjustment Surface'!$AO$3:$BH$3,1)))+INDEX($AO$4:$BH$23,MATCH(INDEX('Adjustment Surface'!$AN$4:$AN$23,MATCH(('Adjustment Surface'!$O6),'Adjustment Surface'!$AN$4:$AN$23,1)+IF('Adjustment Surface'!$O7="",-1,1)),$AN$4:$AN$23,0),MATCH(INDEX('Adjustment Surface'!$AO$3:$BH$3,1,MATCH(('Adjustment Surface'!V$3),'Adjustment Surface'!$AO$3:$BH$3,1)+IF('Adjustment Surface'!W$3="",-1,1)),$AO$3:$BH$3,0))*('Adjustment Surface'!$O6-INDEX('Adjustment Surface'!$AN$4:$AN$23,MATCH(('Adjustment Surface'!$O6),'Adjustment Surface'!$AN$4:$AN$23,1)))*('Adjustment Surface'!V$3-INDEX('Adjustment Surface'!$AO$3:$BH$3,1,MATCH(('Adjustment Surface'!V$3),'Adjustment Surface'!$AO$3:$BH$3,1)))))</f>
        <v>15.472556339291245</v>
      </c>
      <c r="W6" s="181" cm="1">
        <f t="array" ref="W6">IF(OR(W$3="",$O6=""),"",1/((INDEX('Adjustment Surface'!$AN$4:$AN$23,MATCH(('Adjustment Surface'!$O6),'Adjustment Surface'!$AN$4:$AN$23,1)+IF('Adjustment Surface'!$O7="",-1,1))-INDEX('Adjustment Surface'!$AN$4:$AN$23,MATCH(('Adjustment Surface'!$O6),'Adjustment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Surface'!$O6),'Adjustment Surface'!$AN$4:$AN$23,1)),$AN$4:$AN$23,0),MATCH(INDEX('Adjustment Surface'!$AO$3:$BH$3,1,MATCH(('Adjustment Surface'!W$3),'Adjustment Surface'!$AO$3:$BH$3,1)),$AO$3:$BH$3,0))*(INDEX('Adjustment Surface'!$AN$4:$AN$23,MATCH(('Adjustment Surface'!$O6),'Adjustment Surface'!$AN$4:$AN$23,1)+IF('Adjustment Surface'!$O7="",-1,1))-'Adjustment Surface'!$O6)*(INDEX('Adjustment Surface'!$AO$3:$BH$3,1,MATCH(('Adjustment Surface'!W$3),'Adjustment Surface'!$AO$3:$BH$3,1)+IF('Adjustment Surface'!X$3="",-1,1))-'Adjustment Surface'!W$3)+INDEX($AO$4:$BH$23,MATCH(INDEX('Adjustment Surface'!$AN$4:$AN$23,MATCH(('Adjustment Surface'!$O6),'Adjustment Surface'!$AN$4:$AN$23,1)+IF('Adjustment Surface'!$O7="",-1,1)),$AN$4:$AN$23,0),MATCH(INDEX('Adjustment Surface'!$AO$3:$BH$3,1,MATCH(('Adjustment Surface'!W$3),'Adjustment Surface'!$AO$3:$BH$3,1)),$AO$3:$BH$3,0))*('Adjustment Surface'!$O6-INDEX('Adjustment Surface'!$AN$4:$AN$23,MATCH(('Adjustment Surface'!$O6),'Adjustment Surface'!$AN$4:$AN$23,1)))*(INDEX('Adjustment Surface'!$AO$3:$BH$3,1,MATCH(('Adjustment Surface'!W$3),'Adjustment Surface'!$AO$3:$BH$3,1)+IF('Adjustment Surface'!X$3="",-1,1))-'Adjustment Surface'!W$3)+INDEX($AO$4:$BH$23,MATCH(INDEX('Adjustment Surface'!$AN$4:$AN$23,MATCH(('Adjustment Surface'!$O6),'Adjustment Surface'!$AN$4:$AN$23,1)),$AN$4:$AN$23,0),MATCH(INDEX('Adjustment Surface'!$AO$3:$BH$3,1,MATCH(('Adjustment Surface'!W$3),'Adjustment Surface'!$AO$3:$BH$3,1)+IF('Adjustment Surface'!X$3="",-1,1)),$AO$3:$BH$3,0))*(INDEX('Adjustment Surface'!$AN$4:$AN$23,MATCH(('Adjustment Surface'!$O6),'Adjustment Surface'!$AN$4:$AN$23,1)+IF('Adjustment Surface'!$O7="",-1,1))-'Adjustment Surface'!$O6)*('Adjustment Surface'!W$3-INDEX('Adjustment Surface'!$AO$3:$BH$3,1,MATCH(('Adjustment Surface'!W$3),'Adjustment Surface'!$AO$3:$BH$3,1)))+INDEX($AO$4:$BH$23,MATCH(INDEX('Adjustment Surface'!$AN$4:$AN$23,MATCH(('Adjustment Surface'!$O6),'Adjustment Surface'!$AN$4:$AN$23,1)+IF('Adjustment Surface'!$O7="",-1,1)),$AN$4:$AN$23,0),MATCH(INDEX('Adjustment Surface'!$AO$3:$BH$3,1,MATCH(('Adjustment Surface'!W$3),'Adjustment Surface'!$AO$3:$BH$3,1)+IF('Adjustment Surface'!X$3="",-1,1)),$AO$3:$BH$3,0))*('Adjustment Surface'!$O6-INDEX('Adjustment Surface'!$AN$4:$AN$23,MATCH(('Adjustment Surface'!$O6),'Adjustment Surface'!$AN$4:$AN$23,1)))*('Adjustment Surface'!W$3-INDEX('Adjustment Surface'!$AO$3:$BH$3,1,MATCH(('Adjustment Surface'!W$3),'Adjustment Surface'!$AO$3:$BH$3,1)))))</f>
        <v>11.867475477422685</v>
      </c>
      <c r="X6" s="181" cm="1">
        <f t="array" ref="X6">IF(OR(X$3="",$O6=""),"",1/((INDEX('Adjustment Surface'!$AN$4:$AN$23,MATCH(('Adjustment Surface'!$O6),'Adjustment Surface'!$AN$4:$AN$23,1)+IF('Adjustment Surface'!$O7="",-1,1))-INDEX('Adjustment Surface'!$AN$4:$AN$23,MATCH(('Adjustment Surface'!$O6),'Adjustment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Surface'!$O6),'Adjustment Surface'!$AN$4:$AN$23,1)),$AN$4:$AN$23,0),MATCH(INDEX('Adjustment Surface'!$AO$3:$BH$3,1,MATCH(('Adjustment Surface'!X$3),'Adjustment Surface'!$AO$3:$BH$3,1)),$AO$3:$BH$3,0))*(INDEX('Adjustment Surface'!$AN$4:$AN$23,MATCH(('Adjustment Surface'!$O6),'Adjustment Surface'!$AN$4:$AN$23,1)+IF('Adjustment Surface'!$O7="",-1,1))-'Adjustment Surface'!$O6)*(INDEX('Adjustment Surface'!$AO$3:$BH$3,1,MATCH(('Adjustment Surface'!X$3),'Adjustment Surface'!$AO$3:$BH$3,1)+IF('Adjustment Surface'!Y$3="",-1,1))-'Adjustment Surface'!X$3)+INDEX($AO$4:$BH$23,MATCH(INDEX('Adjustment Surface'!$AN$4:$AN$23,MATCH(('Adjustment Surface'!$O6),'Adjustment Surface'!$AN$4:$AN$23,1)+IF('Adjustment Surface'!$O7="",-1,1)),$AN$4:$AN$23,0),MATCH(INDEX('Adjustment Surface'!$AO$3:$BH$3,1,MATCH(('Adjustment Surface'!X$3),'Adjustment Surface'!$AO$3:$BH$3,1)),$AO$3:$BH$3,0))*('Adjustment Surface'!$O6-INDEX('Adjustment Surface'!$AN$4:$AN$23,MATCH(('Adjustment Surface'!$O6),'Adjustment Surface'!$AN$4:$AN$23,1)))*(INDEX('Adjustment Surface'!$AO$3:$BH$3,1,MATCH(('Adjustment Surface'!X$3),'Adjustment Surface'!$AO$3:$BH$3,1)+IF('Adjustment Surface'!Y$3="",-1,1))-'Adjustment Surface'!X$3)+INDEX($AO$4:$BH$23,MATCH(INDEX('Adjustment Surface'!$AN$4:$AN$23,MATCH(('Adjustment Surface'!$O6),'Adjustment Surface'!$AN$4:$AN$23,1)),$AN$4:$AN$23,0),MATCH(INDEX('Adjustment Surface'!$AO$3:$BH$3,1,MATCH(('Adjustment Surface'!X$3),'Adjustment Surface'!$AO$3:$BH$3,1)+IF('Adjustment Surface'!Y$3="",-1,1)),$AO$3:$BH$3,0))*(INDEX('Adjustment Surface'!$AN$4:$AN$23,MATCH(('Adjustment Surface'!$O6),'Adjustment Surface'!$AN$4:$AN$23,1)+IF('Adjustment Surface'!$O7="",-1,1))-'Adjustment Surface'!$O6)*('Adjustment Surface'!X$3-INDEX('Adjustment Surface'!$AO$3:$BH$3,1,MATCH(('Adjustment Surface'!X$3),'Adjustment Surface'!$AO$3:$BH$3,1)))+INDEX($AO$4:$BH$23,MATCH(INDEX('Adjustment Surface'!$AN$4:$AN$23,MATCH(('Adjustment Surface'!$O6),'Adjustment Surface'!$AN$4:$AN$23,1)+IF('Adjustment Surface'!$O7="",-1,1)),$AN$4:$AN$23,0),MATCH(INDEX('Adjustment Surface'!$AO$3:$BH$3,1,MATCH(('Adjustment Surface'!X$3),'Adjustment Surface'!$AO$3:$BH$3,1)+IF('Adjustment Surface'!Y$3="",-1,1)),$AO$3:$BH$3,0))*('Adjustment Surface'!$O6-INDEX('Adjustment Surface'!$AN$4:$AN$23,MATCH(('Adjustment Surface'!$O6),'Adjustment Surface'!$AN$4:$AN$23,1)))*('Adjustment Surface'!X$3-INDEX('Adjustment Surface'!$AO$3:$BH$3,1,MATCH(('Adjustment Surface'!X$3),'Adjustment Surface'!$AO$3:$BH$3,1)))))</f>
        <v>8.2623946155541219</v>
      </c>
      <c r="Y6" s="181" t="str" cm="1">
        <f t="array" ref="Y6">IF(OR(Y$3="",$O6=""),"",1/((INDEX('Adjustment Surface'!$AN$4:$AN$23,MATCH(('Adjustment Surface'!$O6),'Adjustment Surface'!$AN$4:$AN$23,1)+IF('Adjustment Surface'!$O7="",-1,1))-INDEX('Adjustment Surface'!$AN$4:$AN$23,MATCH(('Adjustment Surface'!$O6),'Adjustment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Surface'!$O6),'Adjustment Surface'!$AN$4:$AN$23,1)),$AN$4:$AN$23,0),MATCH(INDEX('Adjustment Surface'!$AO$3:$BH$3,1,MATCH(('Adjustment Surface'!Y$3),'Adjustment Surface'!$AO$3:$BH$3,1)),$AO$3:$BH$3,0))*(INDEX('Adjustment Surface'!$AN$4:$AN$23,MATCH(('Adjustment Surface'!$O6),'Adjustment Surface'!$AN$4:$AN$23,1)+IF('Adjustment Surface'!$O7="",-1,1))-'Adjustment Surface'!$O6)*(INDEX('Adjustment Surface'!$AO$3:$BH$3,1,MATCH(('Adjustment Surface'!Y$3),'Adjustment Surface'!$AO$3:$BH$3,1)+IF('Adjustment Surface'!Z$3="",-1,1))-'Adjustment Surface'!Y$3)+INDEX($AO$4:$BH$23,MATCH(INDEX('Adjustment Surface'!$AN$4:$AN$23,MATCH(('Adjustment Surface'!$O6),'Adjustment Surface'!$AN$4:$AN$23,1)+IF('Adjustment Surface'!$O7="",-1,1)),$AN$4:$AN$23,0),MATCH(INDEX('Adjustment Surface'!$AO$3:$BH$3,1,MATCH(('Adjustment Surface'!Y$3),'Adjustment Surface'!$AO$3:$BH$3,1)),$AO$3:$BH$3,0))*('Adjustment Surface'!$O6-INDEX('Adjustment Surface'!$AN$4:$AN$23,MATCH(('Adjustment Surface'!$O6),'Adjustment Surface'!$AN$4:$AN$23,1)))*(INDEX('Adjustment Surface'!$AO$3:$BH$3,1,MATCH(('Adjustment Surface'!Y$3),'Adjustment Surface'!$AO$3:$BH$3,1)+IF('Adjustment Surface'!Z$3="",-1,1))-'Adjustment Surface'!Y$3)+INDEX($AO$4:$BH$23,MATCH(INDEX('Adjustment Surface'!$AN$4:$AN$23,MATCH(('Adjustment Surface'!$O6),'Adjustment Surface'!$AN$4:$AN$23,1)),$AN$4:$AN$23,0),MATCH(INDEX('Adjustment Surface'!$AO$3:$BH$3,1,MATCH(('Adjustment Surface'!Y$3),'Adjustment Surface'!$AO$3:$BH$3,1)+IF('Adjustment Surface'!Z$3="",-1,1)),$AO$3:$BH$3,0))*(INDEX('Adjustment Surface'!$AN$4:$AN$23,MATCH(('Adjustment Surface'!$O6),'Adjustment Surface'!$AN$4:$AN$23,1)+IF('Adjustment Surface'!$O7="",-1,1))-'Adjustment Surface'!$O6)*('Adjustment Surface'!Y$3-INDEX('Adjustment Surface'!$AO$3:$BH$3,1,MATCH(('Adjustment Surface'!Y$3),'Adjustment Surface'!$AO$3:$BH$3,1)))+INDEX($AO$4:$BH$23,MATCH(INDEX('Adjustment Surface'!$AN$4:$AN$23,MATCH(('Adjustment Surface'!$O6),'Adjustment Surface'!$AN$4:$AN$23,1)+IF('Adjustment Surface'!$O7="",-1,1)),$AN$4:$AN$23,0),MATCH(INDEX('Adjustment Surface'!$AO$3:$BH$3,1,MATCH(('Adjustment Surface'!Y$3),'Adjustment Surface'!$AO$3:$BH$3,1)+IF('Adjustment Surface'!Z$3="",-1,1)),$AO$3:$BH$3,0))*('Adjustment Surface'!$O6-INDEX('Adjustment Surface'!$AN$4:$AN$23,MATCH(('Adjustment Surface'!$O6),'Adjustment Surface'!$AN$4:$AN$23,1)))*('Adjustment Surface'!Y$3-INDEX('Adjustment Surface'!$AO$3:$BH$3,1,MATCH(('Adjustment Surface'!Y$3),'Adjustment Surface'!$AO$3:$BH$3,1)))))</f>
        <v/>
      </c>
      <c r="Z6" s="181" t="str" cm="1">
        <f t="array" ref="Z6">IF(OR(Z$3="",$O6=""),"",1/((INDEX('Adjustment Surface'!$AN$4:$AN$23,MATCH(('Adjustment Surface'!$O6),'Adjustment Surface'!$AN$4:$AN$23,1)+IF('Adjustment Surface'!$O7="",-1,1))-INDEX('Adjustment Surface'!$AN$4:$AN$23,MATCH(('Adjustment Surface'!$O6),'Adjustment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Surface'!$O6),'Adjustment Surface'!$AN$4:$AN$23,1)),$AN$4:$AN$23,0),MATCH(INDEX('Adjustment Surface'!$AO$3:$BH$3,1,MATCH(('Adjustment Surface'!Z$3),'Adjustment Surface'!$AO$3:$BH$3,1)),$AO$3:$BH$3,0))*(INDEX('Adjustment Surface'!$AN$4:$AN$23,MATCH(('Adjustment Surface'!$O6),'Adjustment Surface'!$AN$4:$AN$23,1)+IF('Adjustment Surface'!$O7="",-1,1))-'Adjustment Surface'!$O6)*(INDEX('Adjustment Surface'!$AO$3:$BH$3,1,MATCH(('Adjustment Surface'!Z$3),'Adjustment Surface'!$AO$3:$BH$3,1)+IF('Adjustment Surface'!AA$3="",-1,1))-'Adjustment Surface'!Z$3)+INDEX($AO$4:$BH$23,MATCH(INDEX('Adjustment Surface'!$AN$4:$AN$23,MATCH(('Adjustment Surface'!$O6),'Adjustment Surface'!$AN$4:$AN$23,1)+IF('Adjustment Surface'!$O7="",-1,1)),$AN$4:$AN$23,0),MATCH(INDEX('Adjustment Surface'!$AO$3:$BH$3,1,MATCH(('Adjustment Surface'!Z$3),'Adjustment Surface'!$AO$3:$BH$3,1)),$AO$3:$BH$3,0))*('Adjustment Surface'!$O6-INDEX('Adjustment Surface'!$AN$4:$AN$23,MATCH(('Adjustment Surface'!$O6),'Adjustment Surface'!$AN$4:$AN$23,1)))*(INDEX('Adjustment Surface'!$AO$3:$BH$3,1,MATCH(('Adjustment Surface'!Z$3),'Adjustment Surface'!$AO$3:$BH$3,1)+IF('Adjustment Surface'!AA$3="",-1,1))-'Adjustment Surface'!Z$3)+INDEX($AO$4:$BH$23,MATCH(INDEX('Adjustment Surface'!$AN$4:$AN$23,MATCH(('Adjustment Surface'!$O6),'Adjustment Surface'!$AN$4:$AN$23,1)),$AN$4:$AN$23,0),MATCH(INDEX('Adjustment Surface'!$AO$3:$BH$3,1,MATCH(('Adjustment Surface'!Z$3),'Adjustment Surface'!$AO$3:$BH$3,1)+IF('Adjustment Surface'!AA$3="",-1,1)),$AO$3:$BH$3,0))*(INDEX('Adjustment Surface'!$AN$4:$AN$23,MATCH(('Adjustment Surface'!$O6),'Adjustment Surface'!$AN$4:$AN$23,1)+IF('Adjustment Surface'!$O7="",-1,1))-'Adjustment Surface'!$O6)*('Adjustment Surface'!Z$3-INDEX('Adjustment Surface'!$AO$3:$BH$3,1,MATCH(('Adjustment Surface'!Z$3),'Adjustment Surface'!$AO$3:$BH$3,1)))+INDEX($AO$4:$BH$23,MATCH(INDEX('Adjustment Surface'!$AN$4:$AN$23,MATCH(('Adjustment Surface'!$O6),'Adjustment Surface'!$AN$4:$AN$23,1)+IF('Adjustment Surface'!$O7="",-1,1)),$AN$4:$AN$23,0),MATCH(INDEX('Adjustment Surface'!$AO$3:$BH$3,1,MATCH(('Adjustment Surface'!Z$3),'Adjustment Surface'!$AO$3:$BH$3,1)+IF('Adjustment Surface'!AA$3="",-1,1)),$AO$3:$BH$3,0))*('Adjustment Surface'!$O6-INDEX('Adjustment Surface'!$AN$4:$AN$23,MATCH(('Adjustment Surface'!$O6),'Adjustment Surface'!$AN$4:$AN$23,1)))*('Adjustment Surface'!Z$3-INDEX('Adjustment Surface'!$AO$3:$BH$3,1,MATCH(('Adjustment Surface'!Z$3),'Adjustment Surface'!$AO$3:$BH$3,1)))))</f>
        <v/>
      </c>
      <c r="AA6" s="181" t="str" cm="1">
        <f t="array" ref="AA6">IF(OR(AA$3="",$O6=""),"",1/((INDEX('Adjustment Surface'!$AN$4:$AN$23,MATCH(('Adjustment Surface'!$O6),'Adjustment Surface'!$AN$4:$AN$23,1)+IF('Adjustment Surface'!$O7="",-1,1))-INDEX('Adjustment Surface'!$AN$4:$AN$23,MATCH(('Adjustment Surface'!$O6),'Adjustment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Surface'!$O6),'Adjustment Surface'!$AN$4:$AN$23,1)),$AN$4:$AN$23,0),MATCH(INDEX('Adjustment Surface'!$AO$3:$BH$3,1,MATCH(('Adjustment Surface'!AA$3),'Adjustment Surface'!$AO$3:$BH$3,1)),$AO$3:$BH$3,0))*(INDEX('Adjustment Surface'!$AN$4:$AN$23,MATCH(('Adjustment Surface'!$O6),'Adjustment Surface'!$AN$4:$AN$23,1)+IF('Adjustment Surface'!$O7="",-1,1))-'Adjustment Surface'!$O6)*(INDEX('Adjustment Surface'!$AO$3:$BH$3,1,MATCH(('Adjustment Surface'!AA$3),'Adjustment Surface'!$AO$3:$BH$3,1)+IF('Adjustment Surface'!AB$3="",-1,1))-'Adjustment Surface'!AA$3)+INDEX($AO$4:$BH$23,MATCH(INDEX('Adjustment Surface'!$AN$4:$AN$23,MATCH(('Adjustment Surface'!$O6),'Adjustment Surface'!$AN$4:$AN$23,1)+IF('Adjustment Surface'!$O7="",-1,1)),$AN$4:$AN$23,0),MATCH(INDEX('Adjustment Surface'!$AO$3:$BH$3,1,MATCH(('Adjustment Surface'!AA$3),'Adjustment Surface'!$AO$3:$BH$3,1)),$AO$3:$BH$3,0))*('Adjustment Surface'!$O6-INDEX('Adjustment Surface'!$AN$4:$AN$23,MATCH(('Adjustment Surface'!$O6),'Adjustment Surface'!$AN$4:$AN$23,1)))*(INDEX('Adjustment Surface'!$AO$3:$BH$3,1,MATCH(('Adjustment Surface'!AA$3),'Adjustment Surface'!$AO$3:$BH$3,1)+IF('Adjustment Surface'!AB$3="",-1,1))-'Adjustment Surface'!AA$3)+INDEX($AO$4:$BH$23,MATCH(INDEX('Adjustment Surface'!$AN$4:$AN$23,MATCH(('Adjustment Surface'!$O6),'Adjustment Surface'!$AN$4:$AN$23,1)),$AN$4:$AN$23,0),MATCH(INDEX('Adjustment Surface'!$AO$3:$BH$3,1,MATCH(('Adjustment Surface'!AA$3),'Adjustment Surface'!$AO$3:$BH$3,1)+IF('Adjustment Surface'!AB$3="",-1,1)),$AO$3:$BH$3,0))*(INDEX('Adjustment Surface'!$AN$4:$AN$23,MATCH(('Adjustment Surface'!$O6),'Adjustment Surface'!$AN$4:$AN$23,1)+IF('Adjustment Surface'!$O7="",-1,1))-'Adjustment Surface'!$O6)*('Adjustment Surface'!AA$3-INDEX('Adjustment Surface'!$AO$3:$BH$3,1,MATCH(('Adjustment Surface'!AA$3),'Adjustment Surface'!$AO$3:$BH$3,1)))+INDEX($AO$4:$BH$23,MATCH(INDEX('Adjustment Surface'!$AN$4:$AN$23,MATCH(('Adjustment Surface'!$O6),'Adjustment Surface'!$AN$4:$AN$23,1)+IF('Adjustment Surface'!$O7="",-1,1)),$AN$4:$AN$23,0),MATCH(INDEX('Adjustment Surface'!$AO$3:$BH$3,1,MATCH(('Adjustment Surface'!AA$3),'Adjustment Surface'!$AO$3:$BH$3,1)+IF('Adjustment Surface'!AB$3="",-1,1)),$AO$3:$BH$3,0))*('Adjustment Surface'!$O6-INDEX('Adjustment Surface'!$AN$4:$AN$23,MATCH(('Adjustment Surface'!$O6),'Adjustment Surface'!$AN$4:$AN$23,1)))*('Adjustment Surface'!AA$3-INDEX('Adjustment Surface'!$AO$3:$BH$3,1,MATCH(('Adjustment Surface'!AA$3),'Adjustment Surface'!$AO$3:$BH$3,1)))))</f>
        <v/>
      </c>
      <c r="AB6" s="181" t="str" cm="1">
        <f t="array" ref="AB6">IF(OR(AB$3="",$O6=""),"",1/((INDEX('Adjustment Surface'!$AN$4:$AN$23,MATCH(('Adjustment Surface'!$O6),'Adjustment Surface'!$AN$4:$AN$23,1)+IF('Adjustment Surface'!$O7="",-1,1))-INDEX('Adjustment Surface'!$AN$4:$AN$23,MATCH(('Adjustment Surface'!$O6),'Adjustment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Surface'!$O6),'Adjustment Surface'!$AN$4:$AN$23,1)),$AN$4:$AN$23,0),MATCH(INDEX('Adjustment Surface'!$AO$3:$BH$3,1,MATCH(('Adjustment Surface'!AB$3),'Adjustment Surface'!$AO$3:$BH$3,1)),$AO$3:$BH$3,0))*(INDEX('Adjustment Surface'!$AN$4:$AN$23,MATCH(('Adjustment Surface'!$O6),'Adjustment Surface'!$AN$4:$AN$23,1)+IF('Adjustment Surface'!$O7="",-1,1))-'Adjustment Surface'!$O6)*(INDEX('Adjustment Surface'!$AO$3:$BH$3,1,MATCH(('Adjustment Surface'!AB$3),'Adjustment Surface'!$AO$3:$BH$3,1)+IF('Adjustment Surface'!AC$3="",-1,1))-'Adjustment Surface'!AB$3)+INDEX($AO$4:$BH$23,MATCH(INDEX('Adjustment Surface'!$AN$4:$AN$23,MATCH(('Adjustment Surface'!$O6),'Adjustment Surface'!$AN$4:$AN$23,1)+IF('Adjustment Surface'!$O7="",-1,1)),$AN$4:$AN$23,0),MATCH(INDEX('Adjustment Surface'!$AO$3:$BH$3,1,MATCH(('Adjustment Surface'!AB$3),'Adjustment Surface'!$AO$3:$BH$3,1)),$AO$3:$BH$3,0))*('Adjustment Surface'!$O6-INDEX('Adjustment Surface'!$AN$4:$AN$23,MATCH(('Adjustment Surface'!$O6),'Adjustment Surface'!$AN$4:$AN$23,1)))*(INDEX('Adjustment Surface'!$AO$3:$BH$3,1,MATCH(('Adjustment Surface'!AB$3),'Adjustment Surface'!$AO$3:$BH$3,1)+IF('Adjustment Surface'!AC$3="",-1,1))-'Adjustment Surface'!AB$3)+INDEX($AO$4:$BH$23,MATCH(INDEX('Adjustment Surface'!$AN$4:$AN$23,MATCH(('Adjustment Surface'!$O6),'Adjustment Surface'!$AN$4:$AN$23,1)),$AN$4:$AN$23,0),MATCH(INDEX('Adjustment Surface'!$AO$3:$BH$3,1,MATCH(('Adjustment Surface'!AB$3),'Adjustment Surface'!$AO$3:$BH$3,1)+IF('Adjustment Surface'!AC$3="",-1,1)),$AO$3:$BH$3,0))*(INDEX('Adjustment Surface'!$AN$4:$AN$23,MATCH(('Adjustment Surface'!$O6),'Adjustment Surface'!$AN$4:$AN$23,1)+IF('Adjustment Surface'!$O7="",-1,1))-'Adjustment Surface'!$O6)*('Adjustment Surface'!AB$3-INDEX('Adjustment Surface'!$AO$3:$BH$3,1,MATCH(('Adjustment Surface'!AB$3),'Adjustment Surface'!$AO$3:$BH$3,1)))+INDEX($AO$4:$BH$23,MATCH(INDEX('Adjustment Surface'!$AN$4:$AN$23,MATCH(('Adjustment Surface'!$O6),'Adjustment Surface'!$AN$4:$AN$23,1)+IF('Adjustment Surface'!$O7="",-1,1)),$AN$4:$AN$23,0),MATCH(INDEX('Adjustment Surface'!$AO$3:$BH$3,1,MATCH(('Adjustment Surface'!AB$3),'Adjustment Surface'!$AO$3:$BH$3,1)+IF('Adjustment Surface'!AC$3="",-1,1)),$AO$3:$BH$3,0))*('Adjustment Surface'!$O6-INDEX('Adjustment Surface'!$AN$4:$AN$23,MATCH(('Adjustment Surface'!$O6),'Adjustment Surface'!$AN$4:$AN$23,1)))*('Adjustment Surface'!AB$3-INDEX('Adjustment Surface'!$AO$3:$BH$3,1,MATCH(('Adjustment Surface'!AB$3),'Adjustment Surface'!$AO$3:$BH$3,1)))))</f>
        <v/>
      </c>
      <c r="AC6" s="181" t="str" cm="1">
        <f t="array" ref="AC6">IF(OR(AC$3="",$O6=""),"",1/((INDEX('Adjustment Surface'!$AN$4:$AN$23,MATCH(('Adjustment Surface'!$O6),'Adjustment Surface'!$AN$4:$AN$23,1)+IF('Adjustment Surface'!$O7="",-1,1))-INDEX('Adjustment Surface'!$AN$4:$AN$23,MATCH(('Adjustment Surface'!$O6),'Adjustment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Surface'!$O6),'Adjustment Surface'!$AN$4:$AN$23,1)),$AN$4:$AN$23,0),MATCH(INDEX('Adjustment Surface'!$AO$3:$BH$3,1,MATCH(('Adjustment Surface'!AC$3),'Adjustment Surface'!$AO$3:$BH$3,1)),$AO$3:$BH$3,0))*(INDEX('Adjustment Surface'!$AN$4:$AN$23,MATCH(('Adjustment Surface'!$O6),'Adjustment Surface'!$AN$4:$AN$23,1)+IF('Adjustment Surface'!$O7="",-1,1))-'Adjustment Surface'!$O6)*(INDEX('Adjustment Surface'!$AO$3:$BH$3,1,MATCH(('Adjustment Surface'!AC$3),'Adjustment Surface'!$AO$3:$BH$3,1)+IF('Adjustment Surface'!AD$3="",-1,1))-'Adjustment Surface'!AC$3)+INDEX($AO$4:$BH$23,MATCH(INDEX('Adjustment Surface'!$AN$4:$AN$23,MATCH(('Adjustment Surface'!$O6),'Adjustment Surface'!$AN$4:$AN$23,1)+IF('Adjustment Surface'!$O7="",-1,1)),$AN$4:$AN$23,0),MATCH(INDEX('Adjustment Surface'!$AO$3:$BH$3,1,MATCH(('Adjustment Surface'!AC$3),'Adjustment Surface'!$AO$3:$BH$3,1)),$AO$3:$BH$3,0))*('Adjustment Surface'!$O6-INDEX('Adjustment Surface'!$AN$4:$AN$23,MATCH(('Adjustment Surface'!$O6),'Adjustment Surface'!$AN$4:$AN$23,1)))*(INDEX('Adjustment Surface'!$AO$3:$BH$3,1,MATCH(('Adjustment Surface'!AC$3),'Adjustment Surface'!$AO$3:$BH$3,1)+IF('Adjustment Surface'!AD$3="",-1,1))-'Adjustment Surface'!AC$3)+INDEX($AO$4:$BH$23,MATCH(INDEX('Adjustment Surface'!$AN$4:$AN$23,MATCH(('Adjustment Surface'!$O6),'Adjustment Surface'!$AN$4:$AN$23,1)),$AN$4:$AN$23,0),MATCH(INDEX('Adjustment Surface'!$AO$3:$BH$3,1,MATCH(('Adjustment Surface'!AC$3),'Adjustment Surface'!$AO$3:$BH$3,1)+IF('Adjustment Surface'!AD$3="",-1,1)),$AO$3:$BH$3,0))*(INDEX('Adjustment Surface'!$AN$4:$AN$23,MATCH(('Adjustment Surface'!$O6),'Adjustment Surface'!$AN$4:$AN$23,1)+IF('Adjustment Surface'!$O7="",-1,1))-'Adjustment Surface'!$O6)*('Adjustment Surface'!AC$3-INDEX('Adjustment Surface'!$AO$3:$BH$3,1,MATCH(('Adjustment Surface'!AC$3),'Adjustment Surface'!$AO$3:$BH$3,1)))+INDEX($AO$4:$BH$23,MATCH(INDEX('Adjustment Surface'!$AN$4:$AN$23,MATCH(('Adjustment Surface'!$O6),'Adjustment Surface'!$AN$4:$AN$23,1)+IF('Adjustment Surface'!$O7="",-1,1)),$AN$4:$AN$23,0),MATCH(INDEX('Adjustment Surface'!$AO$3:$BH$3,1,MATCH(('Adjustment Surface'!AC$3),'Adjustment Surface'!$AO$3:$BH$3,1)+IF('Adjustment Surface'!AD$3="",-1,1)),$AO$3:$BH$3,0))*('Adjustment Surface'!$O6-INDEX('Adjustment Surface'!$AN$4:$AN$23,MATCH(('Adjustment Surface'!$O6),'Adjustment Surface'!$AN$4:$AN$23,1)))*('Adjustment Surface'!AC$3-INDEX('Adjustment Surface'!$AO$3:$BH$3,1,MATCH(('Adjustment Surface'!AC$3),'Adjustment Surface'!$AO$3:$BH$3,1)))))</f>
        <v/>
      </c>
      <c r="AD6" s="181" t="str" cm="1">
        <f t="array" ref="AD6">IF(OR(AD$3="",$O6=""),"",1/((INDEX('Adjustment Surface'!$AN$4:$AN$23,MATCH(('Adjustment Surface'!$O6),'Adjustment Surface'!$AN$4:$AN$23,1)+IF('Adjustment Surface'!$O7="",-1,1))-INDEX('Adjustment Surface'!$AN$4:$AN$23,MATCH(('Adjustment Surface'!$O6),'Adjustment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Surface'!$O6),'Adjustment Surface'!$AN$4:$AN$23,1)),$AN$4:$AN$23,0),MATCH(INDEX('Adjustment Surface'!$AO$3:$BH$3,1,MATCH(('Adjustment Surface'!AD$3),'Adjustment Surface'!$AO$3:$BH$3,1)),$AO$3:$BH$3,0))*(INDEX('Adjustment Surface'!$AN$4:$AN$23,MATCH(('Adjustment Surface'!$O6),'Adjustment Surface'!$AN$4:$AN$23,1)+IF('Adjustment Surface'!$O7="",-1,1))-'Adjustment Surface'!$O6)*(INDEX('Adjustment Surface'!$AO$3:$BH$3,1,MATCH(('Adjustment Surface'!AD$3),'Adjustment Surface'!$AO$3:$BH$3,1)+IF('Adjustment Surface'!AE$3="",-1,1))-'Adjustment Surface'!AD$3)+INDEX($AO$4:$BH$23,MATCH(INDEX('Adjustment Surface'!$AN$4:$AN$23,MATCH(('Adjustment Surface'!$O6),'Adjustment Surface'!$AN$4:$AN$23,1)+IF('Adjustment Surface'!$O7="",-1,1)),$AN$4:$AN$23,0),MATCH(INDEX('Adjustment Surface'!$AO$3:$BH$3,1,MATCH(('Adjustment Surface'!AD$3),'Adjustment Surface'!$AO$3:$BH$3,1)),$AO$3:$BH$3,0))*('Adjustment Surface'!$O6-INDEX('Adjustment Surface'!$AN$4:$AN$23,MATCH(('Adjustment Surface'!$O6),'Adjustment Surface'!$AN$4:$AN$23,1)))*(INDEX('Adjustment Surface'!$AO$3:$BH$3,1,MATCH(('Adjustment Surface'!AD$3),'Adjustment Surface'!$AO$3:$BH$3,1)+IF('Adjustment Surface'!AE$3="",-1,1))-'Adjustment Surface'!AD$3)+INDEX($AO$4:$BH$23,MATCH(INDEX('Adjustment Surface'!$AN$4:$AN$23,MATCH(('Adjustment Surface'!$O6),'Adjustment Surface'!$AN$4:$AN$23,1)),$AN$4:$AN$23,0),MATCH(INDEX('Adjustment Surface'!$AO$3:$BH$3,1,MATCH(('Adjustment Surface'!AD$3),'Adjustment Surface'!$AO$3:$BH$3,1)+IF('Adjustment Surface'!AE$3="",-1,1)),$AO$3:$BH$3,0))*(INDEX('Adjustment Surface'!$AN$4:$AN$23,MATCH(('Adjustment Surface'!$O6),'Adjustment Surface'!$AN$4:$AN$23,1)+IF('Adjustment Surface'!$O7="",-1,1))-'Adjustment Surface'!$O6)*('Adjustment Surface'!AD$3-INDEX('Adjustment Surface'!$AO$3:$BH$3,1,MATCH(('Adjustment Surface'!AD$3),'Adjustment Surface'!$AO$3:$BH$3,1)))+INDEX($AO$4:$BH$23,MATCH(INDEX('Adjustment Surface'!$AN$4:$AN$23,MATCH(('Adjustment Surface'!$O6),'Adjustment Surface'!$AN$4:$AN$23,1)+IF('Adjustment Surface'!$O7="",-1,1)),$AN$4:$AN$23,0),MATCH(INDEX('Adjustment Surface'!$AO$3:$BH$3,1,MATCH(('Adjustment Surface'!AD$3),'Adjustment Surface'!$AO$3:$BH$3,1)+IF('Adjustment Surface'!AE$3="",-1,1)),$AO$3:$BH$3,0))*('Adjustment Surface'!$O6-INDEX('Adjustment Surface'!$AN$4:$AN$23,MATCH(('Adjustment Surface'!$O6),'Adjustment Surface'!$AN$4:$AN$23,1)))*('Adjustment Surface'!AD$3-INDEX('Adjustment Surface'!$AO$3:$BH$3,1,MATCH(('Adjustment Surface'!AD$3),'Adjustment Surface'!$AO$3:$BH$3,1)))))</f>
        <v/>
      </c>
      <c r="AE6" s="181" t="str" cm="1">
        <f t="array" ref="AE6">IF(OR(AE$3="",$O6=""),"",1/((INDEX('Adjustment Surface'!$AN$4:$AN$23,MATCH(('Adjustment Surface'!$O6),'Adjustment Surface'!$AN$4:$AN$23,1)+IF('Adjustment Surface'!$O7="",-1,1))-INDEX('Adjustment Surface'!$AN$4:$AN$23,MATCH(('Adjustment Surface'!$O6),'Adjustment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Surface'!$O6),'Adjustment Surface'!$AN$4:$AN$23,1)),$AN$4:$AN$23,0),MATCH(INDEX('Adjustment Surface'!$AO$3:$BH$3,1,MATCH(('Adjustment Surface'!AE$3),'Adjustment Surface'!$AO$3:$BH$3,1)),$AO$3:$BH$3,0))*(INDEX('Adjustment Surface'!$AN$4:$AN$23,MATCH(('Adjustment Surface'!$O6),'Adjustment Surface'!$AN$4:$AN$23,1)+IF('Adjustment Surface'!$O7="",-1,1))-'Adjustment Surface'!$O6)*(INDEX('Adjustment Surface'!$AO$3:$BH$3,1,MATCH(('Adjustment Surface'!AE$3),'Adjustment Surface'!$AO$3:$BH$3,1)+IF('Adjustment Surface'!AF$3="",-1,1))-'Adjustment Surface'!AE$3)+INDEX($AO$4:$BH$23,MATCH(INDEX('Adjustment Surface'!$AN$4:$AN$23,MATCH(('Adjustment Surface'!$O6),'Adjustment Surface'!$AN$4:$AN$23,1)+IF('Adjustment Surface'!$O7="",-1,1)),$AN$4:$AN$23,0),MATCH(INDEX('Adjustment Surface'!$AO$3:$BH$3,1,MATCH(('Adjustment Surface'!AE$3),'Adjustment Surface'!$AO$3:$BH$3,1)),$AO$3:$BH$3,0))*('Adjustment Surface'!$O6-INDEX('Adjustment Surface'!$AN$4:$AN$23,MATCH(('Adjustment Surface'!$O6),'Adjustment Surface'!$AN$4:$AN$23,1)))*(INDEX('Adjustment Surface'!$AO$3:$BH$3,1,MATCH(('Adjustment Surface'!AE$3),'Adjustment Surface'!$AO$3:$BH$3,1)+IF('Adjustment Surface'!AF$3="",-1,1))-'Adjustment Surface'!AE$3)+INDEX($AO$4:$BH$23,MATCH(INDEX('Adjustment Surface'!$AN$4:$AN$23,MATCH(('Adjustment Surface'!$O6),'Adjustment Surface'!$AN$4:$AN$23,1)),$AN$4:$AN$23,0),MATCH(INDEX('Adjustment Surface'!$AO$3:$BH$3,1,MATCH(('Adjustment Surface'!AE$3),'Adjustment Surface'!$AO$3:$BH$3,1)+IF('Adjustment Surface'!AF$3="",-1,1)),$AO$3:$BH$3,0))*(INDEX('Adjustment Surface'!$AN$4:$AN$23,MATCH(('Adjustment Surface'!$O6),'Adjustment Surface'!$AN$4:$AN$23,1)+IF('Adjustment Surface'!$O7="",-1,1))-'Adjustment Surface'!$O6)*('Adjustment Surface'!AE$3-INDEX('Adjustment Surface'!$AO$3:$BH$3,1,MATCH(('Adjustment Surface'!AE$3),'Adjustment Surface'!$AO$3:$BH$3,1)))+INDEX($AO$4:$BH$23,MATCH(INDEX('Adjustment Surface'!$AN$4:$AN$23,MATCH(('Adjustment Surface'!$O6),'Adjustment Surface'!$AN$4:$AN$23,1)+IF('Adjustment Surface'!$O7="",-1,1)),$AN$4:$AN$23,0),MATCH(INDEX('Adjustment Surface'!$AO$3:$BH$3,1,MATCH(('Adjustment Surface'!AE$3),'Adjustment Surface'!$AO$3:$BH$3,1)+IF('Adjustment Surface'!AF$3="",-1,1)),$AO$3:$BH$3,0))*('Adjustment Surface'!$O6-INDEX('Adjustment Surface'!$AN$4:$AN$23,MATCH(('Adjustment Surface'!$O6),'Adjustment Surface'!$AN$4:$AN$23,1)))*('Adjustment Surface'!AE$3-INDEX('Adjustment Surface'!$AO$3:$BH$3,1,MATCH(('Adjustment Surface'!AE$3),'Adjustment Surface'!$AO$3:$BH$3,1)))))</f>
        <v/>
      </c>
      <c r="AF6" s="181" t="str" cm="1">
        <f t="array" ref="AF6">IF(OR(AF$3="",$O6=""),"",1/((INDEX('Adjustment Surface'!$AN$4:$AN$23,MATCH(('Adjustment Surface'!$O6),'Adjustment Surface'!$AN$4:$AN$23,1)+IF('Adjustment Surface'!$O7="",-1,1))-INDEX('Adjustment Surface'!$AN$4:$AN$23,MATCH(('Adjustment Surface'!$O6),'Adjustment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Surface'!$O6),'Adjustment Surface'!$AN$4:$AN$23,1)),$AN$4:$AN$23,0),MATCH(INDEX('Adjustment Surface'!$AO$3:$BH$3,1,MATCH(('Adjustment Surface'!AF$3),'Adjustment Surface'!$AO$3:$BH$3,1)),$AO$3:$BH$3,0))*(INDEX('Adjustment Surface'!$AN$4:$AN$23,MATCH(('Adjustment Surface'!$O6),'Adjustment Surface'!$AN$4:$AN$23,1)+IF('Adjustment Surface'!$O7="",-1,1))-'Adjustment Surface'!$O6)*(INDEX('Adjustment Surface'!$AO$3:$BH$3,1,MATCH(('Adjustment Surface'!AF$3),'Adjustment Surface'!$AO$3:$BH$3,1)+IF('Adjustment Surface'!AG$3="",-1,1))-'Adjustment Surface'!AF$3)+INDEX($AO$4:$BH$23,MATCH(INDEX('Adjustment Surface'!$AN$4:$AN$23,MATCH(('Adjustment Surface'!$O6),'Adjustment Surface'!$AN$4:$AN$23,1)+IF('Adjustment Surface'!$O7="",-1,1)),$AN$4:$AN$23,0),MATCH(INDEX('Adjustment Surface'!$AO$3:$BH$3,1,MATCH(('Adjustment Surface'!AF$3),'Adjustment Surface'!$AO$3:$BH$3,1)),$AO$3:$BH$3,0))*('Adjustment Surface'!$O6-INDEX('Adjustment Surface'!$AN$4:$AN$23,MATCH(('Adjustment Surface'!$O6),'Adjustment Surface'!$AN$4:$AN$23,1)))*(INDEX('Adjustment Surface'!$AO$3:$BH$3,1,MATCH(('Adjustment Surface'!AF$3),'Adjustment Surface'!$AO$3:$BH$3,1)+IF('Adjustment Surface'!AG$3="",-1,1))-'Adjustment Surface'!AF$3)+INDEX($AO$4:$BH$23,MATCH(INDEX('Adjustment Surface'!$AN$4:$AN$23,MATCH(('Adjustment Surface'!$O6),'Adjustment Surface'!$AN$4:$AN$23,1)),$AN$4:$AN$23,0),MATCH(INDEX('Adjustment Surface'!$AO$3:$BH$3,1,MATCH(('Adjustment Surface'!AF$3),'Adjustment Surface'!$AO$3:$BH$3,1)+IF('Adjustment Surface'!AG$3="",-1,1)),$AO$3:$BH$3,0))*(INDEX('Adjustment Surface'!$AN$4:$AN$23,MATCH(('Adjustment Surface'!$O6),'Adjustment Surface'!$AN$4:$AN$23,1)+IF('Adjustment Surface'!$O7="",-1,1))-'Adjustment Surface'!$O6)*('Adjustment Surface'!AF$3-INDEX('Adjustment Surface'!$AO$3:$BH$3,1,MATCH(('Adjustment Surface'!AF$3),'Adjustment Surface'!$AO$3:$BH$3,1)))+INDEX($AO$4:$BH$23,MATCH(INDEX('Adjustment Surface'!$AN$4:$AN$23,MATCH(('Adjustment Surface'!$O6),'Adjustment Surface'!$AN$4:$AN$23,1)+IF('Adjustment Surface'!$O7="",-1,1)),$AN$4:$AN$23,0),MATCH(INDEX('Adjustment Surface'!$AO$3:$BH$3,1,MATCH(('Adjustment Surface'!AF$3),'Adjustment Surface'!$AO$3:$BH$3,1)+IF('Adjustment Surface'!AG$3="",-1,1)),$AO$3:$BH$3,0))*('Adjustment Surface'!$O6-INDEX('Adjustment Surface'!$AN$4:$AN$23,MATCH(('Adjustment Surface'!$O6),'Adjustment Surface'!$AN$4:$AN$23,1)))*('Adjustment Surface'!AF$3-INDEX('Adjustment Surface'!$AO$3:$BH$3,1,MATCH(('Adjustment Surface'!AF$3),'Adjustment Surface'!$AO$3:$BH$3,1)))))</f>
        <v/>
      </c>
      <c r="AG6" s="181" t="str" cm="1">
        <f t="array" ref="AG6">IF(OR(AG$3="",$O6=""),"",1/((INDEX('Adjustment Surface'!$AN$4:$AN$23,MATCH(('Adjustment Surface'!$O6),'Adjustment Surface'!$AN$4:$AN$23,1)+IF('Adjustment Surface'!$O7="",-1,1))-INDEX('Adjustment Surface'!$AN$4:$AN$23,MATCH(('Adjustment Surface'!$O6),'Adjustment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Surface'!$O6),'Adjustment Surface'!$AN$4:$AN$23,1)),$AN$4:$AN$23,0),MATCH(INDEX('Adjustment Surface'!$AO$3:$BH$3,1,MATCH(('Adjustment Surface'!AG$3),'Adjustment Surface'!$AO$3:$BH$3,1)),$AO$3:$BH$3,0))*(INDEX('Adjustment Surface'!$AN$4:$AN$23,MATCH(('Adjustment Surface'!$O6),'Adjustment Surface'!$AN$4:$AN$23,1)+IF('Adjustment Surface'!$O7="",-1,1))-'Adjustment Surface'!$O6)*(INDEX('Adjustment Surface'!$AO$3:$BH$3,1,MATCH(('Adjustment Surface'!AG$3),'Adjustment Surface'!$AO$3:$BH$3,1)+IF('Adjustment Surface'!AH$3="",-1,1))-'Adjustment Surface'!AG$3)+INDEX($AO$4:$BH$23,MATCH(INDEX('Adjustment Surface'!$AN$4:$AN$23,MATCH(('Adjustment Surface'!$O6),'Adjustment Surface'!$AN$4:$AN$23,1)+IF('Adjustment Surface'!$O7="",-1,1)),$AN$4:$AN$23,0),MATCH(INDEX('Adjustment Surface'!$AO$3:$BH$3,1,MATCH(('Adjustment Surface'!AG$3),'Adjustment Surface'!$AO$3:$BH$3,1)),$AO$3:$BH$3,0))*('Adjustment Surface'!$O6-INDEX('Adjustment Surface'!$AN$4:$AN$23,MATCH(('Adjustment Surface'!$O6),'Adjustment Surface'!$AN$4:$AN$23,1)))*(INDEX('Adjustment Surface'!$AO$3:$BH$3,1,MATCH(('Adjustment Surface'!AG$3),'Adjustment Surface'!$AO$3:$BH$3,1)+IF('Adjustment Surface'!AH$3="",-1,1))-'Adjustment Surface'!AG$3)+INDEX($AO$4:$BH$23,MATCH(INDEX('Adjustment Surface'!$AN$4:$AN$23,MATCH(('Adjustment Surface'!$O6),'Adjustment Surface'!$AN$4:$AN$23,1)),$AN$4:$AN$23,0),MATCH(INDEX('Adjustment Surface'!$AO$3:$BH$3,1,MATCH(('Adjustment Surface'!AG$3),'Adjustment Surface'!$AO$3:$BH$3,1)+IF('Adjustment Surface'!AH$3="",-1,1)),$AO$3:$BH$3,0))*(INDEX('Adjustment Surface'!$AN$4:$AN$23,MATCH(('Adjustment Surface'!$O6),'Adjustment Surface'!$AN$4:$AN$23,1)+IF('Adjustment Surface'!$O7="",-1,1))-'Adjustment Surface'!$O6)*('Adjustment Surface'!AG$3-INDEX('Adjustment Surface'!$AO$3:$BH$3,1,MATCH(('Adjustment Surface'!AG$3),'Adjustment Surface'!$AO$3:$BH$3,1)))+INDEX($AO$4:$BH$23,MATCH(INDEX('Adjustment Surface'!$AN$4:$AN$23,MATCH(('Adjustment Surface'!$O6),'Adjustment Surface'!$AN$4:$AN$23,1)+IF('Adjustment Surface'!$O7="",-1,1)),$AN$4:$AN$23,0),MATCH(INDEX('Adjustment Surface'!$AO$3:$BH$3,1,MATCH(('Adjustment Surface'!AG$3),'Adjustment Surface'!$AO$3:$BH$3,1)+IF('Adjustment Surface'!AH$3="",-1,1)),$AO$3:$BH$3,0))*('Adjustment Surface'!$O6-INDEX('Adjustment Surface'!$AN$4:$AN$23,MATCH(('Adjustment Surface'!$O6),'Adjustment Surface'!$AN$4:$AN$23,1)))*('Adjustment Surface'!AG$3-INDEX('Adjustment Surface'!$AO$3:$BH$3,1,MATCH(('Adjustment Surface'!AG$3),'Adjustment Surface'!$AO$3:$BH$3,1)))))</f>
        <v/>
      </c>
      <c r="AH6" s="181" t="str" cm="1">
        <f t="array" ref="AH6">IF(OR(AH$3="",$O6=""),"",1/((INDEX('Adjustment Surface'!$AN$4:$AN$23,MATCH(('Adjustment Surface'!$O6),'Adjustment Surface'!$AN$4:$AN$23,1)+IF('Adjustment Surface'!$O7="",-1,1))-INDEX('Adjustment Surface'!$AN$4:$AN$23,MATCH(('Adjustment Surface'!$O6),'Adjustment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Surface'!$O6),'Adjustment Surface'!$AN$4:$AN$23,1)),$AN$4:$AN$23,0),MATCH(INDEX('Adjustment Surface'!$AO$3:$BH$3,1,MATCH(('Adjustment Surface'!AH$3),'Adjustment Surface'!$AO$3:$BH$3,1)),$AO$3:$BH$3,0))*(INDEX('Adjustment Surface'!$AN$4:$AN$23,MATCH(('Adjustment Surface'!$O6),'Adjustment Surface'!$AN$4:$AN$23,1)+IF('Adjustment Surface'!$O7="",-1,1))-'Adjustment Surface'!$O6)*(INDEX('Adjustment Surface'!$AO$3:$BH$3,1,MATCH(('Adjustment Surface'!AH$3),'Adjustment Surface'!$AO$3:$BH$3,1)+IF('Adjustment Surface'!AI$3="",-1,1))-'Adjustment Surface'!AH$3)+INDEX($AO$4:$BH$23,MATCH(INDEX('Adjustment Surface'!$AN$4:$AN$23,MATCH(('Adjustment Surface'!$O6),'Adjustment Surface'!$AN$4:$AN$23,1)+IF('Adjustment Surface'!$O7="",-1,1)),$AN$4:$AN$23,0),MATCH(INDEX('Adjustment Surface'!$AO$3:$BH$3,1,MATCH(('Adjustment Surface'!AH$3),'Adjustment Surface'!$AO$3:$BH$3,1)),$AO$3:$BH$3,0))*('Adjustment Surface'!$O6-INDEX('Adjustment Surface'!$AN$4:$AN$23,MATCH(('Adjustment Surface'!$O6),'Adjustment Surface'!$AN$4:$AN$23,1)))*(INDEX('Adjustment Surface'!$AO$3:$BH$3,1,MATCH(('Adjustment Surface'!AH$3),'Adjustment Surface'!$AO$3:$BH$3,1)+IF('Adjustment Surface'!AI$3="",-1,1))-'Adjustment Surface'!AH$3)+INDEX($AO$4:$BH$23,MATCH(INDEX('Adjustment Surface'!$AN$4:$AN$23,MATCH(('Adjustment Surface'!$O6),'Adjustment Surface'!$AN$4:$AN$23,1)),$AN$4:$AN$23,0),MATCH(INDEX('Adjustment Surface'!$AO$3:$BH$3,1,MATCH(('Adjustment Surface'!AH$3),'Adjustment Surface'!$AO$3:$BH$3,1)+IF('Adjustment Surface'!AI$3="",-1,1)),$AO$3:$BH$3,0))*(INDEX('Adjustment Surface'!$AN$4:$AN$23,MATCH(('Adjustment Surface'!$O6),'Adjustment Surface'!$AN$4:$AN$23,1)+IF('Adjustment Surface'!$O7="",-1,1))-'Adjustment Surface'!$O6)*('Adjustment Surface'!AH$3-INDEX('Adjustment Surface'!$AO$3:$BH$3,1,MATCH(('Adjustment Surface'!AH$3),'Adjustment Surface'!$AO$3:$BH$3,1)))+INDEX($AO$4:$BH$23,MATCH(INDEX('Adjustment Surface'!$AN$4:$AN$23,MATCH(('Adjustment Surface'!$O6),'Adjustment Surface'!$AN$4:$AN$23,1)+IF('Adjustment Surface'!$O7="",-1,1)),$AN$4:$AN$23,0),MATCH(INDEX('Adjustment Surface'!$AO$3:$BH$3,1,MATCH(('Adjustment Surface'!AH$3),'Adjustment Surface'!$AO$3:$BH$3,1)+IF('Adjustment Surface'!AI$3="",-1,1)),$AO$3:$BH$3,0))*('Adjustment Surface'!$O6-INDEX('Adjustment Surface'!$AN$4:$AN$23,MATCH(('Adjustment Surface'!$O6),'Adjustment Surface'!$AN$4:$AN$23,1)))*('Adjustment Surface'!AH$3-INDEX('Adjustment Surface'!$AO$3:$BH$3,1,MATCH(('Adjustment Surface'!AH$3),'Adjustment Surface'!$AO$3:$BH$3,1)))))</f>
        <v/>
      </c>
      <c r="AI6" s="182" t="str" cm="1">
        <f t="array" ref="AI6">IF(OR(AI$3="",$O6=""),"",1/((INDEX('Adjustment Surface'!$AN$4:$AN$23,MATCH(('Adjustment Surface'!$O6),'Adjustment Surface'!$AN$4:$AN$23,1)+IF('Adjustment Surface'!$O7="",-1,1))-INDEX('Adjustment Surface'!$AN$4:$AN$23,MATCH(('Adjustment Surface'!$O6),'Adjustment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Surface'!$O6),'Adjustment Surface'!$AN$4:$AN$23,1)),$AN$4:$AN$23,0),MATCH(INDEX('Adjustment Surface'!$AO$3:$BH$3,1,MATCH(('Adjustment Surface'!AI$3),'Adjustment Surface'!$AO$3:$BH$3,1)),$AO$3:$BH$3,0))*(INDEX('Adjustment Surface'!$AN$4:$AN$23,MATCH(('Adjustment Surface'!$O6),'Adjustment Surface'!$AN$4:$AN$23,1)+IF('Adjustment Surface'!$O7="",-1,1))-'Adjustment Surface'!$O6)*(INDEX('Adjustment Surface'!$AO$3:$BH$3,1,MATCH(('Adjustment Surface'!AI$3),'Adjustment Surface'!$AO$3:$BH$3,1)+IF('Adjustment Surface'!AJ$3="",-1,1))-'Adjustment Surface'!AI$3)+INDEX($AO$4:$BH$23,MATCH(INDEX('Adjustment Surface'!$AN$4:$AN$23,MATCH(('Adjustment Surface'!$O6),'Adjustment Surface'!$AN$4:$AN$23,1)+IF('Adjustment Surface'!$O7="",-1,1)),$AN$4:$AN$23,0),MATCH(INDEX('Adjustment Surface'!$AO$3:$BH$3,1,MATCH(('Adjustment Surface'!AI$3),'Adjustment Surface'!$AO$3:$BH$3,1)),$AO$3:$BH$3,0))*('Adjustment Surface'!$O6-INDEX('Adjustment Surface'!$AN$4:$AN$23,MATCH(('Adjustment Surface'!$O6),'Adjustment Surface'!$AN$4:$AN$23,1)))*(INDEX('Adjustment Surface'!$AO$3:$BH$3,1,MATCH(('Adjustment Surface'!AI$3),'Adjustment Surface'!$AO$3:$BH$3,1)+IF('Adjustment Surface'!AJ$3="",-1,1))-'Adjustment Surface'!AI$3)+INDEX($AO$4:$BH$23,MATCH(INDEX('Adjustment Surface'!$AN$4:$AN$23,MATCH(('Adjustment Surface'!$O6),'Adjustment Surface'!$AN$4:$AN$23,1)),$AN$4:$AN$23,0),MATCH(INDEX('Adjustment Surface'!$AO$3:$BH$3,1,MATCH(('Adjustment Surface'!AI$3),'Adjustment Surface'!$AO$3:$BH$3,1)+IF('Adjustment Surface'!AJ$3="",-1,1)),$AO$3:$BH$3,0))*(INDEX('Adjustment Surface'!$AN$4:$AN$23,MATCH(('Adjustment Surface'!$O6),'Adjustment Surface'!$AN$4:$AN$23,1)+IF('Adjustment Surface'!$O7="",-1,1))-'Adjustment Surface'!$O6)*('Adjustment Surface'!AI$3-INDEX('Adjustment Surface'!$AO$3:$BH$3,1,MATCH(('Adjustment Surface'!AI$3),'Adjustment Surface'!$AO$3:$BH$3,1)))+INDEX($AO$4:$BH$23,MATCH(INDEX('Adjustment Surface'!$AN$4:$AN$23,MATCH(('Adjustment Surface'!$O6),'Adjustment Surface'!$AN$4:$AN$23,1)+IF('Adjustment Surface'!$O7="",-1,1)),$AN$4:$AN$23,0),MATCH(INDEX('Adjustment Surface'!$AO$3:$BH$3,1,MATCH(('Adjustment Surface'!AI$3),'Adjustment Surface'!$AO$3:$BH$3,1)+IF('Adjustment Surface'!AJ$3="",-1,1)),$AO$3:$BH$3,0))*('Adjustment Surface'!$O6-INDEX('Adjustment Surface'!$AN$4:$AN$23,MATCH(('Adjustment Surface'!$O6),'Adjustment Surface'!$AN$4:$AN$23,1)))*('Adjustment Surface'!AI$3-INDEX('Adjustment Surface'!$AO$3:$BH$3,1,MATCH(('Adjustment Surface'!AI$3),'Adjustment Surface'!$AO$3:$BH$3,1)))))</f>
        <v/>
      </c>
      <c r="AK6" s="203">
        <f>IF(OR(AK5=IF('Adjustment Surface'!$C$2='Data Validation'!$A$2,_xlfn.FLOOR.MATH(MAX('Bank Adjustments'!$C$4:$C$103),0.5%,2),IF('Adjustment Surface'!$C$2='Data Validation'!$A$3,_xlfn.FLOOR.MATH(MAX('Bank Adjustments'!$M$4:$M$103),0.5%,2),"Uknown Option Type")),AK5=""),"",AK5+0.5%)</f>
        <v>3.0000000000000002E-2</v>
      </c>
      <c r="AL6" s="204">
        <f>IF(OR(AL5=IF('Adjustment Surface'!$C$2='Data Validation'!$A$2,IF(EDATE('Rate &amp; Vol Update'!$C$2,_xlfn.FLOOR.MATH(DATEDIF('Rate &amp; Vol Update'!$C$2,MAX('Bank Adjustments'!$E$4:$E$103),"M"),3,2))&gt;MAX('Bank Adjustments'!$E$4:$E$103),EDATE('Rate &amp; Vol Update'!$C$2,_xlfn.FLOOR.MATH(DATEDIF('Rate &amp; Vol Update'!$C$2,MAX('Bank Adjustments'!$E$4:$E$103),"M")-3,3,2)),EDATE('Rate &amp; Vol Update'!$C$2,_xlfn.FLOOR.MATH(DATEDIF('Rate &amp; Vol Update'!$C$2,MAX('Bank Adjustments'!$E$4:$E$103),"M"),3,2))),IF('Adjustment Surface'!$C$2='Data Validation'!$A$3,IF(EDATE('Rate &amp; Vol Update'!$C$2,_xlfn.FLOOR.MATH(DATEDIF('Rate &amp; Vol Update'!$C$2,MAX('Bank Adjustments'!$O$4:$O$103),"M"),3,2))&gt;MAX('Bank Adjustments'!$O$4:$O$103),EDATE('Rate &amp; Vol Update'!$C$2,_xlfn.FLOOR.MATH(DATEDIF('Rate &amp; Vol Update'!$C$2,MAX('Bank Adjustments'!$O$4:$O$103),"M")-3,3,2)),EDATE('Rate &amp; Vol Update'!$C$2,_xlfn.FLOOR.MATH(DATEDIF('Rate &amp; Vol Update'!$C$2,MAX('Bank Adjustments'!$O$4:$O$103),"M"),3,2))),"Unkown Option Type")),AL5=""),"",EDATE(AL5,3))</f>
        <v>46610</v>
      </c>
      <c r="AN6" s="176">
        <v>0.04</v>
      </c>
      <c r="AO6" s="180" cm="1">
        <f t="array" ref="AO6">IF(OR(AO$3="",$AN6=""),"",INDEX(IF($C$2='Data Validation'!$A$2,'Bank Adjustments'!$H$4:$H$103,IF('Adjustment Surface'!$C$2='Data Validation'!$A$3,'Bank Adjustments'!$R$4:$R$103,"Unknown Option Type")),MATCH(1,($AN6=IF($C$2='Data Validation'!$A$2,'Bank Adjustments'!$C$4:$C$103,IF('Adjustment Surface'!$C$2='Data Validation'!$A$3,'Bank Adjustments'!$M$4:$M$103,"Unknown Option Type")))*(AO$3=IF($C$2='Data Validation'!$A$2,'Bank Adjustments'!$E$4:$E$103,IF('Adjustment Surface'!$C$2='Data Validation'!$A$3,'Bank Adjustments'!$O$4:$O$103,"Unknown Option Type"))),0)))</f>
        <v>27.855189705711929</v>
      </c>
      <c r="AP6" s="181" cm="1">
        <f t="array" ref="AP6">IF(OR(AP$3="",$AN6=""),"",INDEX(IF($C$2='Data Validation'!$A$2,'Bank Adjustments'!$H$4:$H$103,IF('Adjustment Surface'!$C$2='Data Validation'!$A$3,'Bank Adjustments'!$R$4:$R$103,"Unknown Option Type")),MATCH(1,($AN6=IF($C$2='Data Validation'!$A$2,'Bank Adjustments'!$C$4:$C$103,IF('Adjustment Surface'!$C$2='Data Validation'!$A$3,'Bank Adjustments'!$M$4:$M$103,"Unknown Option Type")))*(AP$3=IF($C$2='Data Validation'!$A$2,'Bank Adjustments'!$E$4:$E$103,IF('Adjustment Surface'!$C$2='Data Validation'!$A$3,'Bank Adjustments'!$O$4:$O$103,"Unknown Option Type"))),0)))</f>
        <v>7.7611663960847599</v>
      </c>
      <c r="AQ6" s="181" cm="1">
        <f t="array" ref="AQ6">IF(OR(AQ$3="",$AN6=""),"",INDEX(IF($C$2='Data Validation'!$A$2,'Bank Adjustments'!$H$4:$H$103,IF('Adjustment Surface'!$C$2='Data Validation'!$A$3,'Bank Adjustments'!$R$4:$R$103,"Unknown Option Type")),MATCH(1,($AN6=IF($C$2='Data Validation'!$A$2,'Bank Adjustments'!$C$4:$C$103,IF('Adjustment Surface'!$C$2='Data Validation'!$A$3,'Bank Adjustments'!$M$4:$M$103,"Unknown Option Type")))*(AQ$3=IF($C$2='Data Validation'!$A$2,'Bank Adjustments'!$E$4:$E$103,IF('Adjustment Surface'!$C$2='Data Validation'!$A$3,'Bank Adjustments'!$O$4:$O$103,"Unknown Option Type"))),0)))</f>
        <v>8.6026374862867296</v>
      </c>
      <c r="AR6" s="181" t="str" cm="1">
        <f t="array" ref="AR6">IF(OR(AR$3="",$AN6=""),"",INDEX(IF($C$2='Data Validation'!$A$2,'Bank Adjustments'!$H$4:$H$103,IF('Adjustment Surface'!$C$2='Data Validation'!$A$3,'Bank Adjustments'!$R$4:$R$103,"Unknown Option Type")),MATCH(1,($AN6=IF($C$2='Data Validation'!$A$2,'Bank Adjustments'!$C$4:$C$103,IF('Adjustment Surface'!$C$2='Data Validation'!$A$3,'Bank Adjustments'!$M$4:$M$103,"Unknown Option Type")))*(AR$3=IF($C$2='Data Validation'!$A$2,'Bank Adjustments'!$E$4:$E$103,IF('Adjustment Surface'!$C$2='Data Validation'!$A$3,'Bank Adjustments'!$O$4:$O$103,"Unknown Option Type"))),0)))</f>
        <v/>
      </c>
      <c r="AS6" s="181" t="str" cm="1">
        <f t="array" ref="AS6">IF(OR(AS$3="",$AN6=""),"",INDEX(IF($C$2='Data Validation'!$A$2,'Bank Adjustments'!$H$4:$H$103,IF('Adjustment Surface'!$C$2='Data Validation'!$A$3,'Bank Adjustments'!$R$4:$R$103,"Unknown Option Type")),MATCH(1,($AN6=IF($C$2='Data Validation'!$A$2,'Bank Adjustments'!$C$4:$C$103,IF('Adjustment Surface'!$C$2='Data Validation'!$A$3,'Bank Adjustments'!$M$4:$M$103,"Unknown Option Type")))*(AS$3=IF($C$2='Data Validation'!$A$2,'Bank Adjustments'!$E$4:$E$103,IF('Adjustment Surface'!$C$2='Data Validation'!$A$3,'Bank Adjustments'!$O$4:$O$103,"Unknown Option Type"))),0)))</f>
        <v/>
      </c>
      <c r="AT6" s="181" t="str" cm="1">
        <f t="array" ref="AT6">IF(OR(AT$3="",$AN6=""),"",INDEX(IF($C$2='Data Validation'!$A$2,'Bank Adjustments'!$H$4:$H$103,IF('Adjustment Surface'!$C$2='Data Validation'!$A$3,'Bank Adjustments'!$R$4:$R$103,"Unknown Option Type")),MATCH(1,($AN6=IF($C$2='Data Validation'!$A$2,'Bank Adjustments'!$C$4:$C$103,IF('Adjustment Surface'!$C$2='Data Validation'!$A$3,'Bank Adjustments'!$M$4:$M$103,"Unknown Option Type")))*(AT$3=IF($C$2='Data Validation'!$A$2,'Bank Adjustments'!$E$4:$E$103,IF('Adjustment Surface'!$C$2='Data Validation'!$A$3,'Bank Adjustments'!$O$4:$O$103,"Unknown Option Type"))),0)))</f>
        <v/>
      </c>
      <c r="AU6" s="181" t="str" cm="1">
        <f t="array" ref="AU6">IF(OR(AU$3="",$AN6=""),"",INDEX(IF($C$2='Data Validation'!$A$2,'Bank Adjustments'!$H$4:$H$103,IF('Adjustment Surface'!$C$2='Data Validation'!$A$3,'Bank Adjustments'!$R$4:$R$103,"Unknown Option Type")),MATCH(1,($AN6=IF($C$2='Data Validation'!$A$2,'Bank Adjustments'!$C$4:$C$103,IF('Adjustment Surface'!$C$2='Data Validation'!$A$3,'Bank Adjustments'!$M$4:$M$103,"Unknown Option Type")))*(AU$3=IF($C$2='Data Validation'!$A$2,'Bank Adjustments'!$E$4:$E$103,IF('Adjustment Surface'!$C$2='Data Validation'!$A$3,'Bank Adjustments'!$O$4:$O$103,"Unknown Option Type"))),0)))</f>
        <v/>
      </c>
      <c r="AV6" s="181" t="str" cm="1">
        <f t="array" ref="AV6">IF(OR(AV$3="",$AN6=""),"",INDEX(IF($C$2='Data Validation'!$A$2,'Bank Adjustments'!$H$4:$H$103,IF('Adjustment Surface'!$C$2='Data Validation'!$A$3,'Bank Adjustments'!$R$4:$R$103,"Unknown Option Type")),MATCH(1,($AN6=IF($C$2='Data Validation'!$A$2,'Bank Adjustments'!$C$4:$C$103,IF('Adjustment Surface'!$C$2='Data Validation'!$A$3,'Bank Adjustments'!$M$4:$M$103,"Unknown Option Type")))*(AV$3=IF($C$2='Data Validation'!$A$2,'Bank Adjustments'!$E$4:$E$103,IF('Adjustment Surface'!$C$2='Data Validation'!$A$3,'Bank Adjustments'!$O$4:$O$103,"Unknown Option Type"))),0)))</f>
        <v/>
      </c>
      <c r="AW6" s="181" t="str" cm="1">
        <f t="array" ref="AW6">IF(OR(AW$3="",$AN6=""),"",INDEX(IF($C$2='Data Validation'!$A$2,'Bank Adjustments'!$H$4:$H$103,IF('Adjustment Surface'!$C$2='Data Validation'!$A$3,'Bank Adjustments'!$R$4:$R$103,"Unknown Option Type")),MATCH(1,($AN6=IF($C$2='Data Validation'!$A$2,'Bank Adjustments'!$C$4:$C$103,IF('Adjustment Surface'!$C$2='Data Validation'!$A$3,'Bank Adjustments'!$M$4:$M$103,"Unknown Option Type")))*(AW$3=IF($C$2='Data Validation'!$A$2,'Bank Adjustments'!$E$4:$E$103,IF('Adjustment Surface'!$C$2='Data Validation'!$A$3,'Bank Adjustments'!$O$4:$O$103,"Unknown Option Type"))),0)))</f>
        <v/>
      </c>
      <c r="AX6" s="181" t="str" cm="1">
        <f t="array" ref="AX6">IF(OR(AX$3="",$AN6=""),"",INDEX(IF($C$2='Data Validation'!$A$2,'Bank Adjustments'!$H$4:$H$103,IF('Adjustment Surface'!$C$2='Data Validation'!$A$3,'Bank Adjustments'!$R$4:$R$103,"Unknown Option Type")),MATCH(1,($AN6=IF($C$2='Data Validation'!$A$2,'Bank Adjustments'!$C$4:$C$103,IF('Adjustment Surface'!$C$2='Data Validation'!$A$3,'Bank Adjustments'!$M$4:$M$103,"Unknown Option Type")))*(AX$3=IF($C$2='Data Validation'!$A$2,'Bank Adjustments'!$E$4:$E$103,IF('Adjustment Surface'!$C$2='Data Validation'!$A$3,'Bank Adjustments'!$O$4:$O$103,"Unknown Option Type"))),0)))</f>
        <v/>
      </c>
      <c r="AY6" s="181" t="str" cm="1">
        <f t="array" ref="AY6">IF(OR(AY$3="",$AN6=""),"",INDEX(IF($C$2='Data Validation'!$A$2,'Bank Adjustments'!$H$4:$H$103,IF('Adjustment Surface'!$C$2='Data Validation'!$A$3,'Bank Adjustments'!$R$4:$R$103,"Unknown Option Type")),MATCH(1,($AN6=IF($C$2='Data Validation'!$A$2,'Bank Adjustments'!$C$4:$C$103,IF('Adjustment Surface'!$C$2='Data Validation'!$A$3,'Bank Adjustments'!$M$4:$M$103,"Unknown Option Type")))*(AY$3=IF($C$2='Data Validation'!$A$2,'Bank Adjustments'!$E$4:$E$103,IF('Adjustment Surface'!$C$2='Data Validation'!$A$3,'Bank Adjustments'!$O$4:$O$103,"Unknown Option Type"))),0)))</f>
        <v/>
      </c>
      <c r="AZ6" s="181" t="str" cm="1">
        <f t="array" ref="AZ6">IF(OR(AZ$3="",$AN6=""),"",INDEX(IF($C$2='Data Validation'!$A$2,'Bank Adjustments'!$H$4:$H$103,IF('Adjustment Surface'!$C$2='Data Validation'!$A$3,'Bank Adjustments'!$R$4:$R$103,"Unknown Option Type")),MATCH(1,($AN6=IF($C$2='Data Validation'!$A$2,'Bank Adjustments'!$C$4:$C$103,IF('Adjustment Surface'!$C$2='Data Validation'!$A$3,'Bank Adjustments'!$M$4:$M$103,"Unknown Option Type")))*(AZ$3=IF($C$2='Data Validation'!$A$2,'Bank Adjustments'!$E$4:$E$103,IF('Adjustment Surface'!$C$2='Data Validation'!$A$3,'Bank Adjustments'!$O$4:$O$103,"Unknown Option Type"))),0)))</f>
        <v/>
      </c>
      <c r="BA6" s="181" t="str" cm="1">
        <f t="array" ref="BA6">IF(OR(BA$3="",$AN6=""),"",INDEX(IF($C$2='Data Validation'!$A$2,'Bank Adjustments'!$H$4:$H$103,IF('Adjustment Surface'!$C$2='Data Validation'!$A$3,'Bank Adjustments'!$R$4:$R$103,"Unknown Option Type")),MATCH(1,($AN6=IF($C$2='Data Validation'!$A$2,'Bank Adjustments'!$C$4:$C$103,IF('Adjustment Surface'!$C$2='Data Validation'!$A$3,'Bank Adjustments'!$M$4:$M$103,"Unknown Option Type")))*(BA$3=IF($C$2='Data Validation'!$A$2,'Bank Adjustments'!$E$4:$E$103,IF('Adjustment Surface'!$C$2='Data Validation'!$A$3,'Bank Adjustments'!$O$4:$O$103,"Unknown Option Type"))),0)))</f>
        <v/>
      </c>
      <c r="BB6" s="181" t="str" cm="1">
        <f t="array" ref="BB6">IF(OR(BB$3="",$AN6=""),"",INDEX(IF($C$2='Data Validation'!$A$2,'Bank Adjustments'!$H$4:$H$103,IF('Adjustment Surface'!$C$2='Data Validation'!$A$3,'Bank Adjustments'!$R$4:$R$103,"Unknown Option Type")),MATCH(1,($AN6=IF($C$2='Data Validation'!$A$2,'Bank Adjustments'!$C$4:$C$103,IF('Adjustment Surface'!$C$2='Data Validation'!$A$3,'Bank Adjustments'!$M$4:$M$103,"Unknown Option Type")))*(BB$3=IF($C$2='Data Validation'!$A$2,'Bank Adjustments'!$E$4:$E$103,IF('Adjustment Surface'!$C$2='Data Validation'!$A$3,'Bank Adjustments'!$O$4:$O$103,"Unknown Option Type"))),0)))</f>
        <v/>
      </c>
      <c r="BC6" s="181" t="str" cm="1">
        <f t="array" ref="BC6">IF(OR(BC$3="",$AN6=""),"",INDEX(IF($C$2='Data Validation'!$A$2,'Bank Adjustments'!$H$4:$H$103,IF('Adjustment Surface'!$C$2='Data Validation'!$A$3,'Bank Adjustments'!$R$4:$R$103,"Unknown Option Type")),MATCH(1,($AN6=IF($C$2='Data Validation'!$A$2,'Bank Adjustments'!$C$4:$C$103,IF('Adjustment Surface'!$C$2='Data Validation'!$A$3,'Bank Adjustments'!$M$4:$M$103,"Unknown Option Type")))*(BC$3=IF($C$2='Data Validation'!$A$2,'Bank Adjustments'!$E$4:$E$103,IF('Adjustment Surface'!$C$2='Data Validation'!$A$3,'Bank Adjustments'!$O$4:$O$103,"Unknown Option Type"))),0)))</f>
        <v/>
      </c>
      <c r="BD6" s="181" t="str" cm="1">
        <f t="array" ref="BD6">IF(OR(BD$3="",$AN6=""),"",INDEX(IF($C$2='Data Validation'!$A$2,'Bank Adjustments'!$H$4:$H$103,IF('Adjustment Surface'!$C$2='Data Validation'!$A$3,'Bank Adjustments'!$R$4:$R$103,"Unknown Option Type")),MATCH(1,($AN6=IF($C$2='Data Validation'!$A$2,'Bank Adjustments'!$C$4:$C$103,IF('Adjustment Surface'!$C$2='Data Validation'!$A$3,'Bank Adjustments'!$M$4:$M$103,"Unknown Option Type")))*(BD$3=IF($C$2='Data Validation'!$A$2,'Bank Adjustments'!$E$4:$E$103,IF('Adjustment Surface'!$C$2='Data Validation'!$A$3,'Bank Adjustments'!$O$4:$O$103,"Unknown Option Type"))),0)))</f>
        <v/>
      </c>
      <c r="BE6" s="181" t="str" cm="1">
        <f t="array" ref="BE6">IF(OR(BE$3="",$AN6=""),"",INDEX(IF($C$2='Data Validation'!$A$2,'Bank Adjustments'!$H$4:$H$103,IF('Adjustment Surface'!$C$2='Data Validation'!$A$3,'Bank Adjustments'!$R$4:$R$103,"Unknown Option Type")),MATCH(1,($AN6=IF($C$2='Data Validation'!$A$2,'Bank Adjustments'!$C$4:$C$103,IF('Adjustment Surface'!$C$2='Data Validation'!$A$3,'Bank Adjustments'!$M$4:$M$103,"Unknown Option Type")))*(BE$3=IF($C$2='Data Validation'!$A$2,'Bank Adjustments'!$E$4:$E$103,IF('Adjustment Surface'!$C$2='Data Validation'!$A$3,'Bank Adjustments'!$O$4:$O$103,"Unknown Option Type"))),0)))</f>
        <v/>
      </c>
      <c r="BF6" s="181" t="str" cm="1">
        <f t="array" ref="BF6">IF(OR(BF$3="",$AN6=""),"",INDEX(IF($C$2='Data Validation'!$A$2,'Bank Adjustments'!$H$4:$H$103,IF('Adjustment Surface'!$C$2='Data Validation'!$A$3,'Bank Adjustments'!$R$4:$R$103,"Unknown Option Type")),MATCH(1,($AN6=IF($C$2='Data Validation'!$A$2,'Bank Adjustments'!$C$4:$C$103,IF('Adjustment Surface'!$C$2='Data Validation'!$A$3,'Bank Adjustments'!$M$4:$M$103,"Unknown Option Type")))*(BF$3=IF($C$2='Data Validation'!$A$2,'Bank Adjustments'!$E$4:$E$103,IF('Adjustment Surface'!$C$2='Data Validation'!$A$3,'Bank Adjustments'!$O$4:$O$103,"Unknown Option Type"))),0)))</f>
        <v/>
      </c>
      <c r="BG6" s="181" t="str" cm="1">
        <f t="array" ref="BG6">IF(OR(BG$3="",$AN6=""),"",INDEX(IF($C$2='Data Validation'!$A$2,'Bank Adjustments'!$H$4:$H$103,IF('Adjustment Surface'!$C$2='Data Validation'!$A$3,'Bank Adjustments'!$R$4:$R$103,"Unknown Option Type")),MATCH(1,($AN6=IF($C$2='Data Validation'!$A$2,'Bank Adjustments'!$C$4:$C$103,IF('Adjustment Surface'!$C$2='Data Validation'!$A$3,'Bank Adjustments'!$M$4:$M$103,"Unknown Option Type")))*(BG$3=IF($C$2='Data Validation'!$A$2,'Bank Adjustments'!$E$4:$E$103,IF('Adjustment Surface'!$C$2='Data Validation'!$A$3,'Bank Adjustments'!$O$4:$O$103,"Unknown Option Type"))),0)))</f>
        <v/>
      </c>
      <c r="BH6" s="182" t="str" cm="1">
        <f t="array" ref="BH6">IF(OR(BH$3="",$AN6=""),"",INDEX(IF($C$2='Data Validation'!$A$2,'Bank Adjustments'!$H$4:$H$103,IF('Adjustment Surface'!$C$2='Data Validation'!$A$3,'Bank Adjustments'!$R$4:$R$103,"Unknown Option Type")),MATCH(1,($AN6=IF($C$2='Data Validation'!$A$2,'Bank Adjustments'!$C$4:$C$103,IF('Adjustment Surface'!$C$2='Data Validation'!$A$3,'Bank Adjustments'!$M$4:$M$103,"Unknown Option Type")))*(BH$3=IF($C$2='Data Validation'!$A$2,'Bank Adjustments'!$E$4:$E$103,IF('Adjustment Surface'!$C$2='Data Validation'!$A$3,'Bank Adjustments'!$O$4:$O$103,"Unknown Option Type"))),0)))</f>
        <v/>
      </c>
    </row>
    <row r="7" spans="2:61" x14ac:dyDescent="0.25">
      <c r="B7" s="6" t="s">
        <v>21</v>
      </c>
      <c r="C7" s="71">
        <f>IF('Control Panel'!C3='Data Validation'!J2,#REF!,EDATE(C8,-1))</f>
        <v>47129</v>
      </c>
      <c r="E7" s="67" t="s">
        <v>53</v>
      </c>
      <c r="F7" s="68">
        <f>ROUNDUP(MAX(F3+IF(F9='Data Validation'!F2,MIN(F11,MAX(F10,F5*F4)),IF(F9='Data Validation'!F3,MIN(F11,MAX(F10,F6*F3)),"Unknown Adjustment Type")),'Control Panel'!C11),-3)</f>
        <v>1042000</v>
      </c>
      <c r="H7" s="171">
        <v>46702</v>
      </c>
      <c r="I7" s="61">
        <f t="shared" si="1"/>
        <v>458</v>
      </c>
      <c r="J7" s="62">
        <f t="shared" si="1"/>
        <v>273</v>
      </c>
      <c r="K7" s="62">
        <f t="shared" si="1"/>
        <v>92</v>
      </c>
      <c r="L7" s="62">
        <f t="shared" si="1"/>
        <v>458</v>
      </c>
      <c r="M7" s="63">
        <f t="shared" si="1"/>
        <v>823</v>
      </c>
      <c r="O7" s="176">
        <v>3.5000000000000003E-2</v>
      </c>
      <c r="P7" s="180" cm="1">
        <f t="array" ref="P7">IF(OR(P$3="",$O7=""),"",1/((INDEX('Adjustment Surface'!$AN$4:$AN$23,MATCH(('Adjustment Surface'!$O7),'Adjustment Surface'!$AN$4:$AN$23,1)+IF('Adjustment Surface'!$O8="",-1,1))-INDEX('Adjustment Surface'!$AN$4:$AN$23,MATCH(('Adjustment Surface'!$O7),'Adjustment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Surface'!$O7),'Adjustment Surface'!$AN$4:$AN$23,1)),$AN$4:$AN$23,0),MATCH(INDEX('Adjustment Surface'!$AO$3:$BH$3,1,MATCH(('Adjustment Surface'!P$3),'Adjustment Surface'!$AO$3:$BH$3,1)),$AO$3:$BH$3,0))*(INDEX('Adjustment Surface'!$AN$4:$AN$23,MATCH(('Adjustment Surface'!$O7),'Adjustment Surface'!$AN$4:$AN$23,1)+IF('Adjustment Surface'!$O8="",-1,1))-'Adjustment Surface'!$O7)*(INDEX('Adjustment Surface'!$AO$3:$BH$3,1,MATCH(('Adjustment Surface'!P$3),'Adjustment Surface'!$AO$3:$BH$3,1)+IF('Adjustment Surface'!Q$3="",-1,1))-'Adjustment Surface'!P$3)+INDEX($AO$4:$BH$23,MATCH(INDEX('Adjustment Surface'!$AN$4:$AN$23,MATCH(('Adjustment Surface'!$O7),'Adjustment Surface'!$AN$4:$AN$23,1)+IF('Adjustment Surface'!$O8="",-1,1)),$AN$4:$AN$23,0),MATCH(INDEX('Adjustment Surface'!$AO$3:$BH$3,1,MATCH(('Adjustment Surface'!P$3),'Adjustment Surface'!$AO$3:$BH$3,1)),$AO$3:$BH$3,0))*('Adjustment Surface'!$O7-INDEX('Adjustment Surface'!$AN$4:$AN$23,MATCH(('Adjustment Surface'!$O7),'Adjustment Surface'!$AN$4:$AN$23,1)))*(INDEX('Adjustment Surface'!$AO$3:$BH$3,1,MATCH(('Adjustment Surface'!P$3),'Adjustment Surface'!$AO$3:$BH$3,1)+IF('Adjustment Surface'!Q$3="",-1,1))-'Adjustment Surface'!P$3)+INDEX($AO$4:$BH$23,MATCH(INDEX('Adjustment Surface'!$AN$4:$AN$23,MATCH(('Adjustment Surface'!$O7),'Adjustment Surface'!$AN$4:$AN$23,1)),$AN$4:$AN$23,0),MATCH(INDEX('Adjustment Surface'!$AO$3:$BH$3,1,MATCH(('Adjustment Surface'!P$3),'Adjustment Surface'!$AO$3:$BH$3,1)+IF('Adjustment Surface'!Q$3="",-1,1)),$AO$3:$BH$3,0))*(INDEX('Adjustment Surface'!$AN$4:$AN$23,MATCH(('Adjustment Surface'!$O7),'Adjustment Surface'!$AN$4:$AN$23,1)+IF('Adjustment Surface'!$O8="",-1,1))-'Adjustment Surface'!$O7)*('Adjustment Surface'!P$3-INDEX('Adjustment Surface'!$AO$3:$BH$3,1,MATCH(('Adjustment Surface'!P$3),'Adjustment Surface'!$AO$3:$BH$3,1)))+INDEX($AO$4:$BH$23,MATCH(INDEX('Adjustment Surface'!$AN$4:$AN$23,MATCH(('Adjustment Surface'!$O7),'Adjustment Surface'!$AN$4:$AN$23,1)+IF('Adjustment Surface'!$O8="",-1,1)),$AN$4:$AN$23,0),MATCH(INDEX('Adjustment Surface'!$AO$3:$BH$3,1,MATCH(('Adjustment Surface'!P$3),'Adjustment Surface'!$AO$3:$BH$3,1)+IF('Adjustment Surface'!Q$3="",-1,1)),$AO$3:$BH$3,0))*('Adjustment Surface'!$O7-INDEX('Adjustment Surface'!$AN$4:$AN$23,MATCH(('Adjustment Surface'!$O7),'Adjustment Surface'!$AN$4:$AN$23,1)))*('Adjustment Surface'!P$3-INDEX('Adjustment Surface'!$AO$3:$BH$3,1,MATCH(('Adjustment Surface'!P$3),'Adjustment Surface'!$AO$3:$BH$3,1)))))</f>
        <v>27.918976536200013</v>
      </c>
      <c r="Q7" s="181" cm="1">
        <f t="array" ref="Q7">IF(OR(Q$3="",$O7=""),"",1/((INDEX('Adjustment Surface'!$AN$4:$AN$23,MATCH(('Adjustment Surface'!$O7),'Adjustment Surface'!$AN$4:$AN$23,1)+IF('Adjustment Surface'!$O8="",-1,1))-INDEX('Adjustment Surface'!$AN$4:$AN$23,MATCH(('Adjustment Surface'!$O7),'Adjustment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Surface'!$O7),'Adjustment Surface'!$AN$4:$AN$23,1)),$AN$4:$AN$23,0),MATCH(INDEX('Adjustment Surface'!$AO$3:$BH$3,1,MATCH(('Adjustment Surface'!Q$3),'Adjustment Surface'!$AO$3:$BH$3,1)),$AO$3:$BH$3,0))*(INDEX('Adjustment Surface'!$AN$4:$AN$23,MATCH(('Adjustment Surface'!$O7),'Adjustment Surface'!$AN$4:$AN$23,1)+IF('Adjustment Surface'!$O8="",-1,1))-'Adjustment Surface'!$O7)*(INDEX('Adjustment Surface'!$AO$3:$BH$3,1,MATCH(('Adjustment Surface'!Q$3),'Adjustment Surface'!$AO$3:$BH$3,1)+IF('Adjustment Surface'!R$3="",-1,1))-'Adjustment Surface'!Q$3)+INDEX($AO$4:$BH$23,MATCH(INDEX('Adjustment Surface'!$AN$4:$AN$23,MATCH(('Adjustment Surface'!$O7),'Adjustment Surface'!$AN$4:$AN$23,1)+IF('Adjustment Surface'!$O8="",-1,1)),$AN$4:$AN$23,0),MATCH(INDEX('Adjustment Surface'!$AO$3:$BH$3,1,MATCH(('Adjustment Surface'!Q$3),'Adjustment Surface'!$AO$3:$BH$3,1)),$AO$3:$BH$3,0))*('Adjustment Surface'!$O7-INDEX('Adjustment Surface'!$AN$4:$AN$23,MATCH(('Adjustment Surface'!$O7),'Adjustment Surface'!$AN$4:$AN$23,1)))*(INDEX('Adjustment Surface'!$AO$3:$BH$3,1,MATCH(('Adjustment Surface'!Q$3),'Adjustment Surface'!$AO$3:$BH$3,1)+IF('Adjustment Surface'!R$3="",-1,1))-'Adjustment Surface'!Q$3)+INDEX($AO$4:$BH$23,MATCH(INDEX('Adjustment Surface'!$AN$4:$AN$23,MATCH(('Adjustment Surface'!$O7),'Adjustment Surface'!$AN$4:$AN$23,1)),$AN$4:$AN$23,0),MATCH(INDEX('Adjustment Surface'!$AO$3:$BH$3,1,MATCH(('Adjustment Surface'!Q$3),'Adjustment Surface'!$AO$3:$BH$3,1)+IF('Adjustment Surface'!R$3="",-1,1)),$AO$3:$BH$3,0))*(INDEX('Adjustment Surface'!$AN$4:$AN$23,MATCH(('Adjustment Surface'!$O7),'Adjustment Surface'!$AN$4:$AN$23,1)+IF('Adjustment Surface'!$O8="",-1,1))-'Adjustment Surface'!$O7)*('Adjustment Surface'!Q$3-INDEX('Adjustment Surface'!$AO$3:$BH$3,1,MATCH(('Adjustment Surface'!Q$3),'Adjustment Surface'!$AO$3:$BH$3,1)))+INDEX($AO$4:$BH$23,MATCH(INDEX('Adjustment Surface'!$AN$4:$AN$23,MATCH(('Adjustment Surface'!$O7),'Adjustment Surface'!$AN$4:$AN$23,1)+IF('Adjustment Surface'!$O8="",-1,1)),$AN$4:$AN$23,0),MATCH(INDEX('Adjustment Surface'!$AO$3:$BH$3,1,MATCH(('Adjustment Surface'!Q$3),'Adjustment Surface'!$AO$3:$BH$3,1)+IF('Adjustment Surface'!R$3="",-1,1)),$AO$3:$BH$3,0))*('Adjustment Surface'!$O7-INDEX('Adjustment Surface'!$AN$4:$AN$23,MATCH(('Adjustment Surface'!$O7),'Adjustment Surface'!$AN$4:$AN$23,1)))*('Adjustment Surface'!Q$3-INDEX('Adjustment Surface'!$AO$3:$BH$3,1,MATCH(('Adjustment Surface'!Q$3),'Adjustment Surface'!$AO$3:$BH$3,1)))))</f>
        <v>24.813432489162999</v>
      </c>
      <c r="R7" s="181" cm="1">
        <f t="array" ref="R7">IF(OR(R$3="",$O7=""),"",1/((INDEX('Adjustment Surface'!$AN$4:$AN$23,MATCH(('Adjustment Surface'!$O7),'Adjustment Surface'!$AN$4:$AN$23,1)+IF('Adjustment Surface'!$O8="",-1,1))-INDEX('Adjustment Surface'!$AN$4:$AN$23,MATCH(('Adjustment Surface'!$O7),'Adjustment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Surface'!$O7),'Adjustment Surface'!$AN$4:$AN$23,1)),$AN$4:$AN$23,0),MATCH(INDEX('Adjustment Surface'!$AO$3:$BH$3,1,MATCH(('Adjustment Surface'!R$3),'Adjustment Surface'!$AO$3:$BH$3,1)),$AO$3:$BH$3,0))*(INDEX('Adjustment Surface'!$AN$4:$AN$23,MATCH(('Adjustment Surface'!$O7),'Adjustment Surface'!$AN$4:$AN$23,1)+IF('Adjustment Surface'!$O8="",-1,1))-'Adjustment Surface'!$O7)*(INDEX('Adjustment Surface'!$AO$3:$BH$3,1,MATCH(('Adjustment Surface'!R$3),'Adjustment Surface'!$AO$3:$BH$3,1)+IF('Adjustment Surface'!S$3="",-1,1))-'Adjustment Surface'!R$3)+INDEX($AO$4:$BH$23,MATCH(INDEX('Adjustment Surface'!$AN$4:$AN$23,MATCH(('Adjustment Surface'!$O7),'Adjustment Surface'!$AN$4:$AN$23,1)+IF('Adjustment Surface'!$O8="",-1,1)),$AN$4:$AN$23,0),MATCH(INDEX('Adjustment Surface'!$AO$3:$BH$3,1,MATCH(('Adjustment Surface'!R$3),'Adjustment Surface'!$AO$3:$BH$3,1)),$AO$3:$BH$3,0))*('Adjustment Surface'!$O7-INDEX('Adjustment Surface'!$AN$4:$AN$23,MATCH(('Adjustment Surface'!$O7),'Adjustment Surface'!$AN$4:$AN$23,1)))*(INDEX('Adjustment Surface'!$AO$3:$BH$3,1,MATCH(('Adjustment Surface'!R$3),'Adjustment Surface'!$AO$3:$BH$3,1)+IF('Adjustment Surface'!S$3="",-1,1))-'Adjustment Surface'!R$3)+INDEX($AO$4:$BH$23,MATCH(INDEX('Adjustment Surface'!$AN$4:$AN$23,MATCH(('Adjustment Surface'!$O7),'Adjustment Surface'!$AN$4:$AN$23,1)),$AN$4:$AN$23,0),MATCH(INDEX('Adjustment Surface'!$AO$3:$BH$3,1,MATCH(('Adjustment Surface'!R$3),'Adjustment Surface'!$AO$3:$BH$3,1)+IF('Adjustment Surface'!S$3="",-1,1)),$AO$3:$BH$3,0))*(INDEX('Adjustment Surface'!$AN$4:$AN$23,MATCH(('Adjustment Surface'!$O7),'Adjustment Surface'!$AN$4:$AN$23,1)+IF('Adjustment Surface'!$O8="",-1,1))-'Adjustment Surface'!$O7)*('Adjustment Surface'!R$3-INDEX('Adjustment Surface'!$AO$3:$BH$3,1,MATCH(('Adjustment Surface'!R$3),'Adjustment Surface'!$AO$3:$BH$3,1)))+INDEX($AO$4:$BH$23,MATCH(INDEX('Adjustment Surface'!$AN$4:$AN$23,MATCH(('Adjustment Surface'!$O7),'Adjustment Surface'!$AN$4:$AN$23,1)+IF('Adjustment Surface'!$O8="",-1,1)),$AN$4:$AN$23,0),MATCH(INDEX('Adjustment Surface'!$AO$3:$BH$3,1,MATCH(('Adjustment Surface'!R$3),'Adjustment Surface'!$AO$3:$BH$3,1)+IF('Adjustment Surface'!S$3="",-1,1)),$AO$3:$BH$3,0))*('Adjustment Surface'!$O7-INDEX('Adjustment Surface'!$AN$4:$AN$23,MATCH(('Adjustment Surface'!$O7),'Adjustment Surface'!$AN$4:$AN$23,1)))*('Adjustment Surface'!R$3-INDEX('Adjustment Surface'!$AO$3:$BH$3,1,MATCH(('Adjustment Surface'!R$3),'Adjustment Surface'!$AO$3:$BH$3,1)))))</f>
        <v>21.603207182113497</v>
      </c>
      <c r="S7" s="181" cm="1">
        <f t="array" ref="S7">IF(OR(S$3="",$O7=""),"",1/((INDEX('Adjustment Surface'!$AN$4:$AN$23,MATCH(('Adjustment Surface'!$O7),'Adjustment Surface'!$AN$4:$AN$23,1)+IF('Adjustment Surface'!$O8="",-1,1))-INDEX('Adjustment Surface'!$AN$4:$AN$23,MATCH(('Adjustment Surface'!$O7),'Adjustment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Surface'!$O7),'Adjustment Surface'!$AN$4:$AN$23,1)),$AN$4:$AN$23,0),MATCH(INDEX('Adjustment Surface'!$AO$3:$BH$3,1,MATCH(('Adjustment Surface'!S$3),'Adjustment Surface'!$AO$3:$BH$3,1)),$AO$3:$BH$3,0))*(INDEX('Adjustment Surface'!$AN$4:$AN$23,MATCH(('Adjustment Surface'!$O7),'Adjustment Surface'!$AN$4:$AN$23,1)+IF('Adjustment Surface'!$O8="",-1,1))-'Adjustment Surface'!$O7)*(INDEX('Adjustment Surface'!$AO$3:$BH$3,1,MATCH(('Adjustment Surface'!S$3),'Adjustment Surface'!$AO$3:$BH$3,1)+IF('Adjustment Surface'!T$3="",-1,1))-'Adjustment Surface'!S$3)+INDEX($AO$4:$BH$23,MATCH(INDEX('Adjustment Surface'!$AN$4:$AN$23,MATCH(('Adjustment Surface'!$O7),'Adjustment Surface'!$AN$4:$AN$23,1)+IF('Adjustment Surface'!$O8="",-1,1)),$AN$4:$AN$23,0),MATCH(INDEX('Adjustment Surface'!$AO$3:$BH$3,1,MATCH(('Adjustment Surface'!S$3),'Adjustment Surface'!$AO$3:$BH$3,1)),$AO$3:$BH$3,0))*('Adjustment Surface'!$O7-INDEX('Adjustment Surface'!$AN$4:$AN$23,MATCH(('Adjustment Surface'!$O7),'Adjustment Surface'!$AN$4:$AN$23,1)))*(INDEX('Adjustment Surface'!$AO$3:$BH$3,1,MATCH(('Adjustment Surface'!S$3),'Adjustment Surface'!$AO$3:$BH$3,1)+IF('Adjustment Surface'!T$3="",-1,1))-'Adjustment Surface'!S$3)+INDEX($AO$4:$BH$23,MATCH(INDEX('Adjustment Surface'!$AN$4:$AN$23,MATCH(('Adjustment Surface'!$O7),'Adjustment Surface'!$AN$4:$AN$23,1)),$AN$4:$AN$23,0),MATCH(INDEX('Adjustment Surface'!$AO$3:$BH$3,1,MATCH(('Adjustment Surface'!S$3),'Adjustment Surface'!$AO$3:$BH$3,1)+IF('Adjustment Surface'!T$3="",-1,1)),$AO$3:$BH$3,0))*(INDEX('Adjustment Surface'!$AN$4:$AN$23,MATCH(('Adjustment Surface'!$O7),'Adjustment Surface'!$AN$4:$AN$23,1)+IF('Adjustment Surface'!$O8="",-1,1))-'Adjustment Surface'!$O7)*('Adjustment Surface'!S$3-INDEX('Adjustment Surface'!$AO$3:$BH$3,1,MATCH(('Adjustment Surface'!S$3),'Adjustment Surface'!$AO$3:$BH$3,1)))+INDEX($AO$4:$BH$23,MATCH(INDEX('Adjustment Surface'!$AN$4:$AN$23,MATCH(('Adjustment Surface'!$O7),'Adjustment Surface'!$AN$4:$AN$23,1)+IF('Adjustment Surface'!$O8="",-1,1)),$AN$4:$AN$23,0),MATCH(INDEX('Adjustment Surface'!$AO$3:$BH$3,1,MATCH(('Adjustment Surface'!S$3),'Adjustment Surface'!$AO$3:$BH$3,1)+IF('Adjustment Surface'!T$3="",-1,1)),$AO$3:$BH$3,0))*('Adjustment Surface'!$O7-INDEX('Adjustment Surface'!$AN$4:$AN$23,MATCH(('Adjustment Surface'!$O7),'Adjustment Surface'!$AN$4:$AN$23,1)))*('Adjustment Surface'!S$3-INDEX('Adjustment Surface'!$AO$3:$BH$3,1,MATCH(('Adjustment Surface'!S$3),'Adjustment Surface'!$AO$3:$BH$3,1)))))</f>
        <v>18.392981875064002</v>
      </c>
      <c r="T7" s="181" cm="1">
        <f t="array" ref="T7">IF(OR(T$3="",$O7=""),"",1/((INDEX('Adjustment Surface'!$AN$4:$AN$23,MATCH(('Adjustment Surface'!$O7),'Adjustment Surface'!$AN$4:$AN$23,1)+IF('Adjustment Surface'!$O8="",-1,1))-INDEX('Adjustment Surface'!$AN$4:$AN$23,MATCH(('Adjustment Surface'!$O7),'Adjustment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Surface'!$O7),'Adjustment Surface'!$AN$4:$AN$23,1)),$AN$4:$AN$23,0),MATCH(INDEX('Adjustment Surface'!$AO$3:$BH$3,1,MATCH(('Adjustment Surface'!T$3),'Adjustment Surface'!$AO$3:$BH$3,1)),$AO$3:$BH$3,0))*(INDEX('Adjustment Surface'!$AN$4:$AN$23,MATCH(('Adjustment Surface'!$O7),'Adjustment Surface'!$AN$4:$AN$23,1)+IF('Adjustment Surface'!$O8="",-1,1))-'Adjustment Surface'!$O7)*(INDEX('Adjustment Surface'!$AO$3:$BH$3,1,MATCH(('Adjustment Surface'!T$3),'Adjustment Surface'!$AO$3:$BH$3,1)+IF('Adjustment Surface'!U$3="",-1,1))-'Adjustment Surface'!T$3)+INDEX($AO$4:$BH$23,MATCH(INDEX('Adjustment Surface'!$AN$4:$AN$23,MATCH(('Adjustment Surface'!$O7),'Adjustment Surface'!$AN$4:$AN$23,1)+IF('Adjustment Surface'!$O8="",-1,1)),$AN$4:$AN$23,0),MATCH(INDEX('Adjustment Surface'!$AO$3:$BH$3,1,MATCH(('Adjustment Surface'!T$3),'Adjustment Surface'!$AO$3:$BH$3,1)),$AO$3:$BH$3,0))*('Adjustment Surface'!$O7-INDEX('Adjustment Surface'!$AN$4:$AN$23,MATCH(('Adjustment Surface'!$O7),'Adjustment Surface'!$AN$4:$AN$23,1)))*(INDEX('Adjustment Surface'!$AO$3:$BH$3,1,MATCH(('Adjustment Surface'!T$3),'Adjustment Surface'!$AO$3:$BH$3,1)+IF('Adjustment Surface'!U$3="",-1,1))-'Adjustment Surface'!T$3)+INDEX($AO$4:$BH$23,MATCH(INDEX('Adjustment Surface'!$AN$4:$AN$23,MATCH(('Adjustment Surface'!$O7),'Adjustment Surface'!$AN$4:$AN$23,1)),$AN$4:$AN$23,0),MATCH(INDEX('Adjustment Surface'!$AO$3:$BH$3,1,MATCH(('Adjustment Surface'!T$3),'Adjustment Surface'!$AO$3:$BH$3,1)+IF('Adjustment Surface'!U$3="",-1,1)),$AO$3:$BH$3,0))*(INDEX('Adjustment Surface'!$AN$4:$AN$23,MATCH(('Adjustment Surface'!$O7),'Adjustment Surface'!$AN$4:$AN$23,1)+IF('Adjustment Surface'!$O8="",-1,1))-'Adjustment Surface'!$O7)*('Adjustment Surface'!T$3-INDEX('Adjustment Surface'!$AO$3:$BH$3,1,MATCH(('Adjustment Surface'!T$3),'Adjustment Surface'!$AO$3:$BH$3,1)))+INDEX($AO$4:$BH$23,MATCH(INDEX('Adjustment Surface'!$AN$4:$AN$23,MATCH(('Adjustment Surface'!$O7),'Adjustment Surface'!$AN$4:$AN$23,1)+IF('Adjustment Surface'!$O8="",-1,1)),$AN$4:$AN$23,0),MATCH(INDEX('Adjustment Surface'!$AO$3:$BH$3,1,MATCH(('Adjustment Surface'!T$3),'Adjustment Surface'!$AO$3:$BH$3,1)+IF('Adjustment Surface'!U$3="",-1,1)),$AO$3:$BH$3,0))*('Adjustment Surface'!$O7-INDEX('Adjustment Surface'!$AN$4:$AN$23,MATCH(('Adjustment Surface'!$O7),'Adjustment Surface'!$AN$4:$AN$23,1)))*('Adjustment Surface'!T$3-INDEX('Adjustment Surface'!$AO$3:$BH$3,1,MATCH(('Adjustment Surface'!T$3),'Adjustment Surface'!$AO$3:$BH$3,1)))))</f>
        <v>15.182756568014506</v>
      </c>
      <c r="U7" s="181" cm="1">
        <f t="array" ref="U7">IF(OR(U$3="",$O7=""),"",1/((INDEX('Adjustment Surface'!$AN$4:$AN$23,MATCH(('Adjustment Surface'!$O7),'Adjustment Surface'!$AN$4:$AN$23,1)+IF('Adjustment Surface'!$O8="",-1,1))-INDEX('Adjustment Surface'!$AN$4:$AN$23,MATCH(('Adjustment Surface'!$O7),'Adjustment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Surface'!$O7),'Adjustment Surface'!$AN$4:$AN$23,1)),$AN$4:$AN$23,0),MATCH(INDEX('Adjustment Surface'!$AO$3:$BH$3,1,MATCH(('Adjustment Surface'!U$3),'Adjustment Surface'!$AO$3:$BH$3,1)),$AO$3:$BH$3,0))*(INDEX('Adjustment Surface'!$AN$4:$AN$23,MATCH(('Adjustment Surface'!$O7),'Adjustment Surface'!$AN$4:$AN$23,1)+IF('Adjustment Surface'!$O8="",-1,1))-'Adjustment Surface'!$O7)*(INDEX('Adjustment Surface'!$AO$3:$BH$3,1,MATCH(('Adjustment Surface'!U$3),'Adjustment Surface'!$AO$3:$BH$3,1)+IF('Adjustment Surface'!V$3="",-1,1))-'Adjustment Surface'!U$3)+INDEX($AO$4:$BH$23,MATCH(INDEX('Adjustment Surface'!$AN$4:$AN$23,MATCH(('Adjustment Surface'!$O7),'Adjustment Surface'!$AN$4:$AN$23,1)+IF('Adjustment Surface'!$O8="",-1,1)),$AN$4:$AN$23,0),MATCH(INDEX('Adjustment Surface'!$AO$3:$BH$3,1,MATCH(('Adjustment Surface'!U$3),'Adjustment Surface'!$AO$3:$BH$3,1)),$AO$3:$BH$3,0))*('Adjustment Surface'!$O7-INDEX('Adjustment Surface'!$AN$4:$AN$23,MATCH(('Adjustment Surface'!$O7),'Adjustment Surface'!$AN$4:$AN$23,1)))*(INDEX('Adjustment Surface'!$AO$3:$BH$3,1,MATCH(('Adjustment Surface'!U$3),'Adjustment Surface'!$AO$3:$BH$3,1)+IF('Adjustment Surface'!V$3="",-1,1))-'Adjustment Surface'!U$3)+INDEX($AO$4:$BH$23,MATCH(INDEX('Adjustment Surface'!$AN$4:$AN$23,MATCH(('Adjustment Surface'!$O7),'Adjustment Surface'!$AN$4:$AN$23,1)),$AN$4:$AN$23,0),MATCH(INDEX('Adjustment Surface'!$AO$3:$BH$3,1,MATCH(('Adjustment Surface'!U$3),'Adjustment Surface'!$AO$3:$BH$3,1)+IF('Adjustment Surface'!V$3="",-1,1)),$AO$3:$BH$3,0))*(INDEX('Adjustment Surface'!$AN$4:$AN$23,MATCH(('Adjustment Surface'!$O7),'Adjustment Surface'!$AN$4:$AN$23,1)+IF('Adjustment Surface'!$O8="",-1,1))-'Adjustment Surface'!$O7)*('Adjustment Surface'!U$3-INDEX('Adjustment Surface'!$AO$3:$BH$3,1,MATCH(('Adjustment Surface'!U$3),'Adjustment Surface'!$AO$3:$BH$3,1)))+INDEX($AO$4:$BH$23,MATCH(INDEX('Adjustment Surface'!$AN$4:$AN$23,MATCH(('Adjustment Surface'!$O7),'Adjustment Surface'!$AN$4:$AN$23,1)+IF('Adjustment Surface'!$O8="",-1,1)),$AN$4:$AN$23,0),MATCH(INDEX('Adjustment Surface'!$AO$3:$BH$3,1,MATCH(('Adjustment Surface'!U$3),'Adjustment Surface'!$AO$3:$BH$3,1)+IF('Adjustment Surface'!V$3="",-1,1)),$AO$3:$BH$3,0))*('Adjustment Surface'!$O7-INDEX('Adjustment Surface'!$AN$4:$AN$23,MATCH(('Adjustment Surface'!$O7),'Adjustment Surface'!$AN$4:$AN$23,1)))*('Adjustment Surface'!U$3-INDEX('Adjustment Surface'!$AO$3:$BH$3,1,MATCH(('Adjustment Surface'!U$3),'Adjustment Surface'!$AO$3:$BH$3,1)))))</f>
        <v>13.522861358893014</v>
      </c>
      <c r="V7" s="181" cm="1">
        <f t="array" ref="V7">IF(OR(V$3="",$O7=""),"",1/((INDEX('Adjustment Surface'!$AN$4:$AN$23,MATCH(('Adjustment Surface'!$O7),'Adjustment Surface'!$AN$4:$AN$23,1)+IF('Adjustment Surface'!$O8="",-1,1))-INDEX('Adjustment Surface'!$AN$4:$AN$23,MATCH(('Adjustment Surface'!$O7),'Adjustment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Surface'!$O7),'Adjustment Surface'!$AN$4:$AN$23,1)),$AN$4:$AN$23,0),MATCH(INDEX('Adjustment Surface'!$AO$3:$BH$3,1,MATCH(('Adjustment Surface'!V$3),'Adjustment Surface'!$AO$3:$BH$3,1)),$AO$3:$BH$3,0))*(INDEX('Adjustment Surface'!$AN$4:$AN$23,MATCH(('Adjustment Surface'!$O7),'Adjustment Surface'!$AN$4:$AN$23,1)+IF('Adjustment Surface'!$O8="",-1,1))-'Adjustment Surface'!$O7)*(INDEX('Adjustment Surface'!$AO$3:$BH$3,1,MATCH(('Adjustment Surface'!V$3),'Adjustment Surface'!$AO$3:$BH$3,1)+IF('Adjustment Surface'!W$3="",-1,1))-'Adjustment Surface'!V$3)+INDEX($AO$4:$BH$23,MATCH(INDEX('Adjustment Surface'!$AN$4:$AN$23,MATCH(('Adjustment Surface'!$O7),'Adjustment Surface'!$AN$4:$AN$23,1)+IF('Adjustment Surface'!$O8="",-1,1)),$AN$4:$AN$23,0),MATCH(INDEX('Adjustment Surface'!$AO$3:$BH$3,1,MATCH(('Adjustment Surface'!V$3),'Adjustment Surface'!$AO$3:$BH$3,1)),$AO$3:$BH$3,0))*('Adjustment Surface'!$O7-INDEX('Adjustment Surface'!$AN$4:$AN$23,MATCH(('Adjustment Surface'!$O7),'Adjustment Surface'!$AN$4:$AN$23,1)))*(INDEX('Adjustment Surface'!$AO$3:$BH$3,1,MATCH(('Adjustment Surface'!V$3),'Adjustment Surface'!$AO$3:$BH$3,1)+IF('Adjustment Surface'!W$3="",-1,1))-'Adjustment Surface'!V$3)+INDEX($AO$4:$BH$23,MATCH(INDEX('Adjustment Surface'!$AN$4:$AN$23,MATCH(('Adjustment Surface'!$O7),'Adjustment Surface'!$AN$4:$AN$23,1)),$AN$4:$AN$23,0),MATCH(INDEX('Adjustment Surface'!$AO$3:$BH$3,1,MATCH(('Adjustment Surface'!V$3),'Adjustment Surface'!$AO$3:$BH$3,1)+IF('Adjustment Surface'!W$3="",-1,1)),$AO$3:$BH$3,0))*(INDEX('Adjustment Surface'!$AN$4:$AN$23,MATCH(('Adjustment Surface'!$O7),'Adjustment Surface'!$AN$4:$AN$23,1)+IF('Adjustment Surface'!$O8="",-1,1))-'Adjustment Surface'!$O7)*('Adjustment Surface'!V$3-INDEX('Adjustment Surface'!$AO$3:$BH$3,1,MATCH(('Adjustment Surface'!V$3),'Adjustment Surface'!$AO$3:$BH$3,1)))+INDEX($AO$4:$BH$23,MATCH(INDEX('Adjustment Surface'!$AN$4:$AN$23,MATCH(('Adjustment Surface'!$O7),'Adjustment Surface'!$AN$4:$AN$23,1)+IF('Adjustment Surface'!$O8="",-1,1)),$AN$4:$AN$23,0),MATCH(INDEX('Adjustment Surface'!$AO$3:$BH$3,1,MATCH(('Adjustment Surface'!V$3),'Adjustment Surface'!$AO$3:$BH$3,1)+IF('Adjustment Surface'!W$3="",-1,1)),$AO$3:$BH$3,0))*('Adjustment Surface'!$O7-INDEX('Adjustment Surface'!$AN$4:$AN$23,MATCH(('Adjustment Surface'!$O7),'Adjustment Surface'!$AN$4:$AN$23,1)))*('Adjustment Surface'!V$3-INDEX('Adjustment Surface'!$AO$3:$BH$3,1,MATCH(('Adjustment Surface'!V$3),'Adjustment Surface'!$AO$3:$BH$3,1)))))</f>
        <v>11.826079589568817</v>
      </c>
      <c r="W7" s="181" cm="1">
        <f t="array" ref="W7">IF(OR(W$3="",$O7=""),"",1/((INDEX('Adjustment Surface'!$AN$4:$AN$23,MATCH(('Adjustment Surface'!$O7),'Adjustment Surface'!$AN$4:$AN$23,1)+IF('Adjustment Surface'!$O8="",-1,1))-INDEX('Adjustment Surface'!$AN$4:$AN$23,MATCH(('Adjustment Surface'!$O7),'Adjustment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Surface'!$O7),'Adjustment Surface'!$AN$4:$AN$23,1)),$AN$4:$AN$23,0),MATCH(INDEX('Adjustment Surface'!$AO$3:$BH$3,1,MATCH(('Adjustment Surface'!W$3),'Adjustment Surface'!$AO$3:$BH$3,1)),$AO$3:$BH$3,0))*(INDEX('Adjustment Surface'!$AN$4:$AN$23,MATCH(('Adjustment Surface'!$O7),'Adjustment Surface'!$AN$4:$AN$23,1)+IF('Adjustment Surface'!$O8="",-1,1))-'Adjustment Surface'!$O7)*(INDEX('Adjustment Surface'!$AO$3:$BH$3,1,MATCH(('Adjustment Surface'!W$3),'Adjustment Surface'!$AO$3:$BH$3,1)+IF('Adjustment Surface'!X$3="",-1,1))-'Adjustment Surface'!W$3)+INDEX($AO$4:$BH$23,MATCH(INDEX('Adjustment Surface'!$AN$4:$AN$23,MATCH(('Adjustment Surface'!$O7),'Adjustment Surface'!$AN$4:$AN$23,1)+IF('Adjustment Surface'!$O8="",-1,1)),$AN$4:$AN$23,0),MATCH(INDEX('Adjustment Surface'!$AO$3:$BH$3,1,MATCH(('Adjustment Surface'!W$3),'Adjustment Surface'!$AO$3:$BH$3,1)),$AO$3:$BH$3,0))*('Adjustment Surface'!$O7-INDEX('Adjustment Surface'!$AN$4:$AN$23,MATCH(('Adjustment Surface'!$O7),'Adjustment Surface'!$AN$4:$AN$23,1)))*(INDEX('Adjustment Surface'!$AO$3:$BH$3,1,MATCH(('Adjustment Surface'!W$3),'Adjustment Surface'!$AO$3:$BH$3,1)+IF('Adjustment Surface'!X$3="",-1,1))-'Adjustment Surface'!W$3)+INDEX($AO$4:$BH$23,MATCH(INDEX('Adjustment Surface'!$AN$4:$AN$23,MATCH(('Adjustment Surface'!$O7),'Adjustment Surface'!$AN$4:$AN$23,1)),$AN$4:$AN$23,0),MATCH(INDEX('Adjustment Surface'!$AO$3:$BH$3,1,MATCH(('Adjustment Surface'!W$3),'Adjustment Surface'!$AO$3:$BH$3,1)+IF('Adjustment Surface'!X$3="",-1,1)),$AO$3:$BH$3,0))*(INDEX('Adjustment Surface'!$AN$4:$AN$23,MATCH(('Adjustment Surface'!$O7),'Adjustment Surface'!$AN$4:$AN$23,1)+IF('Adjustment Surface'!$O8="",-1,1))-'Adjustment Surface'!$O7)*('Adjustment Surface'!W$3-INDEX('Adjustment Surface'!$AO$3:$BH$3,1,MATCH(('Adjustment Surface'!W$3),'Adjustment Surface'!$AO$3:$BH$3,1)))+INDEX($AO$4:$BH$23,MATCH(INDEX('Adjustment Surface'!$AN$4:$AN$23,MATCH(('Adjustment Surface'!$O7),'Adjustment Surface'!$AN$4:$AN$23,1)+IF('Adjustment Surface'!$O8="",-1,1)),$AN$4:$AN$23,0),MATCH(INDEX('Adjustment Surface'!$AO$3:$BH$3,1,MATCH(('Adjustment Surface'!W$3),'Adjustment Surface'!$AO$3:$BH$3,1)+IF('Adjustment Surface'!X$3="",-1,1)),$AO$3:$BH$3,0))*('Adjustment Surface'!$O7-INDEX('Adjustment Surface'!$AN$4:$AN$23,MATCH(('Adjustment Surface'!$O7),'Adjustment Surface'!$AN$4:$AN$23,1)))*('Adjustment Surface'!W$3-INDEX('Adjustment Surface'!$AO$3:$BH$3,1,MATCH(('Adjustment Surface'!W$3),'Adjustment Surface'!$AO$3:$BH$3,1)))))</f>
        <v>10.12929782024462</v>
      </c>
      <c r="X7" s="181" cm="1">
        <f t="array" ref="X7">IF(OR(X$3="",$O7=""),"",1/((INDEX('Adjustment Surface'!$AN$4:$AN$23,MATCH(('Adjustment Surface'!$O7),'Adjustment Surface'!$AN$4:$AN$23,1)+IF('Adjustment Surface'!$O8="",-1,1))-INDEX('Adjustment Surface'!$AN$4:$AN$23,MATCH(('Adjustment Surface'!$O7),'Adjustment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Surface'!$O7),'Adjustment Surface'!$AN$4:$AN$23,1)),$AN$4:$AN$23,0),MATCH(INDEX('Adjustment Surface'!$AO$3:$BH$3,1,MATCH(('Adjustment Surface'!X$3),'Adjustment Surface'!$AO$3:$BH$3,1)),$AO$3:$BH$3,0))*(INDEX('Adjustment Surface'!$AN$4:$AN$23,MATCH(('Adjustment Surface'!$O7),'Adjustment Surface'!$AN$4:$AN$23,1)+IF('Adjustment Surface'!$O8="",-1,1))-'Adjustment Surface'!$O7)*(INDEX('Adjustment Surface'!$AO$3:$BH$3,1,MATCH(('Adjustment Surface'!X$3),'Adjustment Surface'!$AO$3:$BH$3,1)+IF('Adjustment Surface'!Y$3="",-1,1))-'Adjustment Surface'!X$3)+INDEX($AO$4:$BH$23,MATCH(INDEX('Adjustment Surface'!$AN$4:$AN$23,MATCH(('Adjustment Surface'!$O7),'Adjustment Surface'!$AN$4:$AN$23,1)+IF('Adjustment Surface'!$O8="",-1,1)),$AN$4:$AN$23,0),MATCH(INDEX('Adjustment Surface'!$AO$3:$BH$3,1,MATCH(('Adjustment Surface'!X$3),'Adjustment Surface'!$AO$3:$BH$3,1)),$AO$3:$BH$3,0))*('Adjustment Surface'!$O7-INDEX('Adjustment Surface'!$AN$4:$AN$23,MATCH(('Adjustment Surface'!$O7),'Adjustment Surface'!$AN$4:$AN$23,1)))*(INDEX('Adjustment Surface'!$AO$3:$BH$3,1,MATCH(('Adjustment Surface'!X$3),'Adjustment Surface'!$AO$3:$BH$3,1)+IF('Adjustment Surface'!Y$3="",-1,1))-'Adjustment Surface'!X$3)+INDEX($AO$4:$BH$23,MATCH(INDEX('Adjustment Surface'!$AN$4:$AN$23,MATCH(('Adjustment Surface'!$O7),'Adjustment Surface'!$AN$4:$AN$23,1)),$AN$4:$AN$23,0),MATCH(INDEX('Adjustment Surface'!$AO$3:$BH$3,1,MATCH(('Adjustment Surface'!X$3),'Adjustment Surface'!$AO$3:$BH$3,1)+IF('Adjustment Surface'!Y$3="",-1,1)),$AO$3:$BH$3,0))*(INDEX('Adjustment Surface'!$AN$4:$AN$23,MATCH(('Adjustment Surface'!$O7),'Adjustment Surface'!$AN$4:$AN$23,1)+IF('Adjustment Surface'!$O8="",-1,1))-'Adjustment Surface'!$O7)*('Adjustment Surface'!X$3-INDEX('Adjustment Surface'!$AO$3:$BH$3,1,MATCH(('Adjustment Surface'!X$3),'Adjustment Surface'!$AO$3:$BH$3,1)))+INDEX($AO$4:$BH$23,MATCH(INDEX('Adjustment Surface'!$AN$4:$AN$23,MATCH(('Adjustment Surface'!$O7),'Adjustment Surface'!$AN$4:$AN$23,1)+IF('Adjustment Surface'!$O8="",-1,1)),$AN$4:$AN$23,0),MATCH(INDEX('Adjustment Surface'!$AO$3:$BH$3,1,MATCH(('Adjustment Surface'!X$3),'Adjustment Surface'!$AO$3:$BH$3,1)+IF('Adjustment Surface'!Y$3="",-1,1)),$AO$3:$BH$3,0))*('Adjustment Surface'!$O7-INDEX('Adjustment Surface'!$AN$4:$AN$23,MATCH(('Adjustment Surface'!$O7),'Adjustment Surface'!$AN$4:$AN$23,1)))*('Adjustment Surface'!X$3-INDEX('Adjustment Surface'!$AO$3:$BH$3,1,MATCH(('Adjustment Surface'!X$3),'Adjustment Surface'!$AO$3:$BH$3,1)))))</f>
        <v>8.4325160509204267</v>
      </c>
      <c r="Y7" s="181" t="str" cm="1">
        <f t="array" ref="Y7">IF(OR(Y$3="",$O7=""),"",1/((INDEX('Adjustment Surface'!$AN$4:$AN$23,MATCH(('Adjustment Surface'!$O7),'Adjustment Surface'!$AN$4:$AN$23,1)+IF('Adjustment Surface'!$O8="",-1,1))-INDEX('Adjustment Surface'!$AN$4:$AN$23,MATCH(('Adjustment Surface'!$O7),'Adjustment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Surface'!$O7),'Adjustment Surface'!$AN$4:$AN$23,1)),$AN$4:$AN$23,0),MATCH(INDEX('Adjustment Surface'!$AO$3:$BH$3,1,MATCH(('Adjustment Surface'!Y$3),'Adjustment Surface'!$AO$3:$BH$3,1)),$AO$3:$BH$3,0))*(INDEX('Adjustment Surface'!$AN$4:$AN$23,MATCH(('Adjustment Surface'!$O7),'Adjustment Surface'!$AN$4:$AN$23,1)+IF('Adjustment Surface'!$O8="",-1,1))-'Adjustment Surface'!$O7)*(INDEX('Adjustment Surface'!$AO$3:$BH$3,1,MATCH(('Adjustment Surface'!Y$3),'Adjustment Surface'!$AO$3:$BH$3,1)+IF('Adjustment Surface'!Z$3="",-1,1))-'Adjustment Surface'!Y$3)+INDEX($AO$4:$BH$23,MATCH(INDEX('Adjustment Surface'!$AN$4:$AN$23,MATCH(('Adjustment Surface'!$O7),'Adjustment Surface'!$AN$4:$AN$23,1)+IF('Adjustment Surface'!$O8="",-1,1)),$AN$4:$AN$23,0),MATCH(INDEX('Adjustment Surface'!$AO$3:$BH$3,1,MATCH(('Adjustment Surface'!Y$3),'Adjustment Surface'!$AO$3:$BH$3,1)),$AO$3:$BH$3,0))*('Adjustment Surface'!$O7-INDEX('Adjustment Surface'!$AN$4:$AN$23,MATCH(('Adjustment Surface'!$O7),'Adjustment Surface'!$AN$4:$AN$23,1)))*(INDEX('Adjustment Surface'!$AO$3:$BH$3,1,MATCH(('Adjustment Surface'!Y$3),'Adjustment Surface'!$AO$3:$BH$3,1)+IF('Adjustment Surface'!Z$3="",-1,1))-'Adjustment Surface'!Y$3)+INDEX($AO$4:$BH$23,MATCH(INDEX('Adjustment Surface'!$AN$4:$AN$23,MATCH(('Adjustment Surface'!$O7),'Adjustment Surface'!$AN$4:$AN$23,1)),$AN$4:$AN$23,0),MATCH(INDEX('Adjustment Surface'!$AO$3:$BH$3,1,MATCH(('Adjustment Surface'!Y$3),'Adjustment Surface'!$AO$3:$BH$3,1)+IF('Adjustment Surface'!Z$3="",-1,1)),$AO$3:$BH$3,0))*(INDEX('Adjustment Surface'!$AN$4:$AN$23,MATCH(('Adjustment Surface'!$O7),'Adjustment Surface'!$AN$4:$AN$23,1)+IF('Adjustment Surface'!$O8="",-1,1))-'Adjustment Surface'!$O7)*('Adjustment Surface'!Y$3-INDEX('Adjustment Surface'!$AO$3:$BH$3,1,MATCH(('Adjustment Surface'!Y$3),'Adjustment Surface'!$AO$3:$BH$3,1)))+INDEX($AO$4:$BH$23,MATCH(INDEX('Adjustment Surface'!$AN$4:$AN$23,MATCH(('Adjustment Surface'!$O7),'Adjustment Surface'!$AN$4:$AN$23,1)+IF('Adjustment Surface'!$O8="",-1,1)),$AN$4:$AN$23,0),MATCH(INDEX('Adjustment Surface'!$AO$3:$BH$3,1,MATCH(('Adjustment Surface'!Y$3),'Adjustment Surface'!$AO$3:$BH$3,1)+IF('Adjustment Surface'!Z$3="",-1,1)),$AO$3:$BH$3,0))*('Adjustment Surface'!$O7-INDEX('Adjustment Surface'!$AN$4:$AN$23,MATCH(('Adjustment Surface'!$O7),'Adjustment Surface'!$AN$4:$AN$23,1)))*('Adjustment Surface'!Y$3-INDEX('Adjustment Surface'!$AO$3:$BH$3,1,MATCH(('Adjustment Surface'!Y$3),'Adjustment Surface'!$AO$3:$BH$3,1)))))</f>
        <v/>
      </c>
      <c r="Z7" s="181" t="str" cm="1">
        <f t="array" ref="Z7">IF(OR(Z$3="",$O7=""),"",1/((INDEX('Adjustment Surface'!$AN$4:$AN$23,MATCH(('Adjustment Surface'!$O7),'Adjustment Surface'!$AN$4:$AN$23,1)+IF('Adjustment Surface'!$O8="",-1,1))-INDEX('Adjustment Surface'!$AN$4:$AN$23,MATCH(('Adjustment Surface'!$O7),'Adjustment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Surface'!$O7),'Adjustment Surface'!$AN$4:$AN$23,1)),$AN$4:$AN$23,0),MATCH(INDEX('Adjustment Surface'!$AO$3:$BH$3,1,MATCH(('Adjustment Surface'!Z$3),'Adjustment Surface'!$AO$3:$BH$3,1)),$AO$3:$BH$3,0))*(INDEX('Adjustment Surface'!$AN$4:$AN$23,MATCH(('Adjustment Surface'!$O7),'Adjustment Surface'!$AN$4:$AN$23,1)+IF('Adjustment Surface'!$O8="",-1,1))-'Adjustment Surface'!$O7)*(INDEX('Adjustment Surface'!$AO$3:$BH$3,1,MATCH(('Adjustment Surface'!Z$3),'Adjustment Surface'!$AO$3:$BH$3,1)+IF('Adjustment Surface'!AA$3="",-1,1))-'Adjustment Surface'!Z$3)+INDEX($AO$4:$BH$23,MATCH(INDEX('Adjustment Surface'!$AN$4:$AN$23,MATCH(('Adjustment Surface'!$O7),'Adjustment Surface'!$AN$4:$AN$23,1)+IF('Adjustment Surface'!$O8="",-1,1)),$AN$4:$AN$23,0),MATCH(INDEX('Adjustment Surface'!$AO$3:$BH$3,1,MATCH(('Adjustment Surface'!Z$3),'Adjustment Surface'!$AO$3:$BH$3,1)),$AO$3:$BH$3,0))*('Adjustment Surface'!$O7-INDEX('Adjustment Surface'!$AN$4:$AN$23,MATCH(('Adjustment Surface'!$O7),'Adjustment Surface'!$AN$4:$AN$23,1)))*(INDEX('Adjustment Surface'!$AO$3:$BH$3,1,MATCH(('Adjustment Surface'!Z$3),'Adjustment Surface'!$AO$3:$BH$3,1)+IF('Adjustment Surface'!AA$3="",-1,1))-'Adjustment Surface'!Z$3)+INDEX($AO$4:$BH$23,MATCH(INDEX('Adjustment Surface'!$AN$4:$AN$23,MATCH(('Adjustment Surface'!$O7),'Adjustment Surface'!$AN$4:$AN$23,1)),$AN$4:$AN$23,0),MATCH(INDEX('Adjustment Surface'!$AO$3:$BH$3,1,MATCH(('Adjustment Surface'!Z$3),'Adjustment Surface'!$AO$3:$BH$3,1)+IF('Adjustment Surface'!AA$3="",-1,1)),$AO$3:$BH$3,0))*(INDEX('Adjustment Surface'!$AN$4:$AN$23,MATCH(('Adjustment Surface'!$O7),'Adjustment Surface'!$AN$4:$AN$23,1)+IF('Adjustment Surface'!$O8="",-1,1))-'Adjustment Surface'!$O7)*('Adjustment Surface'!Z$3-INDEX('Adjustment Surface'!$AO$3:$BH$3,1,MATCH(('Adjustment Surface'!Z$3),'Adjustment Surface'!$AO$3:$BH$3,1)))+INDEX($AO$4:$BH$23,MATCH(INDEX('Adjustment Surface'!$AN$4:$AN$23,MATCH(('Adjustment Surface'!$O7),'Adjustment Surface'!$AN$4:$AN$23,1)+IF('Adjustment Surface'!$O8="",-1,1)),$AN$4:$AN$23,0),MATCH(INDEX('Adjustment Surface'!$AO$3:$BH$3,1,MATCH(('Adjustment Surface'!Z$3),'Adjustment Surface'!$AO$3:$BH$3,1)+IF('Adjustment Surface'!AA$3="",-1,1)),$AO$3:$BH$3,0))*('Adjustment Surface'!$O7-INDEX('Adjustment Surface'!$AN$4:$AN$23,MATCH(('Adjustment Surface'!$O7),'Adjustment Surface'!$AN$4:$AN$23,1)))*('Adjustment Surface'!Z$3-INDEX('Adjustment Surface'!$AO$3:$BH$3,1,MATCH(('Adjustment Surface'!Z$3),'Adjustment Surface'!$AO$3:$BH$3,1)))))</f>
        <v/>
      </c>
      <c r="AA7" s="181" t="str" cm="1">
        <f t="array" ref="AA7">IF(OR(AA$3="",$O7=""),"",1/((INDEX('Adjustment Surface'!$AN$4:$AN$23,MATCH(('Adjustment Surface'!$O7),'Adjustment Surface'!$AN$4:$AN$23,1)+IF('Adjustment Surface'!$O8="",-1,1))-INDEX('Adjustment Surface'!$AN$4:$AN$23,MATCH(('Adjustment Surface'!$O7),'Adjustment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Surface'!$O7),'Adjustment Surface'!$AN$4:$AN$23,1)),$AN$4:$AN$23,0),MATCH(INDEX('Adjustment Surface'!$AO$3:$BH$3,1,MATCH(('Adjustment Surface'!AA$3),'Adjustment Surface'!$AO$3:$BH$3,1)),$AO$3:$BH$3,0))*(INDEX('Adjustment Surface'!$AN$4:$AN$23,MATCH(('Adjustment Surface'!$O7),'Adjustment Surface'!$AN$4:$AN$23,1)+IF('Adjustment Surface'!$O8="",-1,1))-'Adjustment Surface'!$O7)*(INDEX('Adjustment Surface'!$AO$3:$BH$3,1,MATCH(('Adjustment Surface'!AA$3),'Adjustment Surface'!$AO$3:$BH$3,1)+IF('Adjustment Surface'!AB$3="",-1,1))-'Adjustment Surface'!AA$3)+INDEX($AO$4:$BH$23,MATCH(INDEX('Adjustment Surface'!$AN$4:$AN$23,MATCH(('Adjustment Surface'!$O7),'Adjustment Surface'!$AN$4:$AN$23,1)+IF('Adjustment Surface'!$O8="",-1,1)),$AN$4:$AN$23,0),MATCH(INDEX('Adjustment Surface'!$AO$3:$BH$3,1,MATCH(('Adjustment Surface'!AA$3),'Adjustment Surface'!$AO$3:$BH$3,1)),$AO$3:$BH$3,0))*('Adjustment Surface'!$O7-INDEX('Adjustment Surface'!$AN$4:$AN$23,MATCH(('Adjustment Surface'!$O7),'Adjustment Surface'!$AN$4:$AN$23,1)))*(INDEX('Adjustment Surface'!$AO$3:$BH$3,1,MATCH(('Adjustment Surface'!AA$3),'Adjustment Surface'!$AO$3:$BH$3,1)+IF('Adjustment Surface'!AB$3="",-1,1))-'Adjustment Surface'!AA$3)+INDEX($AO$4:$BH$23,MATCH(INDEX('Adjustment Surface'!$AN$4:$AN$23,MATCH(('Adjustment Surface'!$O7),'Adjustment Surface'!$AN$4:$AN$23,1)),$AN$4:$AN$23,0),MATCH(INDEX('Adjustment Surface'!$AO$3:$BH$3,1,MATCH(('Adjustment Surface'!AA$3),'Adjustment Surface'!$AO$3:$BH$3,1)+IF('Adjustment Surface'!AB$3="",-1,1)),$AO$3:$BH$3,0))*(INDEX('Adjustment Surface'!$AN$4:$AN$23,MATCH(('Adjustment Surface'!$O7),'Adjustment Surface'!$AN$4:$AN$23,1)+IF('Adjustment Surface'!$O8="",-1,1))-'Adjustment Surface'!$O7)*('Adjustment Surface'!AA$3-INDEX('Adjustment Surface'!$AO$3:$BH$3,1,MATCH(('Adjustment Surface'!AA$3),'Adjustment Surface'!$AO$3:$BH$3,1)))+INDEX($AO$4:$BH$23,MATCH(INDEX('Adjustment Surface'!$AN$4:$AN$23,MATCH(('Adjustment Surface'!$O7),'Adjustment Surface'!$AN$4:$AN$23,1)+IF('Adjustment Surface'!$O8="",-1,1)),$AN$4:$AN$23,0),MATCH(INDEX('Adjustment Surface'!$AO$3:$BH$3,1,MATCH(('Adjustment Surface'!AA$3),'Adjustment Surface'!$AO$3:$BH$3,1)+IF('Adjustment Surface'!AB$3="",-1,1)),$AO$3:$BH$3,0))*('Adjustment Surface'!$O7-INDEX('Adjustment Surface'!$AN$4:$AN$23,MATCH(('Adjustment Surface'!$O7),'Adjustment Surface'!$AN$4:$AN$23,1)))*('Adjustment Surface'!AA$3-INDEX('Adjustment Surface'!$AO$3:$BH$3,1,MATCH(('Adjustment Surface'!AA$3),'Adjustment Surface'!$AO$3:$BH$3,1)))))</f>
        <v/>
      </c>
      <c r="AB7" s="181" t="str" cm="1">
        <f t="array" ref="AB7">IF(OR(AB$3="",$O7=""),"",1/((INDEX('Adjustment Surface'!$AN$4:$AN$23,MATCH(('Adjustment Surface'!$O7),'Adjustment Surface'!$AN$4:$AN$23,1)+IF('Adjustment Surface'!$O8="",-1,1))-INDEX('Adjustment Surface'!$AN$4:$AN$23,MATCH(('Adjustment Surface'!$O7),'Adjustment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Surface'!$O7),'Adjustment Surface'!$AN$4:$AN$23,1)),$AN$4:$AN$23,0),MATCH(INDEX('Adjustment Surface'!$AO$3:$BH$3,1,MATCH(('Adjustment Surface'!AB$3),'Adjustment Surface'!$AO$3:$BH$3,1)),$AO$3:$BH$3,0))*(INDEX('Adjustment Surface'!$AN$4:$AN$23,MATCH(('Adjustment Surface'!$O7),'Adjustment Surface'!$AN$4:$AN$23,1)+IF('Adjustment Surface'!$O8="",-1,1))-'Adjustment Surface'!$O7)*(INDEX('Adjustment Surface'!$AO$3:$BH$3,1,MATCH(('Adjustment Surface'!AB$3),'Adjustment Surface'!$AO$3:$BH$3,1)+IF('Adjustment Surface'!AC$3="",-1,1))-'Adjustment Surface'!AB$3)+INDEX($AO$4:$BH$23,MATCH(INDEX('Adjustment Surface'!$AN$4:$AN$23,MATCH(('Adjustment Surface'!$O7),'Adjustment Surface'!$AN$4:$AN$23,1)+IF('Adjustment Surface'!$O8="",-1,1)),$AN$4:$AN$23,0),MATCH(INDEX('Adjustment Surface'!$AO$3:$BH$3,1,MATCH(('Adjustment Surface'!AB$3),'Adjustment Surface'!$AO$3:$BH$3,1)),$AO$3:$BH$3,0))*('Adjustment Surface'!$O7-INDEX('Adjustment Surface'!$AN$4:$AN$23,MATCH(('Adjustment Surface'!$O7),'Adjustment Surface'!$AN$4:$AN$23,1)))*(INDEX('Adjustment Surface'!$AO$3:$BH$3,1,MATCH(('Adjustment Surface'!AB$3),'Adjustment Surface'!$AO$3:$BH$3,1)+IF('Adjustment Surface'!AC$3="",-1,1))-'Adjustment Surface'!AB$3)+INDEX($AO$4:$BH$23,MATCH(INDEX('Adjustment Surface'!$AN$4:$AN$23,MATCH(('Adjustment Surface'!$O7),'Adjustment Surface'!$AN$4:$AN$23,1)),$AN$4:$AN$23,0),MATCH(INDEX('Adjustment Surface'!$AO$3:$BH$3,1,MATCH(('Adjustment Surface'!AB$3),'Adjustment Surface'!$AO$3:$BH$3,1)+IF('Adjustment Surface'!AC$3="",-1,1)),$AO$3:$BH$3,0))*(INDEX('Adjustment Surface'!$AN$4:$AN$23,MATCH(('Adjustment Surface'!$O7),'Adjustment Surface'!$AN$4:$AN$23,1)+IF('Adjustment Surface'!$O8="",-1,1))-'Adjustment Surface'!$O7)*('Adjustment Surface'!AB$3-INDEX('Adjustment Surface'!$AO$3:$BH$3,1,MATCH(('Adjustment Surface'!AB$3),'Adjustment Surface'!$AO$3:$BH$3,1)))+INDEX($AO$4:$BH$23,MATCH(INDEX('Adjustment Surface'!$AN$4:$AN$23,MATCH(('Adjustment Surface'!$O7),'Adjustment Surface'!$AN$4:$AN$23,1)+IF('Adjustment Surface'!$O8="",-1,1)),$AN$4:$AN$23,0),MATCH(INDEX('Adjustment Surface'!$AO$3:$BH$3,1,MATCH(('Adjustment Surface'!AB$3),'Adjustment Surface'!$AO$3:$BH$3,1)+IF('Adjustment Surface'!AC$3="",-1,1)),$AO$3:$BH$3,0))*('Adjustment Surface'!$O7-INDEX('Adjustment Surface'!$AN$4:$AN$23,MATCH(('Adjustment Surface'!$O7),'Adjustment Surface'!$AN$4:$AN$23,1)))*('Adjustment Surface'!AB$3-INDEX('Adjustment Surface'!$AO$3:$BH$3,1,MATCH(('Adjustment Surface'!AB$3),'Adjustment Surface'!$AO$3:$BH$3,1)))))</f>
        <v/>
      </c>
      <c r="AC7" s="181" t="str" cm="1">
        <f t="array" ref="AC7">IF(OR(AC$3="",$O7=""),"",1/((INDEX('Adjustment Surface'!$AN$4:$AN$23,MATCH(('Adjustment Surface'!$O7),'Adjustment Surface'!$AN$4:$AN$23,1)+IF('Adjustment Surface'!$O8="",-1,1))-INDEX('Adjustment Surface'!$AN$4:$AN$23,MATCH(('Adjustment Surface'!$O7),'Adjustment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Surface'!$O7),'Adjustment Surface'!$AN$4:$AN$23,1)),$AN$4:$AN$23,0),MATCH(INDEX('Adjustment Surface'!$AO$3:$BH$3,1,MATCH(('Adjustment Surface'!AC$3),'Adjustment Surface'!$AO$3:$BH$3,1)),$AO$3:$BH$3,0))*(INDEX('Adjustment Surface'!$AN$4:$AN$23,MATCH(('Adjustment Surface'!$O7),'Adjustment Surface'!$AN$4:$AN$23,1)+IF('Adjustment Surface'!$O8="",-1,1))-'Adjustment Surface'!$O7)*(INDEX('Adjustment Surface'!$AO$3:$BH$3,1,MATCH(('Adjustment Surface'!AC$3),'Adjustment Surface'!$AO$3:$BH$3,1)+IF('Adjustment Surface'!AD$3="",-1,1))-'Adjustment Surface'!AC$3)+INDEX($AO$4:$BH$23,MATCH(INDEX('Adjustment Surface'!$AN$4:$AN$23,MATCH(('Adjustment Surface'!$O7),'Adjustment Surface'!$AN$4:$AN$23,1)+IF('Adjustment Surface'!$O8="",-1,1)),$AN$4:$AN$23,0),MATCH(INDEX('Adjustment Surface'!$AO$3:$BH$3,1,MATCH(('Adjustment Surface'!AC$3),'Adjustment Surface'!$AO$3:$BH$3,1)),$AO$3:$BH$3,0))*('Adjustment Surface'!$O7-INDEX('Adjustment Surface'!$AN$4:$AN$23,MATCH(('Adjustment Surface'!$O7),'Adjustment Surface'!$AN$4:$AN$23,1)))*(INDEX('Adjustment Surface'!$AO$3:$BH$3,1,MATCH(('Adjustment Surface'!AC$3),'Adjustment Surface'!$AO$3:$BH$3,1)+IF('Adjustment Surface'!AD$3="",-1,1))-'Adjustment Surface'!AC$3)+INDEX($AO$4:$BH$23,MATCH(INDEX('Adjustment Surface'!$AN$4:$AN$23,MATCH(('Adjustment Surface'!$O7),'Adjustment Surface'!$AN$4:$AN$23,1)),$AN$4:$AN$23,0),MATCH(INDEX('Adjustment Surface'!$AO$3:$BH$3,1,MATCH(('Adjustment Surface'!AC$3),'Adjustment Surface'!$AO$3:$BH$3,1)+IF('Adjustment Surface'!AD$3="",-1,1)),$AO$3:$BH$3,0))*(INDEX('Adjustment Surface'!$AN$4:$AN$23,MATCH(('Adjustment Surface'!$O7),'Adjustment Surface'!$AN$4:$AN$23,1)+IF('Adjustment Surface'!$O8="",-1,1))-'Adjustment Surface'!$O7)*('Adjustment Surface'!AC$3-INDEX('Adjustment Surface'!$AO$3:$BH$3,1,MATCH(('Adjustment Surface'!AC$3),'Adjustment Surface'!$AO$3:$BH$3,1)))+INDEX($AO$4:$BH$23,MATCH(INDEX('Adjustment Surface'!$AN$4:$AN$23,MATCH(('Adjustment Surface'!$O7),'Adjustment Surface'!$AN$4:$AN$23,1)+IF('Adjustment Surface'!$O8="",-1,1)),$AN$4:$AN$23,0),MATCH(INDEX('Adjustment Surface'!$AO$3:$BH$3,1,MATCH(('Adjustment Surface'!AC$3),'Adjustment Surface'!$AO$3:$BH$3,1)+IF('Adjustment Surface'!AD$3="",-1,1)),$AO$3:$BH$3,0))*('Adjustment Surface'!$O7-INDEX('Adjustment Surface'!$AN$4:$AN$23,MATCH(('Adjustment Surface'!$O7),'Adjustment Surface'!$AN$4:$AN$23,1)))*('Adjustment Surface'!AC$3-INDEX('Adjustment Surface'!$AO$3:$BH$3,1,MATCH(('Adjustment Surface'!AC$3),'Adjustment Surface'!$AO$3:$BH$3,1)))))</f>
        <v/>
      </c>
      <c r="AD7" s="181" t="str" cm="1">
        <f t="array" ref="AD7">IF(OR(AD$3="",$O7=""),"",1/((INDEX('Adjustment Surface'!$AN$4:$AN$23,MATCH(('Adjustment Surface'!$O7),'Adjustment Surface'!$AN$4:$AN$23,1)+IF('Adjustment Surface'!$O8="",-1,1))-INDEX('Adjustment Surface'!$AN$4:$AN$23,MATCH(('Adjustment Surface'!$O7),'Adjustment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Surface'!$O7),'Adjustment Surface'!$AN$4:$AN$23,1)),$AN$4:$AN$23,0),MATCH(INDEX('Adjustment Surface'!$AO$3:$BH$3,1,MATCH(('Adjustment Surface'!AD$3),'Adjustment Surface'!$AO$3:$BH$3,1)),$AO$3:$BH$3,0))*(INDEX('Adjustment Surface'!$AN$4:$AN$23,MATCH(('Adjustment Surface'!$O7),'Adjustment Surface'!$AN$4:$AN$23,1)+IF('Adjustment Surface'!$O8="",-1,1))-'Adjustment Surface'!$O7)*(INDEX('Adjustment Surface'!$AO$3:$BH$3,1,MATCH(('Adjustment Surface'!AD$3),'Adjustment Surface'!$AO$3:$BH$3,1)+IF('Adjustment Surface'!AE$3="",-1,1))-'Adjustment Surface'!AD$3)+INDEX($AO$4:$BH$23,MATCH(INDEX('Adjustment Surface'!$AN$4:$AN$23,MATCH(('Adjustment Surface'!$O7),'Adjustment Surface'!$AN$4:$AN$23,1)+IF('Adjustment Surface'!$O8="",-1,1)),$AN$4:$AN$23,0),MATCH(INDEX('Adjustment Surface'!$AO$3:$BH$3,1,MATCH(('Adjustment Surface'!AD$3),'Adjustment Surface'!$AO$3:$BH$3,1)),$AO$3:$BH$3,0))*('Adjustment Surface'!$O7-INDEX('Adjustment Surface'!$AN$4:$AN$23,MATCH(('Adjustment Surface'!$O7),'Adjustment Surface'!$AN$4:$AN$23,1)))*(INDEX('Adjustment Surface'!$AO$3:$BH$3,1,MATCH(('Adjustment Surface'!AD$3),'Adjustment Surface'!$AO$3:$BH$3,1)+IF('Adjustment Surface'!AE$3="",-1,1))-'Adjustment Surface'!AD$3)+INDEX($AO$4:$BH$23,MATCH(INDEX('Adjustment Surface'!$AN$4:$AN$23,MATCH(('Adjustment Surface'!$O7),'Adjustment Surface'!$AN$4:$AN$23,1)),$AN$4:$AN$23,0),MATCH(INDEX('Adjustment Surface'!$AO$3:$BH$3,1,MATCH(('Adjustment Surface'!AD$3),'Adjustment Surface'!$AO$3:$BH$3,1)+IF('Adjustment Surface'!AE$3="",-1,1)),$AO$3:$BH$3,0))*(INDEX('Adjustment Surface'!$AN$4:$AN$23,MATCH(('Adjustment Surface'!$O7),'Adjustment Surface'!$AN$4:$AN$23,1)+IF('Adjustment Surface'!$O8="",-1,1))-'Adjustment Surface'!$O7)*('Adjustment Surface'!AD$3-INDEX('Adjustment Surface'!$AO$3:$BH$3,1,MATCH(('Adjustment Surface'!AD$3),'Adjustment Surface'!$AO$3:$BH$3,1)))+INDEX($AO$4:$BH$23,MATCH(INDEX('Adjustment Surface'!$AN$4:$AN$23,MATCH(('Adjustment Surface'!$O7),'Adjustment Surface'!$AN$4:$AN$23,1)+IF('Adjustment Surface'!$O8="",-1,1)),$AN$4:$AN$23,0),MATCH(INDEX('Adjustment Surface'!$AO$3:$BH$3,1,MATCH(('Adjustment Surface'!AD$3),'Adjustment Surface'!$AO$3:$BH$3,1)+IF('Adjustment Surface'!AE$3="",-1,1)),$AO$3:$BH$3,0))*('Adjustment Surface'!$O7-INDEX('Adjustment Surface'!$AN$4:$AN$23,MATCH(('Adjustment Surface'!$O7),'Adjustment Surface'!$AN$4:$AN$23,1)))*('Adjustment Surface'!AD$3-INDEX('Adjustment Surface'!$AO$3:$BH$3,1,MATCH(('Adjustment Surface'!AD$3),'Adjustment Surface'!$AO$3:$BH$3,1)))))</f>
        <v/>
      </c>
      <c r="AE7" s="181" t="str" cm="1">
        <f t="array" ref="AE7">IF(OR(AE$3="",$O7=""),"",1/((INDEX('Adjustment Surface'!$AN$4:$AN$23,MATCH(('Adjustment Surface'!$O7),'Adjustment Surface'!$AN$4:$AN$23,1)+IF('Adjustment Surface'!$O8="",-1,1))-INDEX('Adjustment Surface'!$AN$4:$AN$23,MATCH(('Adjustment Surface'!$O7),'Adjustment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Surface'!$O7),'Adjustment Surface'!$AN$4:$AN$23,1)),$AN$4:$AN$23,0),MATCH(INDEX('Adjustment Surface'!$AO$3:$BH$3,1,MATCH(('Adjustment Surface'!AE$3),'Adjustment Surface'!$AO$3:$BH$3,1)),$AO$3:$BH$3,0))*(INDEX('Adjustment Surface'!$AN$4:$AN$23,MATCH(('Adjustment Surface'!$O7),'Adjustment Surface'!$AN$4:$AN$23,1)+IF('Adjustment Surface'!$O8="",-1,1))-'Adjustment Surface'!$O7)*(INDEX('Adjustment Surface'!$AO$3:$BH$3,1,MATCH(('Adjustment Surface'!AE$3),'Adjustment Surface'!$AO$3:$BH$3,1)+IF('Adjustment Surface'!AF$3="",-1,1))-'Adjustment Surface'!AE$3)+INDEX($AO$4:$BH$23,MATCH(INDEX('Adjustment Surface'!$AN$4:$AN$23,MATCH(('Adjustment Surface'!$O7),'Adjustment Surface'!$AN$4:$AN$23,1)+IF('Adjustment Surface'!$O8="",-1,1)),$AN$4:$AN$23,0),MATCH(INDEX('Adjustment Surface'!$AO$3:$BH$3,1,MATCH(('Adjustment Surface'!AE$3),'Adjustment Surface'!$AO$3:$BH$3,1)),$AO$3:$BH$3,0))*('Adjustment Surface'!$O7-INDEX('Adjustment Surface'!$AN$4:$AN$23,MATCH(('Adjustment Surface'!$O7),'Adjustment Surface'!$AN$4:$AN$23,1)))*(INDEX('Adjustment Surface'!$AO$3:$BH$3,1,MATCH(('Adjustment Surface'!AE$3),'Adjustment Surface'!$AO$3:$BH$3,1)+IF('Adjustment Surface'!AF$3="",-1,1))-'Adjustment Surface'!AE$3)+INDEX($AO$4:$BH$23,MATCH(INDEX('Adjustment Surface'!$AN$4:$AN$23,MATCH(('Adjustment Surface'!$O7),'Adjustment Surface'!$AN$4:$AN$23,1)),$AN$4:$AN$23,0),MATCH(INDEX('Adjustment Surface'!$AO$3:$BH$3,1,MATCH(('Adjustment Surface'!AE$3),'Adjustment Surface'!$AO$3:$BH$3,1)+IF('Adjustment Surface'!AF$3="",-1,1)),$AO$3:$BH$3,0))*(INDEX('Adjustment Surface'!$AN$4:$AN$23,MATCH(('Adjustment Surface'!$O7),'Adjustment Surface'!$AN$4:$AN$23,1)+IF('Adjustment Surface'!$O8="",-1,1))-'Adjustment Surface'!$O7)*('Adjustment Surface'!AE$3-INDEX('Adjustment Surface'!$AO$3:$BH$3,1,MATCH(('Adjustment Surface'!AE$3),'Adjustment Surface'!$AO$3:$BH$3,1)))+INDEX($AO$4:$BH$23,MATCH(INDEX('Adjustment Surface'!$AN$4:$AN$23,MATCH(('Adjustment Surface'!$O7),'Adjustment Surface'!$AN$4:$AN$23,1)+IF('Adjustment Surface'!$O8="",-1,1)),$AN$4:$AN$23,0),MATCH(INDEX('Adjustment Surface'!$AO$3:$BH$3,1,MATCH(('Adjustment Surface'!AE$3),'Adjustment Surface'!$AO$3:$BH$3,1)+IF('Adjustment Surface'!AF$3="",-1,1)),$AO$3:$BH$3,0))*('Adjustment Surface'!$O7-INDEX('Adjustment Surface'!$AN$4:$AN$23,MATCH(('Adjustment Surface'!$O7),'Adjustment Surface'!$AN$4:$AN$23,1)))*('Adjustment Surface'!AE$3-INDEX('Adjustment Surface'!$AO$3:$BH$3,1,MATCH(('Adjustment Surface'!AE$3),'Adjustment Surface'!$AO$3:$BH$3,1)))))</f>
        <v/>
      </c>
      <c r="AF7" s="181" t="str" cm="1">
        <f t="array" ref="AF7">IF(OR(AF$3="",$O7=""),"",1/((INDEX('Adjustment Surface'!$AN$4:$AN$23,MATCH(('Adjustment Surface'!$O7),'Adjustment Surface'!$AN$4:$AN$23,1)+IF('Adjustment Surface'!$O8="",-1,1))-INDEX('Adjustment Surface'!$AN$4:$AN$23,MATCH(('Adjustment Surface'!$O7),'Adjustment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Surface'!$O7),'Adjustment Surface'!$AN$4:$AN$23,1)),$AN$4:$AN$23,0),MATCH(INDEX('Adjustment Surface'!$AO$3:$BH$3,1,MATCH(('Adjustment Surface'!AF$3),'Adjustment Surface'!$AO$3:$BH$3,1)),$AO$3:$BH$3,0))*(INDEX('Adjustment Surface'!$AN$4:$AN$23,MATCH(('Adjustment Surface'!$O7),'Adjustment Surface'!$AN$4:$AN$23,1)+IF('Adjustment Surface'!$O8="",-1,1))-'Adjustment Surface'!$O7)*(INDEX('Adjustment Surface'!$AO$3:$BH$3,1,MATCH(('Adjustment Surface'!AF$3),'Adjustment Surface'!$AO$3:$BH$3,1)+IF('Adjustment Surface'!AG$3="",-1,1))-'Adjustment Surface'!AF$3)+INDEX($AO$4:$BH$23,MATCH(INDEX('Adjustment Surface'!$AN$4:$AN$23,MATCH(('Adjustment Surface'!$O7),'Adjustment Surface'!$AN$4:$AN$23,1)+IF('Adjustment Surface'!$O8="",-1,1)),$AN$4:$AN$23,0),MATCH(INDEX('Adjustment Surface'!$AO$3:$BH$3,1,MATCH(('Adjustment Surface'!AF$3),'Adjustment Surface'!$AO$3:$BH$3,1)),$AO$3:$BH$3,0))*('Adjustment Surface'!$O7-INDEX('Adjustment Surface'!$AN$4:$AN$23,MATCH(('Adjustment Surface'!$O7),'Adjustment Surface'!$AN$4:$AN$23,1)))*(INDEX('Adjustment Surface'!$AO$3:$BH$3,1,MATCH(('Adjustment Surface'!AF$3),'Adjustment Surface'!$AO$3:$BH$3,1)+IF('Adjustment Surface'!AG$3="",-1,1))-'Adjustment Surface'!AF$3)+INDEX($AO$4:$BH$23,MATCH(INDEX('Adjustment Surface'!$AN$4:$AN$23,MATCH(('Adjustment Surface'!$O7),'Adjustment Surface'!$AN$4:$AN$23,1)),$AN$4:$AN$23,0),MATCH(INDEX('Adjustment Surface'!$AO$3:$BH$3,1,MATCH(('Adjustment Surface'!AF$3),'Adjustment Surface'!$AO$3:$BH$3,1)+IF('Adjustment Surface'!AG$3="",-1,1)),$AO$3:$BH$3,0))*(INDEX('Adjustment Surface'!$AN$4:$AN$23,MATCH(('Adjustment Surface'!$O7),'Adjustment Surface'!$AN$4:$AN$23,1)+IF('Adjustment Surface'!$O8="",-1,1))-'Adjustment Surface'!$O7)*('Adjustment Surface'!AF$3-INDEX('Adjustment Surface'!$AO$3:$BH$3,1,MATCH(('Adjustment Surface'!AF$3),'Adjustment Surface'!$AO$3:$BH$3,1)))+INDEX($AO$4:$BH$23,MATCH(INDEX('Adjustment Surface'!$AN$4:$AN$23,MATCH(('Adjustment Surface'!$O7),'Adjustment Surface'!$AN$4:$AN$23,1)+IF('Adjustment Surface'!$O8="",-1,1)),$AN$4:$AN$23,0),MATCH(INDEX('Adjustment Surface'!$AO$3:$BH$3,1,MATCH(('Adjustment Surface'!AF$3),'Adjustment Surface'!$AO$3:$BH$3,1)+IF('Adjustment Surface'!AG$3="",-1,1)),$AO$3:$BH$3,0))*('Adjustment Surface'!$O7-INDEX('Adjustment Surface'!$AN$4:$AN$23,MATCH(('Adjustment Surface'!$O7),'Adjustment Surface'!$AN$4:$AN$23,1)))*('Adjustment Surface'!AF$3-INDEX('Adjustment Surface'!$AO$3:$BH$3,1,MATCH(('Adjustment Surface'!AF$3),'Adjustment Surface'!$AO$3:$BH$3,1)))))</f>
        <v/>
      </c>
      <c r="AG7" s="181" t="str" cm="1">
        <f t="array" ref="AG7">IF(OR(AG$3="",$O7=""),"",1/((INDEX('Adjustment Surface'!$AN$4:$AN$23,MATCH(('Adjustment Surface'!$O7),'Adjustment Surface'!$AN$4:$AN$23,1)+IF('Adjustment Surface'!$O8="",-1,1))-INDEX('Adjustment Surface'!$AN$4:$AN$23,MATCH(('Adjustment Surface'!$O7),'Adjustment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Surface'!$O7),'Adjustment Surface'!$AN$4:$AN$23,1)),$AN$4:$AN$23,0),MATCH(INDEX('Adjustment Surface'!$AO$3:$BH$3,1,MATCH(('Adjustment Surface'!AG$3),'Adjustment Surface'!$AO$3:$BH$3,1)),$AO$3:$BH$3,0))*(INDEX('Adjustment Surface'!$AN$4:$AN$23,MATCH(('Adjustment Surface'!$O7),'Adjustment Surface'!$AN$4:$AN$23,1)+IF('Adjustment Surface'!$O8="",-1,1))-'Adjustment Surface'!$O7)*(INDEX('Adjustment Surface'!$AO$3:$BH$3,1,MATCH(('Adjustment Surface'!AG$3),'Adjustment Surface'!$AO$3:$BH$3,1)+IF('Adjustment Surface'!AH$3="",-1,1))-'Adjustment Surface'!AG$3)+INDEX($AO$4:$BH$23,MATCH(INDEX('Adjustment Surface'!$AN$4:$AN$23,MATCH(('Adjustment Surface'!$O7),'Adjustment Surface'!$AN$4:$AN$23,1)+IF('Adjustment Surface'!$O8="",-1,1)),$AN$4:$AN$23,0),MATCH(INDEX('Adjustment Surface'!$AO$3:$BH$3,1,MATCH(('Adjustment Surface'!AG$3),'Adjustment Surface'!$AO$3:$BH$3,1)),$AO$3:$BH$3,0))*('Adjustment Surface'!$O7-INDEX('Adjustment Surface'!$AN$4:$AN$23,MATCH(('Adjustment Surface'!$O7),'Adjustment Surface'!$AN$4:$AN$23,1)))*(INDEX('Adjustment Surface'!$AO$3:$BH$3,1,MATCH(('Adjustment Surface'!AG$3),'Adjustment Surface'!$AO$3:$BH$3,1)+IF('Adjustment Surface'!AH$3="",-1,1))-'Adjustment Surface'!AG$3)+INDEX($AO$4:$BH$23,MATCH(INDEX('Adjustment Surface'!$AN$4:$AN$23,MATCH(('Adjustment Surface'!$O7),'Adjustment Surface'!$AN$4:$AN$23,1)),$AN$4:$AN$23,0),MATCH(INDEX('Adjustment Surface'!$AO$3:$BH$3,1,MATCH(('Adjustment Surface'!AG$3),'Adjustment Surface'!$AO$3:$BH$3,1)+IF('Adjustment Surface'!AH$3="",-1,1)),$AO$3:$BH$3,0))*(INDEX('Adjustment Surface'!$AN$4:$AN$23,MATCH(('Adjustment Surface'!$O7),'Adjustment Surface'!$AN$4:$AN$23,1)+IF('Adjustment Surface'!$O8="",-1,1))-'Adjustment Surface'!$O7)*('Adjustment Surface'!AG$3-INDEX('Adjustment Surface'!$AO$3:$BH$3,1,MATCH(('Adjustment Surface'!AG$3),'Adjustment Surface'!$AO$3:$BH$3,1)))+INDEX($AO$4:$BH$23,MATCH(INDEX('Adjustment Surface'!$AN$4:$AN$23,MATCH(('Adjustment Surface'!$O7),'Adjustment Surface'!$AN$4:$AN$23,1)+IF('Adjustment Surface'!$O8="",-1,1)),$AN$4:$AN$23,0),MATCH(INDEX('Adjustment Surface'!$AO$3:$BH$3,1,MATCH(('Adjustment Surface'!AG$3),'Adjustment Surface'!$AO$3:$BH$3,1)+IF('Adjustment Surface'!AH$3="",-1,1)),$AO$3:$BH$3,0))*('Adjustment Surface'!$O7-INDEX('Adjustment Surface'!$AN$4:$AN$23,MATCH(('Adjustment Surface'!$O7),'Adjustment Surface'!$AN$4:$AN$23,1)))*('Adjustment Surface'!AG$3-INDEX('Adjustment Surface'!$AO$3:$BH$3,1,MATCH(('Adjustment Surface'!AG$3),'Adjustment Surface'!$AO$3:$BH$3,1)))))</f>
        <v/>
      </c>
      <c r="AH7" s="181" t="str" cm="1">
        <f t="array" ref="AH7">IF(OR(AH$3="",$O7=""),"",1/((INDEX('Adjustment Surface'!$AN$4:$AN$23,MATCH(('Adjustment Surface'!$O7),'Adjustment Surface'!$AN$4:$AN$23,1)+IF('Adjustment Surface'!$O8="",-1,1))-INDEX('Adjustment Surface'!$AN$4:$AN$23,MATCH(('Adjustment Surface'!$O7),'Adjustment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Surface'!$O7),'Adjustment Surface'!$AN$4:$AN$23,1)),$AN$4:$AN$23,0),MATCH(INDEX('Adjustment Surface'!$AO$3:$BH$3,1,MATCH(('Adjustment Surface'!AH$3),'Adjustment Surface'!$AO$3:$BH$3,1)),$AO$3:$BH$3,0))*(INDEX('Adjustment Surface'!$AN$4:$AN$23,MATCH(('Adjustment Surface'!$O7),'Adjustment Surface'!$AN$4:$AN$23,1)+IF('Adjustment Surface'!$O8="",-1,1))-'Adjustment Surface'!$O7)*(INDEX('Adjustment Surface'!$AO$3:$BH$3,1,MATCH(('Adjustment Surface'!AH$3),'Adjustment Surface'!$AO$3:$BH$3,1)+IF('Adjustment Surface'!AI$3="",-1,1))-'Adjustment Surface'!AH$3)+INDEX($AO$4:$BH$23,MATCH(INDEX('Adjustment Surface'!$AN$4:$AN$23,MATCH(('Adjustment Surface'!$O7),'Adjustment Surface'!$AN$4:$AN$23,1)+IF('Adjustment Surface'!$O8="",-1,1)),$AN$4:$AN$23,0),MATCH(INDEX('Adjustment Surface'!$AO$3:$BH$3,1,MATCH(('Adjustment Surface'!AH$3),'Adjustment Surface'!$AO$3:$BH$3,1)),$AO$3:$BH$3,0))*('Adjustment Surface'!$O7-INDEX('Adjustment Surface'!$AN$4:$AN$23,MATCH(('Adjustment Surface'!$O7),'Adjustment Surface'!$AN$4:$AN$23,1)))*(INDEX('Adjustment Surface'!$AO$3:$BH$3,1,MATCH(('Adjustment Surface'!AH$3),'Adjustment Surface'!$AO$3:$BH$3,1)+IF('Adjustment Surface'!AI$3="",-1,1))-'Adjustment Surface'!AH$3)+INDEX($AO$4:$BH$23,MATCH(INDEX('Adjustment Surface'!$AN$4:$AN$23,MATCH(('Adjustment Surface'!$O7),'Adjustment Surface'!$AN$4:$AN$23,1)),$AN$4:$AN$23,0),MATCH(INDEX('Adjustment Surface'!$AO$3:$BH$3,1,MATCH(('Adjustment Surface'!AH$3),'Adjustment Surface'!$AO$3:$BH$3,1)+IF('Adjustment Surface'!AI$3="",-1,1)),$AO$3:$BH$3,0))*(INDEX('Adjustment Surface'!$AN$4:$AN$23,MATCH(('Adjustment Surface'!$O7),'Adjustment Surface'!$AN$4:$AN$23,1)+IF('Adjustment Surface'!$O8="",-1,1))-'Adjustment Surface'!$O7)*('Adjustment Surface'!AH$3-INDEX('Adjustment Surface'!$AO$3:$BH$3,1,MATCH(('Adjustment Surface'!AH$3),'Adjustment Surface'!$AO$3:$BH$3,1)))+INDEX($AO$4:$BH$23,MATCH(INDEX('Adjustment Surface'!$AN$4:$AN$23,MATCH(('Adjustment Surface'!$O7),'Adjustment Surface'!$AN$4:$AN$23,1)+IF('Adjustment Surface'!$O8="",-1,1)),$AN$4:$AN$23,0),MATCH(INDEX('Adjustment Surface'!$AO$3:$BH$3,1,MATCH(('Adjustment Surface'!AH$3),'Adjustment Surface'!$AO$3:$BH$3,1)+IF('Adjustment Surface'!AI$3="",-1,1)),$AO$3:$BH$3,0))*('Adjustment Surface'!$O7-INDEX('Adjustment Surface'!$AN$4:$AN$23,MATCH(('Adjustment Surface'!$O7),'Adjustment Surface'!$AN$4:$AN$23,1)))*('Adjustment Surface'!AH$3-INDEX('Adjustment Surface'!$AO$3:$BH$3,1,MATCH(('Adjustment Surface'!AH$3),'Adjustment Surface'!$AO$3:$BH$3,1)))))</f>
        <v/>
      </c>
      <c r="AI7" s="182" t="str" cm="1">
        <f t="array" ref="AI7">IF(OR(AI$3="",$O7=""),"",1/((INDEX('Adjustment Surface'!$AN$4:$AN$23,MATCH(('Adjustment Surface'!$O7),'Adjustment Surface'!$AN$4:$AN$23,1)+IF('Adjustment Surface'!$O8="",-1,1))-INDEX('Adjustment Surface'!$AN$4:$AN$23,MATCH(('Adjustment Surface'!$O7),'Adjustment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Surface'!$O7),'Adjustment Surface'!$AN$4:$AN$23,1)),$AN$4:$AN$23,0),MATCH(INDEX('Adjustment Surface'!$AO$3:$BH$3,1,MATCH(('Adjustment Surface'!AI$3),'Adjustment Surface'!$AO$3:$BH$3,1)),$AO$3:$BH$3,0))*(INDEX('Adjustment Surface'!$AN$4:$AN$23,MATCH(('Adjustment Surface'!$O7),'Adjustment Surface'!$AN$4:$AN$23,1)+IF('Adjustment Surface'!$O8="",-1,1))-'Adjustment Surface'!$O7)*(INDEX('Adjustment Surface'!$AO$3:$BH$3,1,MATCH(('Adjustment Surface'!AI$3),'Adjustment Surface'!$AO$3:$BH$3,1)+IF('Adjustment Surface'!AJ$3="",-1,1))-'Adjustment Surface'!AI$3)+INDEX($AO$4:$BH$23,MATCH(INDEX('Adjustment Surface'!$AN$4:$AN$23,MATCH(('Adjustment Surface'!$O7),'Adjustment Surface'!$AN$4:$AN$23,1)+IF('Adjustment Surface'!$O8="",-1,1)),$AN$4:$AN$23,0),MATCH(INDEX('Adjustment Surface'!$AO$3:$BH$3,1,MATCH(('Adjustment Surface'!AI$3),'Adjustment Surface'!$AO$3:$BH$3,1)),$AO$3:$BH$3,0))*('Adjustment Surface'!$O7-INDEX('Adjustment Surface'!$AN$4:$AN$23,MATCH(('Adjustment Surface'!$O7),'Adjustment Surface'!$AN$4:$AN$23,1)))*(INDEX('Adjustment Surface'!$AO$3:$BH$3,1,MATCH(('Adjustment Surface'!AI$3),'Adjustment Surface'!$AO$3:$BH$3,1)+IF('Adjustment Surface'!AJ$3="",-1,1))-'Adjustment Surface'!AI$3)+INDEX($AO$4:$BH$23,MATCH(INDEX('Adjustment Surface'!$AN$4:$AN$23,MATCH(('Adjustment Surface'!$O7),'Adjustment Surface'!$AN$4:$AN$23,1)),$AN$4:$AN$23,0),MATCH(INDEX('Adjustment Surface'!$AO$3:$BH$3,1,MATCH(('Adjustment Surface'!AI$3),'Adjustment Surface'!$AO$3:$BH$3,1)+IF('Adjustment Surface'!AJ$3="",-1,1)),$AO$3:$BH$3,0))*(INDEX('Adjustment Surface'!$AN$4:$AN$23,MATCH(('Adjustment Surface'!$O7),'Adjustment Surface'!$AN$4:$AN$23,1)+IF('Adjustment Surface'!$O8="",-1,1))-'Adjustment Surface'!$O7)*('Adjustment Surface'!AI$3-INDEX('Adjustment Surface'!$AO$3:$BH$3,1,MATCH(('Adjustment Surface'!AI$3),'Adjustment Surface'!$AO$3:$BH$3,1)))+INDEX($AO$4:$BH$23,MATCH(INDEX('Adjustment Surface'!$AN$4:$AN$23,MATCH(('Adjustment Surface'!$O7),'Adjustment Surface'!$AN$4:$AN$23,1)+IF('Adjustment Surface'!$O8="",-1,1)),$AN$4:$AN$23,0),MATCH(INDEX('Adjustment Surface'!$AO$3:$BH$3,1,MATCH(('Adjustment Surface'!AI$3),'Adjustment Surface'!$AO$3:$BH$3,1)+IF('Adjustment Surface'!AJ$3="",-1,1)),$AO$3:$BH$3,0))*('Adjustment Surface'!$O7-INDEX('Adjustment Surface'!$AN$4:$AN$23,MATCH(('Adjustment Surface'!$O7),'Adjustment Surface'!$AN$4:$AN$23,1)))*('Adjustment Surface'!AI$3-INDEX('Adjustment Surface'!$AO$3:$BH$3,1,MATCH(('Adjustment Surface'!AI$3),'Adjustment Surface'!$AO$3:$BH$3,1)))))</f>
        <v/>
      </c>
      <c r="AK7" s="203">
        <f>IF(OR(AK6=IF('Adjustment Surface'!$C$2='Data Validation'!$A$2,_xlfn.FLOOR.MATH(MAX('Bank Adjustments'!$C$4:$C$103),0.5%,2),IF('Adjustment Surface'!$C$2='Data Validation'!$A$3,_xlfn.FLOOR.MATH(MAX('Bank Adjustments'!$M$4:$M$103),0.5%,2),"Uknown Option Type")),AK6=""),"",AK6+0.5%)</f>
        <v>3.5000000000000003E-2</v>
      </c>
      <c r="AL7" s="204">
        <f>IF(OR(AL6=IF('Adjustment Surface'!$C$2='Data Validation'!$A$2,IF(EDATE('Rate &amp; Vol Update'!$C$2,_xlfn.FLOOR.MATH(DATEDIF('Rate &amp; Vol Update'!$C$2,MAX('Bank Adjustments'!$E$4:$E$103),"M"),3,2))&gt;MAX('Bank Adjustments'!$E$4:$E$103),EDATE('Rate &amp; Vol Update'!$C$2,_xlfn.FLOOR.MATH(DATEDIF('Rate &amp; Vol Update'!$C$2,MAX('Bank Adjustments'!$E$4:$E$103),"M")-3,3,2)),EDATE('Rate &amp; Vol Update'!$C$2,_xlfn.FLOOR.MATH(DATEDIF('Rate &amp; Vol Update'!$C$2,MAX('Bank Adjustments'!$E$4:$E$103),"M"),3,2))),IF('Adjustment Surface'!$C$2='Data Validation'!$A$3,IF(EDATE('Rate &amp; Vol Update'!$C$2,_xlfn.FLOOR.MATH(DATEDIF('Rate &amp; Vol Update'!$C$2,MAX('Bank Adjustments'!$O$4:$O$103),"M"),3,2))&gt;MAX('Bank Adjustments'!$O$4:$O$103),EDATE('Rate &amp; Vol Update'!$C$2,_xlfn.FLOOR.MATH(DATEDIF('Rate &amp; Vol Update'!$C$2,MAX('Bank Adjustments'!$O$4:$O$103),"M")-3,3,2)),EDATE('Rate &amp; Vol Update'!$C$2,_xlfn.FLOOR.MATH(DATEDIF('Rate &amp; Vol Update'!$C$2,MAX('Bank Adjustments'!$O$4:$O$103),"M"),3,2))),"Unkown Option Type")),AL6=""),"",EDATE(AL6,3))</f>
        <v>46702</v>
      </c>
      <c r="AN7" s="176">
        <v>0.05</v>
      </c>
      <c r="AO7" s="180" cm="1">
        <f t="array" ref="AO7">IF(OR(AO$3="",$AN7=""),"",INDEX(IF($C$2='Data Validation'!$A$2,'Bank Adjustments'!$H$4:$H$103,IF('Adjustment Surface'!$C$2='Data Validation'!$A$3,'Bank Adjustments'!$R$4:$R$103,"Unknown Option Type")),MATCH(1,($AN7=IF($C$2='Data Validation'!$A$2,'Bank Adjustments'!$C$4:$C$103,IF('Adjustment Surface'!$C$2='Data Validation'!$A$3,'Bank Adjustments'!$M$4:$M$103,"Unknown Option Type")))*(AO$3=IF($C$2='Data Validation'!$A$2,'Bank Adjustments'!$E$4:$E$103,IF('Adjustment Surface'!$C$2='Data Validation'!$A$3,'Bank Adjustments'!$O$4:$O$103,"Unknown Option Type"))),0)))</f>
        <v>216.44095319229098</v>
      </c>
      <c r="AP7" s="181" cm="1">
        <f t="array" ref="AP7">IF(OR(AP$3="",$AN7=""),"",INDEX(IF($C$2='Data Validation'!$A$2,'Bank Adjustments'!$H$4:$H$103,IF('Adjustment Surface'!$C$2='Data Validation'!$A$3,'Bank Adjustments'!$R$4:$R$103,"Unknown Option Type")),MATCH(1,($AN7=IF($C$2='Data Validation'!$A$2,'Bank Adjustments'!$C$4:$C$103,IF('Adjustment Surface'!$C$2='Data Validation'!$A$3,'Bank Adjustments'!$M$4:$M$103,"Unknown Option Type")))*(AP$3=IF($C$2='Data Validation'!$A$2,'Bank Adjustments'!$E$4:$E$103,IF('Adjustment Surface'!$C$2='Data Validation'!$A$3,'Bank Adjustments'!$O$4:$O$103,"Unknown Option Type"))),0)))</f>
        <v>17.976011931848522</v>
      </c>
      <c r="AQ7" s="181" cm="1">
        <f t="array" ref="AQ7">IF(OR(AQ$3="",$AN7=""),"",INDEX(IF($C$2='Data Validation'!$A$2,'Bank Adjustments'!$H$4:$H$103,IF('Adjustment Surface'!$C$2='Data Validation'!$A$3,'Bank Adjustments'!$R$4:$R$103,"Unknown Option Type")),MATCH(1,($AN7=IF($C$2='Data Validation'!$A$2,'Bank Adjustments'!$C$4:$C$103,IF('Adjustment Surface'!$C$2='Data Validation'!$A$3,'Bank Adjustments'!$M$4:$M$103,"Unknown Option Type")))*(AQ$3=IF($C$2='Data Validation'!$A$2,'Bank Adjustments'!$E$4:$E$103,IF('Adjustment Surface'!$C$2='Data Validation'!$A$3,'Bank Adjustments'!$O$4:$O$103,"Unknown Option Type"))),0)))</f>
        <v>13.459890454986429</v>
      </c>
      <c r="AR7" s="181" t="str" cm="1">
        <f t="array" ref="AR7">IF(OR(AR$3="",$AN7=""),"",INDEX(IF($C$2='Data Validation'!$A$2,'Bank Adjustments'!$H$4:$H$103,IF('Adjustment Surface'!$C$2='Data Validation'!$A$3,'Bank Adjustments'!$R$4:$R$103,"Unknown Option Type")),MATCH(1,($AN7=IF($C$2='Data Validation'!$A$2,'Bank Adjustments'!$C$4:$C$103,IF('Adjustment Surface'!$C$2='Data Validation'!$A$3,'Bank Adjustments'!$M$4:$M$103,"Unknown Option Type")))*(AR$3=IF($C$2='Data Validation'!$A$2,'Bank Adjustments'!$E$4:$E$103,IF('Adjustment Surface'!$C$2='Data Validation'!$A$3,'Bank Adjustments'!$O$4:$O$103,"Unknown Option Type"))),0)))</f>
        <v/>
      </c>
      <c r="AS7" s="181" t="str" cm="1">
        <f t="array" ref="AS7">IF(OR(AS$3="",$AN7=""),"",INDEX(IF($C$2='Data Validation'!$A$2,'Bank Adjustments'!$H$4:$H$103,IF('Adjustment Surface'!$C$2='Data Validation'!$A$3,'Bank Adjustments'!$R$4:$R$103,"Unknown Option Type")),MATCH(1,($AN7=IF($C$2='Data Validation'!$A$2,'Bank Adjustments'!$C$4:$C$103,IF('Adjustment Surface'!$C$2='Data Validation'!$A$3,'Bank Adjustments'!$M$4:$M$103,"Unknown Option Type")))*(AS$3=IF($C$2='Data Validation'!$A$2,'Bank Adjustments'!$E$4:$E$103,IF('Adjustment Surface'!$C$2='Data Validation'!$A$3,'Bank Adjustments'!$O$4:$O$103,"Unknown Option Type"))),0)))</f>
        <v/>
      </c>
      <c r="AT7" s="181" t="str" cm="1">
        <f t="array" ref="AT7">IF(OR(AT$3="",$AN7=""),"",INDEX(IF($C$2='Data Validation'!$A$2,'Bank Adjustments'!$H$4:$H$103,IF('Adjustment Surface'!$C$2='Data Validation'!$A$3,'Bank Adjustments'!$R$4:$R$103,"Unknown Option Type")),MATCH(1,($AN7=IF($C$2='Data Validation'!$A$2,'Bank Adjustments'!$C$4:$C$103,IF('Adjustment Surface'!$C$2='Data Validation'!$A$3,'Bank Adjustments'!$M$4:$M$103,"Unknown Option Type")))*(AT$3=IF($C$2='Data Validation'!$A$2,'Bank Adjustments'!$E$4:$E$103,IF('Adjustment Surface'!$C$2='Data Validation'!$A$3,'Bank Adjustments'!$O$4:$O$103,"Unknown Option Type"))),0)))</f>
        <v/>
      </c>
      <c r="AU7" s="181" t="str" cm="1">
        <f t="array" ref="AU7">IF(OR(AU$3="",$AN7=""),"",INDEX(IF($C$2='Data Validation'!$A$2,'Bank Adjustments'!$H$4:$H$103,IF('Adjustment Surface'!$C$2='Data Validation'!$A$3,'Bank Adjustments'!$R$4:$R$103,"Unknown Option Type")),MATCH(1,($AN7=IF($C$2='Data Validation'!$A$2,'Bank Adjustments'!$C$4:$C$103,IF('Adjustment Surface'!$C$2='Data Validation'!$A$3,'Bank Adjustments'!$M$4:$M$103,"Unknown Option Type")))*(AU$3=IF($C$2='Data Validation'!$A$2,'Bank Adjustments'!$E$4:$E$103,IF('Adjustment Surface'!$C$2='Data Validation'!$A$3,'Bank Adjustments'!$O$4:$O$103,"Unknown Option Type"))),0)))</f>
        <v/>
      </c>
      <c r="AV7" s="181" t="str" cm="1">
        <f t="array" ref="AV7">IF(OR(AV$3="",$AN7=""),"",INDEX(IF($C$2='Data Validation'!$A$2,'Bank Adjustments'!$H$4:$H$103,IF('Adjustment Surface'!$C$2='Data Validation'!$A$3,'Bank Adjustments'!$R$4:$R$103,"Unknown Option Type")),MATCH(1,($AN7=IF($C$2='Data Validation'!$A$2,'Bank Adjustments'!$C$4:$C$103,IF('Adjustment Surface'!$C$2='Data Validation'!$A$3,'Bank Adjustments'!$M$4:$M$103,"Unknown Option Type")))*(AV$3=IF($C$2='Data Validation'!$A$2,'Bank Adjustments'!$E$4:$E$103,IF('Adjustment Surface'!$C$2='Data Validation'!$A$3,'Bank Adjustments'!$O$4:$O$103,"Unknown Option Type"))),0)))</f>
        <v/>
      </c>
      <c r="AW7" s="181" t="str" cm="1">
        <f t="array" ref="AW7">IF(OR(AW$3="",$AN7=""),"",INDEX(IF($C$2='Data Validation'!$A$2,'Bank Adjustments'!$H$4:$H$103,IF('Adjustment Surface'!$C$2='Data Validation'!$A$3,'Bank Adjustments'!$R$4:$R$103,"Unknown Option Type")),MATCH(1,($AN7=IF($C$2='Data Validation'!$A$2,'Bank Adjustments'!$C$4:$C$103,IF('Adjustment Surface'!$C$2='Data Validation'!$A$3,'Bank Adjustments'!$M$4:$M$103,"Unknown Option Type")))*(AW$3=IF($C$2='Data Validation'!$A$2,'Bank Adjustments'!$E$4:$E$103,IF('Adjustment Surface'!$C$2='Data Validation'!$A$3,'Bank Adjustments'!$O$4:$O$103,"Unknown Option Type"))),0)))</f>
        <v/>
      </c>
      <c r="AX7" s="181" t="str" cm="1">
        <f t="array" ref="AX7">IF(OR(AX$3="",$AN7=""),"",INDEX(IF($C$2='Data Validation'!$A$2,'Bank Adjustments'!$H$4:$H$103,IF('Adjustment Surface'!$C$2='Data Validation'!$A$3,'Bank Adjustments'!$R$4:$R$103,"Unknown Option Type")),MATCH(1,($AN7=IF($C$2='Data Validation'!$A$2,'Bank Adjustments'!$C$4:$C$103,IF('Adjustment Surface'!$C$2='Data Validation'!$A$3,'Bank Adjustments'!$M$4:$M$103,"Unknown Option Type")))*(AX$3=IF($C$2='Data Validation'!$A$2,'Bank Adjustments'!$E$4:$E$103,IF('Adjustment Surface'!$C$2='Data Validation'!$A$3,'Bank Adjustments'!$O$4:$O$103,"Unknown Option Type"))),0)))</f>
        <v/>
      </c>
      <c r="AY7" s="181" t="str" cm="1">
        <f t="array" ref="AY7">IF(OR(AY$3="",$AN7=""),"",INDEX(IF($C$2='Data Validation'!$A$2,'Bank Adjustments'!$H$4:$H$103,IF('Adjustment Surface'!$C$2='Data Validation'!$A$3,'Bank Adjustments'!$R$4:$R$103,"Unknown Option Type")),MATCH(1,($AN7=IF($C$2='Data Validation'!$A$2,'Bank Adjustments'!$C$4:$C$103,IF('Adjustment Surface'!$C$2='Data Validation'!$A$3,'Bank Adjustments'!$M$4:$M$103,"Unknown Option Type")))*(AY$3=IF($C$2='Data Validation'!$A$2,'Bank Adjustments'!$E$4:$E$103,IF('Adjustment Surface'!$C$2='Data Validation'!$A$3,'Bank Adjustments'!$O$4:$O$103,"Unknown Option Type"))),0)))</f>
        <v/>
      </c>
      <c r="AZ7" s="181" t="str" cm="1">
        <f t="array" ref="AZ7">IF(OR(AZ$3="",$AN7=""),"",INDEX(IF($C$2='Data Validation'!$A$2,'Bank Adjustments'!$H$4:$H$103,IF('Adjustment Surface'!$C$2='Data Validation'!$A$3,'Bank Adjustments'!$R$4:$R$103,"Unknown Option Type")),MATCH(1,($AN7=IF($C$2='Data Validation'!$A$2,'Bank Adjustments'!$C$4:$C$103,IF('Adjustment Surface'!$C$2='Data Validation'!$A$3,'Bank Adjustments'!$M$4:$M$103,"Unknown Option Type")))*(AZ$3=IF($C$2='Data Validation'!$A$2,'Bank Adjustments'!$E$4:$E$103,IF('Adjustment Surface'!$C$2='Data Validation'!$A$3,'Bank Adjustments'!$O$4:$O$103,"Unknown Option Type"))),0)))</f>
        <v/>
      </c>
      <c r="BA7" s="181" t="str" cm="1">
        <f t="array" ref="BA7">IF(OR(BA$3="",$AN7=""),"",INDEX(IF($C$2='Data Validation'!$A$2,'Bank Adjustments'!$H$4:$H$103,IF('Adjustment Surface'!$C$2='Data Validation'!$A$3,'Bank Adjustments'!$R$4:$R$103,"Unknown Option Type")),MATCH(1,($AN7=IF($C$2='Data Validation'!$A$2,'Bank Adjustments'!$C$4:$C$103,IF('Adjustment Surface'!$C$2='Data Validation'!$A$3,'Bank Adjustments'!$M$4:$M$103,"Unknown Option Type")))*(BA$3=IF($C$2='Data Validation'!$A$2,'Bank Adjustments'!$E$4:$E$103,IF('Adjustment Surface'!$C$2='Data Validation'!$A$3,'Bank Adjustments'!$O$4:$O$103,"Unknown Option Type"))),0)))</f>
        <v/>
      </c>
      <c r="BB7" s="181" t="str" cm="1">
        <f t="array" ref="BB7">IF(OR(BB$3="",$AN7=""),"",INDEX(IF($C$2='Data Validation'!$A$2,'Bank Adjustments'!$H$4:$H$103,IF('Adjustment Surface'!$C$2='Data Validation'!$A$3,'Bank Adjustments'!$R$4:$R$103,"Unknown Option Type")),MATCH(1,($AN7=IF($C$2='Data Validation'!$A$2,'Bank Adjustments'!$C$4:$C$103,IF('Adjustment Surface'!$C$2='Data Validation'!$A$3,'Bank Adjustments'!$M$4:$M$103,"Unknown Option Type")))*(BB$3=IF($C$2='Data Validation'!$A$2,'Bank Adjustments'!$E$4:$E$103,IF('Adjustment Surface'!$C$2='Data Validation'!$A$3,'Bank Adjustments'!$O$4:$O$103,"Unknown Option Type"))),0)))</f>
        <v/>
      </c>
      <c r="BC7" s="181" t="str" cm="1">
        <f t="array" ref="BC7">IF(OR(BC$3="",$AN7=""),"",INDEX(IF($C$2='Data Validation'!$A$2,'Bank Adjustments'!$H$4:$H$103,IF('Adjustment Surface'!$C$2='Data Validation'!$A$3,'Bank Adjustments'!$R$4:$R$103,"Unknown Option Type")),MATCH(1,($AN7=IF($C$2='Data Validation'!$A$2,'Bank Adjustments'!$C$4:$C$103,IF('Adjustment Surface'!$C$2='Data Validation'!$A$3,'Bank Adjustments'!$M$4:$M$103,"Unknown Option Type")))*(BC$3=IF($C$2='Data Validation'!$A$2,'Bank Adjustments'!$E$4:$E$103,IF('Adjustment Surface'!$C$2='Data Validation'!$A$3,'Bank Adjustments'!$O$4:$O$103,"Unknown Option Type"))),0)))</f>
        <v/>
      </c>
      <c r="BD7" s="181" t="str" cm="1">
        <f t="array" ref="BD7">IF(OR(BD$3="",$AN7=""),"",INDEX(IF($C$2='Data Validation'!$A$2,'Bank Adjustments'!$H$4:$H$103,IF('Adjustment Surface'!$C$2='Data Validation'!$A$3,'Bank Adjustments'!$R$4:$R$103,"Unknown Option Type")),MATCH(1,($AN7=IF($C$2='Data Validation'!$A$2,'Bank Adjustments'!$C$4:$C$103,IF('Adjustment Surface'!$C$2='Data Validation'!$A$3,'Bank Adjustments'!$M$4:$M$103,"Unknown Option Type")))*(BD$3=IF($C$2='Data Validation'!$A$2,'Bank Adjustments'!$E$4:$E$103,IF('Adjustment Surface'!$C$2='Data Validation'!$A$3,'Bank Adjustments'!$O$4:$O$103,"Unknown Option Type"))),0)))</f>
        <v/>
      </c>
      <c r="BE7" s="181" t="str" cm="1">
        <f t="array" ref="BE7">IF(OR(BE$3="",$AN7=""),"",INDEX(IF($C$2='Data Validation'!$A$2,'Bank Adjustments'!$H$4:$H$103,IF('Adjustment Surface'!$C$2='Data Validation'!$A$3,'Bank Adjustments'!$R$4:$R$103,"Unknown Option Type")),MATCH(1,($AN7=IF($C$2='Data Validation'!$A$2,'Bank Adjustments'!$C$4:$C$103,IF('Adjustment Surface'!$C$2='Data Validation'!$A$3,'Bank Adjustments'!$M$4:$M$103,"Unknown Option Type")))*(BE$3=IF($C$2='Data Validation'!$A$2,'Bank Adjustments'!$E$4:$E$103,IF('Adjustment Surface'!$C$2='Data Validation'!$A$3,'Bank Adjustments'!$O$4:$O$103,"Unknown Option Type"))),0)))</f>
        <v/>
      </c>
      <c r="BF7" s="181" t="str" cm="1">
        <f t="array" ref="BF7">IF(OR(BF$3="",$AN7=""),"",INDEX(IF($C$2='Data Validation'!$A$2,'Bank Adjustments'!$H$4:$H$103,IF('Adjustment Surface'!$C$2='Data Validation'!$A$3,'Bank Adjustments'!$R$4:$R$103,"Unknown Option Type")),MATCH(1,($AN7=IF($C$2='Data Validation'!$A$2,'Bank Adjustments'!$C$4:$C$103,IF('Adjustment Surface'!$C$2='Data Validation'!$A$3,'Bank Adjustments'!$M$4:$M$103,"Unknown Option Type")))*(BF$3=IF($C$2='Data Validation'!$A$2,'Bank Adjustments'!$E$4:$E$103,IF('Adjustment Surface'!$C$2='Data Validation'!$A$3,'Bank Adjustments'!$O$4:$O$103,"Unknown Option Type"))),0)))</f>
        <v/>
      </c>
      <c r="BG7" s="181" t="str" cm="1">
        <f t="array" ref="BG7">IF(OR(BG$3="",$AN7=""),"",INDEX(IF($C$2='Data Validation'!$A$2,'Bank Adjustments'!$H$4:$H$103,IF('Adjustment Surface'!$C$2='Data Validation'!$A$3,'Bank Adjustments'!$R$4:$R$103,"Unknown Option Type")),MATCH(1,($AN7=IF($C$2='Data Validation'!$A$2,'Bank Adjustments'!$C$4:$C$103,IF('Adjustment Surface'!$C$2='Data Validation'!$A$3,'Bank Adjustments'!$M$4:$M$103,"Unknown Option Type")))*(BG$3=IF($C$2='Data Validation'!$A$2,'Bank Adjustments'!$E$4:$E$103,IF('Adjustment Surface'!$C$2='Data Validation'!$A$3,'Bank Adjustments'!$O$4:$O$103,"Unknown Option Type"))),0)))</f>
        <v/>
      </c>
      <c r="BH7" s="182" t="str" cm="1">
        <f t="array" ref="BH7">IF(OR(BH$3="",$AN7=""),"",INDEX(IF($C$2='Data Validation'!$A$2,'Bank Adjustments'!$H$4:$H$103,IF('Adjustment Surface'!$C$2='Data Validation'!$A$3,'Bank Adjustments'!$R$4:$R$103,"Unknown Option Type")),MATCH(1,($AN7=IF($C$2='Data Validation'!$A$2,'Bank Adjustments'!$C$4:$C$103,IF('Adjustment Surface'!$C$2='Data Validation'!$A$3,'Bank Adjustments'!$M$4:$M$103,"Unknown Option Type")))*(BH$3=IF($C$2='Data Validation'!$A$2,'Bank Adjustments'!$E$4:$E$103,IF('Adjustment Surface'!$C$2='Data Validation'!$A$3,'Bank Adjustments'!$O$4:$O$103,"Unknown Option Type"))),0)))</f>
        <v/>
      </c>
    </row>
    <row r="8" spans="2:61" x14ac:dyDescent="0.25">
      <c r="B8" s="6" t="s">
        <v>22</v>
      </c>
      <c r="C8" s="71">
        <f>IF('Control Panel'!C3='Data Validation'!J2,#REF!,'Cap and Floor Pricer'!D23)</f>
        <v>47160</v>
      </c>
      <c r="H8" s="171">
        <v>46794</v>
      </c>
      <c r="I8" s="61">
        <f t="shared" si="1"/>
        <v>366</v>
      </c>
      <c r="J8" s="212">
        <f t="shared" si="1"/>
        <v>365</v>
      </c>
      <c r="K8" s="212">
        <f t="shared" si="1"/>
        <v>0</v>
      </c>
      <c r="L8" s="212">
        <f t="shared" si="1"/>
        <v>366</v>
      </c>
      <c r="M8" s="63">
        <f t="shared" si="1"/>
        <v>731</v>
      </c>
      <c r="O8" s="176">
        <v>0.04</v>
      </c>
      <c r="P8" s="180" cm="1">
        <f t="array" ref="P8">IF(OR(P$3="",$O8=""),"",1/((INDEX('Adjustment Surface'!$AN$4:$AN$23,MATCH(('Adjustment Surface'!$O8),'Adjustment Surface'!$AN$4:$AN$23,1)+IF('Adjustment Surface'!$O9="",-1,1))-INDEX('Adjustment Surface'!$AN$4:$AN$23,MATCH(('Adjustment Surface'!$O8),'Adjustment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Surface'!$O8),'Adjustment Surface'!$AN$4:$AN$23,1)),$AN$4:$AN$23,0),MATCH(INDEX('Adjustment Surface'!$AO$3:$BH$3,1,MATCH(('Adjustment Surface'!P$3),'Adjustment Surface'!$AO$3:$BH$3,1)),$AO$3:$BH$3,0))*(INDEX('Adjustment Surface'!$AN$4:$AN$23,MATCH(('Adjustment Surface'!$O8),'Adjustment Surface'!$AN$4:$AN$23,1)+IF('Adjustment Surface'!$O9="",-1,1))-'Adjustment Surface'!$O8)*(INDEX('Adjustment Surface'!$AO$3:$BH$3,1,MATCH(('Adjustment Surface'!P$3),'Adjustment Surface'!$AO$3:$BH$3,1)+IF('Adjustment Surface'!Q$3="",-1,1))-'Adjustment Surface'!P$3)+INDEX($AO$4:$BH$23,MATCH(INDEX('Adjustment Surface'!$AN$4:$AN$23,MATCH(('Adjustment Surface'!$O8),'Adjustment Surface'!$AN$4:$AN$23,1)+IF('Adjustment Surface'!$O9="",-1,1)),$AN$4:$AN$23,0),MATCH(INDEX('Adjustment Surface'!$AO$3:$BH$3,1,MATCH(('Adjustment Surface'!P$3),'Adjustment Surface'!$AO$3:$BH$3,1)),$AO$3:$BH$3,0))*('Adjustment Surface'!$O8-INDEX('Adjustment Surface'!$AN$4:$AN$23,MATCH(('Adjustment Surface'!$O8),'Adjustment Surface'!$AN$4:$AN$23,1)))*(INDEX('Adjustment Surface'!$AO$3:$BH$3,1,MATCH(('Adjustment Surface'!P$3),'Adjustment Surface'!$AO$3:$BH$3,1)+IF('Adjustment Surface'!Q$3="",-1,1))-'Adjustment Surface'!P$3)+INDEX($AO$4:$BH$23,MATCH(INDEX('Adjustment Surface'!$AN$4:$AN$23,MATCH(('Adjustment Surface'!$O8),'Adjustment Surface'!$AN$4:$AN$23,1)),$AN$4:$AN$23,0),MATCH(INDEX('Adjustment Surface'!$AO$3:$BH$3,1,MATCH(('Adjustment Surface'!P$3),'Adjustment Surface'!$AO$3:$BH$3,1)+IF('Adjustment Surface'!Q$3="",-1,1)),$AO$3:$BH$3,0))*(INDEX('Adjustment Surface'!$AN$4:$AN$23,MATCH(('Adjustment Surface'!$O8),'Adjustment Surface'!$AN$4:$AN$23,1)+IF('Adjustment Surface'!$O9="",-1,1))-'Adjustment Surface'!$O8)*('Adjustment Surface'!P$3-INDEX('Adjustment Surface'!$AO$3:$BH$3,1,MATCH(('Adjustment Surface'!P$3),'Adjustment Surface'!$AO$3:$BH$3,1)))+INDEX($AO$4:$BH$23,MATCH(INDEX('Adjustment Surface'!$AN$4:$AN$23,MATCH(('Adjustment Surface'!$O8),'Adjustment Surface'!$AN$4:$AN$23,1)+IF('Adjustment Surface'!$O9="",-1,1)),$AN$4:$AN$23,0),MATCH(INDEX('Adjustment Surface'!$AO$3:$BH$3,1,MATCH(('Adjustment Surface'!P$3),'Adjustment Surface'!$AO$3:$BH$3,1)+IF('Adjustment Surface'!Q$3="",-1,1)),$AO$3:$BH$3,0))*('Adjustment Surface'!$O8-INDEX('Adjustment Surface'!$AN$4:$AN$23,MATCH(('Adjustment Surface'!$O8),'Adjustment Surface'!$AN$4:$AN$23,1)))*('Adjustment Surface'!P$3-INDEX('Adjustment Surface'!$AO$3:$BH$3,1,MATCH(('Adjustment Surface'!P$3),'Adjustment Surface'!$AO$3:$BH$3,1)))))</f>
        <v>27.855189705711929</v>
      </c>
      <c r="Q8" s="181" cm="1">
        <f t="array" ref="Q8">IF(OR(Q$3="",$O8=""),"",1/((INDEX('Adjustment Surface'!$AN$4:$AN$23,MATCH(('Adjustment Surface'!$O8),'Adjustment Surface'!$AN$4:$AN$23,1)+IF('Adjustment Surface'!$O9="",-1,1))-INDEX('Adjustment Surface'!$AN$4:$AN$23,MATCH(('Adjustment Surface'!$O8),'Adjustment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Surface'!$O8),'Adjustment Surface'!$AN$4:$AN$23,1)),$AN$4:$AN$23,0),MATCH(INDEX('Adjustment Surface'!$AO$3:$BH$3,1,MATCH(('Adjustment Surface'!Q$3),'Adjustment Surface'!$AO$3:$BH$3,1)),$AO$3:$BH$3,0))*(INDEX('Adjustment Surface'!$AN$4:$AN$23,MATCH(('Adjustment Surface'!$O8),'Adjustment Surface'!$AN$4:$AN$23,1)+IF('Adjustment Surface'!$O9="",-1,1))-'Adjustment Surface'!$O8)*(INDEX('Adjustment Surface'!$AO$3:$BH$3,1,MATCH(('Adjustment Surface'!Q$3),'Adjustment Surface'!$AO$3:$BH$3,1)+IF('Adjustment Surface'!R$3="",-1,1))-'Adjustment Surface'!Q$3)+INDEX($AO$4:$BH$23,MATCH(INDEX('Adjustment Surface'!$AN$4:$AN$23,MATCH(('Adjustment Surface'!$O8),'Adjustment Surface'!$AN$4:$AN$23,1)+IF('Adjustment Surface'!$O9="",-1,1)),$AN$4:$AN$23,0),MATCH(INDEX('Adjustment Surface'!$AO$3:$BH$3,1,MATCH(('Adjustment Surface'!Q$3),'Adjustment Surface'!$AO$3:$BH$3,1)),$AO$3:$BH$3,0))*('Adjustment Surface'!$O8-INDEX('Adjustment Surface'!$AN$4:$AN$23,MATCH(('Adjustment Surface'!$O8),'Adjustment Surface'!$AN$4:$AN$23,1)))*(INDEX('Adjustment Surface'!$AO$3:$BH$3,1,MATCH(('Adjustment Surface'!Q$3),'Adjustment Surface'!$AO$3:$BH$3,1)+IF('Adjustment Surface'!R$3="",-1,1))-'Adjustment Surface'!Q$3)+INDEX($AO$4:$BH$23,MATCH(INDEX('Adjustment Surface'!$AN$4:$AN$23,MATCH(('Adjustment Surface'!$O8),'Adjustment Surface'!$AN$4:$AN$23,1)),$AN$4:$AN$23,0),MATCH(INDEX('Adjustment Surface'!$AO$3:$BH$3,1,MATCH(('Adjustment Surface'!Q$3),'Adjustment Surface'!$AO$3:$BH$3,1)+IF('Adjustment Surface'!R$3="",-1,1)),$AO$3:$BH$3,0))*(INDEX('Adjustment Surface'!$AN$4:$AN$23,MATCH(('Adjustment Surface'!$O8),'Adjustment Surface'!$AN$4:$AN$23,1)+IF('Adjustment Surface'!$O9="",-1,1))-'Adjustment Surface'!$O8)*('Adjustment Surface'!Q$3-INDEX('Adjustment Surface'!$AO$3:$BH$3,1,MATCH(('Adjustment Surface'!Q$3),'Adjustment Surface'!$AO$3:$BH$3,1)))+INDEX($AO$4:$BH$23,MATCH(INDEX('Adjustment Surface'!$AN$4:$AN$23,MATCH(('Adjustment Surface'!$O8),'Adjustment Surface'!$AN$4:$AN$23,1)+IF('Adjustment Surface'!$O9="",-1,1)),$AN$4:$AN$23,0),MATCH(INDEX('Adjustment Surface'!$AO$3:$BH$3,1,MATCH(('Adjustment Surface'!Q$3),'Adjustment Surface'!$AO$3:$BH$3,1)+IF('Adjustment Surface'!R$3="",-1,1)),$AO$3:$BH$3,0))*('Adjustment Surface'!$O8-INDEX('Adjustment Surface'!$AN$4:$AN$23,MATCH(('Adjustment Surface'!$O8),'Adjustment Surface'!$AN$4:$AN$23,1)))*('Adjustment Surface'!Q$3-INDEX('Adjustment Surface'!$AO$3:$BH$3,1,MATCH(('Adjustment Surface'!Q$3),'Adjustment Surface'!$AO$3:$BH$3,1)))))</f>
        <v>22.955551145282289</v>
      </c>
      <c r="R8" s="181" cm="1">
        <f t="array" ref="R8">IF(OR(R$3="",$O8=""),"",1/((INDEX('Adjustment Surface'!$AN$4:$AN$23,MATCH(('Adjustment Surface'!$O8),'Adjustment Surface'!$AN$4:$AN$23,1)+IF('Adjustment Surface'!$O9="",-1,1))-INDEX('Adjustment Surface'!$AN$4:$AN$23,MATCH(('Adjustment Surface'!$O8),'Adjustment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Surface'!$O8),'Adjustment Surface'!$AN$4:$AN$23,1)),$AN$4:$AN$23,0),MATCH(INDEX('Adjustment Surface'!$AO$3:$BH$3,1,MATCH(('Adjustment Surface'!R$3),'Adjustment Surface'!$AO$3:$BH$3,1)),$AO$3:$BH$3,0))*(INDEX('Adjustment Surface'!$AN$4:$AN$23,MATCH(('Adjustment Surface'!$O8),'Adjustment Surface'!$AN$4:$AN$23,1)+IF('Adjustment Surface'!$O9="",-1,1))-'Adjustment Surface'!$O8)*(INDEX('Adjustment Surface'!$AO$3:$BH$3,1,MATCH(('Adjustment Surface'!R$3),'Adjustment Surface'!$AO$3:$BH$3,1)+IF('Adjustment Surface'!S$3="",-1,1))-'Adjustment Surface'!R$3)+INDEX($AO$4:$BH$23,MATCH(INDEX('Adjustment Surface'!$AN$4:$AN$23,MATCH(('Adjustment Surface'!$O8),'Adjustment Surface'!$AN$4:$AN$23,1)+IF('Adjustment Surface'!$O9="",-1,1)),$AN$4:$AN$23,0),MATCH(INDEX('Adjustment Surface'!$AO$3:$BH$3,1,MATCH(('Adjustment Surface'!R$3),'Adjustment Surface'!$AO$3:$BH$3,1)),$AO$3:$BH$3,0))*('Adjustment Surface'!$O8-INDEX('Adjustment Surface'!$AN$4:$AN$23,MATCH(('Adjustment Surface'!$O8),'Adjustment Surface'!$AN$4:$AN$23,1)))*(INDEX('Adjustment Surface'!$AO$3:$BH$3,1,MATCH(('Adjustment Surface'!R$3),'Adjustment Surface'!$AO$3:$BH$3,1)+IF('Adjustment Surface'!S$3="",-1,1))-'Adjustment Surface'!R$3)+INDEX($AO$4:$BH$23,MATCH(INDEX('Adjustment Surface'!$AN$4:$AN$23,MATCH(('Adjustment Surface'!$O8),'Adjustment Surface'!$AN$4:$AN$23,1)),$AN$4:$AN$23,0),MATCH(INDEX('Adjustment Surface'!$AO$3:$BH$3,1,MATCH(('Adjustment Surface'!R$3),'Adjustment Surface'!$AO$3:$BH$3,1)+IF('Adjustment Surface'!S$3="",-1,1)),$AO$3:$BH$3,0))*(INDEX('Adjustment Surface'!$AN$4:$AN$23,MATCH(('Adjustment Surface'!$O8),'Adjustment Surface'!$AN$4:$AN$23,1)+IF('Adjustment Surface'!$O9="",-1,1))-'Adjustment Surface'!$O8)*('Adjustment Surface'!R$3-INDEX('Adjustment Surface'!$AO$3:$BH$3,1,MATCH(('Adjustment Surface'!R$3),'Adjustment Surface'!$AO$3:$BH$3,1)))+INDEX($AO$4:$BH$23,MATCH(INDEX('Adjustment Surface'!$AN$4:$AN$23,MATCH(('Adjustment Surface'!$O8),'Adjustment Surface'!$AN$4:$AN$23,1)+IF('Adjustment Surface'!$O9="",-1,1)),$AN$4:$AN$23,0),MATCH(INDEX('Adjustment Surface'!$AO$3:$BH$3,1,MATCH(('Adjustment Surface'!R$3),'Adjustment Surface'!$AO$3:$BH$3,1)+IF('Adjustment Surface'!S$3="",-1,1)),$AO$3:$BH$3,0))*('Adjustment Surface'!$O8-INDEX('Adjustment Surface'!$AN$4:$AN$23,MATCH(('Adjustment Surface'!$O8),'Adjustment Surface'!$AN$4:$AN$23,1)))*('Adjustment Surface'!R$3-INDEX('Adjustment Surface'!$AO$3:$BH$3,1,MATCH(('Adjustment Surface'!R$3),'Adjustment Surface'!$AO$3:$BH$3,1)))))</f>
        <v>17.890756228883109</v>
      </c>
      <c r="S8" s="181" cm="1">
        <f t="array" ref="S8">IF(OR(S$3="",$O8=""),"",1/((INDEX('Adjustment Surface'!$AN$4:$AN$23,MATCH(('Adjustment Surface'!$O8),'Adjustment Surface'!$AN$4:$AN$23,1)+IF('Adjustment Surface'!$O9="",-1,1))-INDEX('Adjustment Surface'!$AN$4:$AN$23,MATCH(('Adjustment Surface'!$O8),'Adjustment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Surface'!$O8),'Adjustment Surface'!$AN$4:$AN$23,1)),$AN$4:$AN$23,0),MATCH(INDEX('Adjustment Surface'!$AO$3:$BH$3,1,MATCH(('Adjustment Surface'!S$3),'Adjustment Surface'!$AO$3:$BH$3,1)),$AO$3:$BH$3,0))*(INDEX('Adjustment Surface'!$AN$4:$AN$23,MATCH(('Adjustment Surface'!$O8),'Adjustment Surface'!$AN$4:$AN$23,1)+IF('Adjustment Surface'!$O9="",-1,1))-'Adjustment Surface'!$O8)*(INDEX('Adjustment Surface'!$AO$3:$BH$3,1,MATCH(('Adjustment Surface'!S$3),'Adjustment Surface'!$AO$3:$BH$3,1)+IF('Adjustment Surface'!T$3="",-1,1))-'Adjustment Surface'!S$3)+INDEX($AO$4:$BH$23,MATCH(INDEX('Adjustment Surface'!$AN$4:$AN$23,MATCH(('Adjustment Surface'!$O8),'Adjustment Surface'!$AN$4:$AN$23,1)+IF('Adjustment Surface'!$O9="",-1,1)),$AN$4:$AN$23,0),MATCH(INDEX('Adjustment Surface'!$AO$3:$BH$3,1,MATCH(('Adjustment Surface'!S$3),'Adjustment Surface'!$AO$3:$BH$3,1)),$AO$3:$BH$3,0))*('Adjustment Surface'!$O8-INDEX('Adjustment Surface'!$AN$4:$AN$23,MATCH(('Adjustment Surface'!$O8),'Adjustment Surface'!$AN$4:$AN$23,1)))*(INDEX('Adjustment Surface'!$AO$3:$BH$3,1,MATCH(('Adjustment Surface'!S$3),'Adjustment Surface'!$AO$3:$BH$3,1)+IF('Adjustment Surface'!T$3="",-1,1))-'Adjustment Surface'!S$3)+INDEX($AO$4:$BH$23,MATCH(INDEX('Adjustment Surface'!$AN$4:$AN$23,MATCH(('Adjustment Surface'!$O8),'Adjustment Surface'!$AN$4:$AN$23,1)),$AN$4:$AN$23,0),MATCH(INDEX('Adjustment Surface'!$AO$3:$BH$3,1,MATCH(('Adjustment Surface'!S$3),'Adjustment Surface'!$AO$3:$BH$3,1)+IF('Adjustment Surface'!T$3="",-1,1)),$AO$3:$BH$3,0))*(INDEX('Adjustment Surface'!$AN$4:$AN$23,MATCH(('Adjustment Surface'!$O8),'Adjustment Surface'!$AN$4:$AN$23,1)+IF('Adjustment Surface'!$O9="",-1,1))-'Adjustment Surface'!$O8)*('Adjustment Surface'!S$3-INDEX('Adjustment Surface'!$AO$3:$BH$3,1,MATCH(('Adjustment Surface'!S$3),'Adjustment Surface'!$AO$3:$BH$3,1)))+INDEX($AO$4:$BH$23,MATCH(INDEX('Adjustment Surface'!$AN$4:$AN$23,MATCH(('Adjustment Surface'!$O8),'Adjustment Surface'!$AN$4:$AN$23,1)+IF('Adjustment Surface'!$O9="",-1,1)),$AN$4:$AN$23,0),MATCH(INDEX('Adjustment Surface'!$AO$3:$BH$3,1,MATCH(('Adjustment Surface'!S$3),'Adjustment Surface'!$AO$3:$BH$3,1)+IF('Adjustment Surface'!T$3="",-1,1)),$AO$3:$BH$3,0))*('Adjustment Surface'!$O8-INDEX('Adjustment Surface'!$AN$4:$AN$23,MATCH(('Adjustment Surface'!$O8),'Adjustment Surface'!$AN$4:$AN$23,1)))*('Adjustment Surface'!S$3-INDEX('Adjustment Surface'!$AO$3:$BH$3,1,MATCH(('Adjustment Surface'!S$3),'Adjustment Surface'!$AO$3:$BH$3,1)))))</f>
        <v>12.825961312483935</v>
      </c>
      <c r="T8" s="181" cm="1">
        <f t="array" ref="T8">IF(OR(T$3="",$O8=""),"",1/((INDEX('Adjustment Surface'!$AN$4:$AN$23,MATCH(('Adjustment Surface'!$O8),'Adjustment Surface'!$AN$4:$AN$23,1)+IF('Adjustment Surface'!$O9="",-1,1))-INDEX('Adjustment Surface'!$AN$4:$AN$23,MATCH(('Adjustment Surface'!$O8),'Adjustment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Surface'!$O8),'Adjustment Surface'!$AN$4:$AN$23,1)),$AN$4:$AN$23,0),MATCH(INDEX('Adjustment Surface'!$AO$3:$BH$3,1,MATCH(('Adjustment Surface'!T$3),'Adjustment Surface'!$AO$3:$BH$3,1)),$AO$3:$BH$3,0))*(INDEX('Adjustment Surface'!$AN$4:$AN$23,MATCH(('Adjustment Surface'!$O8),'Adjustment Surface'!$AN$4:$AN$23,1)+IF('Adjustment Surface'!$O9="",-1,1))-'Adjustment Surface'!$O8)*(INDEX('Adjustment Surface'!$AO$3:$BH$3,1,MATCH(('Adjustment Surface'!T$3),'Adjustment Surface'!$AO$3:$BH$3,1)+IF('Adjustment Surface'!U$3="",-1,1))-'Adjustment Surface'!T$3)+INDEX($AO$4:$BH$23,MATCH(INDEX('Adjustment Surface'!$AN$4:$AN$23,MATCH(('Adjustment Surface'!$O8),'Adjustment Surface'!$AN$4:$AN$23,1)+IF('Adjustment Surface'!$O9="",-1,1)),$AN$4:$AN$23,0),MATCH(INDEX('Adjustment Surface'!$AO$3:$BH$3,1,MATCH(('Adjustment Surface'!T$3),'Adjustment Surface'!$AO$3:$BH$3,1)),$AO$3:$BH$3,0))*('Adjustment Surface'!$O8-INDEX('Adjustment Surface'!$AN$4:$AN$23,MATCH(('Adjustment Surface'!$O8),'Adjustment Surface'!$AN$4:$AN$23,1)))*(INDEX('Adjustment Surface'!$AO$3:$BH$3,1,MATCH(('Adjustment Surface'!T$3),'Adjustment Surface'!$AO$3:$BH$3,1)+IF('Adjustment Surface'!U$3="",-1,1))-'Adjustment Surface'!T$3)+INDEX($AO$4:$BH$23,MATCH(INDEX('Adjustment Surface'!$AN$4:$AN$23,MATCH(('Adjustment Surface'!$O8),'Adjustment Surface'!$AN$4:$AN$23,1)),$AN$4:$AN$23,0),MATCH(INDEX('Adjustment Surface'!$AO$3:$BH$3,1,MATCH(('Adjustment Surface'!T$3),'Adjustment Surface'!$AO$3:$BH$3,1)+IF('Adjustment Surface'!U$3="",-1,1)),$AO$3:$BH$3,0))*(INDEX('Adjustment Surface'!$AN$4:$AN$23,MATCH(('Adjustment Surface'!$O8),'Adjustment Surface'!$AN$4:$AN$23,1)+IF('Adjustment Surface'!$O9="",-1,1))-'Adjustment Surface'!$O8)*('Adjustment Surface'!T$3-INDEX('Adjustment Surface'!$AO$3:$BH$3,1,MATCH(('Adjustment Surface'!T$3),'Adjustment Surface'!$AO$3:$BH$3,1)))+INDEX($AO$4:$BH$23,MATCH(INDEX('Adjustment Surface'!$AN$4:$AN$23,MATCH(('Adjustment Surface'!$O8),'Adjustment Surface'!$AN$4:$AN$23,1)+IF('Adjustment Surface'!$O9="",-1,1)),$AN$4:$AN$23,0),MATCH(INDEX('Adjustment Surface'!$AO$3:$BH$3,1,MATCH(('Adjustment Surface'!T$3),'Adjustment Surface'!$AO$3:$BH$3,1)+IF('Adjustment Surface'!U$3="",-1,1)),$AO$3:$BH$3,0))*('Adjustment Surface'!$O8-INDEX('Adjustment Surface'!$AN$4:$AN$23,MATCH(('Adjustment Surface'!$O8),'Adjustment Surface'!$AN$4:$AN$23,1)))*('Adjustment Surface'!T$3-INDEX('Adjustment Surface'!$AO$3:$BH$3,1,MATCH(('Adjustment Surface'!T$3),'Adjustment Surface'!$AO$3:$BH$3,1)))))</f>
        <v>7.7611663960847599</v>
      </c>
      <c r="U8" s="181" cm="1">
        <f t="array" ref="U8">IF(OR(U$3="",$O8=""),"",1/((INDEX('Adjustment Surface'!$AN$4:$AN$23,MATCH(('Adjustment Surface'!$O8),'Adjustment Surface'!$AN$4:$AN$23,1)+IF('Adjustment Surface'!$O9="",-1,1))-INDEX('Adjustment Surface'!$AN$4:$AN$23,MATCH(('Adjustment Surface'!$O8),'Adjustment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Surface'!$O8),'Adjustment Surface'!$AN$4:$AN$23,1)),$AN$4:$AN$23,0),MATCH(INDEX('Adjustment Surface'!$AO$3:$BH$3,1,MATCH(('Adjustment Surface'!U$3),'Adjustment Surface'!$AO$3:$BH$3,1)),$AO$3:$BH$3,0))*(INDEX('Adjustment Surface'!$AN$4:$AN$23,MATCH(('Adjustment Surface'!$O8),'Adjustment Surface'!$AN$4:$AN$23,1)+IF('Adjustment Surface'!$O9="",-1,1))-'Adjustment Surface'!$O8)*(INDEX('Adjustment Surface'!$AO$3:$BH$3,1,MATCH(('Adjustment Surface'!U$3),'Adjustment Surface'!$AO$3:$BH$3,1)+IF('Adjustment Surface'!V$3="",-1,1))-'Adjustment Surface'!U$3)+INDEX($AO$4:$BH$23,MATCH(INDEX('Adjustment Surface'!$AN$4:$AN$23,MATCH(('Adjustment Surface'!$O8),'Adjustment Surface'!$AN$4:$AN$23,1)+IF('Adjustment Surface'!$O9="",-1,1)),$AN$4:$AN$23,0),MATCH(INDEX('Adjustment Surface'!$AO$3:$BH$3,1,MATCH(('Adjustment Surface'!U$3),'Adjustment Surface'!$AO$3:$BH$3,1)),$AO$3:$BH$3,0))*('Adjustment Surface'!$O8-INDEX('Adjustment Surface'!$AN$4:$AN$23,MATCH(('Adjustment Surface'!$O8),'Adjustment Surface'!$AN$4:$AN$23,1)))*(INDEX('Adjustment Surface'!$AO$3:$BH$3,1,MATCH(('Adjustment Surface'!U$3),'Adjustment Surface'!$AO$3:$BH$3,1)+IF('Adjustment Surface'!V$3="",-1,1))-'Adjustment Surface'!U$3)+INDEX($AO$4:$BH$23,MATCH(INDEX('Adjustment Surface'!$AN$4:$AN$23,MATCH(('Adjustment Surface'!$O8),'Adjustment Surface'!$AN$4:$AN$23,1)),$AN$4:$AN$23,0),MATCH(INDEX('Adjustment Surface'!$AO$3:$BH$3,1,MATCH(('Adjustment Surface'!U$3),'Adjustment Surface'!$AO$3:$BH$3,1)+IF('Adjustment Surface'!V$3="",-1,1)),$AO$3:$BH$3,0))*(INDEX('Adjustment Surface'!$AN$4:$AN$23,MATCH(('Adjustment Surface'!$O8),'Adjustment Surface'!$AN$4:$AN$23,1)+IF('Adjustment Surface'!$O9="",-1,1))-'Adjustment Surface'!$O8)*('Adjustment Surface'!U$3-INDEX('Adjustment Surface'!$AO$3:$BH$3,1,MATCH(('Adjustment Surface'!U$3),'Adjustment Surface'!$AO$3:$BH$3,1)))+INDEX($AO$4:$BH$23,MATCH(INDEX('Adjustment Surface'!$AN$4:$AN$23,MATCH(('Adjustment Surface'!$O8),'Adjustment Surface'!$AN$4:$AN$23,1)+IF('Adjustment Surface'!$O9="",-1,1)),$AN$4:$AN$23,0),MATCH(INDEX('Adjustment Surface'!$AO$3:$BH$3,1,MATCH(('Adjustment Surface'!U$3),'Adjustment Surface'!$AO$3:$BH$3,1)+IF('Adjustment Surface'!V$3="",-1,1)),$AO$3:$BH$3,0))*('Adjustment Surface'!$O8-INDEX('Adjustment Surface'!$AN$4:$AN$23,MATCH(('Adjustment Surface'!$O8),'Adjustment Surface'!$AN$4:$AN$23,1)))*('Adjustment Surface'!U$3-INDEX('Adjustment Surface'!$AO$3:$BH$3,1,MATCH(('Adjustment Surface'!U$3),'Adjustment Surface'!$AO$3:$BH$3,1)))))</f>
        <v>7.9680855166262274</v>
      </c>
      <c r="V8" s="181" cm="1">
        <f t="array" ref="V8">IF(OR(V$3="",$O8=""),"",1/((INDEX('Adjustment Surface'!$AN$4:$AN$23,MATCH(('Adjustment Surface'!$O8),'Adjustment Surface'!$AN$4:$AN$23,1)+IF('Adjustment Surface'!$O9="",-1,1))-INDEX('Adjustment Surface'!$AN$4:$AN$23,MATCH(('Adjustment Surface'!$O8),'Adjustment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Surface'!$O8),'Adjustment Surface'!$AN$4:$AN$23,1)),$AN$4:$AN$23,0),MATCH(INDEX('Adjustment Surface'!$AO$3:$BH$3,1,MATCH(('Adjustment Surface'!V$3),'Adjustment Surface'!$AO$3:$BH$3,1)),$AO$3:$BH$3,0))*(INDEX('Adjustment Surface'!$AN$4:$AN$23,MATCH(('Adjustment Surface'!$O8),'Adjustment Surface'!$AN$4:$AN$23,1)+IF('Adjustment Surface'!$O9="",-1,1))-'Adjustment Surface'!$O8)*(INDEX('Adjustment Surface'!$AO$3:$BH$3,1,MATCH(('Adjustment Surface'!V$3),'Adjustment Surface'!$AO$3:$BH$3,1)+IF('Adjustment Surface'!W$3="",-1,1))-'Adjustment Surface'!V$3)+INDEX($AO$4:$BH$23,MATCH(INDEX('Adjustment Surface'!$AN$4:$AN$23,MATCH(('Adjustment Surface'!$O8),'Adjustment Surface'!$AN$4:$AN$23,1)+IF('Adjustment Surface'!$O9="",-1,1)),$AN$4:$AN$23,0),MATCH(INDEX('Adjustment Surface'!$AO$3:$BH$3,1,MATCH(('Adjustment Surface'!V$3),'Adjustment Surface'!$AO$3:$BH$3,1)),$AO$3:$BH$3,0))*('Adjustment Surface'!$O8-INDEX('Adjustment Surface'!$AN$4:$AN$23,MATCH(('Adjustment Surface'!$O8),'Adjustment Surface'!$AN$4:$AN$23,1)))*(INDEX('Adjustment Surface'!$AO$3:$BH$3,1,MATCH(('Adjustment Surface'!V$3),'Adjustment Surface'!$AO$3:$BH$3,1)+IF('Adjustment Surface'!W$3="",-1,1))-'Adjustment Surface'!V$3)+INDEX($AO$4:$BH$23,MATCH(INDEX('Adjustment Surface'!$AN$4:$AN$23,MATCH(('Adjustment Surface'!$O8),'Adjustment Surface'!$AN$4:$AN$23,1)),$AN$4:$AN$23,0),MATCH(INDEX('Adjustment Surface'!$AO$3:$BH$3,1,MATCH(('Adjustment Surface'!V$3),'Adjustment Surface'!$AO$3:$BH$3,1)+IF('Adjustment Surface'!W$3="",-1,1)),$AO$3:$BH$3,0))*(INDEX('Adjustment Surface'!$AN$4:$AN$23,MATCH(('Adjustment Surface'!$O8),'Adjustment Surface'!$AN$4:$AN$23,1)+IF('Adjustment Surface'!$O9="",-1,1))-'Adjustment Surface'!$O8)*('Adjustment Surface'!V$3-INDEX('Adjustment Surface'!$AO$3:$BH$3,1,MATCH(('Adjustment Surface'!V$3),'Adjustment Surface'!$AO$3:$BH$3,1)))+INDEX($AO$4:$BH$23,MATCH(INDEX('Adjustment Surface'!$AN$4:$AN$23,MATCH(('Adjustment Surface'!$O8),'Adjustment Surface'!$AN$4:$AN$23,1)+IF('Adjustment Surface'!$O9="",-1,1)),$AN$4:$AN$23,0),MATCH(INDEX('Adjustment Surface'!$AO$3:$BH$3,1,MATCH(('Adjustment Surface'!V$3),'Adjustment Surface'!$AO$3:$BH$3,1)+IF('Adjustment Surface'!W$3="",-1,1)),$AO$3:$BH$3,0))*('Adjustment Surface'!$O8-INDEX('Adjustment Surface'!$AN$4:$AN$23,MATCH(('Adjustment Surface'!$O8),'Adjustment Surface'!$AN$4:$AN$23,1)))*('Adjustment Surface'!V$3-INDEX('Adjustment Surface'!$AO$3:$BH$3,1,MATCH(('Adjustment Surface'!V$3),'Adjustment Surface'!$AO$3:$BH$3,1)))))</f>
        <v>8.179602839846396</v>
      </c>
      <c r="W8" s="181" cm="1">
        <f t="array" ref="W8">IF(OR(W$3="",$O8=""),"",1/((INDEX('Adjustment Surface'!$AN$4:$AN$23,MATCH(('Adjustment Surface'!$O8),'Adjustment Surface'!$AN$4:$AN$23,1)+IF('Adjustment Surface'!$O9="",-1,1))-INDEX('Adjustment Surface'!$AN$4:$AN$23,MATCH(('Adjustment Surface'!$O8),'Adjustment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Surface'!$O8),'Adjustment Surface'!$AN$4:$AN$23,1)),$AN$4:$AN$23,0),MATCH(INDEX('Adjustment Surface'!$AO$3:$BH$3,1,MATCH(('Adjustment Surface'!W$3),'Adjustment Surface'!$AO$3:$BH$3,1)),$AO$3:$BH$3,0))*(INDEX('Adjustment Surface'!$AN$4:$AN$23,MATCH(('Adjustment Surface'!$O8),'Adjustment Surface'!$AN$4:$AN$23,1)+IF('Adjustment Surface'!$O9="",-1,1))-'Adjustment Surface'!$O8)*(INDEX('Adjustment Surface'!$AO$3:$BH$3,1,MATCH(('Adjustment Surface'!W$3),'Adjustment Surface'!$AO$3:$BH$3,1)+IF('Adjustment Surface'!X$3="",-1,1))-'Adjustment Surface'!W$3)+INDEX($AO$4:$BH$23,MATCH(INDEX('Adjustment Surface'!$AN$4:$AN$23,MATCH(('Adjustment Surface'!$O8),'Adjustment Surface'!$AN$4:$AN$23,1)+IF('Adjustment Surface'!$O9="",-1,1)),$AN$4:$AN$23,0),MATCH(INDEX('Adjustment Surface'!$AO$3:$BH$3,1,MATCH(('Adjustment Surface'!W$3),'Adjustment Surface'!$AO$3:$BH$3,1)),$AO$3:$BH$3,0))*('Adjustment Surface'!$O8-INDEX('Adjustment Surface'!$AN$4:$AN$23,MATCH(('Adjustment Surface'!$O8),'Adjustment Surface'!$AN$4:$AN$23,1)))*(INDEX('Adjustment Surface'!$AO$3:$BH$3,1,MATCH(('Adjustment Surface'!W$3),'Adjustment Surface'!$AO$3:$BH$3,1)+IF('Adjustment Surface'!X$3="",-1,1))-'Adjustment Surface'!W$3)+INDEX($AO$4:$BH$23,MATCH(INDEX('Adjustment Surface'!$AN$4:$AN$23,MATCH(('Adjustment Surface'!$O8),'Adjustment Surface'!$AN$4:$AN$23,1)),$AN$4:$AN$23,0),MATCH(INDEX('Adjustment Surface'!$AO$3:$BH$3,1,MATCH(('Adjustment Surface'!W$3),'Adjustment Surface'!$AO$3:$BH$3,1)+IF('Adjustment Surface'!X$3="",-1,1)),$AO$3:$BH$3,0))*(INDEX('Adjustment Surface'!$AN$4:$AN$23,MATCH(('Adjustment Surface'!$O8),'Adjustment Surface'!$AN$4:$AN$23,1)+IF('Adjustment Surface'!$O9="",-1,1))-'Adjustment Surface'!$O8)*('Adjustment Surface'!W$3-INDEX('Adjustment Surface'!$AO$3:$BH$3,1,MATCH(('Adjustment Surface'!W$3),'Adjustment Surface'!$AO$3:$BH$3,1)))+INDEX($AO$4:$BH$23,MATCH(INDEX('Adjustment Surface'!$AN$4:$AN$23,MATCH(('Adjustment Surface'!$O8),'Adjustment Surface'!$AN$4:$AN$23,1)+IF('Adjustment Surface'!$O9="",-1,1)),$AN$4:$AN$23,0),MATCH(INDEX('Adjustment Surface'!$AO$3:$BH$3,1,MATCH(('Adjustment Surface'!W$3),'Adjustment Surface'!$AO$3:$BH$3,1)+IF('Adjustment Surface'!X$3="",-1,1)),$AO$3:$BH$3,0))*('Adjustment Surface'!$O8-INDEX('Adjustment Surface'!$AN$4:$AN$23,MATCH(('Adjustment Surface'!$O8),'Adjustment Surface'!$AN$4:$AN$23,1)))*('Adjustment Surface'!W$3-INDEX('Adjustment Surface'!$AO$3:$BH$3,1,MATCH(('Adjustment Surface'!W$3),'Adjustment Surface'!$AO$3:$BH$3,1)))))</f>
        <v>8.3911201630665619</v>
      </c>
      <c r="X8" s="181" cm="1">
        <f t="array" ref="X8">IF(OR(X$3="",$O8=""),"",1/((INDEX('Adjustment Surface'!$AN$4:$AN$23,MATCH(('Adjustment Surface'!$O8),'Adjustment Surface'!$AN$4:$AN$23,1)+IF('Adjustment Surface'!$O9="",-1,1))-INDEX('Adjustment Surface'!$AN$4:$AN$23,MATCH(('Adjustment Surface'!$O8),'Adjustment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Surface'!$O8),'Adjustment Surface'!$AN$4:$AN$23,1)),$AN$4:$AN$23,0),MATCH(INDEX('Adjustment Surface'!$AO$3:$BH$3,1,MATCH(('Adjustment Surface'!X$3),'Adjustment Surface'!$AO$3:$BH$3,1)),$AO$3:$BH$3,0))*(INDEX('Adjustment Surface'!$AN$4:$AN$23,MATCH(('Adjustment Surface'!$O8),'Adjustment Surface'!$AN$4:$AN$23,1)+IF('Adjustment Surface'!$O9="",-1,1))-'Adjustment Surface'!$O8)*(INDEX('Adjustment Surface'!$AO$3:$BH$3,1,MATCH(('Adjustment Surface'!X$3),'Adjustment Surface'!$AO$3:$BH$3,1)+IF('Adjustment Surface'!Y$3="",-1,1))-'Adjustment Surface'!X$3)+INDEX($AO$4:$BH$23,MATCH(INDEX('Adjustment Surface'!$AN$4:$AN$23,MATCH(('Adjustment Surface'!$O8),'Adjustment Surface'!$AN$4:$AN$23,1)+IF('Adjustment Surface'!$O9="",-1,1)),$AN$4:$AN$23,0),MATCH(INDEX('Adjustment Surface'!$AO$3:$BH$3,1,MATCH(('Adjustment Surface'!X$3),'Adjustment Surface'!$AO$3:$BH$3,1)),$AO$3:$BH$3,0))*('Adjustment Surface'!$O8-INDEX('Adjustment Surface'!$AN$4:$AN$23,MATCH(('Adjustment Surface'!$O8),'Adjustment Surface'!$AN$4:$AN$23,1)))*(INDEX('Adjustment Surface'!$AO$3:$BH$3,1,MATCH(('Adjustment Surface'!X$3),'Adjustment Surface'!$AO$3:$BH$3,1)+IF('Adjustment Surface'!Y$3="",-1,1))-'Adjustment Surface'!X$3)+INDEX($AO$4:$BH$23,MATCH(INDEX('Adjustment Surface'!$AN$4:$AN$23,MATCH(('Adjustment Surface'!$O8),'Adjustment Surface'!$AN$4:$AN$23,1)),$AN$4:$AN$23,0),MATCH(INDEX('Adjustment Surface'!$AO$3:$BH$3,1,MATCH(('Adjustment Surface'!X$3),'Adjustment Surface'!$AO$3:$BH$3,1)+IF('Adjustment Surface'!Y$3="",-1,1)),$AO$3:$BH$3,0))*(INDEX('Adjustment Surface'!$AN$4:$AN$23,MATCH(('Adjustment Surface'!$O8),'Adjustment Surface'!$AN$4:$AN$23,1)+IF('Adjustment Surface'!$O9="",-1,1))-'Adjustment Surface'!$O8)*('Adjustment Surface'!X$3-INDEX('Adjustment Surface'!$AO$3:$BH$3,1,MATCH(('Adjustment Surface'!X$3),'Adjustment Surface'!$AO$3:$BH$3,1)))+INDEX($AO$4:$BH$23,MATCH(INDEX('Adjustment Surface'!$AN$4:$AN$23,MATCH(('Adjustment Surface'!$O8),'Adjustment Surface'!$AN$4:$AN$23,1)+IF('Adjustment Surface'!$O9="",-1,1)),$AN$4:$AN$23,0),MATCH(INDEX('Adjustment Surface'!$AO$3:$BH$3,1,MATCH(('Adjustment Surface'!X$3),'Adjustment Surface'!$AO$3:$BH$3,1)+IF('Adjustment Surface'!Y$3="",-1,1)),$AO$3:$BH$3,0))*('Adjustment Surface'!$O8-INDEX('Adjustment Surface'!$AN$4:$AN$23,MATCH(('Adjustment Surface'!$O8),'Adjustment Surface'!$AN$4:$AN$23,1)))*('Adjustment Surface'!X$3-INDEX('Adjustment Surface'!$AO$3:$BH$3,1,MATCH(('Adjustment Surface'!X$3),'Adjustment Surface'!$AO$3:$BH$3,1)))))</f>
        <v>8.6026374862867296</v>
      </c>
      <c r="Y8" s="181" t="str" cm="1">
        <f t="array" ref="Y8">IF(OR(Y$3="",$O8=""),"",1/((INDEX('Adjustment Surface'!$AN$4:$AN$23,MATCH(('Adjustment Surface'!$O8),'Adjustment Surface'!$AN$4:$AN$23,1)+IF('Adjustment Surface'!$O9="",-1,1))-INDEX('Adjustment Surface'!$AN$4:$AN$23,MATCH(('Adjustment Surface'!$O8),'Adjustment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Surface'!$O8),'Adjustment Surface'!$AN$4:$AN$23,1)),$AN$4:$AN$23,0),MATCH(INDEX('Adjustment Surface'!$AO$3:$BH$3,1,MATCH(('Adjustment Surface'!Y$3),'Adjustment Surface'!$AO$3:$BH$3,1)),$AO$3:$BH$3,0))*(INDEX('Adjustment Surface'!$AN$4:$AN$23,MATCH(('Adjustment Surface'!$O8),'Adjustment Surface'!$AN$4:$AN$23,1)+IF('Adjustment Surface'!$O9="",-1,1))-'Adjustment Surface'!$O8)*(INDEX('Adjustment Surface'!$AO$3:$BH$3,1,MATCH(('Adjustment Surface'!Y$3),'Adjustment Surface'!$AO$3:$BH$3,1)+IF('Adjustment Surface'!Z$3="",-1,1))-'Adjustment Surface'!Y$3)+INDEX($AO$4:$BH$23,MATCH(INDEX('Adjustment Surface'!$AN$4:$AN$23,MATCH(('Adjustment Surface'!$O8),'Adjustment Surface'!$AN$4:$AN$23,1)+IF('Adjustment Surface'!$O9="",-1,1)),$AN$4:$AN$23,0),MATCH(INDEX('Adjustment Surface'!$AO$3:$BH$3,1,MATCH(('Adjustment Surface'!Y$3),'Adjustment Surface'!$AO$3:$BH$3,1)),$AO$3:$BH$3,0))*('Adjustment Surface'!$O8-INDEX('Adjustment Surface'!$AN$4:$AN$23,MATCH(('Adjustment Surface'!$O8),'Adjustment Surface'!$AN$4:$AN$23,1)))*(INDEX('Adjustment Surface'!$AO$3:$BH$3,1,MATCH(('Adjustment Surface'!Y$3),'Adjustment Surface'!$AO$3:$BH$3,1)+IF('Adjustment Surface'!Z$3="",-1,1))-'Adjustment Surface'!Y$3)+INDEX($AO$4:$BH$23,MATCH(INDEX('Adjustment Surface'!$AN$4:$AN$23,MATCH(('Adjustment Surface'!$O8),'Adjustment Surface'!$AN$4:$AN$23,1)),$AN$4:$AN$23,0),MATCH(INDEX('Adjustment Surface'!$AO$3:$BH$3,1,MATCH(('Adjustment Surface'!Y$3),'Adjustment Surface'!$AO$3:$BH$3,1)+IF('Adjustment Surface'!Z$3="",-1,1)),$AO$3:$BH$3,0))*(INDEX('Adjustment Surface'!$AN$4:$AN$23,MATCH(('Adjustment Surface'!$O8),'Adjustment Surface'!$AN$4:$AN$23,1)+IF('Adjustment Surface'!$O9="",-1,1))-'Adjustment Surface'!$O8)*('Adjustment Surface'!Y$3-INDEX('Adjustment Surface'!$AO$3:$BH$3,1,MATCH(('Adjustment Surface'!Y$3),'Adjustment Surface'!$AO$3:$BH$3,1)))+INDEX($AO$4:$BH$23,MATCH(INDEX('Adjustment Surface'!$AN$4:$AN$23,MATCH(('Adjustment Surface'!$O8),'Adjustment Surface'!$AN$4:$AN$23,1)+IF('Adjustment Surface'!$O9="",-1,1)),$AN$4:$AN$23,0),MATCH(INDEX('Adjustment Surface'!$AO$3:$BH$3,1,MATCH(('Adjustment Surface'!Y$3),'Adjustment Surface'!$AO$3:$BH$3,1)+IF('Adjustment Surface'!Z$3="",-1,1)),$AO$3:$BH$3,0))*('Adjustment Surface'!$O8-INDEX('Adjustment Surface'!$AN$4:$AN$23,MATCH(('Adjustment Surface'!$O8),'Adjustment Surface'!$AN$4:$AN$23,1)))*('Adjustment Surface'!Y$3-INDEX('Adjustment Surface'!$AO$3:$BH$3,1,MATCH(('Adjustment Surface'!Y$3),'Adjustment Surface'!$AO$3:$BH$3,1)))))</f>
        <v/>
      </c>
      <c r="Z8" s="181" t="str" cm="1">
        <f t="array" ref="Z8">IF(OR(Z$3="",$O8=""),"",1/((INDEX('Adjustment Surface'!$AN$4:$AN$23,MATCH(('Adjustment Surface'!$O8),'Adjustment Surface'!$AN$4:$AN$23,1)+IF('Adjustment Surface'!$O9="",-1,1))-INDEX('Adjustment Surface'!$AN$4:$AN$23,MATCH(('Adjustment Surface'!$O8),'Adjustment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Surface'!$O8),'Adjustment Surface'!$AN$4:$AN$23,1)),$AN$4:$AN$23,0),MATCH(INDEX('Adjustment Surface'!$AO$3:$BH$3,1,MATCH(('Adjustment Surface'!Z$3),'Adjustment Surface'!$AO$3:$BH$3,1)),$AO$3:$BH$3,0))*(INDEX('Adjustment Surface'!$AN$4:$AN$23,MATCH(('Adjustment Surface'!$O8),'Adjustment Surface'!$AN$4:$AN$23,1)+IF('Adjustment Surface'!$O9="",-1,1))-'Adjustment Surface'!$O8)*(INDEX('Adjustment Surface'!$AO$3:$BH$3,1,MATCH(('Adjustment Surface'!Z$3),'Adjustment Surface'!$AO$3:$BH$3,1)+IF('Adjustment Surface'!AA$3="",-1,1))-'Adjustment Surface'!Z$3)+INDEX($AO$4:$BH$23,MATCH(INDEX('Adjustment Surface'!$AN$4:$AN$23,MATCH(('Adjustment Surface'!$O8),'Adjustment Surface'!$AN$4:$AN$23,1)+IF('Adjustment Surface'!$O9="",-1,1)),$AN$4:$AN$23,0),MATCH(INDEX('Adjustment Surface'!$AO$3:$BH$3,1,MATCH(('Adjustment Surface'!Z$3),'Adjustment Surface'!$AO$3:$BH$3,1)),$AO$3:$BH$3,0))*('Adjustment Surface'!$O8-INDEX('Adjustment Surface'!$AN$4:$AN$23,MATCH(('Adjustment Surface'!$O8),'Adjustment Surface'!$AN$4:$AN$23,1)))*(INDEX('Adjustment Surface'!$AO$3:$BH$3,1,MATCH(('Adjustment Surface'!Z$3),'Adjustment Surface'!$AO$3:$BH$3,1)+IF('Adjustment Surface'!AA$3="",-1,1))-'Adjustment Surface'!Z$3)+INDEX($AO$4:$BH$23,MATCH(INDEX('Adjustment Surface'!$AN$4:$AN$23,MATCH(('Adjustment Surface'!$O8),'Adjustment Surface'!$AN$4:$AN$23,1)),$AN$4:$AN$23,0),MATCH(INDEX('Adjustment Surface'!$AO$3:$BH$3,1,MATCH(('Adjustment Surface'!Z$3),'Adjustment Surface'!$AO$3:$BH$3,1)+IF('Adjustment Surface'!AA$3="",-1,1)),$AO$3:$BH$3,0))*(INDEX('Adjustment Surface'!$AN$4:$AN$23,MATCH(('Adjustment Surface'!$O8),'Adjustment Surface'!$AN$4:$AN$23,1)+IF('Adjustment Surface'!$O9="",-1,1))-'Adjustment Surface'!$O8)*('Adjustment Surface'!Z$3-INDEX('Adjustment Surface'!$AO$3:$BH$3,1,MATCH(('Adjustment Surface'!Z$3),'Adjustment Surface'!$AO$3:$BH$3,1)))+INDEX($AO$4:$BH$23,MATCH(INDEX('Adjustment Surface'!$AN$4:$AN$23,MATCH(('Adjustment Surface'!$O8),'Adjustment Surface'!$AN$4:$AN$23,1)+IF('Adjustment Surface'!$O9="",-1,1)),$AN$4:$AN$23,0),MATCH(INDEX('Adjustment Surface'!$AO$3:$BH$3,1,MATCH(('Adjustment Surface'!Z$3),'Adjustment Surface'!$AO$3:$BH$3,1)+IF('Adjustment Surface'!AA$3="",-1,1)),$AO$3:$BH$3,0))*('Adjustment Surface'!$O8-INDEX('Adjustment Surface'!$AN$4:$AN$23,MATCH(('Adjustment Surface'!$O8),'Adjustment Surface'!$AN$4:$AN$23,1)))*('Adjustment Surface'!Z$3-INDEX('Adjustment Surface'!$AO$3:$BH$3,1,MATCH(('Adjustment Surface'!Z$3),'Adjustment Surface'!$AO$3:$BH$3,1)))))</f>
        <v/>
      </c>
      <c r="AA8" s="181" t="str" cm="1">
        <f t="array" ref="AA8">IF(OR(AA$3="",$O8=""),"",1/((INDEX('Adjustment Surface'!$AN$4:$AN$23,MATCH(('Adjustment Surface'!$O8),'Adjustment Surface'!$AN$4:$AN$23,1)+IF('Adjustment Surface'!$O9="",-1,1))-INDEX('Adjustment Surface'!$AN$4:$AN$23,MATCH(('Adjustment Surface'!$O8),'Adjustment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Surface'!$O8),'Adjustment Surface'!$AN$4:$AN$23,1)),$AN$4:$AN$23,0),MATCH(INDEX('Adjustment Surface'!$AO$3:$BH$3,1,MATCH(('Adjustment Surface'!AA$3),'Adjustment Surface'!$AO$3:$BH$3,1)),$AO$3:$BH$3,0))*(INDEX('Adjustment Surface'!$AN$4:$AN$23,MATCH(('Adjustment Surface'!$O8),'Adjustment Surface'!$AN$4:$AN$23,1)+IF('Adjustment Surface'!$O9="",-1,1))-'Adjustment Surface'!$O8)*(INDEX('Adjustment Surface'!$AO$3:$BH$3,1,MATCH(('Adjustment Surface'!AA$3),'Adjustment Surface'!$AO$3:$BH$3,1)+IF('Adjustment Surface'!AB$3="",-1,1))-'Adjustment Surface'!AA$3)+INDEX($AO$4:$BH$23,MATCH(INDEX('Adjustment Surface'!$AN$4:$AN$23,MATCH(('Adjustment Surface'!$O8),'Adjustment Surface'!$AN$4:$AN$23,1)+IF('Adjustment Surface'!$O9="",-1,1)),$AN$4:$AN$23,0),MATCH(INDEX('Adjustment Surface'!$AO$3:$BH$3,1,MATCH(('Adjustment Surface'!AA$3),'Adjustment Surface'!$AO$3:$BH$3,1)),$AO$3:$BH$3,0))*('Adjustment Surface'!$O8-INDEX('Adjustment Surface'!$AN$4:$AN$23,MATCH(('Adjustment Surface'!$O8),'Adjustment Surface'!$AN$4:$AN$23,1)))*(INDEX('Adjustment Surface'!$AO$3:$BH$3,1,MATCH(('Adjustment Surface'!AA$3),'Adjustment Surface'!$AO$3:$BH$3,1)+IF('Adjustment Surface'!AB$3="",-1,1))-'Adjustment Surface'!AA$3)+INDEX($AO$4:$BH$23,MATCH(INDEX('Adjustment Surface'!$AN$4:$AN$23,MATCH(('Adjustment Surface'!$O8),'Adjustment Surface'!$AN$4:$AN$23,1)),$AN$4:$AN$23,0),MATCH(INDEX('Adjustment Surface'!$AO$3:$BH$3,1,MATCH(('Adjustment Surface'!AA$3),'Adjustment Surface'!$AO$3:$BH$3,1)+IF('Adjustment Surface'!AB$3="",-1,1)),$AO$3:$BH$3,0))*(INDEX('Adjustment Surface'!$AN$4:$AN$23,MATCH(('Adjustment Surface'!$O8),'Adjustment Surface'!$AN$4:$AN$23,1)+IF('Adjustment Surface'!$O9="",-1,1))-'Adjustment Surface'!$O8)*('Adjustment Surface'!AA$3-INDEX('Adjustment Surface'!$AO$3:$BH$3,1,MATCH(('Adjustment Surface'!AA$3),'Adjustment Surface'!$AO$3:$BH$3,1)))+INDEX($AO$4:$BH$23,MATCH(INDEX('Adjustment Surface'!$AN$4:$AN$23,MATCH(('Adjustment Surface'!$O8),'Adjustment Surface'!$AN$4:$AN$23,1)+IF('Adjustment Surface'!$O9="",-1,1)),$AN$4:$AN$23,0),MATCH(INDEX('Adjustment Surface'!$AO$3:$BH$3,1,MATCH(('Adjustment Surface'!AA$3),'Adjustment Surface'!$AO$3:$BH$3,1)+IF('Adjustment Surface'!AB$3="",-1,1)),$AO$3:$BH$3,0))*('Adjustment Surface'!$O8-INDEX('Adjustment Surface'!$AN$4:$AN$23,MATCH(('Adjustment Surface'!$O8),'Adjustment Surface'!$AN$4:$AN$23,1)))*('Adjustment Surface'!AA$3-INDEX('Adjustment Surface'!$AO$3:$BH$3,1,MATCH(('Adjustment Surface'!AA$3),'Adjustment Surface'!$AO$3:$BH$3,1)))))</f>
        <v/>
      </c>
      <c r="AB8" s="181" t="str" cm="1">
        <f t="array" ref="AB8">IF(OR(AB$3="",$O8=""),"",1/((INDEX('Adjustment Surface'!$AN$4:$AN$23,MATCH(('Adjustment Surface'!$O8),'Adjustment Surface'!$AN$4:$AN$23,1)+IF('Adjustment Surface'!$O9="",-1,1))-INDEX('Adjustment Surface'!$AN$4:$AN$23,MATCH(('Adjustment Surface'!$O8),'Adjustment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Surface'!$O8),'Adjustment Surface'!$AN$4:$AN$23,1)),$AN$4:$AN$23,0),MATCH(INDEX('Adjustment Surface'!$AO$3:$BH$3,1,MATCH(('Adjustment Surface'!AB$3),'Adjustment Surface'!$AO$3:$BH$3,1)),$AO$3:$BH$3,0))*(INDEX('Adjustment Surface'!$AN$4:$AN$23,MATCH(('Adjustment Surface'!$O8),'Adjustment Surface'!$AN$4:$AN$23,1)+IF('Adjustment Surface'!$O9="",-1,1))-'Adjustment Surface'!$O8)*(INDEX('Adjustment Surface'!$AO$3:$BH$3,1,MATCH(('Adjustment Surface'!AB$3),'Adjustment Surface'!$AO$3:$BH$3,1)+IF('Adjustment Surface'!AC$3="",-1,1))-'Adjustment Surface'!AB$3)+INDEX($AO$4:$BH$23,MATCH(INDEX('Adjustment Surface'!$AN$4:$AN$23,MATCH(('Adjustment Surface'!$O8),'Adjustment Surface'!$AN$4:$AN$23,1)+IF('Adjustment Surface'!$O9="",-1,1)),$AN$4:$AN$23,0),MATCH(INDEX('Adjustment Surface'!$AO$3:$BH$3,1,MATCH(('Adjustment Surface'!AB$3),'Adjustment Surface'!$AO$3:$BH$3,1)),$AO$3:$BH$3,0))*('Adjustment Surface'!$O8-INDEX('Adjustment Surface'!$AN$4:$AN$23,MATCH(('Adjustment Surface'!$O8),'Adjustment Surface'!$AN$4:$AN$23,1)))*(INDEX('Adjustment Surface'!$AO$3:$BH$3,1,MATCH(('Adjustment Surface'!AB$3),'Adjustment Surface'!$AO$3:$BH$3,1)+IF('Adjustment Surface'!AC$3="",-1,1))-'Adjustment Surface'!AB$3)+INDEX($AO$4:$BH$23,MATCH(INDEX('Adjustment Surface'!$AN$4:$AN$23,MATCH(('Adjustment Surface'!$O8),'Adjustment Surface'!$AN$4:$AN$23,1)),$AN$4:$AN$23,0),MATCH(INDEX('Adjustment Surface'!$AO$3:$BH$3,1,MATCH(('Adjustment Surface'!AB$3),'Adjustment Surface'!$AO$3:$BH$3,1)+IF('Adjustment Surface'!AC$3="",-1,1)),$AO$3:$BH$3,0))*(INDEX('Adjustment Surface'!$AN$4:$AN$23,MATCH(('Adjustment Surface'!$O8),'Adjustment Surface'!$AN$4:$AN$23,1)+IF('Adjustment Surface'!$O9="",-1,1))-'Adjustment Surface'!$O8)*('Adjustment Surface'!AB$3-INDEX('Adjustment Surface'!$AO$3:$BH$3,1,MATCH(('Adjustment Surface'!AB$3),'Adjustment Surface'!$AO$3:$BH$3,1)))+INDEX($AO$4:$BH$23,MATCH(INDEX('Adjustment Surface'!$AN$4:$AN$23,MATCH(('Adjustment Surface'!$O8),'Adjustment Surface'!$AN$4:$AN$23,1)+IF('Adjustment Surface'!$O9="",-1,1)),$AN$4:$AN$23,0),MATCH(INDEX('Adjustment Surface'!$AO$3:$BH$3,1,MATCH(('Adjustment Surface'!AB$3),'Adjustment Surface'!$AO$3:$BH$3,1)+IF('Adjustment Surface'!AC$3="",-1,1)),$AO$3:$BH$3,0))*('Adjustment Surface'!$O8-INDEX('Adjustment Surface'!$AN$4:$AN$23,MATCH(('Adjustment Surface'!$O8),'Adjustment Surface'!$AN$4:$AN$23,1)))*('Adjustment Surface'!AB$3-INDEX('Adjustment Surface'!$AO$3:$BH$3,1,MATCH(('Adjustment Surface'!AB$3),'Adjustment Surface'!$AO$3:$BH$3,1)))))</f>
        <v/>
      </c>
      <c r="AC8" s="181" t="str" cm="1">
        <f t="array" ref="AC8">IF(OR(AC$3="",$O8=""),"",1/((INDEX('Adjustment Surface'!$AN$4:$AN$23,MATCH(('Adjustment Surface'!$O8),'Adjustment Surface'!$AN$4:$AN$23,1)+IF('Adjustment Surface'!$O9="",-1,1))-INDEX('Adjustment Surface'!$AN$4:$AN$23,MATCH(('Adjustment Surface'!$O8),'Adjustment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Surface'!$O8),'Adjustment Surface'!$AN$4:$AN$23,1)),$AN$4:$AN$23,0),MATCH(INDEX('Adjustment Surface'!$AO$3:$BH$3,1,MATCH(('Adjustment Surface'!AC$3),'Adjustment Surface'!$AO$3:$BH$3,1)),$AO$3:$BH$3,0))*(INDEX('Adjustment Surface'!$AN$4:$AN$23,MATCH(('Adjustment Surface'!$O8),'Adjustment Surface'!$AN$4:$AN$23,1)+IF('Adjustment Surface'!$O9="",-1,1))-'Adjustment Surface'!$O8)*(INDEX('Adjustment Surface'!$AO$3:$BH$3,1,MATCH(('Adjustment Surface'!AC$3),'Adjustment Surface'!$AO$3:$BH$3,1)+IF('Adjustment Surface'!AD$3="",-1,1))-'Adjustment Surface'!AC$3)+INDEX($AO$4:$BH$23,MATCH(INDEX('Adjustment Surface'!$AN$4:$AN$23,MATCH(('Adjustment Surface'!$O8),'Adjustment Surface'!$AN$4:$AN$23,1)+IF('Adjustment Surface'!$O9="",-1,1)),$AN$4:$AN$23,0),MATCH(INDEX('Adjustment Surface'!$AO$3:$BH$3,1,MATCH(('Adjustment Surface'!AC$3),'Adjustment Surface'!$AO$3:$BH$3,1)),$AO$3:$BH$3,0))*('Adjustment Surface'!$O8-INDEX('Adjustment Surface'!$AN$4:$AN$23,MATCH(('Adjustment Surface'!$O8),'Adjustment Surface'!$AN$4:$AN$23,1)))*(INDEX('Adjustment Surface'!$AO$3:$BH$3,1,MATCH(('Adjustment Surface'!AC$3),'Adjustment Surface'!$AO$3:$BH$3,1)+IF('Adjustment Surface'!AD$3="",-1,1))-'Adjustment Surface'!AC$3)+INDEX($AO$4:$BH$23,MATCH(INDEX('Adjustment Surface'!$AN$4:$AN$23,MATCH(('Adjustment Surface'!$O8),'Adjustment Surface'!$AN$4:$AN$23,1)),$AN$4:$AN$23,0),MATCH(INDEX('Adjustment Surface'!$AO$3:$BH$3,1,MATCH(('Adjustment Surface'!AC$3),'Adjustment Surface'!$AO$3:$BH$3,1)+IF('Adjustment Surface'!AD$3="",-1,1)),$AO$3:$BH$3,0))*(INDEX('Adjustment Surface'!$AN$4:$AN$23,MATCH(('Adjustment Surface'!$O8),'Adjustment Surface'!$AN$4:$AN$23,1)+IF('Adjustment Surface'!$O9="",-1,1))-'Adjustment Surface'!$O8)*('Adjustment Surface'!AC$3-INDEX('Adjustment Surface'!$AO$3:$BH$3,1,MATCH(('Adjustment Surface'!AC$3),'Adjustment Surface'!$AO$3:$BH$3,1)))+INDEX($AO$4:$BH$23,MATCH(INDEX('Adjustment Surface'!$AN$4:$AN$23,MATCH(('Adjustment Surface'!$O8),'Adjustment Surface'!$AN$4:$AN$23,1)+IF('Adjustment Surface'!$O9="",-1,1)),$AN$4:$AN$23,0),MATCH(INDEX('Adjustment Surface'!$AO$3:$BH$3,1,MATCH(('Adjustment Surface'!AC$3),'Adjustment Surface'!$AO$3:$BH$3,1)+IF('Adjustment Surface'!AD$3="",-1,1)),$AO$3:$BH$3,0))*('Adjustment Surface'!$O8-INDEX('Adjustment Surface'!$AN$4:$AN$23,MATCH(('Adjustment Surface'!$O8),'Adjustment Surface'!$AN$4:$AN$23,1)))*('Adjustment Surface'!AC$3-INDEX('Adjustment Surface'!$AO$3:$BH$3,1,MATCH(('Adjustment Surface'!AC$3),'Adjustment Surface'!$AO$3:$BH$3,1)))))</f>
        <v/>
      </c>
      <c r="AD8" s="181" t="str" cm="1">
        <f t="array" ref="AD8">IF(OR(AD$3="",$O8=""),"",1/((INDEX('Adjustment Surface'!$AN$4:$AN$23,MATCH(('Adjustment Surface'!$O8),'Adjustment Surface'!$AN$4:$AN$23,1)+IF('Adjustment Surface'!$O9="",-1,1))-INDEX('Adjustment Surface'!$AN$4:$AN$23,MATCH(('Adjustment Surface'!$O8),'Adjustment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Surface'!$O8),'Adjustment Surface'!$AN$4:$AN$23,1)),$AN$4:$AN$23,0),MATCH(INDEX('Adjustment Surface'!$AO$3:$BH$3,1,MATCH(('Adjustment Surface'!AD$3),'Adjustment Surface'!$AO$3:$BH$3,1)),$AO$3:$BH$3,0))*(INDEX('Adjustment Surface'!$AN$4:$AN$23,MATCH(('Adjustment Surface'!$O8),'Adjustment Surface'!$AN$4:$AN$23,1)+IF('Adjustment Surface'!$O9="",-1,1))-'Adjustment Surface'!$O8)*(INDEX('Adjustment Surface'!$AO$3:$BH$3,1,MATCH(('Adjustment Surface'!AD$3),'Adjustment Surface'!$AO$3:$BH$3,1)+IF('Adjustment Surface'!AE$3="",-1,1))-'Adjustment Surface'!AD$3)+INDEX($AO$4:$BH$23,MATCH(INDEX('Adjustment Surface'!$AN$4:$AN$23,MATCH(('Adjustment Surface'!$O8),'Adjustment Surface'!$AN$4:$AN$23,1)+IF('Adjustment Surface'!$O9="",-1,1)),$AN$4:$AN$23,0),MATCH(INDEX('Adjustment Surface'!$AO$3:$BH$3,1,MATCH(('Adjustment Surface'!AD$3),'Adjustment Surface'!$AO$3:$BH$3,1)),$AO$3:$BH$3,0))*('Adjustment Surface'!$O8-INDEX('Adjustment Surface'!$AN$4:$AN$23,MATCH(('Adjustment Surface'!$O8),'Adjustment Surface'!$AN$4:$AN$23,1)))*(INDEX('Adjustment Surface'!$AO$3:$BH$3,1,MATCH(('Adjustment Surface'!AD$3),'Adjustment Surface'!$AO$3:$BH$3,1)+IF('Adjustment Surface'!AE$3="",-1,1))-'Adjustment Surface'!AD$3)+INDEX($AO$4:$BH$23,MATCH(INDEX('Adjustment Surface'!$AN$4:$AN$23,MATCH(('Adjustment Surface'!$O8),'Adjustment Surface'!$AN$4:$AN$23,1)),$AN$4:$AN$23,0),MATCH(INDEX('Adjustment Surface'!$AO$3:$BH$3,1,MATCH(('Adjustment Surface'!AD$3),'Adjustment Surface'!$AO$3:$BH$3,1)+IF('Adjustment Surface'!AE$3="",-1,1)),$AO$3:$BH$3,0))*(INDEX('Adjustment Surface'!$AN$4:$AN$23,MATCH(('Adjustment Surface'!$O8),'Adjustment Surface'!$AN$4:$AN$23,1)+IF('Adjustment Surface'!$O9="",-1,1))-'Adjustment Surface'!$O8)*('Adjustment Surface'!AD$3-INDEX('Adjustment Surface'!$AO$3:$BH$3,1,MATCH(('Adjustment Surface'!AD$3),'Adjustment Surface'!$AO$3:$BH$3,1)))+INDEX($AO$4:$BH$23,MATCH(INDEX('Adjustment Surface'!$AN$4:$AN$23,MATCH(('Adjustment Surface'!$O8),'Adjustment Surface'!$AN$4:$AN$23,1)+IF('Adjustment Surface'!$O9="",-1,1)),$AN$4:$AN$23,0),MATCH(INDEX('Adjustment Surface'!$AO$3:$BH$3,1,MATCH(('Adjustment Surface'!AD$3),'Adjustment Surface'!$AO$3:$BH$3,1)+IF('Adjustment Surface'!AE$3="",-1,1)),$AO$3:$BH$3,0))*('Adjustment Surface'!$O8-INDEX('Adjustment Surface'!$AN$4:$AN$23,MATCH(('Adjustment Surface'!$O8),'Adjustment Surface'!$AN$4:$AN$23,1)))*('Adjustment Surface'!AD$3-INDEX('Adjustment Surface'!$AO$3:$BH$3,1,MATCH(('Adjustment Surface'!AD$3),'Adjustment Surface'!$AO$3:$BH$3,1)))))</f>
        <v/>
      </c>
      <c r="AE8" s="181" t="str" cm="1">
        <f t="array" ref="AE8">IF(OR(AE$3="",$O8=""),"",1/((INDEX('Adjustment Surface'!$AN$4:$AN$23,MATCH(('Adjustment Surface'!$O8),'Adjustment Surface'!$AN$4:$AN$23,1)+IF('Adjustment Surface'!$O9="",-1,1))-INDEX('Adjustment Surface'!$AN$4:$AN$23,MATCH(('Adjustment Surface'!$O8),'Adjustment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Surface'!$O8),'Adjustment Surface'!$AN$4:$AN$23,1)),$AN$4:$AN$23,0),MATCH(INDEX('Adjustment Surface'!$AO$3:$BH$3,1,MATCH(('Adjustment Surface'!AE$3),'Adjustment Surface'!$AO$3:$BH$3,1)),$AO$3:$BH$3,0))*(INDEX('Adjustment Surface'!$AN$4:$AN$23,MATCH(('Adjustment Surface'!$O8),'Adjustment Surface'!$AN$4:$AN$23,1)+IF('Adjustment Surface'!$O9="",-1,1))-'Adjustment Surface'!$O8)*(INDEX('Adjustment Surface'!$AO$3:$BH$3,1,MATCH(('Adjustment Surface'!AE$3),'Adjustment Surface'!$AO$3:$BH$3,1)+IF('Adjustment Surface'!AF$3="",-1,1))-'Adjustment Surface'!AE$3)+INDEX($AO$4:$BH$23,MATCH(INDEX('Adjustment Surface'!$AN$4:$AN$23,MATCH(('Adjustment Surface'!$O8),'Adjustment Surface'!$AN$4:$AN$23,1)+IF('Adjustment Surface'!$O9="",-1,1)),$AN$4:$AN$23,0),MATCH(INDEX('Adjustment Surface'!$AO$3:$BH$3,1,MATCH(('Adjustment Surface'!AE$3),'Adjustment Surface'!$AO$3:$BH$3,1)),$AO$3:$BH$3,0))*('Adjustment Surface'!$O8-INDEX('Adjustment Surface'!$AN$4:$AN$23,MATCH(('Adjustment Surface'!$O8),'Adjustment Surface'!$AN$4:$AN$23,1)))*(INDEX('Adjustment Surface'!$AO$3:$BH$3,1,MATCH(('Adjustment Surface'!AE$3),'Adjustment Surface'!$AO$3:$BH$3,1)+IF('Adjustment Surface'!AF$3="",-1,1))-'Adjustment Surface'!AE$3)+INDEX($AO$4:$BH$23,MATCH(INDEX('Adjustment Surface'!$AN$4:$AN$23,MATCH(('Adjustment Surface'!$O8),'Adjustment Surface'!$AN$4:$AN$23,1)),$AN$4:$AN$23,0),MATCH(INDEX('Adjustment Surface'!$AO$3:$BH$3,1,MATCH(('Adjustment Surface'!AE$3),'Adjustment Surface'!$AO$3:$BH$3,1)+IF('Adjustment Surface'!AF$3="",-1,1)),$AO$3:$BH$3,0))*(INDEX('Adjustment Surface'!$AN$4:$AN$23,MATCH(('Adjustment Surface'!$O8),'Adjustment Surface'!$AN$4:$AN$23,1)+IF('Adjustment Surface'!$O9="",-1,1))-'Adjustment Surface'!$O8)*('Adjustment Surface'!AE$3-INDEX('Adjustment Surface'!$AO$3:$BH$3,1,MATCH(('Adjustment Surface'!AE$3),'Adjustment Surface'!$AO$3:$BH$3,1)))+INDEX($AO$4:$BH$23,MATCH(INDEX('Adjustment Surface'!$AN$4:$AN$23,MATCH(('Adjustment Surface'!$O8),'Adjustment Surface'!$AN$4:$AN$23,1)+IF('Adjustment Surface'!$O9="",-1,1)),$AN$4:$AN$23,0),MATCH(INDEX('Adjustment Surface'!$AO$3:$BH$3,1,MATCH(('Adjustment Surface'!AE$3),'Adjustment Surface'!$AO$3:$BH$3,1)+IF('Adjustment Surface'!AF$3="",-1,1)),$AO$3:$BH$3,0))*('Adjustment Surface'!$O8-INDEX('Adjustment Surface'!$AN$4:$AN$23,MATCH(('Adjustment Surface'!$O8),'Adjustment Surface'!$AN$4:$AN$23,1)))*('Adjustment Surface'!AE$3-INDEX('Adjustment Surface'!$AO$3:$BH$3,1,MATCH(('Adjustment Surface'!AE$3),'Adjustment Surface'!$AO$3:$BH$3,1)))))</f>
        <v/>
      </c>
      <c r="AF8" s="181" t="str" cm="1">
        <f t="array" ref="AF8">IF(OR(AF$3="",$O8=""),"",1/((INDEX('Adjustment Surface'!$AN$4:$AN$23,MATCH(('Adjustment Surface'!$O8),'Adjustment Surface'!$AN$4:$AN$23,1)+IF('Adjustment Surface'!$O9="",-1,1))-INDEX('Adjustment Surface'!$AN$4:$AN$23,MATCH(('Adjustment Surface'!$O8),'Adjustment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Surface'!$O8),'Adjustment Surface'!$AN$4:$AN$23,1)),$AN$4:$AN$23,0),MATCH(INDEX('Adjustment Surface'!$AO$3:$BH$3,1,MATCH(('Adjustment Surface'!AF$3),'Adjustment Surface'!$AO$3:$BH$3,1)),$AO$3:$BH$3,0))*(INDEX('Adjustment Surface'!$AN$4:$AN$23,MATCH(('Adjustment Surface'!$O8),'Adjustment Surface'!$AN$4:$AN$23,1)+IF('Adjustment Surface'!$O9="",-1,1))-'Adjustment Surface'!$O8)*(INDEX('Adjustment Surface'!$AO$3:$BH$3,1,MATCH(('Adjustment Surface'!AF$3),'Adjustment Surface'!$AO$3:$BH$3,1)+IF('Adjustment Surface'!AG$3="",-1,1))-'Adjustment Surface'!AF$3)+INDEX($AO$4:$BH$23,MATCH(INDEX('Adjustment Surface'!$AN$4:$AN$23,MATCH(('Adjustment Surface'!$O8),'Adjustment Surface'!$AN$4:$AN$23,1)+IF('Adjustment Surface'!$O9="",-1,1)),$AN$4:$AN$23,0),MATCH(INDEX('Adjustment Surface'!$AO$3:$BH$3,1,MATCH(('Adjustment Surface'!AF$3),'Adjustment Surface'!$AO$3:$BH$3,1)),$AO$3:$BH$3,0))*('Adjustment Surface'!$O8-INDEX('Adjustment Surface'!$AN$4:$AN$23,MATCH(('Adjustment Surface'!$O8),'Adjustment Surface'!$AN$4:$AN$23,1)))*(INDEX('Adjustment Surface'!$AO$3:$BH$3,1,MATCH(('Adjustment Surface'!AF$3),'Adjustment Surface'!$AO$3:$BH$3,1)+IF('Adjustment Surface'!AG$3="",-1,1))-'Adjustment Surface'!AF$3)+INDEX($AO$4:$BH$23,MATCH(INDEX('Adjustment Surface'!$AN$4:$AN$23,MATCH(('Adjustment Surface'!$O8),'Adjustment Surface'!$AN$4:$AN$23,1)),$AN$4:$AN$23,0),MATCH(INDEX('Adjustment Surface'!$AO$3:$BH$3,1,MATCH(('Adjustment Surface'!AF$3),'Adjustment Surface'!$AO$3:$BH$3,1)+IF('Adjustment Surface'!AG$3="",-1,1)),$AO$3:$BH$3,0))*(INDEX('Adjustment Surface'!$AN$4:$AN$23,MATCH(('Adjustment Surface'!$O8),'Adjustment Surface'!$AN$4:$AN$23,1)+IF('Adjustment Surface'!$O9="",-1,1))-'Adjustment Surface'!$O8)*('Adjustment Surface'!AF$3-INDEX('Adjustment Surface'!$AO$3:$BH$3,1,MATCH(('Adjustment Surface'!AF$3),'Adjustment Surface'!$AO$3:$BH$3,1)))+INDEX($AO$4:$BH$23,MATCH(INDEX('Adjustment Surface'!$AN$4:$AN$23,MATCH(('Adjustment Surface'!$O8),'Adjustment Surface'!$AN$4:$AN$23,1)+IF('Adjustment Surface'!$O9="",-1,1)),$AN$4:$AN$23,0),MATCH(INDEX('Adjustment Surface'!$AO$3:$BH$3,1,MATCH(('Adjustment Surface'!AF$3),'Adjustment Surface'!$AO$3:$BH$3,1)+IF('Adjustment Surface'!AG$3="",-1,1)),$AO$3:$BH$3,0))*('Adjustment Surface'!$O8-INDEX('Adjustment Surface'!$AN$4:$AN$23,MATCH(('Adjustment Surface'!$O8),'Adjustment Surface'!$AN$4:$AN$23,1)))*('Adjustment Surface'!AF$3-INDEX('Adjustment Surface'!$AO$3:$BH$3,1,MATCH(('Adjustment Surface'!AF$3),'Adjustment Surface'!$AO$3:$BH$3,1)))))</f>
        <v/>
      </c>
      <c r="AG8" s="181" t="str" cm="1">
        <f t="array" ref="AG8">IF(OR(AG$3="",$O8=""),"",1/((INDEX('Adjustment Surface'!$AN$4:$AN$23,MATCH(('Adjustment Surface'!$O8),'Adjustment Surface'!$AN$4:$AN$23,1)+IF('Adjustment Surface'!$O9="",-1,1))-INDEX('Adjustment Surface'!$AN$4:$AN$23,MATCH(('Adjustment Surface'!$O8),'Adjustment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Surface'!$O8),'Adjustment Surface'!$AN$4:$AN$23,1)),$AN$4:$AN$23,0),MATCH(INDEX('Adjustment Surface'!$AO$3:$BH$3,1,MATCH(('Adjustment Surface'!AG$3),'Adjustment Surface'!$AO$3:$BH$3,1)),$AO$3:$BH$3,0))*(INDEX('Adjustment Surface'!$AN$4:$AN$23,MATCH(('Adjustment Surface'!$O8),'Adjustment Surface'!$AN$4:$AN$23,1)+IF('Adjustment Surface'!$O9="",-1,1))-'Adjustment Surface'!$O8)*(INDEX('Adjustment Surface'!$AO$3:$BH$3,1,MATCH(('Adjustment Surface'!AG$3),'Adjustment Surface'!$AO$3:$BH$3,1)+IF('Adjustment Surface'!AH$3="",-1,1))-'Adjustment Surface'!AG$3)+INDEX($AO$4:$BH$23,MATCH(INDEX('Adjustment Surface'!$AN$4:$AN$23,MATCH(('Adjustment Surface'!$O8),'Adjustment Surface'!$AN$4:$AN$23,1)+IF('Adjustment Surface'!$O9="",-1,1)),$AN$4:$AN$23,0),MATCH(INDEX('Adjustment Surface'!$AO$3:$BH$3,1,MATCH(('Adjustment Surface'!AG$3),'Adjustment Surface'!$AO$3:$BH$3,1)),$AO$3:$BH$3,0))*('Adjustment Surface'!$O8-INDEX('Adjustment Surface'!$AN$4:$AN$23,MATCH(('Adjustment Surface'!$O8),'Adjustment Surface'!$AN$4:$AN$23,1)))*(INDEX('Adjustment Surface'!$AO$3:$BH$3,1,MATCH(('Adjustment Surface'!AG$3),'Adjustment Surface'!$AO$3:$BH$3,1)+IF('Adjustment Surface'!AH$3="",-1,1))-'Adjustment Surface'!AG$3)+INDEX($AO$4:$BH$23,MATCH(INDEX('Adjustment Surface'!$AN$4:$AN$23,MATCH(('Adjustment Surface'!$O8),'Adjustment Surface'!$AN$4:$AN$23,1)),$AN$4:$AN$23,0),MATCH(INDEX('Adjustment Surface'!$AO$3:$BH$3,1,MATCH(('Adjustment Surface'!AG$3),'Adjustment Surface'!$AO$3:$BH$3,1)+IF('Adjustment Surface'!AH$3="",-1,1)),$AO$3:$BH$3,0))*(INDEX('Adjustment Surface'!$AN$4:$AN$23,MATCH(('Adjustment Surface'!$O8),'Adjustment Surface'!$AN$4:$AN$23,1)+IF('Adjustment Surface'!$O9="",-1,1))-'Adjustment Surface'!$O8)*('Adjustment Surface'!AG$3-INDEX('Adjustment Surface'!$AO$3:$BH$3,1,MATCH(('Adjustment Surface'!AG$3),'Adjustment Surface'!$AO$3:$BH$3,1)))+INDEX($AO$4:$BH$23,MATCH(INDEX('Adjustment Surface'!$AN$4:$AN$23,MATCH(('Adjustment Surface'!$O8),'Adjustment Surface'!$AN$4:$AN$23,1)+IF('Adjustment Surface'!$O9="",-1,1)),$AN$4:$AN$23,0),MATCH(INDEX('Adjustment Surface'!$AO$3:$BH$3,1,MATCH(('Adjustment Surface'!AG$3),'Adjustment Surface'!$AO$3:$BH$3,1)+IF('Adjustment Surface'!AH$3="",-1,1)),$AO$3:$BH$3,0))*('Adjustment Surface'!$O8-INDEX('Adjustment Surface'!$AN$4:$AN$23,MATCH(('Adjustment Surface'!$O8),'Adjustment Surface'!$AN$4:$AN$23,1)))*('Adjustment Surface'!AG$3-INDEX('Adjustment Surface'!$AO$3:$BH$3,1,MATCH(('Adjustment Surface'!AG$3),'Adjustment Surface'!$AO$3:$BH$3,1)))))</f>
        <v/>
      </c>
      <c r="AH8" s="181" t="str" cm="1">
        <f t="array" ref="AH8">IF(OR(AH$3="",$O8=""),"",1/((INDEX('Adjustment Surface'!$AN$4:$AN$23,MATCH(('Adjustment Surface'!$O8),'Adjustment Surface'!$AN$4:$AN$23,1)+IF('Adjustment Surface'!$O9="",-1,1))-INDEX('Adjustment Surface'!$AN$4:$AN$23,MATCH(('Adjustment Surface'!$O8),'Adjustment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Surface'!$O8),'Adjustment Surface'!$AN$4:$AN$23,1)),$AN$4:$AN$23,0),MATCH(INDEX('Adjustment Surface'!$AO$3:$BH$3,1,MATCH(('Adjustment Surface'!AH$3),'Adjustment Surface'!$AO$3:$BH$3,1)),$AO$3:$BH$3,0))*(INDEX('Adjustment Surface'!$AN$4:$AN$23,MATCH(('Adjustment Surface'!$O8),'Adjustment Surface'!$AN$4:$AN$23,1)+IF('Adjustment Surface'!$O9="",-1,1))-'Adjustment Surface'!$O8)*(INDEX('Adjustment Surface'!$AO$3:$BH$3,1,MATCH(('Adjustment Surface'!AH$3),'Adjustment Surface'!$AO$3:$BH$3,1)+IF('Adjustment Surface'!AI$3="",-1,1))-'Adjustment Surface'!AH$3)+INDEX($AO$4:$BH$23,MATCH(INDEX('Adjustment Surface'!$AN$4:$AN$23,MATCH(('Adjustment Surface'!$O8),'Adjustment Surface'!$AN$4:$AN$23,1)+IF('Adjustment Surface'!$O9="",-1,1)),$AN$4:$AN$23,0),MATCH(INDEX('Adjustment Surface'!$AO$3:$BH$3,1,MATCH(('Adjustment Surface'!AH$3),'Adjustment Surface'!$AO$3:$BH$3,1)),$AO$3:$BH$3,0))*('Adjustment Surface'!$O8-INDEX('Adjustment Surface'!$AN$4:$AN$23,MATCH(('Adjustment Surface'!$O8),'Adjustment Surface'!$AN$4:$AN$23,1)))*(INDEX('Adjustment Surface'!$AO$3:$BH$3,1,MATCH(('Adjustment Surface'!AH$3),'Adjustment Surface'!$AO$3:$BH$3,1)+IF('Adjustment Surface'!AI$3="",-1,1))-'Adjustment Surface'!AH$3)+INDEX($AO$4:$BH$23,MATCH(INDEX('Adjustment Surface'!$AN$4:$AN$23,MATCH(('Adjustment Surface'!$O8),'Adjustment Surface'!$AN$4:$AN$23,1)),$AN$4:$AN$23,0),MATCH(INDEX('Adjustment Surface'!$AO$3:$BH$3,1,MATCH(('Adjustment Surface'!AH$3),'Adjustment Surface'!$AO$3:$BH$3,1)+IF('Adjustment Surface'!AI$3="",-1,1)),$AO$3:$BH$3,0))*(INDEX('Adjustment Surface'!$AN$4:$AN$23,MATCH(('Adjustment Surface'!$O8),'Adjustment Surface'!$AN$4:$AN$23,1)+IF('Adjustment Surface'!$O9="",-1,1))-'Adjustment Surface'!$O8)*('Adjustment Surface'!AH$3-INDEX('Adjustment Surface'!$AO$3:$BH$3,1,MATCH(('Adjustment Surface'!AH$3),'Adjustment Surface'!$AO$3:$BH$3,1)))+INDEX($AO$4:$BH$23,MATCH(INDEX('Adjustment Surface'!$AN$4:$AN$23,MATCH(('Adjustment Surface'!$O8),'Adjustment Surface'!$AN$4:$AN$23,1)+IF('Adjustment Surface'!$O9="",-1,1)),$AN$4:$AN$23,0),MATCH(INDEX('Adjustment Surface'!$AO$3:$BH$3,1,MATCH(('Adjustment Surface'!AH$3),'Adjustment Surface'!$AO$3:$BH$3,1)+IF('Adjustment Surface'!AI$3="",-1,1)),$AO$3:$BH$3,0))*('Adjustment Surface'!$O8-INDEX('Adjustment Surface'!$AN$4:$AN$23,MATCH(('Adjustment Surface'!$O8),'Adjustment Surface'!$AN$4:$AN$23,1)))*('Adjustment Surface'!AH$3-INDEX('Adjustment Surface'!$AO$3:$BH$3,1,MATCH(('Adjustment Surface'!AH$3),'Adjustment Surface'!$AO$3:$BH$3,1)))))</f>
        <v/>
      </c>
      <c r="AI8" s="182" t="str" cm="1">
        <f t="array" ref="AI8">IF(OR(AI$3="",$O8=""),"",1/((INDEX('Adjustment Surface'!$AN$4:$AN$23,MATCH(('Adjustment Surface'!$O8),'Adjustment Surface'!$AN$4:$AN$23,1)+IF('Adjustment Surface'!$O9="",-1,1))-INDEX('Adjustment Surface'!$AN$4:$AN$23,MATCH(('Adjustment Surface'!$O8),'Adjustment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Surface'!$O8),'Adjustment Surface'!$AN$4:$AN$23,1)),$AN$4:$AN$23,0),MATCH(INDEX('Adjustment Surface'!$AO$3:$BH$3,1,MATCH(('Adjustment Surface'!AI$3),'Adjustment Surface'!$AO$3:$BH$3,1)),$AO$3:$BH$3,0))*(INDEX('Adjustment Surface'!$AN$4:$AN$23,MATCH(('Adjustment Surface'!$O8),'Adjustment Surface'!$AN$4:$AN$23,1)+IF('Adjustment Surface'!$O9="",-1,1))-'Adjustment Surface'!$O8)*(INDEX('Adjustment Surface'!$AO$3:$BH$3,1,MATCH(('Adjustment Surface'!AI$3),'Adjustment Surface'!$AO$3:$BH$3,1)+IF('Adjustment Surface'!AJ$3="",-1,1))-'Adjustment Surface'!AI$3)+INDEX($AO$4:$BH$23,MATCH(INDEX('Adjustment Surface'!$AN$4:$AN$23,MATCH(('Adjustment Surface'!$O8),'Adjustment Surface'!$AN$4:$AN$23,1)+IF('Adjustment Surface'!$O9="",-1,1)),$AN$4:$AN$23,0),MATCH(INDEX('Adjustment Surface'!$AO$3:$BH$3,1,MATCH(('Adjustment Surface'!AI$3),'Adjustment Surface'!$AO$3:$BH$3,1)),$AO$3:$BH$3,0))*('Adjustment Surface'!$O8-INDEX('Adjustment Surface'!$AN$4:$AN$23,MATCH(('Adjustment Surface'!$O8),'Adjustment Surface'!$AN$4:$AN$23,1)))*(INDEX('Adjustment Surface'!$AO$3:$BH$3,1,MATCH(('Adjustment Surface'!AI$3),'Adjustment Surface'!$AO$3:$BH$3,1)+IF('Adjustment Surface'!AJ$3="",-1,1))-'Adjustment Surface'!AI$3)+INDEX($AO$4:$BH$23,MATCH(INDEX('Adjustment Surface'!$AN$4:$AN$23,MATCH(('Adjustment Surface'!$O8),'Adjustment Surface'!$AN$4:$AN$23,1)),$AN$4:$AN$23,0),MATCH(INDEX('Adjustment Surface'!$AO$3:$BH$3,1,MATCH(('Adjustment Surface'!AI$3),'Adjustment Surface'!$AO$3:$BH$3,1)+IF('Adjustment Surface'!AJ$3="",-1,1)),$AO$3:$BH$3,0))*(INDEX('Adjustment Surface'!$AN$4:$AN$23,MATCH(('Adjustment Surface'!$O8),'Adjustment Surface'!$AN$4:$AN$23,1)+IF('Adjustment Surface'!$O9="",-1,1))-'Adjustment Surface'!$O8)*('Adjustment Surface'!AI$3-INDEX('Adjustment Surface'!$AO$3:$BH$3,1,MATCH(('Adjustment Surface'!AI$3),'Adjustment Surface'!$AO$3:$BH$3,1)))+INDEX($AO$4:$BH$23,MATCH(INDEX('Adjustment Surface'!$AN$4:$AN$23,MATCH(('Adjustment Surface'!$O8),'Adjustment Surface'!$AN$4:$AN$23,1)+IF('Adjustment Surface'!$O9="",-1,1)),$AN$4:$AN$23,0),MATCH(INDEX('Adjustment Surface'!$AO$3:$BH$3,1,MATCH(('Adjustment Surface'!AI$3),'Adjustment Surface'!$AO$3:$BH$3,1)+IF('Adjustment Surface'!AJ$3="",-1,1)),$AO$3:$BH$3,0))*('Adjustment Surface'!$O8-INDEX('Adjustment Surface'!$AN$4:$AN$23,MATCH(('Adjustment Surface'!$O8),'Adjustment Surface'!$AN$4:$AN$23,1)))*('Adjustment Surface'!AI$3-INDEX('Adjustment Surface'!$AO$3:$BH$3,1,MATCH(('Adjustment Surface'!AI$3),'Adjustment Surface'!$AO$3:$BH$3,1)))))</f>
        <v/>
      </c>
      <c r="AK8" s="203">
        <f>IF(OR(AK7=IF('Adjustment Surface'!$C$2='Data Validation'!$A$2,_xlfn.FLOOR.MATH(MAX('Bank Adjustments'!$C$4:$C$103),0.5%,2),IF('Adjustment Surface'!$C$2='Data Validation'!$A$3,_xlfn.FLOOR.MATH(MAX('Bank Adjustments'!$M$4:$M$103),0.5%,2),"Uknown Option Type")),AK7=""),"",AK7+0.5%)</f>
        <v>0.04</v>
      </c>
      <c r="AL8" s="204">
        <f>IF(OR(AL7=IF('Adjustment Surface'!$C$2='Data Validation'!$A$2,IF(EDATE('Rate &amp; Vol Update'!$C$2,_xlfn.FLOOR.MATH(DATEDIF('Rate &amp; Vol Update'!$C$2,MAX('Bank Adjustments'!$E$4:$E$103),"M"),3,2))&gt;MAX('Bank Adjustments'!$E$4:$E$103),EDATE('Rate &amp; Vol Update'!$C$2,_xlfn.FLOOR.MATH(DATEDIF('Rate &amp; Vol Update'!$C$2,MAX('Bank Adjustments'!$E$4:$E$103),"M")-3,3,2)),EDATE('Rate &amp; Vol Update'!$C$2,_xlfn.FLOOR.MATH(DATEDIF('Rate &amp; Vol Update'!$C$2,MAX('Bank Adjustments'!$E$4:$E$103),"M"),3,2))),IF('Adjustment Surface'!$C$2='Data Validation'!$A$3,IF(EDATE('Rate &amp; Vol Update'!$C$2,_xlfn.FLOOR.MATH(DATEDIF('Rate &amp; Vol Update'!$C$2,MAX('Bank Adjustments'!$O$4:$O$103),"M"),3,2))&gt;MAX('Bank Adjustments'!$O$4:$O$103),EDATE('Rate &amp; Vol Update'!$C$2,_xlfn.FLOOR.MATH(DATEDIF('Rate &amp; Vol Update'!$C$2,MAX('Bank Adjustments'!$O$4:$O$103),"M")-3,3,2)),EDATE('Rate &amp; Vol Update'!$C$2,_xlfn.FLOOR.MATH(DATEDIF('Rate &amp; Vol Update'!$C$2,MAX('Bank Adjustments'!$O$4:$O$103),"M"),3,2))),"Unkown Option Type")),AL7=""),"",EDATE(AL7,3))</f>
        <v>46794</v>
      </c>
      <c r="AN8" s="176">
        <v>0.06</v>
      </c>
      <c r="AO8" s="180" cm="1">
        <f t="array" ref="AO8">IF(OR(AO$3="",$AN8=""),"",INDEX(IF($C$2='Data Validation'!$A$2,'Bank Adjustments'!$H$4:$H$103,IF('Adjustment Surface'!$C$2='Data Validation'!$A$3,'Bank Adjustments'!$R$4:$R$103,"Unknown Option Type")),MATCH(1,($AN8=IF($C$2='Data Validation'!$A$2,'Bank Adjustments'!$C$4:$C$103,IF('Adjustment Surface'!$C$2='Data Validation'!$A$3,'Bank Adjustments'!$M$4:$M$103,"Unknown Option Type")))*(AO$3=IF($C$2='Data Validation'!$A$2,'Bank Adjustments'!$E$4:$E$103,IF('Adjustment Surface'!$C$2='Data Validation'!$A$3,'Bank Adjustments'!$O$4:$O$103,"Unknown Option Type"))),0)))</f>
        <v>796.94267797378677</v>
      </c>
      <c r="AP8" s="181" cm="1">
        <f t="array" ref="AP8">IF(OR(AP$3="",$AN8=""),"",INDEX(IF($C$2='Data Validation'!$A$2,'Bank Adjustments'!$H$4:$H$103,IF('Adjustment Surface'!$C$2='Data Validation'!$A$3,'Bank Adjustments'!$R$4:$R$103,"Unknown Option Type")),MATCH(1,($AN8=IF($C$2='Data Validation'!$A$2,'Bank Adjustments'!$C$4:$C$103,IF('Adjustment Surface'!$C$2='Data Validation'!$A$3,'Bank Adjustments'!$M$4:$M$103,"Unknown Option Type")))*(AP$3=IF($C$2='Data Validation'!$A$2,'Bank Adjustments'!$E$4:$E$103,IF('Adjustment Surface'!$C$2='Data Validation'!$A$3,'Bank Adjustments'!$O$4:$O$103,"Unknown Option Type"))),0)))</f>
        <v>49.69416385073297</v>
      </c>
      <c r="AQ8" s="181" cm="1">
        <f t="array" ref="AQ8">IF(OR(AQ$3="",$AN8=""),"",INDEX(IF($C$2='Data Validation'!$A$2,'Bank Adjustments'!$H$4:$H$103,IF('Adjustment Surface'!$C$2='Data Validation'!$A$3,'Bank Adjustments'!$R$4:$R$103,"Unknown Option Type")),MATCH(1,($AN8=IF($C$2='Data Validation'!$A$2,'Bank Adjustments'!$C$4:$C$103,IF('Adjustment Surface'!$C$2='Data Validation'!$A$3,'Bank Adjustments'!$M$4:$M$103,"Unknown Option Type")))*(AQ$3=IF($C$2='Data Validation'!$A$2,'Bank Adjustments'!$E$4:$E$103,IF('Adjustment Surface'!$C$2='Data Validation'!$A$3,'Bank Adjustments'!$O$4:$O$103,"Unknown Option Type"))),0)))</f>
        <v>13.267721103964563</v>
      </c>
      <c r="AR8" s="181" t="str" cm="1">
        <f t="array" ref="AR8">IF(OR(AR$3="",$AN8=""),"",INDEX(IF($C$2='Data Validation'!$A$2,'Bank Adjustments'!$H$4:$H$103,IF('Adjustment Surface'!$C$2='Data Validation'!$A$3,'Bank Adjustments'!$R$4:$R$103,"Unknown Option Type")),MATCH(1,($AN8=IF($C$2='Data Validation'!$A$2,'Bank Adjustments'!$C$4:$C$103,IF('Adjustment Surface'!$C$2='Data Validation'!$A$3,'Bank Adjustments'!$M$4:$M$103,"Unknown Option Type")))*(AR$3=IF($C$2='Data Validation'!$A$2,'Bank Adjustments'!$E$4:$E$103,IF('Adjustment Surface'!$C$2='Data Validation'!$A$3,'Bank Adjustments'!$O$4:$O$103,"Unknown Option Type"))),0)))</f>
        <v/>
      </c>
      <c r="AS8" s="181" t="str" cm="1">
        <f t="array" ref="AS8">IF(OR(AS$3="",$AN8=""),"",INDEX(IF($C$2='Data Validation'!$A$2,'Bank Adjustments'!$H$4:$H$103,IF('Adjustment Surface'!$C$2='Data Validation'!$A$3,'Bank Adjustments'!$R$4:$R$103,"Unknown Option Type")),MATCH(1,($AN8=IF($C$2='Data Validation'!$A$2,'Bank Adjustments'!$C$4:$C$103,IF('Adjustment Surface'!$C$2='Data Validation'!$A$3,'Bank Adjustments'!$M$4:$M$103,"Unknown Option Type")))*(AS$3=IF($C$2='Data Validation'!$A$2,'Bank Adjustments'!$E$4:$E$103,IF('Adjustment Surface'!$C$2='Data Validation'!$A$3,'Bank Adjustments'!$O$4:$O$103,"Unknown Option Type"))),0)))</f>
        <v/>
      </c>
      <c r="AT8" s="181" t="str" cm="1">
        <f t="array" ref="AT8">IF(OR(AT$3="",$AN8=""),"",INDEX(IF($C$2='Data Validation'!$A$2,'Bank Adjustments'!$H$4:$H$103,IF('Adjustment Surface'!$C$2='Data Validation'!$A$3,'Bank Adjustments'!$R$4:$R$103,"Unknown Option Type")),MATCH(1,($AN8=IF($C$2='Data Validation'!$A$2,'Bank Adjustments'!$C$4:$C$103,IF('Adjustment Surface'!$C$2='Data Validation'!$A$3,'Bank Adjustments'!$M$4:$M$103,"Unknown Option Type")))*(AT$3=IF($C$2='Data Validation'!$A$2,'Bank Adjustments'!$E$4:$E$103,IF('Adjustment Surface'!$C$2='Data Validation'!$A$3,'Bank Adjustments'!$O$4:$O$103,"Unknown Option Type"))),0)))</f>
        <v/>
      </c>
      <c r="AU8" s="181" t="str" cm="1">
        <f t="array" ref="AU8">IF(OR(AU$3="",$AN8=""),"",INDEX(IF($C$2='Data Validation'!$A$2,'Bank Adjustments'!$H$4:$H$103,IF('Adjustment Surface'!$C$2='Data Validation'!$A$3,'Bank Adjustments'!$R$4:$R$103,"Unknown Option Type")),MATCH(1,($AN8=IF($C$2='Data Validation'!$A$2,'Bank Adjustments'!$C$4:$C$103,IF('Adjustment Surface'!$C$2='Data Validation'!$A$3,'Bank Adjustments'!$M$4:$M$103,"Unknown Option Type")))*(AU$3=IF($C$2='Data Validation'!$A$2,'Bank Adjustments'!$E$4:$E$103,IF('Adjustment Surface'!$C$2='Data Validation'!$A$3,'Bank Adjustments'!$O$4:$O$103,"Unknown Option Type"))),0)))</f>
        <v/>
      </c>
      <c r="AV8" s="181" t="str" cm="1">
        <f t="array" ref="AV8">IF(OR(AV$3="",$AN8=""),"",INDEX(IF($C$2='Data Validation'!$A$2,'Bank Adjustments'!$H$4:$H$103,IF('Adjustment Surface'!$C$2='Data Validation'!$A$3,'Bank Adjustments'!$R$4:$R$103,"Unknown Option Type")),MATCH(1,($AN8=IF($C$2='Data Validation'!$A$2,'Bank Adjustments'!$C$4:$C$103,IF('Adjustment Surface'!$C$2='Data Validation'!$A$3,'Bank Adjustments'!$M$4:$M$103,"Unknown Option Type")))*(AV$3=IF($C$2='Data Validation'!$A$2,'Bank Adjustments'!$E$4:$E$103,IF('Adjustment Surface'!$C$2='Data Validation'!$A$3,'Bank Adjustments'!$O$4:$O$103,"Unknown Option Type"))),0)))</f>
        <v/>
      </c>
      <c r="AW8" s="181" t="str" cm="1">
        <f t="array" ref="AW8">IF(OR(AW$3="",$AN8=""),"",INDEX(IF($C$2='Data Validation'!$A$2,'Bank Adjustments'!$H$4:$H$103,IF('Adjustment Surface'!$C$2='Data Validation'!$A$3,'Bank Adjustments'!$R$4:$R$103,"Unknown Option Type")),MATCH(1,($AN8=IF($C$2='Data Validation'!$A$2,'Bank Adjustments'!$C$4:$C$103,IF('Adjustment Surface'!$C$2='Data Validation'!$A$3,'Bank Adjustments'!$M$4:$M$103,"Unknown Option Type")))*(AW$3=IF($C$2='Data Validation'!$A$2,'Bank Adjustments'!$E$4:$E$103,IF('Adjustment Surface'!$C$2='Data Validation'!$A$3,'Bank Adjustments'!$O$4:$O$103,"Unknown Option Type"))),0)))</f>
        <v/>
      </c>
      <c r="AX8" s="181" t="str" cm="1">
        <f t="array" ref="AX8">IF(OR(AX$3="",$AN8=""),"",INDEX(IF($C$2='Data Validation'!$A$2,'Bank Adjustments'!$H$4:$H$103,IF('Adjustment Surface'!$C$2='Data Validation'!$A$3,'Bank Adjustments'!$R$4:$R$103,"Unknown Option Type")),MATCH(1,($AN8=IF($C$2='Data Validation'!$A$2,'Bank Adjustments'!$C$4:$C$103,IF('Adjustment Surface'!$C$2='Data Validation'!$A$3,'Bank Adjustments'!$M$4:$M$103,"Unknown Option Type")))*(AX$3=IF($C$2='Data Validation'!$A$2,'Bank Adjustments'!$E$4:$E$103,IF('Adjustment Surface'!$C$2='Data Validation'!$A$3,'Bank Adjustments'!$O$4:$O$103,"Unknown Option Type"))),0)))</f>
        <v/>
      </c>
      <c r="AY8" s="181" t="str" cm="1">
        <f t="array" ref="AY8">IF(OR(AY$3="",$AN8=""),"",INDEX(IF($C$2='Data Validation'!$A$2,'Bank Adjustments'!$H$4:$H$103,IF('Adjustment Surface'!$C$2='Data Validation'!$A$3,'Bank Adjustments'!$R$4:$R$103,"Unknown Option Type")),MATCH(1,($AN8=IF($C$2='Data Validation'!$A$2,'Bank Adjustments'!$C$4:$C$103,IF('Adjustment Surface'!$C$2='Data Validation'!$A$3,'Bank Adjustments'!$M$4:$M$103,"Unknown Option Type")))*(AY$3=IF($C$2='Data Validation'!$A$2,'Bank Adjustments'!$E$4:$E$103,IF('Adjustment Surface'!$C$2='Data Validation'!$A$3,'Bank Adjustments'!$O$4:$O$103,"Unknown Option Type"))),0)))</f>
        <v/>
      </c>
      <c r="AZ8" s="181" t="str" cm="1">
        <f t="array" ref="AZ8">IF(OR(AZ$3="",$AN8=""),"",INDEX(IF($C$2='Data Validation'!$A$2,'Bank Adjustments'!$H$4:$H$103,IF('Adjustment Surface'!$C$2='Data Validation'!$A$3,'Bank Adjustments'!$R$4:$R$103,"Unknown Option Type")),MATCH(1,($AN8=IF($C$2='Data Validation'!$A$2,'Bank Adjustments'!$C$4:$C$103,IF('Adjustment Surface'!$C$2='Data Validation'!$A$3,'Bank Adjustments'!$M$4:$M$103,"Unknown Option Type")))*(AZ$3=IF($C$2='Data Validation'!$A$2,'Bank Adjustments'!$E$4:$E$103,IF('Adjustment Surface'!$C$2='Data Validation'!$A$3,'Bank Adjustments'!$O$4:$O$103,"Unknown Option Type"))),0)))</f>
        <v/>
      </c>
      <c r="BA8" s="181" t="str" cm="1">
        <f t="array" ref="BA8">IF(OR(BA$3="",$AN8=""),"",INDEX(IF($C$2='Data Validation'!$A$2,'Bank Adjustments'!$H$4:$H$103,IF('Adjustment Surface'!$C$2='Data Validation'!$A$3,'Bank Adjustments'!$R$4:$R$103,"Unknown Option Type")),MATCH(1,($AN8=IF($C$2='Data Validation'!$A$2,'Bank Adjustments'!$C$4:$C$103,IF('Adjustment Surface'!$C$2='Data Validation'!$A$3,'Bank Adjustments'!$M$4:$M$103,"Unknown Option Type")))*(BA$3=IF($C$2='Data Validation'!$A$2,'Bank Adjustments'!$E$4:$E$103,IF('Adjustment Surface'!$C$2='Data Validation'!$A$3,'Bank Adjustments'!$O$4:$O$103,"Unknown Option Type"))),0)))</f>
        <v/>
      </c>
      <c r="BB8" s="181" t="str" cm="1">
        <f t="array" ref="BB8">IF(OR(BB$3="",$AN8=""),"",INDEX(IF($C$2='Data Validation'!$A$2,'Bank Adjustments'!$H$4:$H$103,IF('Adjustment Surface'!$C$2='Data Validation'!$A$3,'Bank Adjustments'!$R$4:$R$103,"Unknown Option Type")),MATCH(1,($AN8=IF($C$2='Data Validation'!$A$2,'Bank Adjustments'!$C$4:$C$103,IF('Adjustment Surface'!$C$2='Data Validation'!$A$3,'Bank Adjustments'!$M$4:$M$103,"Unknown Option Type")))*(BB$3=IF($C$2='Data Validation'!$A$2,'Bank Adjustments'!$E$4:$E$103,IF('Adjustment Surface'!$C$2='Data Validation'!$A$3,'Bank Adjustments'!$O$4:$O$103,"Unknown Option Type"))),0)))</f>
        <v/>
      </c>
      <c r="BC8" s="181" t="str" cm="1">
        <f t="array" ref="BC8">IF(OR(BC$3="",$AN8=""),"",INDEX(IF($C$2='Data Validation'!$A$2,'Bank Adjustments'!$H$4:$H$103,IF('Adjustment Surface'!$C$2='Data Validation'!$A$3,'Bank Adjustments'!$R$4:$R$103,"Unknown Option Type")),MATCH(1,($AN8=IF($C$2='Data Validation'!$A$2,'Bank Adjustments'!$C$4:$C$103,IF('Adjustment Surface'!$C$2='Data Validation'!$A$3,'Bank Adjustments'!$M$4:$M$103,"Unknown Option Type")))*(BC$3=IF($C$2='Data Validation'!$A$2,'Bank Adjustments'!$E$4:$E$103,IF('Adjustment Surface'!$C$2='Data Validation'!$A$3,'Bank Adjustments'!$O$4:$O$103,"Unknown Option Type"))),0)))</f>
        <v/>
      </c>
      <c r="BD8" s="181" t="str" cm="1">
        <f t="array" ref="BD8">IF(OR(BD$3="",$AN8=""),"",INDEX(IF($C$2='Data Validation'!$A$2,'Bank Adjustments'!$H$4:$H$103,IF('Adjustment Surface'!$C$2='Data Validation'!$A$3,'Bank Adjustments'!$R$4:$R$103,"Unknown Option Type")),MATCH(1,($AN8=IF($C$2='Data Validation'!$A$2,'Bank Adjustments'!$C$4:$C$103,IF('Adjustment Surface'!$C$2='Data Validation'!$A$3,'Bank Adjustments'!$M$4:$M$103,"Unknown Option Type")))*(BD$3=IF($C$2='Data Validation'!$A$2,'Bank Adjustments'!$E$4:$E$103,IF('Adjustment Surface'!$C$2='Data Validation'!$A$3,'Bank Adjustments'!$O$4:$O$103,"Unknown Option Type"))),0)))</f>
        <v/>
      </c>
      <c r="BE8" s="181" t="str" cm="1">
        <f t="array" ref="BE8">IF(OR(BE$3="",$AN8=""),"",INDEX(IF($C$2='Data Validation'!$A$2,'Bank Adjustments'!$H$4:$H$103,IF('Adjustment Surface'!$C$2='Data Validation'!$A$3,'Bank Adjustments'!$R$4:$R$103,"Unknown Option Type")),MATCH(1,($AN8=IF($C$2='Data Validation'!$A$2,'Bank Adjustments'!$C$4:$C$103,IF('Adjustment Surface'!$C$2='Data Validation'!$A$3,'Bank Adjustments'!$M$4:$M$103,"Unknown Option Type")))*(BE$3=IF($C$2='Data Validation'!$A$2,'Bank Adjustments'!$E$4:$E$103,IF('Adjustment Surface'!$C$2='Data Validation'!$A$3,'Bank Adjustments'!$O$4:$O$103,"Unknown Option Type"))),0)))</f>
        <v/>
      </c>
      <c r="BF8" s="181" t="str" cm="1">
        <f t="array" ref="BF8">IF(OR(BF$3="",$AN8=""),"",INDEX(IF($C$2='Data Validation'!$A$2,'Bank Adjustments'!$H$4:$H$103,IF('Adjustment Surface'!$C$2='Data Validation'!$A$3,'Bank Adjustments'!$R$4:$R$103,"Unknown Option Type")),MATCH(1,($AN8=IF($C$2='Data Validation'!$A$2,'Bank Adjustments'!$C$4:$C$103,IF('Adjustment Surface'!$C$2='Data Validation'!$A$3,'Bank Adjustments'!$M$4:$M$103,"Unknown Option Type")))*(BF$3=IF($C$2='Data Validation'!$A$2,'Bank Adjustments'!$E$4:$E$103,IF('Adjustment Surface'!$C$2='Data Validation'!$A$3,'Bank Adjustments'!$O$4:$O$103,"Unknown Option Type"))),0)))</f>
        <v/>
      </c>
      <c r="BG8" s="181" t="str" cm="1">
        <f t="array" ref="BG8">IF(OR(BG$3="",$AN8=""),"",INDEX(IF($C$2='Data Validation'!$A$2,'Bank Adjustments'!$H$4:$H$103,IF('Adjustment Surface'!$C$2='Data Validation'!$A$3,'Bank Adjustments'!$R$4:$R$103,"Unknown Option Type")),MATCH(1,($AN8=IF($C$2='Data Validation'!$A$2,'Bank Adjustments'!$C$4:$C$103,IF('Adjustment Surface'!$C$2='Data Validation'!$A$3,'Bank Adjustments'!$M$4:$M$103,"Unknown Option Type")))*(BG$3=IF($C$2='Data Validation'!$A$2,'Bank Adjustments'!$E$4:$E$103,IF('Adjustment Surface'!$C$2='Data Validation'!$A$3,'Bank Adjustments'!$O$4:$O$103,"Unknown Option Type"))),0)))</f>
        <v/>
      </c>
      <c r="BH8" s="182" t="str" cm="1">
        <f t="array" ref="BH8">IF(OR(BH$3="",$AN8=""),"",INDEX(IF($C$2='Data Validation'!$A$2,'Bank Adjustments'!$H$4:$H$103,IF('Adjustment Surface'!$C$2='Data Validation'!$A$3,'Bank Adjustments'!$R$4:$R$103,"Unknown Option Type")),MATCH(1,($AN8=IF($C$2='Data Validation'!$A$2,'Bank Adjustments'!$C$4:$C$103,IF('Adjustment Surface'!$C$2='Data Validation'!$A$3,'Bank Adjustments'!$M$4:$M$103,"Unknown Option Type")))*(BH$3=IF($C$2='Data Validation'!$A$2,'Bank Adjustments'!$E$4:$E$103,IF('Adjustment Surface'!$C$2='Data Validation'!$A$3,'Bank Adjustments'!$O$4:$O$103,"Unknown Option Type"))),0)))</f>
        <v/>
      </c>
    </row>
    <row r="9" spans="2:61" x14ac:dyDescent="0.25">
      <c r="B9" s="6" t="s">
        <v>24</v>
      </c>
      <c r="C9" s="6" t="str">
        <f>IF('Control Panel'!C3='Data Validation'!J2,#REF!,'Cap and Floor Pricer'!D20)</f>
        <v>Constant</v>
      </c>
      <c r="E9" s="6" t="s">
        <v>54</v>
      </c>
      <c r="F9" s="6" t="str">
        <f>'Control Panel'!C6</f>
        <v>Vega</v>
      </c>
      <c r="H9" s="171">
        <v>46884</v>
      </c>
      <c r="I9" s="61">
        <f t="shared" si="1"/>
        <v>276</v>
      </c>
      <c r="J9" s="212">
        <f t="shared" si="1"/>
        <v>455</v>
      </c>
      <c r="K9" s="212">
        <f t="shared" si="1"/>
        <v>90</v>
      </c>
      <c r="L9" s="212">
        <f t="shared" si="1"/>
        <v>276</v>
      </c>
      <c r="M9" s="63">
        <f t="shared" si="1"/>
        <v>641</v>
      </c>
      <c r="O9" s="176">
        <v>4.4999999999999998E-2</v>
      </c>
      <c r="P9" s="180" cm="1">
        <f t="array" ref="P9">IF(OR(P$3="",$O9=""),"",1/((INDEX('Adjustment Surface'!$AN$4:$AN$23,MATCH(('Adjustment Surface'!$O9),'Adjustment Surface'!$AN$4:$AN$23,1)+IF('Adjustment Surface'!$O10="",-1,1))-INDEX('Adjustment Surface'!$AN$4:$AN$23,MATCH(('Adjustment Surface'!$O9),'Adjustment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Surface'!$O9),'Adjustment Surface'!$AN$4:$AN$23,1)),$AN$4:$AN$23,0),MATCH(INDEX('Adjustment Surface'!$AO$3:$BH$3,1,MATCH(('Adjustment Surface'!P$3),'Adjustment Surface'!$AO$3:$BH$3,1)),$AO$3:$BH$3,0))*(INDEX('Adjustment Surface'!$AN$4:$AN$23,MATCH(('Adjustment Surface'!$O9),'Adjustment Surface'!$AN$4:$AN$23,1)+IF('Adjustment Surface'!$O10="",-1,1))-'Adjustment Surface'!$O9)*(INDEX('Adjustment Surface'!$AO$3:$BH$3,1,MATCH(('Adjustment Surface'!P$3),'Adjustment Surface'!$AO$3:$BH$3,1)+IF('Adjustment Surface'!Q$3="",-1,1))-'Adjustment Surface'!P$3)+INDEX($AO$4:$BH$23,MATCH(INDEX('Adjustment Surface'!$AN$4:$AN$23,MATCH(('Adjustment Surface'!$O9),'Adjustment Surface'!$AN$4:$AN$23,1)+IF('Adjustment Surface'!$O10="",-1,1)),$AN$4:$AN$23,0),MATCH(INDEX('Adjustment Surface'!$AO$3:$BH$3,1,MATCH(('Adjustment Surface'!P$3),'Adjustment Surface'!$AO$3:$BH$3,1)),$AO$3:$BH$3,0))*('Adjustment Surface'!$O9-INDEX('Adjustment Surface'!$AN$4:$AN$23,MATCH(('Adjustment Surface'!$O9),'Adjustment Surface'!$AN$4:$AN$23,1)))*(INDEX('Adjustment Surface'!$AO$3:$BH$3,1,MATCH(('Adjustment Surface'!P$3),'Adjustment Surface'!$AO$3:$BH$3,1)+IF('Adjustment Surface'!Q$3="",-1,1))-'Adjustment Surface'!P$3)+INDEX($AO$4:$BH$23,MATCH(INDEX('Adjustment Surface'!$AN$4:$AN$23,MATCH(('Adjustment Surface'!$O9),'Adjustment Surface'!$AN$4:$AN$23,1)),$AN$4:$AN$23,0),MATCH(INDEX('Adjustment Surface'!$AO$3:$BH$3,1,MATCH(('Adjustment Surface'!P$3),'Adjustment Surface'!$AO$3:$BH$3,1)+IF('Adjustment Surface'!Q$3="",-1,1)),$AO$3:$BH$3,0))*(INDEX('Adjustment Surface'!$AN$4:$AN$23,MATCH(('Adjustment Surface'!$O9),'Adjustment Surface'!$AN$4:$AN$23,1)+IF('Adjustment Surface'!$O10="",-1,1))-'Adjustment Surface'!$O9)*('Adjustment Surface'!P$3-INDEX('Adjustment Surface'!$AO$3:$BH$3,1,MATCH(('Adjustment Surface'!P$3),'Adjustment Surface'!$AO$3:$BH$3,1)))+INDEX($AO$4:$BH$23,MATCH(INDEX('Adjustment Surface'!$AN$4:$AN$23,MATCH(('Adjustment Surface'!$O9),'Adjustment Surface'!$AN$4:$AN$23,1)+IF('Adjustment Surface'!$O10="",-1,1)),$AN$4:$AN$23,0),MATCH(INDEX('Adjustment Surface'!$AO$3:$BH$3,1,MATCH(('Adjustment Surface'!P$3),'Adjustment Surface'!$AO$3:$BH$3,1)+IF('Adjustment Surface'!Q$3="",-1,1)),$AO$3:$BH$3,0))*('Adjustment Surface'!$O9-INDEX('Adjustment Surface'!$AN$4:$AN$23,MATCH(('Adjustment Surface'!$O9),'Adjustment Surface'!$AN$4:$AN$23,1)))*('Adjustment Surface'!P$3-INDEX('Adjustment Surface'!$AO$3:$BH$3,1,MATCH(('Adjustment Surface'!P$3),'Adjustment Surface'!$AO$3:$BH$3,1)))))</f>
        <v>122.14807144900138</v>
      </c>
      <c r="Q9" s="181" cm="1">
        <f t="array" ref="Q9">IF(OR(Q$3="",$O9=""),"",1/((INDEX('Adjustment Surface'!$AN$4:$AN$23,MATCH(('Adjustment Surface'!$O9),'Adjustment Surface'!$AN$4:$AN$23,1)+IF('Adjustment Surface'!$O10="",-1,1))-INDEX('Adjustment Surface'!$AN$4:$AN$23,MATCH(('Adjustment Surface'!$O9),'Adjustment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Surface'!$O9),'Adjustment Surface'!$AN$4:$AN$23,1)),$AN$4:$AN$23,0),MATCH(INDEX('Adjustment Surface'!$AO$3:$BH$3,1,MATCH(('Adjustment Surface'!Q$3),'Adjustment Surface'!$AO$3:$BH$3,1)),$AO$3:$BH$3,0))*(INDEX('Adjustment Surface'!$AN$4:$AN$23,MATCH(('Adjustment Surface'!$O9),'Adjustment Surface'!$AN$4:$AN$23,1)+IF('Adjustment Surface'!$O10="",-1,1))-'Adjustment Surface'!$O9)*(INDEX('Adjustment Surface'!$AO$3:$BH$3,1,MATCH(('Adjustment Surface'!Q$3),'Adjustment Surface'!$AO$3:$BH$3,1)+IF('Adjustment Surface'!R$3="",-1,1))-'Adjustment Surface'!Q$3)+INDEX($AO$4:$BH$23,MATCH(INDEX('Adjustment Surface'!$AN$4:$AN$23,MATCH(('Adjustment Surface'!$O9),'Adjustment Surface'!$AN$4:$AN$23,1)+IF('Adjustment Surface'!$O10="",-1,1)),$AN$4:$AN$23,0),MATCH(INDEX('Adjustment Surface'!$AO$3:$BH$3,1,MATCH(('Adjustment Surface'!Q$3),'Adjustment Surface'!$AO$3:$BH$3,1)),$AO$3:$BH$3,0))*('Adjustment Surface'!$O9-INDEX('Adjustment Surface'!$AN$4:$AN$23,MATCH(('Adjustment Surface'!$O9),'Adjustment Surface'!$AN$4:$AN$23,1)))*(INDEX('Adjustment Surface'!$AO$3:$BH$3,1,MATCH(('Adjustment Surface'!Q$3),'Adjustment Surface'!$AO$3:$BH$3,1)+IF('Adjustment Surface'!R$3="",-1,1))-'Adjustment Surface'!Q$3)+INDEX($AO$4:$BH$23,MATCH(INDEX('Adjustment Surface'!$AN$4:$AN$23,MATCH(('Adjustment Surface'!$O9),'Adjustment Surface'!$AN$4:$AN$23,1)),$AN$4:$AN$23,0),MATCH(INDEX('Adjustment Surface'!$AO$3:$BH$3,1,MATCH(('Adjustment Surface'!Q$3),'Adjustment Surface'!$AO$3:$BH$3,1)+IF('Adjustment Surface'!R$3="",-1,1)),$AO$3:$BH$3,0))*(INDEX('Adjustment Surface'!$AN$4:$AN$23,MATCH(('Adjustment Surface'!$O9),'Adjustment Surface'!$AN$4:$AN$23,1)+IF('Adjustment Surface'!$O10="",-1,1))-'Adjustment Surface'!$O9)*('Adjustment Surface'!Q$3-INDEX('Adjustment Surface'!$AO$3:$BH$3,1,MATCH(('Adjustment Surface'!Q$3),'Adjustment Surface'!$AO$3:$BH$3,1)))+INDEX($AO$4:$BH$23,MATCH(INDEX('Adjustment Surface'!$AN$4:$AN$23,MATCH(('Adjustment Surface'!$O9),'Adjustment Surface'!$AN$4:$AN$23,1)+IF('Adjustment Surface'!$O10="",-1,1)),$AN$4:$AN$23,0),MATCH(INDEX('Adjustment Surface'!$AO$3:$BH$3,1,MATCH(('Adjustment Surface'!Q$3),'Adjustment Surface'!$AO$3:$BH$3,1)+IF('Adjustment Surface'!R$3="",-1,1)),$AO$3:$BH$3,0))*('Adjustment Surface'!$O9-INDEX('Adjustment Surface'!$AN$4:$AN$23,MATCH(('Adjustment Surface'!$O9),'Adjustment Surface'!$AN$4:$AN$23,1)))*('Adjustment Surface'!Q$3-INDEX('Adjustment Surface'!$AO$3:$BH$3,1,MATCH(('Adjustment Surface'!Q$3),'Adjustment Surface'!$AO$3:$BH$3,1)))))</f>
        <v>95.501841521965531</v>
      </c>
      <c r="R9" s="181" cm="1">
        <f t="array" ref="R9">IF(OR(R$3="",$O9=""),"",1/((INDEX('Adjustment Surface'!$AN$4:$AN$23,MATCH(('Adjustment Surface'!$O9),'Adjustment Surface'!$AN$4:$AN$23,1)+IF('Adjustment Surface'!$O10="",-1,1))-INDEX('Adjustment Surface'!$AN$4:$AN$23,MATCH(('Adjustment Surface'!$O9),'Adjustment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Surface'!$O9),'Adjustment Surface'!$AN$4:$AN$23,1)),$AN$4:$AN$23,0),MATCH(INDEX('Adjustment Surface'!$AO$3:$BH$3,1,MATCH(('Adjustment Surface'!R$3),'Adjustment Surface'!$AO$3:$BH$3,1)),$AO$3:$BH$3,0))*(INDEX('Adjustment Surface'!$AN$4:$AN$23,MATCH(('Adjustment Surface'!$O9),'Adjustment Surface'!$AN$4:$AN$23,1)+IF('Adjustment Surface'!$O10="",-1,1))-'Adjustment Surface'!$O9)*(INDEX('Adjustment Surface'!$AO$3:$BH$3,1,MATCH(('Adjustment Surface'!R$3),'Adjustment Surface'!$AO$3:$BH$3,1)+IF('Adjustment Surface'!S$3="",-1,1))-'Adjustment Surface'!R$3)+INDEX($AO$4:$BH$23,MATCH(INDEX('Adjustment Surface'!$AN$4:$AN$23,MATCH(('Adjustment Surface'!$O9),'Adjustment Surface'!$AN$4:$AN$23,1)+IF('Adjustment Surface'!$O10="",-1,1)),$AN$4:$AN$23,0),MATCH(INDEX('Adjustment Surface'!$AO$3:$BH$3,1,MATCH(('Adjustment Surface'!R$3),'Adjustment Surface'!$AO$3:$BH$3,1)),$AO$3:$BH$3,0))*('Adjustment Surface'!$O9-INDEX('Adjustment Surface'!$AN$4:$AN$23,MATCH(('Adjustment Surface'!$O9),'Adjustment Surface'!$AN$4:$AN$23,1)))*(INDEX('Adjustment Surface'!$AO$3:$BH$3,1,MATCH(('Adjustment Surface'!R$3),'Adjustment Surface'!$AO$3:$BH$3,1)+IF('Adjustment Surface'!S$3="",-1,1))-'Adjustment Surface'!R$3)+INDEX($AO$4:$BH$23,MATCH(INDEX('Adjustment Surface'!$AN$4:$AN$23,MATCH(('Adjustment Surface'!$O9),'Adjustment Surface'!$AN$4:$AN$23,1)),$AN$4:$AN$23,0),MATCH(INDEX('Adjustment Surface'!$AO$3:$BH$3,1,MATCH(('Adjustment Surface'!R$3),'Adjustment Surface'!$AO$3:$BH$3,1)+IF('Adjustment Surface'!S$3="",-1,1)),$AO$3:$BH$3,0))*(INDEX('Adjustment Surface'!$AN$4:$AN$23,MATCH(('Adjustment Surface'!$O9),'Adjustment Surface'!$AN$4:$AN$23,1)+IF('Adjustment Surface'!$O10="",-1,1))-'Adjustment Surface'!$O9)*('Adjustment Surface'!R$3-INDEX('Adjustment Surface'!$AO$3:$BH$3,1,MATCH(('Adjustment Surface'!R$3),'Adjustment Surface'!$AO$3:$BH$3,1)))+INDEX($AO$4:$BH$23,MATCH(INDEX('Adjustment Surface'!$AN$4:$AN$23,MATCH(('Adjustment Surface'!$O9),'Adjustment Surface'!$AN$4:$AN$23,1)+IF('Adjustment Surface'!$O10="",-1,1)),$AN$4:$AN$23,0),MATCH(INDEX('Adjustment Surface'!$AO$3:$BH$3,1,MATCH(('Adjustment Surface'!R$3),'Adjustment Surface'!$AO$3:$BH$3,1)+IF('Adjustment Surface'!S$3="",-1,1)),$AO$3:$BH$3,0))*('Adjustment Surface'!$O9-INDEX('Adjustment Surface'!$AN$4:$AN$23,MATCH(('Adjustment Surface'!$O9),'Adjustment Surface'!$AN$4:$AN$23,1)))*('Adjustment Surface'!R$3-INDEX('Adjustment Surface'!$AO$3:$BH$3,1,MATCH(('Adjustment Surface'!R$3),'Adjustment Surface'!$AO$3:$BH$3,1)))))</f>
        <v>67.957424069299222</v>
      </c>
      <c r="S9" s="181" cm="1">
        <f t="array" ref="S9">IF(OR(S$3="",$O9=""),"",1/((INDEX('Adjustment Surface'!$AN$4:$AN$23,MATCH(('Adjustment Surface'!$O9),'Adjustment Surface'!$AN$4:$AN$23,1)+IF('Adjustment Surface'!$O10="",-1,1))-INDEX('Adjustment Surface'!$AN$4:$AN$23,MATCH(('Adjustment Surface'!$O9),'Adjustment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Surface'!$O9),'Adjustment Surface'!$AN$4:$AN$23,1)),$AN$4:$AN$23,0),MATCH(INDEX('Adjustment Surface'!$AO$3:$BH$3,1,MATCH(('Adjustment Surface'!S$3),'Adjustment Surface'!$AO$3:$BH$3,1)),$AO$3:$BH$3,0))*(INDEX('Adjustment Surface'!$AN$4:$AN$23,MATCH(('Adjustment Surface'!$O9),'Adjustment Surface'!$AN$4:$AN$23,1)+IF('Adjustment Surface'!$O10="",-1,1))-'Adjustment Surface'!$O9)*(INDEX('Adjustment Surface'!$AO$3:$BH$3,1,MATCH(('Adjustment Surface'!S$3),'Adjustment Surface'!$AO$3:$BH$3,1)+IF('Adjustment Surface'!T$3="",-1,1))-'Adjustment Surface'!S$3)+INDEX($AO$4:$BH$23,MATCH(INDEX('Adjustment Surface'!$AN$4:$AN$23,MATCH(('Adjustment Surface'!$O9),'Adjustment Surface'!$AN$4:$AN$23,1)+IF('Adjustment Surface'!$O10="",-1,1)),$AN$4:$AN$23,0),MATCH(INDEX('Adjustment Surface'!$AO$3:$BH$3,1,MATCH(('Adjustment Surface'!S$3),'Adjustment Surface'!$AO$3:$BH$3,1)),$AO$3:$BH$3,0))*('Adjustment Surface'!$O9-INDEX('Adjustment Surface'!$AN$4:$AN$23,MATCH(('Adjustment Surface'!$O9),'Adjustment Surface'!$AN$4:$AN$23,1)))*(INDEX('Adjustment Surface'!$AO$3:$BH$3,1,MATCH(('Adjustment Surface'!S$3),'Adjustment Surface'!$AO$3:$BH$3,1)+IF('Adjustment Surface'!T$3="",-1,1))-'Adjustment Surface'!S$3)+INDEX($AO$4:$BH$23,MATCH(INDEX('Adjustment Surface'!$AN$4:$AN$23,MATCH(('Adjustment Surface'!$O9),'Adjustment Surface'!$AN$4:$AN$23,1)),$AN$4:$AN$23,0),MATCH(INDEX('Adjustment Surface'!$AO$3:$BH$3,1,MATCH(('Adjustment Surface'!S$3),'Adjustment Surface'!$AO$3:$BH$3,1)+IF('Adjustment Surface'!T$3="",-1,1)),$AO$3:$BH$3,0))*(INDEX('Adjustment Surface'!$AN$4:$AN$23,MATCH(('Adjustment Surface'!$O9),'Adjustment Surface'!$AN$4:$AN$23,1)+IF('Adjustment Surface'!$O10="",-1,1))-'Adjustment Surface'!$O9)*('Adjustment Surface'!S$3-INDEX('Adjustment Surface'!$AO$3:$BH$3,1,MATCH(('Adjustment Surface'!S$3),'Adjustment Surface'!$AO$3:$BH$3,1)))+INDEX($AO$4:$BH$23,MATCH(INDEX('Adjustment Surface'!$AN$4:$AN$23,MATCH(('Adjustment Surface'!$O9),'Adjustment Surface'!$AN$4:$AN$23,1)+IF('Adjustment Surface'!$O10="",-1,1)),$AN$4:$AN$23,0),MATCH(INDEX('Adjustment Surface'!$AO$3:$BH$3,1,MATCH(('Adjustment Surface'!S$3),'Adjustment Surface'!$AO$3:$BH$3,1)+IF('Adjustment Surface'!T$3="",-1,1)),$AO$3:$BH$3,0))*('Adjustment Surface'!$O9-INDEX('Adjustment Surface'!$AN$4:$AN$23,MATCH(('Adjustment Surface'!$O9),'Adjustment Surface'!$AN$4:$AN$23,1)))*('Adjustment Surface'!S$3-INDEX('Adjustment Surface'!$AO$3:$BH$3,1,MATCH(('Adjustment Surface'!S$3),'Adjustment Surface'!$AO$3:$BH$3,1)))))</f>
        <v>40.41300661663292</v>
      </c>
      <c r="T9" s="181" cm="1">
        <f t="array" ref="T9">IF(OR(T$3="",$O9=""),"",1/((INDEX('Adjustment Surface'!$AN$4:$AN$23,MATCH(('Adjustment Surface'!$O9),'Adjustment Surface'!$AN$4:$AN$23,1)+IF('Adjustment Surface'!$O10="",-1,1))-INDEX('Adjustment Surface'!$AN$4:$AN$23,MATCH(('Adjustment Surface'!$O9),'Adjustment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Surface'!$O9),'Adjustment Surface'!$AN$4:$AN$23,1)),$AN$4:$AN$23,0),MATCH(INDEX('Adjustment Surface'!$AO$3:$BH$3,1,MATCH(('Adjustment Surface'!T$3),'Adjustment Surface'!$AO$3:$BH$3,1)),$AO$3:$BH$3,0))*(INDEX('Adjustment Surface'!$AN$4:$AN$23,MATCH(('Adjustment Surface'!$O9),'Adjustment Surface'!$AN$4:$AN$23,1)+IF('Adjustment Surface'!$O10="",-1,1))-'Adjustment Surface'!$O9)*(INDEX('Adjustment Surface'!$AO$3:$BH$3,1,MATCH(('Adjustment Surface'!T$3),'Adjustment Surface'!$AO$3:$BH$3,1)+IF('Adjustment Surface'!U$3="",-1,1))-'Adjustment Surface'!T$3)+INDEX($AO$4:$BH$23,MATCH(INDEX('Adjustment Surface'!$AN$4:$AN$23,MATCH(('Adjustment Surface'!$O9),'Adjustment Surface'!$AN$4:$AN$23,1)+IF('Adjustment Surface'!$O10="",-1,1)),$AN$4:$AN$23,0),MATCH(INDEX('Adjustment Surface'!$AO$3:$BH$3,1,MATCH(('Adjustment Surface'!T$3),'Adjustment Surface'!$AO$3:$BH$3,1)),$AO$3:$BH$3,0))*('Adjustment Surface'!$O9-INDEX('Adjustment Surface'!$AN$4:$AN$23,MATCH(('Adjustment Surface'!$O9),'Adjustment Surface'!$AN$4:$AN$23,1)))*(INDEX('Adjustment Surface'!$AO$3:$BH$3,1,MATCH(('Adjustment Surface'!T$3),'Adjustment Surface'!$AO$3:$BH$3,1)+IF('Adjustment Surface'!U$3="",-1,1))-'Adjustment Surface'!T$3)+INDEX($AO$4:$BH$23,MATCH(INDEX('Adjustment Surface'!$AN$4:$AN$23,MATCH(('Adjustment Surface'!$O9),'Adjustment Surface'!$AN$4:$AN$23,1)),$AN$4:$AN$23,0),MATCH(INDEX('Adjustment Surface'!$AO$3:$BH$3,1,MATCH(('Adjustment Surface'!T$3),'Adjustment Surface'!$AO$3:$BH$3,1)+IF('Adjustment Surface'!U$3="",-1,1)),$AO$3:$BH$3,0))*(INDEX('Adjustment Surface'!$AN$4:$AN$23,MATCH(('Adjustment Surface'!$O9),'Adjustment Surface'!$AN$4:$AN$23,1)+IF('Adjustment Surface'!$O10="",-1,1))-'Adjustment Surface'!$O9)*('Adjustment Surface'!T$3-INDEX('Adjustment Surface'!$AO$3:$BH$3,1,MATCH(('Adjustment Surface'!T$3),'Adjustment Surface'!$AO$3:$BH$3,1)))+INDEX($AO$4:$BH$23,MATCH(INDEX('Adjustment Surface'!$AN$4:$AN$23,MATCH(('Adjustment Surface'!$O9),'Adjustment Surface'!$AN$4:$AN$23,1)+IF('Adjustment Surface'!$O10="",-1,1)),$AN$4:$AN$23,0),MATCH(INDEX('Adjustment Surface'!$AO$3:$BH$3,1,MATCH(('Adjustment Surface'!T$3),'Adjustment Surface'!$AO$3:$BH$3,1)+IF('Adjustment Surface'!U$3="",-1,1)),$AO$3:$BH$3,0))*('Adjustment Surface'!$O9-INDEX('Adjustment Surface'!$AN$4:$AN$23,MATCH(('Adjustment Surface'!$O9),'Adjustment Surface'!$AN$4:$AN$23,1)))*('Adjustment Surface'!T$3-INDEX('Adjustment Surface'!$AO$3:$BH$3,1,MATCH(('Adjustment Surface'!T$3),'Adjustment Surface'!$AO$3:$BH$3,1)))))</f>
        <v>12.868589163966638</v>
      </c>
      <c r="U9" s="181" cm="1">
        <f t="array" ref="U9">IF(OR(U$3="",$O9=""),"",1/((INDEX('Adjustment Surface'!$AN$4:$AN$23,MATCH(('Adjustment Surface'!$O9),'Adjustment Surface'!$AN$4:$AN$23,1)+IF('Adjustment Surface'!$O10="",-1,1))-INDEX('Adjustment Surface'!$AN$4:$AN$23,MATCH(('Adjustment Surface'!$O9),'Adjustment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Surface'!$O9),'Adjustment Surface'!$AN$4:$AN$23,1)),$AN$4:$AN$23,0),MATCH(INDEX('Adjustment Surface'!$AO$3:$BH$3,1,MATCH(('Adjustment Surface'!U$3),'Adjustment Surface'!$AO$3:$BH$3,1)),$AO$3:$BH$3,0))*(INDEX('Adjustment Surface'!$AN$4:$AN$23,MATCH(('Adjustment Surface'!$O9),'Adjustment Surface'!$AN$4:$AN$23,1)+IF('Adjustment Surface'!$O10="",-1,1))-'Adjustment Surface'!$O9)*(INDEX('Adjustment Surface'!$AO$3:$BH$3,1,MATCH(('Adjustment Surface'!U$3),'Adjustment Surface'!$AO$3:$BH$3,1)+IF('Adjustment Surface'!V$3="",-1,1))-'Adjustment Surface'!U$3)+INDEX($AO$4:$BH$23,MATCH(INDEX('Adjustment Surface'!$AN$4:$AN$23,MATCH(('Adjustment Surface'!$O9),'Adjustment Surface'!$AN$4:$AN$23,1)+IF('Adjustment Surface'!$O10="",-1,1)),$AN$4:$AN$23,0),MATCH(INDEX('Adjustment Surface'!$AO$3:$BH$3,1,MATCH(('Adjustment Surface'!U$3),'Adjustment Surface'!$AO$3:$BH$3,1)),$AO$3:$BH$3,0))*('Adjustment Surface'!$O9-INDEX('Adjustment Surface'!$AN$4:$AN$23,MATCH(('Adjustment Surface'!$O9),'Adjustment Surface'!$AN$4:$AN$23,1)))*(INDEX('Adjustment Surface'!$AO$3:$BH$3,1,MATCH(('Adjustment Surface'!U$3),'Adjustment Surface'!$AO$3:$BH$3,1)+IF('Adjustment Surface'!V$3="",-1,1))-'Adjustment Surface'!U$3)+INDEX($AO$4:$BH$23,MATCH(INDEX('Adjustment Surface'!$AN$4:$AN$23,MATCH(('Adjustment Surface'!$O9),'Adjustment Surface'!$AN$4:$AN$23,1)),$AN$4:$AN$23,0),MATCH(INDEX('Adjustment Surface'!$AO$3:$BH$3,1,MATCH(('Adjustment Surface'!U$3),'Adjustment Surface'!$AO$3:$BH$3,1)+IF('Adjustment Surface'!V$3="",-1,1)),$AO$3:$BH$3,0))*(INDEX('Adjustment Surface'!$AN$4:$AN$23,MATCH(('Adjustment Surface'!$O9),'Adjustment Surface'!$AN$4:$AN$23,1)+IF('Adjustment Surface'!$O10="",-1,1))-'Adjustment Surface'!$O9)*('Adjustment Surface'!U$3-INDEX('Adjustment Surface'!$AO$3:$BH$3,1,MATCH(('Adjustment Surface'!U$3),'Adjustment Surface'!$AO$3:$BH$3,1)))+INDEX($AO$4:$BH$23,MATCH(INDEX('Adjustment Surface'!$AN$4:$AN$23,MATCH(('Adjustment Surface'!$O9),'Adjustment Surface'!$AN$4:$AN$23,1)+IF('Adjustment Surface'!$O10="",-1,1)),$AN$4:$AN$23,0),MATCH(INDEX('Adjustment Surface'!$AO$3:$BH$3,1,MATCH(('Adjustment Surface'!U$3),'Adjustment Surface'!$AO$3:$BH$3,1)+IF('Adjustment Surface'!V$3="",-1,1)),$AO$3:$BH$3,0))*('Adjustment Surface'!$O9-INDEX('Adjustment Surface'!$AN$4:$AN$23,MATCH(('Adjustment Surface'!$O9),'Adjustment Surface'!$AN$4:$AN$23,1)))*('Adjustment Surface'!U$3-INDEX('Adjustment Surface'!$AO$3:$BH$3,1,MATCH(('Adjustment Surface'!U$3),'Adjustment Surface'!$AO$3:$BH$3,1)))))</f>
        <v>12.416787886918264</v>
      </c>
      <c r="V9" s="181" cm="1">
        <f t="array" ref="V9">IF(OR(V$3="",$O9=""),"",1/((INDEX('Adjustment Surface'!$AN$4:$AN$23,MATCH(('Adjustment Surface'!$O9),'Adjustment Surface'!$AN$4:$AN$23,1)+IF('Adjustment Surface'!$O10="",-1,1))-INDEX('Adjustment Surface'!$AN$4:$AN$23,MATCH(('Adjustment Surface'!$O9),'Adjustment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Surface'!$O9),'Adjustment Surface'!$AN$4:$AN$23,1)),$AN$4:$AN$23,0),MATCH(INDEX('Adjustment Surface'!$AO$3:$BH$3,1,MATCH(('Adjustment Surface'!V$3),'Adjustment Surface'!$AO$3:$BH$3,1)),$AO$3:$BH$3,0))*(INDEX('Adjustment Surface'!$AN$4:$AN$23,MATCH(('Adjustment Surface'!$O9),'Adjustment Surface'!$AN$4:$AN$23,1)+IF('Adjustment Surface'!$O10="",-1,1))-'Adjustment Surface'!$O9)*(INDEX('Adjustment Surface'!$AO$3:$BH$3,1,MATCH(('Adjustment Surface'!V$3),'Adjustment Surface'!$AO$3:$BH$3,1)+IF('Adjustment Surface'!W$3="",-1,1))-'Adjustment Surface'!V$3)+INDEX($AO$4:$BH$23,MATCH(INDEX('Adjustment Surface'!$AN$4:$AN$23,MATCH(('Adjustment Surface'!$O9),'Adjustment Surface'!$AN$4:$AN$23,1)+IF('Adjustment Surface'!$O10="",-1,1)),$AN$4:$AN$23,0),MATCH(INDEX('Adjustment Surface'!$AO$3:$BH$3,1,MATCH(('Adjustment Surface'!V$3),'Adjustment Surface'!$AO$3:$BH$3,1)),$AO$3:$BH$3,0))*('Adjustment Surface'!$O9-INDEX('Adjustment Surface'!$AN$4:$AN$23,MATCH(('Adjustment Surface'!$O9),'Adjustment Surface'!$AN$4:$AN$23,1)))*(INDEX('Adjustment Surface'!$AO$3:$BH$3,1,MATCH(('Adjustment Surface'!V$3),'Adjustment Surface'!$AO$3:$BH$3,1)+IF('Adjustment Surface'!W$3="",-1,1))-'Adjustment Surface'!V$3)+INDEX($AO$4:$BH$23,MATCH(INDEX('Adjustment Surface'!$AN$4:$AN$23,MATCH(('Adjustment Surface'!$O9),'Adjustment Surface'!$AN$4:$AN$23,1)),$AN$4:$AN$23,0),MATCH(INDEX('Adjustment Surface'!$AO$3:$BH$3,1,MATCH(('Adjustment Surface'!V$3),'Adjustment Surface'!$AO$3:$BH$3,1)+IF('Adjustment Surface'!W$3="",-1,1)),$AO$3:$BH$3,0))*(INDEX('Adjustment Surface'!$AN$4:$AN$23,MATCH(('Adjustment Surface'!$O9),'Adjustment Surface'!$AN$4:$AN$23,1)+IF('Adjustment Surface'!$O10="",-1,1))-'Adjustment Surface'!$O9)*('Adjustment Surface'!V$3-INDEX('Adjustment Surface'!$AO$3:$BH$3,1,MATCH(('Adjustment Surface'!V$3),'Adjustment Surface'!$AO$3:$BH$3,1)))+INDEX($AO$4:$BH$23,MATCH(INDEX('Adjustment Surface'!$AN$4:$AN$23,MATCH(('Adjustment Surface'!$O9),'Adjustment Surface'!$AN$4:$AN$23,1)+IF('Adjustment Surface'!$O10="",-1,1)),$AN$4:$AN$23,0),MATCH(INDEX('Adjustment Surface'!$AO$3:$BH$3,1,MATCH(('Adjustment Surface'!V$3),'Adjustment Surface'!$AO$3:$BH$3,1)+IF('Adjustment Surface'!W$3="",-1,1)),$AO$3:$BH$3,0))*('Adjustment Surface'!$O9-INDEX('Adjustment Surface'!$AN$4:$AN$23,MATCH(('Adjustment Surface'!$O9),'Adjustment Surface'!$AN$4:$AN$23,1)))*('Adjustment Surface'!V$3-INDEX('Adjustment Surface'!$AO$3:$BH$3,1,MATCH(('Adjustment Surface'!V$3),'Adjustment Surface'!$AO$3:$BH$3,1)))))</f>
        <v>11.954946581491036</v>
      </c>
      <c r="W9" s="181" cm="1">
        <f t="array" ref="W9">IF(OR(W$3="",$O9=""),"",1/((INDEX('Adjustment Surface'!$AN$4:$AN$23,MATCH(('Adjustment Surface'!$O9),'Adjustment Surface'!$AN$4:$AN$23,1)+IF('Adjustment Surface'!$O10="",-1,1))-INDEX('Adjustment Surface'!$AN$4:$AN$23,MATCH(('Adjustment Surface'!$O9),'Adjustment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Surface'!$O9),'Adjustment Surface'!$AN$4:$AN$23,1)),$AN$4:$AN$23,0),MATCH(INDEX('Adjustment Surface'!$AO$3:$BH$3,1,MATCH(('Adjustment Surface'!W$3),'Adjustment Surface'!$AO$3:$BH$3,1)),$AO$3:$BH$3,0))*(INDEX('Adjustment Surface'!$AN$4:$AN$23,MATCH(('Adjustment Surface'!$O9),'Adjustment Surface'!$AN$4:$AN$23,1)+IF('Adjustment Surface'!$O10="",-1,1))-'Adjustment Surface'!$O9)*(INDEX('Adjustment Surface'!$AO$3:$BH$3,1,MATCH(('Adjustment Surface'!W$3),'Adjustment Surface'!$AO$3:$BH$3,1)+IF('Adjustment Surface'!X$3="",-1,1))-'Adjustment Surface'!W$3)+INDEX($AO$4:$BH$23,MATCH(INDEX('Adjustment Surface'!$AN$4:$AN$23,MATCH(('Adjustment Surface'!$O9),'Adjustment Surface'!$AN$4:$AN$23,1)+IF('Adjustment Surface'!$O10="",-1,1)),$AN$4:$AN$23,0),MATCH(INDEX('Adjustment Surface'!$AO$3:$BH$3,1,MATCH(('Adjustment Surface'!W$3),'Adjustment Surface'!$AO$3:$BH$3,1)),$AO$3:$BH$3,0))*('Adjustment Surface'!$O9-INDEX('Adjustment Surface'!$AN$4:$AN$23,MATCH(('Adjustment Surface'!$O9),'Adjustment Surface'!$AN$4:$AN$23,1)))*(INDEX('Adjustment Surface'!$AO$3:$BH$3,1,MATCH(('Adjustment Surface'!W$3),'Adjustment Surface'!$AO$3:$BH$3,1)+IF('Adjustment Surface'!X$3="",-1,1))-'Adjustment Surface'!W$3)+INDEX($AO$4:$BH$23,MATCH(INDEX('Adjustment Surface'!$AN$4:$AN$23,MATCH(('Adjustment Surface'!$O9),'Adjustment Surface'!$AN$4:$AN$23,1)),$AN$4:$AN$23,0),MATCH(INDEX('Adjustment Surface'!$AO$3:$BH$3,1,MATCH(('Adjustment Surface'!W$3),'Adjustment Surface'!$AO$3:$BH$3,1)+IF('Adjustment Surface'!X$3="",-1,1)),$AO$3:$BH$3,0))*(INDEX('Adjustment Surface'!$AN$4:$AN$23,MATCH(('Adjustment Surface'!$O9),'Adjustment Surface'!$AN$4:$AN$23,1)+IF('Adjustment Surface'!$O10="",-1,1))-'Adjustment Surface'!$O9)*('Adjustment Surface'!W$3-INDEX('Adjustment Surface'!$AO$3:$BH$3,1,MATCH(('Adjustment Surface'!W$3),'Adjustment Surface'!$AO$3:$BH$3,1)))+INDEX($AO$4:$BH$23,MATCH(INDEX('Adjustment Surface'!$AN$4:$AN$23,MATCH(('Adjustment Surface'!$O9),'Adjustment Surface'!$AN$4:$AN$23,1)+IF('Adjustment Surface'!$O10="",-1,1)),$AN$4:$AN$23,0),MATCH(INDEX('Adjustment Surface'!$AO$3:$BH$3,1,MATCH(('Adjustment Surface'!W$3),'Adjustment Surface'!$AO$3:$BH$3,1)+IF('Adjustment Surface'!X$3="",-1,1)),$AO$3:$BH$3,0))*('Adjustment Surface'!$O9-INDEX('Adjustment Surface'!$AN$4:$AN$23,MATCH(('Adjustment Surface'!$O9),'Adjustment Surface'!$AN$4:$AN$23,1)))*('Adjustment Surface'!W$3-INDEX('Adjustment Surface'!$AO$3:$BH$3,1,MATCH(('Adjustment Surface'!W$3),'Adjustment Surface'!$AO$3:$BH$3,1)))))</f>
        <v>11.493105276063808</v>
      </c>
      <c r="X9" s="181" cm="1">
        <f t="array" ref="X9">IF(OR(X$3="",$O9=""),"",1/((INDEX('Adjustment Surface'!$AN$4:$AN$23,MATCH(('Adjustment Surface'!$O9),'Adjustment Surface'!$AN$4:$AN$23,1)+IF('Adjustment Surface'!$O10="",-1,1))-INDEX('Adjustment Surface'!$AN$4:$AN$23,MATCH(('Adjustment Surface'!$O9),'Adjustment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Surface'!$O9),'Adjustment Surface'!$AN$4:$AN$23,1)),$AN$4:$AN$23,0),MATCH(INDEX('Adjustment Surface'!$AO$3:$BH$3,1,MATCH(('Adjustment Surface'!X$3),'Adjustment Surface'!$AO$3:$BH$3,1)),$AO$3:$BH$3,0))*(INDEX('Adjustment Surface'!$AN$4:$AN$23,MATCH(('Adjustment Surface'!$O9),'Adjustment Surface'!$AN$4:$AN$23,1)+IF('Adjustment Surface'!$O10="",-1,1))-'Adjustment Surface'!$O9)*(INDEX('Adjustment Surface'!$AO$3:$BH$3,1,MATCH(('Adjustment Surface'!X$3),'Adjustment Surface'!$AO$3:$BH$3,1)+IF('Adjustment Surface'!Y$3="",-1,1))-'Adjustment Surface'!X$3)+INDEX($AO$4:$BH$23,MATCH(INDEX('Adjustment Surface'!$AN$4:$AN$23,MATCH(('Adjustment Surface'!$O9),'Adjustment Surface'!$AN$4:$AN$23,1)+IF('Adjustment Surface'!$O10="",-1,1)),$AN$4:$AN$23,0),MATCH(INDEX('Adjustment Surface'!$AO$3:$BH$3,1,MATCH(('Adjustment Surface'!X$3),'Adjustment Surface'!$AO$3:$BH$3,1)),$AO$3:$BH$3,0))*('Adjustment Surface'!$O9-INDEX('Adjustment Surface'!$AN$4:$AN$23,MATCH(('Adjustment Surface'!$O9),'Adjustment Surface'!$AN$4:$AN$23,1)))*(INDEX('Adjustment Surface'!$AO$3:$BH$3,1,MATCH(('Adjustment Surface'!X$3),'Adjustment Surface'!$AO$3:$BH$3,1)+IF('Adjustment Surface'!Y$3="",-1,1))-'Adjustment Surface'!X$3)+INDEX($AO$4:$BH$23,MATCH(INDEX('Adjustment Surface'!$AN$4:$AN$23,MATCH(('Adjustment Surface'!$O9),'Adjustment Surface'!$AN$4:$AN$23,1)),$AN$4:$AN$23,0),MATCH(INDEX('Adjustment Surface'!$AO$3:$BH$3,1,MATCH(('Adjustment Surface'!X$3),'Adjustment Surface'!$AO$3:$BH$3,1)+IF('Adjustment Surface'!Y$3="",-1,1)),$AO$3:$BH$3,0))*(INDEX('Adjustment Surface'!$AN$4:$AN$23,MATCH(('Adjustment Surface'!$O9),'Adjustment Surface'!$AN$4:$AN$23,1)+IF('Adjustment Surface'!$O10="",-1,1))-'Adjustment Surface'!$O9)*('Adjustment Surface'!X$3-INDEX('Adjustment Surface'!$AO$3:$BH$3,1,MATCH(('Adjustment Surface'!X$3),'Adjustment Surface'!$AO$3:$BH$3,1)))+INDEX($AO$4:$BH$23,MATCH(INDEX('Adjustment Surface'!$AN$4:$AN$23,MATCH(('Adjustment Surface'!$O9),'Adjustment Surface'!$AN$4:$AN$23,1)+IF('Adjustment Surface'!$O10="",-1,1)),$AN$4:$AN$23,0),MATCH(INDEX('Adjustment Surface'!$AO$3:$BH$3,1,MATCH(('Adjustment Surface'!X$3),'Adjustment Surface'!$AO$3:$BH$3,1)+IF('Adjustment Surface'!Y$3="",-1,1)),$AO$3:$BH$3,0))*('Adjustment Surface'!$O9-INDEX('Adjustment Surface'!$AN$4:$AN$23,MATCH(('Adjustment Surface'!$O9),'Adjustment Surface'!$AN$4:$AN$23,1)))*('Adjustment Surface'!X$3-INDEX('Adjustment Surface'!$AO$3:$BH$3,1,MATCH(('Adjustment Surface'!X$3),'Adjustment Surface'!$AO$3:$BH$3,1)))))</f>
        <v>11.031263970636578</v>
      </c>
      <c r="Y9" s="181" t="str" cm="1">
        <f t="array" ref="Y9">IF(OR(Y$3="",$O9=""),"",1/((INDEX('Adjustment Surface'!$AN$4:$AN$23,MATCH(('Adjustment Surface'!$O9),'Adjustment Surface'!$AN$4:$AN$23,1)+IF('Adjustment Surface'!$O10="",-1,1))-INDEX('Adjustment Surface'!$AN$4:$AN$23,MATCH(('Adjustment Surface'!$O9),'Adjustment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Surface'!$O9),'Adjustment Surface'!$AN$4:$AN$23,1)),$AN$4:$AN$23,0),MATCH(INDEX('Adjustment Surface'!$AO$3:$BH$3,1,MATCH(('Adjustment Surface'!Y$3),'Adjustment Surface'!$AO$3:$BH$3,1)),$AO$3:$BH$3,0))*(INDEX('Adjustment Surface'!$AN$4:$AN$23,MATCH(('Adjustment Surface'!$O9),'Adjustment Surface'!$AN$4:$AN$23,1)+IF('Adjustment Surface'!$O10="",-1,1))-'Adjustment Surface'!$O9)*(INDEX('Adjustment Surface'!$AO$3:$BH$3,1,MATCH(('Adjustment Surface'!Y$3),'Adjustment Surface'!$AO$3:$BH$3,1)+IF('Adjustment Surface'!Z$3="",-1,1))-'Adjustment Surface'!Y$3)+INDEX($AO$4:$BH$23,MATCH(INDEX('Adjustment Surface'!$AN$4:$AN$23,MATCH(('Adjustment Surface'!$O9),'Adjustment Surface'!$AN$4:$AN$23,1)+IF('Adjustment Surface'!$O10="",-1,1)),$AN$4:$AN$23,0),MATCH(INDEX('Adjustment Surface'!$AO$3:$BH$3,1,MATCH(('Adjustment Surface'!Y$3),'Adjustment Surface'!$AO$3:$BH$3,1)),$AO$3:$BH$3,0))*('Adjustment Surface'!$O9-INDEX('Adjustment Surface'!$AN$4:$AN$23,MATCH(('Adjustment Surface'!$O9),'Adjustment Surface'!$AN$4:$AN$23,1)))*(INDEX('Adjustment Surface'!$AO$3:$BH$3,1,MATCH(('Adjustment Surface'!Y$3),'Adjustment Surface'!$AO$3:$BH$3,1)+IF('Adjustment Surface'!Z$3="",-1,1))-'Adjustment Surface'!Y$3)+INDEX($AO$4:$BH$23,MATCH(INDEX('Adjustment Surface'!$AN$4:$AN$23,MATCH(('Adjustment Surface'!$O9),'Adjustment Surface'!$AN$4:$AN$23,1)),$AN$4:$AN$23,0),MATCH(INDEX('Adjustment Surface'!$AO$3:$BH$3,1,MATCH(('Adjustment Surface'!Y$3),'Adjustment Surface'!$AO$3:$BH$3,1)+IF('Adjustment Surface'!Z$3="",-1,1)),$AO$3:$BH$3,0))*(INDEX('Adjustment Surface'!$AN$4:$AN$23,MATCH(('Adjustment Surface'!$O9),'Adjustment Surface'!$AN$4:$AN$23,1)+IF('Adjustment Surface'!$O10="",-1,1))-'Adjustment Surface'!$O9)*('Adjustment Surface'!Y$3-INDEX('Adjustment Surface'!$AO$3:$BH$3,1,MATCH(('Adjustment Surface'!Y$3),'Adjustment Surface'!$AO$3:$BH$3,1)))+INDEX($AO$4:$BH$23,MATCH(INDEX('Adjustment Surface'!$AN$4:$AN$23,MATCH(('Adjustment Surface'!$O9),'Adjustment Surface'!$AN$4:$AN$23,1)+IF('Adjustment Surface'!$O10="",-1,1)),$AN$4:$AN$23,0),MATCH(INDEX('Adjustment Surface'!$AO$3:$BH$3,1,MATCH(('Adjustment Surface'!Y$3),'Adjustment Surface'!$AO$3:$BH$3,1)+IF('Adjustment Surface'!Z$3="",-1,1)),$AO$3:$BH$3,0))*('Adjustment Surface'!$O9-INDEX('Adjustment Surface'!$AN$4:$AN$23,MATCH(('Adjustment Surface'!$O9),'Adjustment Surface'!$AN$4:$AN$23,1)))*('Adjustment Surface'!Y$3-INDEX('Adjustment Surface'!$AO$3:$BH$3,1,MATCH(('Adjustment Surface'!Y$3),'Adjustment Surface'!$AO$3:$BH$3,1)))))</f>
        <v/>
      </c>
      <c r="Z9" s="181" t="str" cm="1">
        <f t="array" ref="Z9">IF(OR(Z$3="",$O9=""),"",1/((INDEX('Adjustment Surface'!$AN$4:$AN$23,MATCH(('Adjustment Surface'!$O9),'Adjustment Surface'!$AN$4:$AN$23,1)+IF('Adjustment Surface'!$O10="",-1,1))-INDEX('Adjustment Surface'!$AN$4:$AN$23,MATCH(('Adjustment Surface'!$O9),'Adjustment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Surface'!$O9),'Adjustment Surface'!$AN$4:$AN$23,1)),$AN$4:$AN$23,0),MATCH(INDEX('Adjustment Surface'!$AO$3:$BH$3,1,MATCH(('Adjustment Surface'!Z$3),'Adjustment Surface'!$AO$3:$BH$3,1)),$AO$3:$BH$3,0))*(INDEX('Adjustment Surface'!$AN$4:$AN$23,MATCH(('Adjustment Surface'!$O9),'Adjustment Surface'!$AN$4:$AN$23,1)+IF('Adjustment Surface'!$O10="",-1,1))-'Adjustment Surface'!$O9)*(INDEX('Adjustment Surface'!$AO$3:$BH$3,1,MATCH(('Adjustment Surface'!Z$3),'Adjustment Surface'!$AO$3:$BH$3,1)+IF('Adjustment Surface'!AA$3="",-1,1))-'Adjustment Surface'!Z$3)+INDEX($AO$4:$BH$23,MATCH(INDEX('Adjustment Surface'!$AN$4:$AN$23,MATCH(('Adjustment Surface'!$O9),'Adjustment Surface'!$AN$4:$AN$23,1)+IF('Adjustment Surface'!$O10="",-1,1)),$AN$4:$AN$23,0),MATCH(INDEX('Adjustment Surface'!$AO$3:$BH$3,1,MATCH(('Adjustment Surface'!Z$3),'Adjustment Surface'!$AO$3:$BH$3,1)),$AO$3:$BH$3,0))*('Adjustment Surface'!$O9-INDEX('Adjustment Surface'!$AN$4:$AN$23,MATCH(('Adjustment Surface'!$O9),'Adjustment Surface'!$AN$4:$AN$23,1)))*(INDEX('Adjustment Surface'!$AO$3:$BH$3,1,MATCH(('Adjustment Surface'!Z$3),'Adjustment Surface'!$AO$3:$BH$3,1)+IF('Adjustment Surface'!AA$3="",-1,1))-'Adjustment Surface'!Z$3)+INDEX($AO$4:$BH$23,MATCH(INDEX('Adjustment Surface'!$AN$4:$AN$23,MATCH(('Adjustment Surface'!$O9),'Adjustment Surface'!$AN$4:$AN$23,1)),$AN$4:$AN$23,0),MATCH(INDEX('Adjustment Surface'!$AO$3:$BH$3,1,MATCH(('Adjustment Surface'!Z$3),'Adjustment Surface'!$AO$3:$BH$3,1)+IF('Adjustment Surface'!AA$3="",-1,1)),$AO$3:$BH$3,0))*(INDEX('Adjustment Surface'!$AN$4:$AN$23,MATCH(('Adjustment Surface'!$O9),'Adjustment Surface'!$AN$4:$AN$23,1)+IF('Adjustment Surface'!$O10="",-1,1))-'Adjustment Surface'!$O9)*('Adjustment Surface'!Z$3-INDEX('Adjustment Surface'!$AO$3:$BH$3,1,MATCH(('Adjustment Surface'!Z$3),'Adjustment Surface'!$AO$3:$BH$3,1)))+INDEX($AO$4:$BH$23,MATCH(INDEX('Adjustment Surface'!$AN$4:$AN$23,MATCH(('Adjustment Surface'!$O9),'Adjustment Surface'!$AN$4:$AN$23,1)+IF('Adjustment Surface'!$O10="",-1,1)),$AN$4:$AN$23,0),MATCH(INDEX('Adjustment Surface'!$AO$3:$BH$3,1,MATCH(('Adjustment Surface'!Z$3),'Adjustment Surface'!$AO$3:$BH$3,1)+IF('Adjustment Surface'!AA$3="",-1,1)),$AO$3:$BH$3,0))*('Adjustment Surface'!$O9-INDEX('Adjustment Surface'!$AN$4:$AN$23,MATCH(('Adjustment Surface'!$O9),'Adjustment Surface'!$AN$4:$AN$23,1)))*('Adjustment Surface'!Z$3-INDEX('Adjustment Surface'!$AO$3:$BH$3,1,MATCH(('Adjustment Surface'!Z$3),'Adjustment Surface'!$AO$3:$BH$3,1)))))</f>
        <v/>
      </c>
      <c r="AA9" s="181" t="str" cm="1">
        <f t="array" ref="AA9">IF(OR(AA$3="",$O9=""),"",1/((INDEX('Adjustment Surface'!$AN$4:$AN$23,MATCH(('Adjustment Surface'!$O9),'Adjustment Surface'!$AN$4:$AN$23,1)+IF('Adjustment Surface'!$O10="",-1,1))-INDEX('Adjustment Surface'!$AN$4:$AN$23,MATCH(('Adjustment Surface'!$O9),'Adjustment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Surface'!$O9),'Adjustment Surface'!$AN$4:$AN$23,1)),$AN$4:$AN$23,0),MATCH(INDEX('Adjustment Surface'!$AO$3:$BH$3,1,MATCH(('Adjustment Surface'!AA$3),'Adjustment Surface'!$AO$3:$BH$3,1)),$AO$3:$BH$3,0))*(INDEX('Adjustment Surface'!$AN$4:$AN$23,MATCH(('Adjustment Surface'!$O9),'Adjustment Surface'!$AN$4:$AN$23,1)+IF('Adjustment Surface'!$O10="",-1,1))-'Adjustment Surface'!$O9)*(INDEX('Adjustment Surface'!$AO$3:$BH$3,1,MATCH(('Adjustment Surface'!AA$3),'Adjustment Surface'!$AO$3:$BH$3,1)+IF('Adjustment Surface'!AB$3="",-1,1))-'Adjustment Surface'!AA$3)+INDEX($AO$4:$BH$23,MATCH(INDEX('Adjustment Surface'!$AN$4:$AN$23,MATCH(('Adjustment Surface'!$O9),'Adjustment Surface'!$AN$4:$AN$23,1)+IF('Adjustment Surface'!$O10="",-1,1)),$AN$4:$AN$23,0),MATCH(INDEX('Adjustment Surface'!$AO$3:$BH$3,1,MATCH(('Adjustment Surface'!AA$3),'Adjustment Surface'!$AO$3:$BH$3,1)),$AO$3:$BH$3,0))*('Adjustment Surface'!$O9-INDEX('Adjustment Surface'!$AN$4:$AN$23,MATCH(('Adjustment Surface'!$O9),'Adjustment Surface'!$AN$4:$AN$23,1)))*(INDEX('Adjustment Surface'!$AO$3:$BH$3,1,MATCH(('Adjustment Surface'!AA$3),'Adjustment Surface'!$AO$3:$BH$3,1)+IF('Adjustment Surface'!AB$3="",-1,1))-'Adjustment Surface'!AA$3)+INDEX($AO$4:$BH$23,MATCH(INDEX('Adjustment Surface'!$AN$4:$AN$23,MATCH(('Adjustment Surface'!$O9),'Adjustment Surface'!$AN$4:$AN$23,1)),$AN$4:$AN$23,0),MATCH(INDEX('Adjustment Surface'!$AO$3:$BH$3,1,MATCH(('Adjustment Surface'!AA$3),'Adjustment Surface'!$AO$3:$BH$3,1)+IF('Adjustment Surface'!AB$3="",-1,1)),$AO$3:$BH$3,0))*(INDEX('Adjustment Surface'!$AN$4:$AN$23,MATCH(('Adjustment Surface'!$O9),'Adjustment Surface'!$AN$4:$AN$23,1)+IF('Adjustment Surface'!$O10="",-1,1))-'Adjustment Surface'!$O9)*('Adjustment Surface'!AA$3-INDEX('Adjustment Surface'!$AO$3:$BH$3,1,MATCH(('Adjustment Surface'!AA$3),'Adjustment Surface'!$AO$3:$BH$3,1)))+INDEX($AO$4:$BH$23,MATCH(INDEX('Adjustment Surface'!$AN$4:$AN$23,MATCH(('Adjustment Surface'!$O9),'Adjustment Surface'!$AN$4:$AN$23,1)+IF('Adjustment Surface'!$O10="",-1,1)),$AN$4:$AN$23,0),MATCH(INDEX('Adjustment Surface'!$AO$3:$BH$3,1,MATCH(('Adjustment Surface'!AA$3),'Adjustment Surface'!$AO$3:$BH$3,1)+IF('Adjustment Surface'!AB$3="",-1,1)),$AO$3:$BH$3,0))*('Adjustment Surface'!$O9-INDEX('Adjustment Surface'!$AN$4:$AN$23,MATCH(('Adjustment Surface'!$O9),'Adjustment Surface'!$AN$4:$AN$23,1)))*('Adjustment Surface'!AA$3-INDEX('Adjustment Surface'!$AO$3:$BH$3,1,MATCH(('Adjustment Surface'!AA$3),'Adjustment Surface'!$AO$3:$BH$3,1)))))</f>
        <v/>
      </c>
      <c r="AB9" s="181" t="str" cm="1">
        <f t="array" ref="AB9">IF(OR(AB$3="",$O9=""),"",1/((INDEX('Adjustment Surface'!$AN$4:$AN$23,MATCH(('Adjustment Surface'!$O9),'Adjustment Surface'!$AN$4:$AN$23,1)+IF('Adjustment Surface'!$O10="",-1,1))-INDEX('Adjustment Surface'!$AN$4:$AN$23,MATCH(('Adjustment Surface'!$O9),'Adjustment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Surface'!$O9),'Adjustment Surface'!$AN$4:$AN$23,1)),$AN$4:$AN$23,0),MATCH(INDEX('Adjustment Surface'!$AO$3:$BH$3,1,MATCH(('Adjustment Surface'!AB$3),'Adjustment Surface'!$AO$3:$BH$3,1)),$AO$3:$BH$3,0))*(INDEX('Adjustment Surface'!$AN$4:$AN$23,MATCH(('Adjustment Surface'!$O9),'Adjustment Surface'!$AN$4:$AN$23,1)+IF('Adjustment Surface'!$O10="",-1,1))-'Adjustment Surface'!$O9)*(INDEX('Adjustment Surface'!$AO$3:$BH$3,1,MATCH(('Adjustment Surface'!AB$3),'Adjustment Surface'!$AO$3:$BH$3,1)+IF('Adjustment Surface'!AC$3="",-1,1))-'Adjustment Surface'!AB$3)+INDEX($AO$4:$BH$23,MATCH(INDEX('Adjustment Surface'!$AN$4:$AN$23,MATCH(('Adjustment Surface'!$O9),'Adjustment Surface'!$AN$4:$AN$23,1)+IF('Adjustment Surface'!$O10="",-1,1)),$AN$4:$AN$23,0),MATCH(INDEX('Adjustment Surface'!$AO$3:$BH$3,1,MATCH(('Adjustment Surface'!AB$3),'Adjustment Surface'!$AO$3:$BH$3,1)),$AO$3:$BH$3,0))*('Adjustment Surface'!$O9-INDEX('Adjustment Surface'!$AN$4:$AN$23,MATCH(('Adjustment Surface'!$O9),'Adjustment Surface'!$AN$4:$AN$23,1)))*(INDEX('Adjustment Surface'!$AO$3:$BH$3,1,MATCH(('Adjustment Surface'!AB$3),'Adjustment Surface'!$AO$3:$BH$3,1)+IF('Adjustment Surface'!AC$3="",-1,1))-'Adjustment Surface'!AB$3)+INDEX($AO$4:$BH$23,MATCH(INDEX('Adjustment Surface'!$AN$4:$AN$23,MATCH(('Adjustment Surface'!$O9),'Adjustment Surface'!$AN$4:$AN$23,1)),$AN$4:$AN$23,0),MATCH(INDEX('Adjustment Surface'!$AO$3:$BH$3,1,MATCH(('Adjustment Surface'!AB$3),'Adjustment Surface'!$AO$3:$BH$3,1)+IF('Adjustment Surface'!AC$3="",-1,1)),$AO$3:$BH$3,0))*(INDEX('Adjustment Surface'!$AN$4:$AN$23,MATCH(('Adjustment Surface'!$O9),'Adjustment Surface'!$AN$4:$AN$23,1)+IF('Adjustment Surface'!$O10="",-1,1))-'Adjustment Surface'!$O9)*('Adjustment Surface'!AB$3-INDEX('Adjustment Surface'!$AO$3:$BH$3,1,MATCH(('Adjustment Surface'!AB$3),'Adjustment Surface'!$AO$3:$BH$3,1)))+INDEX($AO$4:$BH$23,MATCH(INDEX('Adjustment Surface'!$AN$4:$AN$23,MATCH(('Adjustment Surface'!$O9),'Adjustment Surface'!$AN$4:$AN$23,1)+IF('Adjustment Surface'!$O10="",-1,1)),$AN$4:$AN$23,0),MATCH(INDEX('Adjustment Surface'!$AO$3:$BH$3,1,MATCH(('Adjustment Surface'!AB$3),'Adjustment Surface'!$AO$3:$BH$3,1)+IF('Adjustment Surface'!AC$3="",-1,1)),$AO$3:$BH$3,0))*('Adjustment Surface'!$O9-INDEX('Adjustment Surface'!$AN$4:$AN$23,MATCH(('Adjustment Surface'!$O9),'Adjustment Surface'!$AN$4:$AN$23,1)))*('Adjustment Surface'!AB$3-INDEX('Adjustment Surface'!$AO$3:$BH$3,1,MATCH(('Adjustment Surface'!AB$3),'Adjustment Surface'!$AO$3:$BH$3,1)))))</f>
        <v/>
      </c>
      <c r="AC9" s="181" t="str" cm="1">
        <f t="array" ref="AC9">IF(OR(AC$3="",$O9=""),"",1/((INDEX('Adjustment Surface'!$AN$4:$AN$23,MATCH(('Adjustment Surface'!$O9),'Adjustment Surface'!$AN$4:$AN$23,1)+IF('Adjustment Surface'!$O10="",-1,1))-INDEX('Adjustment Surface'!$AN$4:$AN$23,MATCH(('Adjustment Surface'!$O9),'Adjustment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Surface'!$O9),'Adjustment Surface'!$AN$4:$AN$23,1)),$AN$4:$AN$23,0),MATCH(INDEX('Adjustment Surface'!$AO$3:$BH$3,1,MATCH(('Adjustment Surface'!AC$3),'Adjustment Surface'!$AO$3:$BH$3,1)),$AO$3:$BH$3,0))*(INDEX('Adjustment Surface'!$AN$4:$AN$23,MATCH(('Adjustment Surface'!$O9),'Adjustment Surface'!$AN$4:$AN$23,1)+IF('Adjustment Surface'!$O10="",-1,1))-'Adjustment Surface'!$O9)*(INDEX('Adjustment Surface'!$AO$3:$BH$3,1,MATCH(('Adjustment Surface'!AC$3),'Adjustment Surface'!$AO$3:$BH$3,1)+IF('Adjustment Surface'!AD$3="",-1,1))-'Adjustment Surface'!AC$3)+INDEX($AO$4:$BH$23,MATCH(INDEX('Adjustment Surface'!$AN$4:$AN$23,MATCH(('Adjustment Surface'!$O9),'Adjustment Surface'!$AN$4:$AN$23,1)+IF('Adjustment Surface'!$O10="",-1,1)),$AN$4:$AN$23,0),MATCH(INDEX('Adjustment Surface'!$AO$3:$BH$3,1,MATCH(('Adjustment Surface'!AC$3),'Adjustment Surface'!$AO$3:$BH$3,1)),$AO$3:$BH$3,0))*('Adjustment Surface'!$O9-INDEX('Adjustment Surface'!$AN$4:$AN$23,MATCH(('Adjustment Surface'!$O9),'Adjustment Surface'!$AN$4:$AN$23,1)))*(INDEX('Adjustment Surface'!$AO$3:$BH$3,1,MATCH(('Adjustment Surface'!AC$3),'Adjustment Surface'!$AO$3:$BH$3,1)+IF('Adjustment Surface'!AD$3="",-1,1))-'Adjustment Surface'!AC$3)+INDEX($AO$4:$BH$23,MATCH(INDEX('Adjustment Surface'!$AN$4:$AN$23,MATCH(('Adjustment Surface'!$O9),'Adjustment Surface'!$AN$4:$AN$23,1)),$AN$4:$AN$23,0),MATCH(INDEX('Adjustment Surface'!$AO$3:$BH$3,1,MATCH(('Adjustment Surface'!AC$3),'Adjustment Surface'!$AO$3:$BH$3,1)+IF('Adjustment Surface'!AD$3="",-1,1)),$AO$3:$BH$3,0))*(INDEX('Adjustment Surface'!$AN$4:$AN$23,MATCH(('Adjustment Surface'!$O9),'Adjustment Surface'!$AN$4:$AN$23,1)+IF('Adjustment Surface'!$O10="",-1,1))-'Adjustment Surface'!$O9)*('Adjustment Surface'!AC$3-INDEX('Adjustment Surface'!$AO$3:$BH$3,1,MATCH(('Adjustment Surface'!AC$3),'Adjustment Surface'!$AO$3:$BH$3,1)))+INDEX($AO$4:$BH$23,MATCH(INDEX('Adjustment Surface'!$AN$4:$AN$23,MATCH(('Adjustment Surface'!$O9),'Adjustment Surface'!$AN$4:$AN$23,1)+IF('Adjustment Surface'!$O10="",-1,1)),$AN$4:$AN$23,0),MATCH(INDEX('Adjustment Surface'!$AO$3:$BH$3,1,MATCH(('Adjustment Surface'!AC$3),'Adjustment Surface'!$AO$3:$BH$3,1)+IF('Adjustment Surface'!AD$3="",-1,1)),$AO$3:$BH$3,0))*('Adjustment Surface'!$O9-INDEX('Adjustment Surface'!$AN$4:$AN$23,MATCH(('Adjustment Surface'!$O9),'Adjustment Surface'!$AN$4:$AN$23,1)))*('Adjustment Surface'!AC$3-INDEX('Adjustment Surface'!$AO$3:$BH$3,1,MATCH(('Adjustment Surface'!AC$3),'Adjustment Surface'!$AO$3:$BH$3,1)))))</f>
        <v/>
      </c>
      <c r="AD9" s="181" t="str" cm="1">
        <f t="array" ref="AD9">IF(OR(AD$3="",$O9=""),"",1/((INDEX('Adjustment Surface'!$AN$4:$AN$23,MATCH(('Adjustment Surface'!$O9),'Adjustment Surface'!$AN$4:$AN$23,1)+IF('Adjustment Surface'!$O10="",-1,1))-INDEX('Adjustment Surface'!$AN$4:$AN$23,MATCH(('Adjustment Surface'!$O9),'Adjustment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Surface'!$O9),'Adjustment Surface'!$AN$4:$AN$23,1)),$AN$4:$AN$23,0),MATCH(INDEX('Adjustment Surface'!$AO$3:$BH$3,1,MATCH(('Adjustment Surface'!AD$3),'Adjustment Surface'!$AO$3:$BH$3,1)),$AO$3:$BH$3,0))*(INDEX('Adjustment Surface'!$AN$4:$AN$23,MATCH(('Adjustment Surface'!$O9),'Adjustment Surface'!$AN$4:$AN$23,1)+IF('Adjustment Surface'!$O10="",-1,1))-'Adjustment Surface'!$O9)*(INDEX('Adjustment Surface'!$AO$3:$BH$3,1,MATCH(('Adjustment Surface'!AD$3),'Adjustment Surface'!$AO$3:$BH$3,1)+IF('Adjustment Surface'!AE$3="",-1,1))-'Adjustment Surface'!AD$3)+INDEX($AO$4:$BH$23,MATCH(INDEX('Adjustment Surface'!$AN$4:$AN$23,MATCH(('Adjustment Surface'!$O9),'Adjustment Surface'!$AN$4:$AN$23,1)+IF('Adjustment Surface'!$O10="",-1,1)),$AN$4:$AN$23,0),MATCH(INDEX('Adjustment Surface'!$AO$3:$BH$3,1,MATCH(('Adjustment Surface'!AD$3),'Adjustment Surface'!$AO$3:$BH$3,1)),$AO$3:$BH$3,0))*('Adjustment Surface'!$O9-INDEX('Adjustment Surface'!$AN$4:$AN$23,MATCH(('Adjustment Surface'!$O9),'Adjustment Surface'!$AN$4:$AN$23,1)))*(INDEX('Adjustment Surface'!$AO$3:$BH$3,1,MATCH(('Adjustment Surface'!AD$3),'Adjustment Surface'!$AO$3:$BH$3,1)+IF('Adjustment Surface'!AE$3="",-1,1))-'Adjustment Surface'!AD$3)+INDEX($AO$4:$BH$23,MATCH(INDEX('Adjustment Surface'!$AN$4:$AN$23,MATCH(('Adjustment Surface'!$O9),'Adjustment Surface'!$AN$4:$AN$23,1)),$AN$4:$AN$23,0),MATCH(INDEX('Adjustment Surface'!$AO$3:$BH$3,1,MATCH(('Adjustment Surface'!AD$3),'Adjustment Surface'!$AO$3:$BH$3,1)+IF('Adjustment Surface'!AE$3="",-1,1)),$AO$3:$BH$3,0))*(INDEX('Adjustment Surface'!$AN$4:$AN$23,MATCH(('Adjustment Surface'!$O9),'Adjustment Surface'!$AN$4:$AN$23,1)+IF('Adjustment Surface'!$O10="",-1,1))-'Adjustment Surface'!$O9)*('Adjustment Surface'!AD$3-INDEX('Adjustment Surface'!$AO$3:$BH$3,1,MATCH(('Adjustment Surface'!AD$3),'Adjustment Surface'!$AO$3:$BH$3,1)))+INDEX($AO$4:$BH$23,MATCH(INDEX('Adjustment Surface'!$AN$4:$AN$23,MATCH(('Adjustment Surface'!$O9),'Adjustment Surface'!$AN$4:$AN$23,1)+IF('Adjustment Surface'!$O10="",-1,1)),$AN$4:$AN$23,0),MATCH(INDEX('Adjustment Surface'!$AO$3:$BH$3,1,MATCH(('Adjustment Surface'!AD$3),'Adjustment Surface'!$AO$3:$BH$3,1)+IF('Adjustment Surface'!AE$3="",-1,1)),$AO$3:$BH$3,0))*('Adjustment Surface'!$O9-INDEX('Adjustment Surface'!$AN$4:$AN$23,MATCH(('Adjustment Surface'!$O9),'Adjustment Surface'!$AN$4:$AN$23,1)))*('Adjustment Surface'!AD$3-INDEX('Adjustment Surface'!$AO$3:$BH$3,1,MATCH(('Adjustment Surface'!AD$3),'Adjustment Surface'!$AO$3:$BH$3,1)))))</f>
        <v/>
      </c>
      <c r="AE9" s="181" t="str" cm="1">
        <f t="array" ref="AE9">IF(OR(AE$3="",$O9=""),"",1/((INDEX('Adjustment Surface'!$AN$4:$AN$23,MATCH(('Adjustment Surface'!$O9),'Adjustment Surface'!$AN$4:$AN$23,1)+IF('Adjustment Surface'!$O10="",-1,1))-INDEX('Adjustment Surface'!$AN$4:$AN$23,MATCH(('Adjustment Surface'!$O9),'Adjustment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Surface'!$O9),'Adjustment Surface'!$AN$4:$AN$23,1)),$AN$4:$AN$23,0),MATCH(INDEX('Adjustment Surface'!$AO$3:$BH$3,1,MATCH(('Adjustment Surface'!AE$3),'Adjustment Surface'!$AO$3:$BH$3,1)),$AO$3:$BH$3,0))*(INDEX('Adjustment Surface'!$AN$4:$AN$23,MATCH(('Adjustment Surface'!$O9),'Adjustment Surface'!$AN$4:$AN$23,1)+IF('Adjustment Surface'!$O10="",-1,1))-'Adjustment Surface'!$O9)*(INDEX('Adjustment Surface'!$AO$3:$BH$3,1,MATCH(('Adjustment Surface'!AE$3),'Adjustment Surface'!$AO$3:$BH$3,1)+IF('Adjustment Surface'!AF$3="",-1,1))-'Adjustment Surface'!AE$3)+INDEX($AO$4:$BH$23,MATCH(INDEX('Adjustment Surface'!$AN$4:$AN$23,MATCH(('Adjustment Surface'!$O9),'Adjustment Surface'!$AN$4:$AN$23,1)+IF('Adjustment Surface'!$O10="",-1,1)),$AN$4:$AN$23,0),MATCH(INDEX('Adjustment Surface'!$AO$3:$BH$3,1,MATCH(('Adjustment Surface'!AE$3),'Adjustment Surface'!$AO$3:$BH$3,1)),$AO$3:$BH$3,0))*('Adjustment Surface'!$O9-INDEX('Adjustment Surface'!$AN$4:$AN$23,MATCH(('Adjustment Surface'!$O9),'Adjustment Surface'!$AN$4:$AN$23,1)))*(INDEX('Adjustment Surface'!$AO$3:$BH$3,1,MATCH(('Adjustment Surface'!AE$3),'Adjustment Surface'!$AO$3:$BH$3,1)+IF('Adjustment Surface'!AF$3="",-1,1))-'Adjustment Surface'!AE$3)+INDEX($AO$4:$BH$23,MATCH(INDEX('Adjustment Surface'!$AN$4:$AN$23,MATCH(('Adjustment Surface'!$O9),'Adjustment Surface'!$AN$4:$AN$23,1)),$AN$4:$AN$23,0),MATCH(INDEX('Adjustment Surface'!$AO$3:$BH$3,1,MATCH(('Adjustment Surface'!AE$3),'Adjustment Surface'!$AO$3:$BH$3,1)+IF('Adjustment Surface'!AF$3="",-1,1)),$AO$3:$BH$3,0))*(INDEX('Adjustment Surface'!$AN$4:$AN$23,MATCH(('Adjustment Surface'!$O9),'Adjustment Surface'!$AN$4:$AN$23,1)+IF('Adjustment Surface'!$O10="",-1,1))-'Adjustment Surface'!$O9)*('Adjustment Surface'!AE$3-INDEX('Adjustment Surface'!$AO$3:$BH$3,1,MATCH(('Adjustment Surface'!AE$3),'Adjustment Surface'!$AO$3:$BH$3,1)))+INDEX($AO$4:$BH$23,MATCH(INDEX('Adjustment Surface'!$AN$4:$AN$23,MATCH(('Adjustment Surface'!$O9),'Adjustment Surface'!$AN$4:$AN$23,1)+IF('Adjustment Surface'!$O10="",-1,1)),$AN$4:$AN$23,0),MATCH(INDEX('Adjustment Surface'!$AO$3:$BH$3,1,MATCH(('Adjustment Surface'!AE$3),'Adjustment Surface'!$AO$3:$BH$3,1)+IF('Adjustment Surface'!AF$3="",-1,1)),$AO$3:$BH$3,0))*('Adjustment Surface'!$O9-INDEX('Adjustment Surface'!$AN$4:$AN$23,MATCH(('Adjustment Surface'!$O9),'Adjustment Surface'!$AN$4:$AN$23,1)))*('Adjustment Surface'!AE$3-INDEX('Adjustment Surface'!$AO$3:$BH$3,1,MATCH(('Adjustment Surface'!AE$3),'Adjustment Surface'!$AO$3:$BH$3,1)))))</f>
        <v/>
      </c>
      <c r="AF9" s="181" t="str" cm="1">
        <f t="array" ref="AF9">IF(OR(AF$3="",$O9=""),"",1/((INDEX('Adjustment Surface'!$AN$4:$AN$23,MATCH(('Adjustment Surface'!$O9),'Adjustment Surface'!$AN$4:$AN$23,1)+IF('Adjustment Surface'!$O10="",-1,1))-INDEX('Adjustment Surface'!$AN$4:$AN$23,MATCH(('Adjustment Surface'!$O9),'Adjustment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Surface'!$O9),'Adjustment Surface'!$AN$4:$AN$23,1)),$AN$4:$AN$23,0),MATCH(INDEX('Adjustment Surface'!$AO$3:$BH$3,1,MATCH(('Adjustment Surface'!AF$3),'Adjustment Surface'!$AO$3:$BH$3,1)),$AO$3:$BH$3,0))*(INDEX('Adjustment Surface'!$AN$4:$AN$23,MATCH(('Adjustment Surface'!$O9),'Adjustment Surface'!$AN$4:$AN$23,1)+IF('Adjustment Surface'!$O10="",-1,1))-'Adjustment Surface'!$O9)*(INDEX('Adjustment Surface'!$AO$3:$BH$3,1,MATCH(('Adjustment Surface'!AF$3),'Adjustment Surface'!$AO$3:$BH$3,1)+IF('Adjustment Surface'!AG$3="",-1,1))-'Adjustment Surface'!AF$3)+INDEX($AO$4:$BH$23,MATCH(INDEX('Adjustment Surface'!$AN$4:$AN$23,MATCH(('Adjustment Surface'!$O9),'Adjustment Surface'!$AN$4:$AN$23,1)+IF('Adjustment Surface'!$O10="",-1,1)),$AN$4:$AN$23,0),MATCH(INDEX('Adjustment Surface'!$AO$3:$BH$3,1,MATCH(('Adjustment Surface'!AF$3),'Adjustment Surface'!$AO$3:$BH$3,1)),$AO$3:$BH$3,0))*('Adjustment Surface'!$O9-INDEX('Adjustment Surface'!$AN$4:$AN$23,MATCH(('Adjustment Surface'!$O9),'Adjustment Surface'!$AN$4:$AN$23,1)))*(INDEX('Adjustment Surface'!$AO$3:$BH$3,1,MATCH(('Adjustment Surface'!AF$3),'Adjustment Surface'!$AO$3:$BH$3,1)+IF('Adjustment Surface'!AG$3="",-1,1))-'Adjustment Surface'!AF$3)+INDEX($AO$4:$BH$23,MATCH(INDEX('Adjustment Surface'!$AN$4:$AN$23,MATCH(('Adjustment Surface'!$O9),'Adjustment Surface'!$AN$4:$AN$23,1)),$AN$4:$AN$23,0),MATCH(INDEX('Adjustment Surface'!$AO$3:$BH$3,1,MATCH(('Adjustment Surface'!AF$3),'Adjustment Surface'!$AO$3:$BH$3,1)+IF('Adjustment Surface'!AG$3="",-1,1)),$AO$3:$BH$3,0))*(INDEX('Adjustment Surface'!$AN$4:$AN$23,MATCH(('Adjustment Surface'!$O9),'Adjustment Surface'!$AN$4:$AN$23,1)+IF('Adjustment Surface'!$O10="",-1,1))-'Adjustment Surface'!$O9)*('Adjustment Surface'!AF$3-INDEX('Adjustment Surface'!$AO$3:$BH$3,1,MATCH(('Adjustment Surface'!AF$3),'Adjustment Surface'!$AO$3:$BH$3,1)))+INDEX($AO$4:$BH$23,MATCH(INDEX('Adjustment Surface'!$AN$4:$AN$23,MATCH(('Adjustment Surface'!$O9),'Adjustment Surface'!$AN$4:$AN$23,1)+IF('Adjustment Surface'!$O10="",-1,1)),$AN$4:$AN$23,0),MATCH(INDEX('Adjustment Surface'!$AO$3:$BH$3,1,MATCH(('Adjustment Surface'!AF$3),'Adjustment Surface'!$AO$3:$BH$3,1)+IF('Adjustment Surface'!AG$3="",-1,1)),$AO$3:$BH$3,0))*('Adjustment Surface'!$O9-INDEX('Adjustment Surface'!$AN$4:$AN$23,MATCH(('Adjustment Surface'!$O9),'Adjustment Surface'!$AN$4:$AN$23,1)))*('Adjustment Surface'!AF$3-INDEX('Adjustment Surface'!$AO$3:$BH$3,1,MATCH(('Adjustment Surface'!AF$3),'Adjustment Surface'!$AO$3:$BH$3,1)))))</f>
        <v/>
      </c>
      <c r="AG9" s="181" t="str" cm="1">
        <f t="array" ref="AG9">IF(OR(AG$3="",$O9=""),"",1/((INDEX('Adjustment Surface'!$AN$4:$AN$23,MATCH(('Adjustment Surface'!$O9),'Adjustment Surface'!$AN$4:$AN$23,1)+IF('Adjustment Surface'!$O10="",-1,1))-INDEX('Adjustment Surface'!$AN$4:$AN$23,MATCH(('Adjustment Surface'!$O9),'Adjustment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Surface'!$O9),'Adjustment Surface'!$AN$4:$AN$23,1)),$AN$4:$AN$23,0),MATCH(INDEX('Adjustment Surface'!$AO$3:$BH$3,1,MATCH(('Adjustment Surface'!AG$3),'Adjustment Surface'!$AO$3:$BH$3,1)),$AO$3:$BH$3,0))*(INDEX('Adjustment Surface'!$AN$4:$AN$23,MATCH(('Adjustment Surface'!$O9),'Adjustment Surface'!$AN$4:$AN$23,1)+IF('Adjustment Surface'!$O10="",-1,1))-'Adjustment Surface'!$O9)*(INDEX('Adjustment Surface'!$AO$3:$BH$3,1,MATCH(('Adjustment Surface'!AG$3),'Adjustment Surface'!$AO$3:$BH$3,1)+IF('Adjustment Surface'!AH$3="",-1,1))-'Adjustment Surface'!AG$3)+INDEX($AO$4:$BH$23,MATCH(INDEX('Adjustment Surface'!$AN$4:$AN$23,MATCH(('Adjustment Surface'!$O9),'Adjustment Surface'!$AN$4:$AN$23,1)+IF('Adjustment Surface'!$O10="",-1,1)),$AN$4:$AN$23,0),MATCH(INDEX('Adjustment Surface'!$AO$3:$BH$3,1,MATCH(('Adjustment Surface'!AG$3),'Adjustment Surface'!$AO$3:$BH$3,1)),$AO$3:$BH$3,0))*('Adjustment Surface'!$O9-INDEX('Adjustment Surface'!$AN$4:$AN$23,MATCH(('Adjustment Surface'!$O9),'Adjustment Surface'!$AN$4:$AN$23,1)))*(INDEX('Adjustment Surface'!$AO$3:$BH$3,1,MATCH(('Adjustment Surface'!AG$3),'Adjustment Surface'!$AO$3:$BH$3,1)+IF('Adjustment Surface'!AH$3="",-1,1))-'Adjustment Surface'!AG$3)+INDEX($AO$4:$BH$23,MATCH(INDEX('Adjustment Surface'!$AN$4:$AN$23,MATCH(('Adjustment Surface'!$O9),'Adjustment Surface'!$AN$4:$AN$23,1)),$AN$4:$AN$23,0),MATCH(INDEX('Adjustment Surface'!$AO$3:$BH$3,1,MATCH(('Adjustment Surface'!AG$3),'Adjustment Surface'!$AO$3:$BH$3,1)+IF('Adjustment Surface'!AH$3="",-1,1)),$AO$3:$BH$3,0))*(INDEX('Adjustment Surface'!$AN$4:$AN$23,MATCH(('Adjustment Surface'!$O9),'Adjustment Surface'!$AN$4:$AN$23,1)+IF('Adjustment Surface'!$O10="",-1,1))-'Adjustment Surface'!$O9)*('Adjustment Surface'!AG$3-INDEX('Adjustment Surface'!$AO$3:$BH$3,1,MATCH(('Adjustment Surface'!AG$3),'Adjustment Surface'!$AO$3:$BH$3,1)))+INDEX($AO$4:$BH$23,MATCH(INDEX('Adjustment Surface'!$AN$4:$AN$23,MATCH(('Adjustment Surface'!$O9),'Adjustment Surface'!$AN$4:$AN$23,1)+IF('Adjustment Surface'!$O10="",-1,1)),$AN$4:$AN$23,0),MATCH(INDEX('Adjustment Surface'!$AO$3:$BH$3,1,MATCH(('Adjustment Surface'!AG$3),'Adjustment Surface'!$AO$3:$BH$3,1)+IF('Adjustment Surface'!AH$3="",-1,1)),$AO$3:$BH$3,0))*('Adjustment Surface'!$O9-INDEX('Adjustment Surface'!$AN$4:$AN$23,MATCH(('Adjustment Surface'!$O9),'Adjustment Surface'!$AN$4:$AN$23,1)))*('Adjustment Surface'!AG$3-INDEX('Adjustment Surface'!$AO$3:$BH$3,1,MATCH(('Adjustment Surface'!AG$3),'Adjustment Surface'!$AO$3:$BH$3,1)))))</f>
        <v/>
      </c>
      <c r="AH9" s="181" t="str" cm="1">
        <f t="array" ref="AH9">IF(OR(AH$3="",$O9=""),"",1/((INDEX('Adjustment Surface'!$AN$4:$AN$23,MATCH(('Adjustment Surface'!$O9),'Adjustment Surface'!$AN$4:$AN$23,1)+IF('Adjustment Surface'!$O10="",-1,1))-INDEX('Adjustment Surface'!$AN$4:$AN$23,MATCH(('Adjustment Surface'!$O9),'Adjustment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Surface'!$O9),'Adjustment Surface'!$AN$4:$AN$23,1)),$AN$4:$AN$23,0),MATCH(INDEX('Adjustment Surface'!$AO$3:$BH$3,1,MATCH(('Adjustment Surface'!AH$3),'Adjustment Surface'!$AO$3:$BH$3,1)),$AO$3:$BH$3,0))*(INDEX('Adjustment Surface'!$AN$4:$AN$23,MATCH(('Adjustment Surface'!$O9),'Adjustment Surface'!$AN$4:$AN$23,1)+IF('Adjustment Surface'!$O10="",-1,1))-'Adjustment Surface'!$O9)*(INDEX('Adjustment Surface'!$AO$3:$BH$3,1,MATCH(('Adjustment Surface'!AH$3),'Adjustment Surface'!$AO$3:$BH$3,1)+IF('Adjustment Surface'!AI$3="",-1,1))-'Adjustment Surface'!AH$3)+INDEX($AO$4:$BH$23,MATCH(INDEX('Adjustment Surface'!$AN$4:$AN$23,MATCH(('Adjustment Surface'!$O9),'Adjustment Surface'!$AN$4:$AN$23,1)+IF('Adjustment Surface'!$O10="",-1,1)),$AN$4:$AN$23,0),MATCH(INDEX('Adjustment Surface'!$AO$3:$BH$3,1,MATCH(('Adjustment Surface'!AH$3),'Adjustment Surface'!$AO$3:$BH$3,1)),$AO$3:$BH$3,0))*('Adjustment Surface'!$O9-INDEX('Adjustment Surface'!$AN$4:$AN$23,MATCH(('Adjustment Surface'!$O9),'Adjustment Surface'!$AN$4:$AN$23,1)))*(INDEX('Adjustment Surface'!$AO$3:$BH$3,1,MATCH(('Adjustment Surface'!AH$3),'Adjustment Surface'!$AO$3:$BH$3,1)+IF('Adjustment Surface'!AI$3="",-1,1))-'Adjustment Surface'!AH$3)+INDEX($AO$4:$BH$23,MATCH(INDEX('Adjustment Surface'!$AN$4:$AN$23,MATCH(('Adjustment Surface'!$O9),'Adjustment Surface'!$AN$4:$AN$23,1)),$AN$4:$AN$23,0),MATCH(INDEX('Adjustment Surface'!$AO$3:$BH$3,1,MATCH(('Adjustment Surface'!AH$3),'Adjustment Surface'!$AO$3:$BH$3,1)+IF('Adjustment Surface'!AI$3="",-1,1)),$AO$3:$BH$3,0))*(INDEX('Adjustment Surface'!$AN$4:$AN$23,MATCH(('Adjustment Surface'!$O9),'Adjustment Surface'!$AN$4:$AN$23,1)+IF('Adjustment Surface'!$O10="",-1,1))-'Adjustment Surface'!$O9)*('Adjustment Surface'!AH$3-INDEX('Adjustment Surface'!$AO$3:$BH$3,1,MATCH(('Adjustment Surface'!AH$3),'Adjustment Surface'!$AO$3:$BH$3,1)))+INDEX($AO$4:$BH$23,MATCH(INDEX('Adjustment Surface'!$AN$4:$AN$23,MATCH(('Adjustment Surface'!$O9),'Adjustment Surface'!$AN$4:$AN$23,1)+IF('Adjustment Surface'!$O10="",-1,1)),$AN$4:$AN$23,0),MATCH(INDEX('Adjustment Surface'!$AO$3:$BH$3,1,MATCH(('Adjustment Surface'!AH$3),'Adjustment Surface'!$AO$3:$BH$3,1)+IF('Adjustment Surface'!AI$3="",-1,1)),$AO$3:$BH$3,0))*('Adjustment Surface'!$O9-INDEX('Adjustment Surface'!$AN$4:$AN$23,MATCH(('Adjustment Surface'!$O9),'Adjustment Surface'!$AN$4:$AN$23,1)))*('Adjustment Surface'!AH$3-INDEX('Adjustment Surface'!$AO$3:$BH$3,1,MATCH(('Adjustment Surface'!AH$3),'Adjustment Surface'!$AO$3:$BH$3,1)))))</f>
        <v/>
      </c>
      <c r="AI9" s="182" t="str" cm="1">
        <f t="array" ref="AI9">IF(OR(AI$3="",$O9=""),"",1/((INDEX('Adjustment Surface'!$AN$4:$AN$23,MATCH(('Adjustment Surface'!$O9),'Adjustment Surface'!$AN$4:$AN$23,1)+IF('Adjustment Surface'!$O10="",-1,1))-INDEX('Adjustment Surface'!$AN$4:$AN$23,MATCH(('Adjustment Surface'!$O9),'Adjustment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Surface'!$O9),'Adjustment Surface'!$AN$4:$AN$23,1)),$AN$4:$AN$23,0),MATCH(INDEX('Adjustment Surface'!$AO$3:$BH$3,1,MATCH(('Adjustment Surface'!AI$3),'Adjustment Surface'!$AO$3:$BH$3,1)),$AO$3:$BH$3,0))*(INDEX('Adjustment Surface'!$AN$4:$AN$23,MATCH(('Adjustment Surface'!$O9),'Adjustment Surface'!$AN$4:$AN$23,1)+IF('Adjustment Surface'!$O10="",-1,1))-'Adjustment Surface'!$O9)*(INDEX('Adjustment Surface'!$AO$3:$BH$3,1,MATCH(('Adjustment Surface'!AI$3),'Adjustment Surface'!$AO$3:$BH$3,1)+IF('Adjustment Surface'!AJ$3="",-1,1))-'Adjustment Surface'!AI$3)+INDEX($AO$4:$BH$23,MATCH(INDEX('Adjustment Surface'!$AN$4:$AN$23,MATCH(('Adjustment Surface'!$O9),'Adjustment Surface'!$AN$4:$AN$23,1)+IF('Adjustment Surface'!$O10="",-1,1)),$AN$4:$AN$23,0),MATCH(INDEX('Adjustment Surface'!$AO$3:$BH$3,1,MATCH(('Adjustment Surface'!AI$3),'Adjustment Surface'!$AO$3:$BH$3,1)),$AO$3:$BH$3,0))*('Adjustment Surface'!$O9-INDEX('Adjustment Surface'!$AN$4:$AN$23,MATCH(('Adjustment Surface'!$O9),'Adjustment Surface'!$AN$4:$AN$23,1)))*(INDEX('Adjustment Surface'!$AO$3:$BH$3,1,MATCH(('Adjustment Surface'!AI$3),'Adjustment Surface'!$AO$3:$BH$3,1)+IF('Adjustment Surface'!AJ$3="",-1,1))-'Adjustment Surface'!AI$3)+INDEX($AO$4:$BH$23,MATCH(INDEX('Adjustment Surface'!$AN$4:$AN$23,MATCH(('Adjustment Surface'!$O9),'Adjustment Surface'!$AN$4:$AN$23,1)),$AN$4:$AN$23,0),MATCH(INDEX('Adjustment Surface'!$AO$3:$BH$3,1,MATCH(('Adjustment Surface'!AI$3),'Adjustment Surface'!$AO$3:$BH$3,1)+IF('Adjustment Surface'!AJ$3="",-1,1)),$AO$3:$BH$3,0))*(INDEX('Adjustment Surface'!$AN$4:$AN$23,MATCH(('Adjustment Surface'!$O9),'Adjustment Surface'!$AN$4:$AN$23,1)+IF('Adjustment Surface'!$O10="",-1,1))-'Adjustment Surface'!$O9)*('Adjustment Surface'!AI$3-INDEX('Adjustment Surface'!$AO$3:$BH$3,1,MATCH(('Adjustment Surface'!AI$3),'Adjustment Surface'!$AO$3:$BH$3,1)))+INDEX($AO$4:$BH$23,MATCH(INDEX('Adjustment Surface'!$AN$4:$AN$23,MATCH(('Adjustment Surface'!$O9),'Adjustment Surface'!$AN$4:$AN$23,1)+IF('Adjustment Surface'!$O10="",-1,1)),$AN$4:$AN$23,0),MATCH(INDEX('Adjustment Surface'!$AO$3:$BH$3,1,MATCH(('Adjustment Surface'!AI$3),'Adjustment Surface'!$AO$3:$BH$3,1)+IF('Adjustment Surface'!AJ$3="",-1,1)),$AO$3:$BH$3,0))*('Adjustment Surface'!$O9-INDEX('Adjustment Surface'!$AN$4:$AN$23,MATCH(('Adjustment Surface'!$O9),'Adjustment Surface'!$AN$4:$AN$23,1)))*('Adjustment Surface'!AI$3-INDEX('Adjustment Surface'!$AO$3:$BH$3,1,MATCH(('Adjustment Surface'!AI$3),'Adjustment Surface'!$AO$3:$BH$3,1)))))</f>
        <v/>
      </c>
      <c r="AK9" s="203">
        <f>IF(OR(AK8=IF('Adjustment Surface'!$C$2='Data Validation'!$A$2,_xlfn.FLOOR.MATH(MAX('Bank Adjustments'!$C$4:$C$103),0.5%,2),IF('Adjustment Surface'!$C$2='Data Validation'!$A$3,_xlfn.FLOOR.MATH(MAX('Bank Adjustments'!$M$4:$M$103),0.5%,2),"Uknown Option Type")),AK8=""),"",AK8+0.5%)</f>
        <v>4.4999999999999998E-2</v>
      </c>
      <c r="AL9" s="204">
        <f>IF(OR(AL8=IF('Adjustment Surface'!$C$2='Data Validation'!$A$2,IF(EDATE('Rate &amp; Vol Update'!$C$2,_xlfn.FLOOR.MATH(DATEDIF('Rate &amp; Vol Update'!$C$2,MAX('Bank Adjustments'!$E$4:$E$103),"M"),3,2))&gt;MAX('Bank Adjustments'!$E$4:$E$103),EDATE('Rate &amp; Vol Update'!$C$2,_xlfn.FLOOR.MATH(DATEDIF('Rate &amp; Vol Update'!$C$2,MAX('Bank Adjustments'!$E$4:$E$103),"M")-3,3,2)),EDATE('Rate &amp; Vol Update'!$C$2,_xlfn.FLOOR.MATH(DATEDIF('Rate &amp; Vol Update'!$C$2,MAX('Bank Adjustments'!$E$4:$E$103),"M"),3,2))),IF('Adjustment Surface'!$C$2='Data Validation'!$A$3,IF(EDATE('Rate &amp; Vol Update'!$C$2,_xlfn.FLOOR.MATH(DATEDIF('Rate &amp; Vol Update'!$C$2,MAX('Bank Adjustments'!$O$4:$O$103),"M"),3,2))&gt;MAX('Bank Adjustments'!$O$4:$O$103),EDATE('Rate &amp; Vol Update'!$C$2,_xlfn.FLOOR.MATH(DATEDIF('Rate &amp; Vol Update'!$C$2,MAX('Bank Adjustments'!$O$4:$O$103),"M")-3,3,2)),EDATE('Rate &amp; Vol Update'!$C$2,_xlfn.FLOOR.MATH(DATEDIF('Rate &amp; Vol Update'!$C$2,MAX('Bank Adjustments'!$O$4:$O$103),"M"),3,2))),"Unkown Option Type")),AL8=""),"",EDATE(AL8,3))</f>
        <v>46884</v>
      </c>
      <c r="AN9" s="176"/>
      <c r="AO9" s="180" t="str" cm="1">
        <f t="array" ref="AO9">IF(OR(AO$3="",$AN9=""),"",INDEX(IF($C$2='Data Validation'!$A$2,'Bank Adjustments'!$H$4:$H$103,IF('Adjustment Surface'!$C$2='Data Validation'!$A$3,'Bank Adjustments'!$R$4:$R$103,"Unknown Option Type")),MATCH(1,($AN9=IF($C$2='Data Validation'!$A$2,'Bank Adjustments'!$C$4:$C$103,IF('Adjustment Surface'!$C$2='Data Validation'!$A$3,'Bank Adjustments'!$M$4:$M$103,"Unknown Option Type")))*(AO$3=IF($C$2='Data Validation'!$A$2,'Bank Adjustments'!$E$4:$E$103,IF('Adjustment Surface'!$C$2='Data Validation'!$A$3,'Bank Adjustments'!$O$4:$O$103,"Unknown Option Type"))),0)))</f>
        <v/>
      </c>
      <c r="AP9" s="181" t="str" cm="1">
        <f t="array" ref="AP9">IF(OR(AP$3="",$AN9=""),"",INDEX(IF($C$2='Data Validation'!$A$2,'Bank Adjustments'!$H$4:$H$103,IF('Adjustment Surface'!$C$2='Data Validation'!$A$3,'Bank Adjustments'!$R$4:$R$103,"Unknown Option Type")),MATCH(1,($AN9=IF($C$2='Data Validation'!$A$2,'Bank Adjustments'!$C$4:$C$103,IF('Adjustment Surface'!$C$2='Data Validation'!$A$3,'Bank Adjustments'!$M$4:$M$103,"Unknown Option Type")))*(AP$3=IF($C$2='Data Validation'!$A$2,'Bank Adjustments'!$E$4:$E$103,IF('Adjustment Surface'!$C$2='Data Validation'!$A$3,'Bank Adjustments'!$O$4:$O$103,"Unknown Option Type"))),0)))</f>
        <v/>
      </c>
      <c r="AQ9" s="181" t="str" cm="1">
        <f t="array" ref="AQ9">IF(OR(AQ$3="",$AN9=""),"",INDEX(IF($C$2='Data Validation'!$A$2,'Bank Adjustments'!$H$4:$H$103,IF('Adjustment Surface'!$C$2='Data Validation'!$A$3,'Bank Adjustments'!$R$4:$R$103,"Unknown Option Type")),MATCH(1,($AN9=IF($C$2='Data Validation'!$A$2,'Bank Adjustments'!$C$4:$C$103,IF('Adjustment Surface'!$C$2='Data Validation'!$A$3,'Bank Adjustments'!$M$4:$M$103,"Unknown Option Type")))*(AQ$3=IF($C$2='Data Validation'!$A$2,'Bank Adjustments'!$E$4:$E$103,IF('Adjustment Surface'!$C$2='Data Validation'!$A$3,'Bank Adjustments'!$O$4:$O$103,"Unknown Option Type"))),0)))</f>
        <v/>
      </c>
      <c r="AR9" s="181" t="str" cm="1">
        <f t="array" ref="AR9">IF(OR(AR$3="",$AN9=""),"",INDEX(IF($C$2='Data Validation'!$A$2,'Bank Adjustments'!$H$4:$H$103,IF('Adjustment Surface'!$C$2='Data Validation'!$A$3,'Bank Adjustments'!$R$4:$R$103,"Unknown Option Type")),MATCH(1,($AN9=IF($C$2='Data Validation'!$A$2,'Bank Adjustments'!$C$4:$C$103,IF('Adjustment Surface'!$C$2='Data Validation'!$A$3,'Bank Adjustments'!$M$4:$M$103,"Unknown Option Type")))*(AR$3=IF($C$2='Data Validation'!$A$2,'Bank Adjustments'!$E$4:$E$103,IF('Adjustment Surface'!$C$2='Data Validation'!$A$3,'Bank Adjustments'!$O$4:$O$103,"Unknown Option Type"))),0)))</f>
        <v/>
      </c>
      <c r="AS9" s="181" t="str" cm="1">
        <f t="array" ref="AS9">IF(OR(AS$3="",$AN9=""),"",INDEX(IF($C$2='Data Validation'!$A$2,'Bank Adjustments'!$H$4:$H$103,IF('Adjustment Surface'!$C$2='Data Validation'!$A$3,'Bank Adjustments'!$R$4:$R$103,"Unknown Option Type")),MATCH(1,($AN9=IF($C$2='Data Validation'!$A$2,'Bank Adjustments'!$C$4:$C$103,IF('Adjustment Surface'!$C$2='Data Validation'!$A$3,'Bank Adjustments'!$M$4:$M$103,"Unknown Option Type")))*(AS$3=IF($C$2='Data Validation'!$A$2,'Bank Adjustments'!$E$4:$E$103,IF('Adjustment Surface'!$C$2='Data Validation'!$A$3,'Bank Adjustments'!$O$4:$O$103,"Unknown Option Type"))),0)))</f>
        <v/>
      </c>
      <c r="AT9" s="181" t="str" cm="1">
        <f t="array" ref="AT9">IF(OR(AT$3="",$AN9=""),"",INDEX(IF($C$2='Data Validation'!$A$2,'Bank Adjustments'!$H$4:$H$103,IF('Adjustment Surface'!$C$2='Data Validation'!$A$3,'Bank Adjustments'!$R$4:$R$103,"Unknown Option Type")),MATCH(1,($AN9=IF($C$2='Data Validation'!$A$2,'Bank Adjustments'!$C$4:$C$103,IF('Adjustment Surface'!$C$2='Data Validation'!$A$3,'Bank Adjustments'!$M$4:$M$103,"Unknown Option Type")))*(AT$3=IF($C$2='Data Validation'!$A$2,'Bank Adjustments'!$E$4:$E$103,IF('Adjustment Surface'!$C$2='Data Validation'!$A$3,'Bank Adjustments'!$O$4:$O$103,"Unknown Option Type"))),0)))</f>
        <v/>
      </c>
      <c r="AU9" s="181" t="str" cm="1">
        <f t="array" ref="AU9">IF(OR(AU$3="",$AN9=""),"",INDEX(IF($C$2='Data Validation'!$A$2,'Bank Adjustments'!$H$4:$H$103,IF('Adjustment Surface'!$C$2='Data Validation'!$A$3,'Bank Adjustments'!$R$4:$R$103,"Unknown Option Type")),MATCH(1,($AN9=IF($C$2='Data Validation'!$A$2,'Bank Adjustments'!$C$4:$C$103,IF('Adjustment Surface'!$C$2='Data Validation'!$A$3,'Bank Adjustments'!$M$4:$M$103,"Unknown Option Type")))*(AU$3=IF($C$2='Data Validation'!$A$2,'Bank Adjustments'!$E$4:$E$103,IF('Adjustment Surface'!$C$2='Data Validation'!$A$3,'Bank Adjustments'!$O$4:$O$103,"Unknown Option Type"))),0)))</f>
        <v/>
      </c>
      <c r="AV9" s="181" t="str" cm="1">
        <f t="array" ref="AV9">IF(OR(AV$3="",$AN9=""),"",INDEX(IF($C$2='Data Validation'!$A$2,'Bank Adjustments'!$H$4:$H$103,IF('Adjustment Surface'!$C$2='Data Validation'!$A$3,'Bank Adjustments'!$R$4:$R$103,"Unknown Option Type")),MATCH(1,($AN9=IF($C$2='Data Validation'!$A$2,'Bank Adjustments'!$C$4:$C$103,IF('Adjustment Surface'!$C$2='Data Validation'!$A$3,'Bank Adjustments'!$M$4:$M$103,"Unknown Option Type")))*(AV$3=IF($C$2='Data Validation'!$A$2,'Bank Adjustments'!$E$4:$E$103,IF('Adjustment Surface'!$C$2='Data Validation'!$A$3,'Bank Adjustments'!$O$4:$O$103,"Unknown Option Type"))),0)))</f>
        <v/>
      </c>
      <c r="AW9" s="181" t="str" cm="1">
        <f t="array" ref="AW9">IF(OR(AW$3="",$AN9=""),"",INDEX(IF($C$2='Data Validation'!$A$2,'Bank Adjustments'!$H$4:$H$103,IF('Adjustment Surface'!$C$2='Data Validation'!$A$3,'Bank Adjustments'!$R$4:$R$103,"Unknown Option Type")),MATCH(1,($AN9=IF($C$2='Data Validation'!$A$2,'Bank Adjustments'!$C$4:$C$103,IF('Adjustment Surface'!$C$2='Data Validation'!$A$3,'Bank Adjustments'!$M$4:$M$103,"Unknown Option Type")))*(AW$3=IF($C$2='Data Validation'!$A$2,'Bank Adjustments'!$E$4:$E$103,IF('Adjustment Surface'!$C$2='Data Validation'!$A$3,'Bank Adjustments'!$O$4:$O$103,"Unknown Option Type"))),0)))</f>
        <v/>
      </c>
      <c r="AX9" s="181" t="str" cm="1">
        <f t="array" ref="AX9">IF(OR(AX$3="",$AN9=""),"",INDEX(IF($C$2='Data Validation'!$A$2,'Bank Adjustments'!$H$4:$H$103,IF('Adjustment Surface'!$C$2='Data Validation'!$A$3,'Bank Adjustments'!$R$4:$R$103,"Unknown Option Type")),MATCH(1,($AN9=IF($C$2='Data Validation'!$A$2,'Bank Adjustments'!$C$4:$C$103,IF('Adjustment Surface'!$C$2='Data Validation'!$A$3,'Bank Adjustments'!$M$4:$M$103,"Unknown Option Type")))*(AX$3=IF($C$2='Data Validation'!$A$2,'Bank Adjustments'!$E$4:$E$103,IF('Adjustment Surface'!$C$2='Data Validation'!$A$3,'Bank Adjustments'!$O$4:$O$103,"Unknown Option Type"))),0)))</f>
        <v/>
      </c>
      <c r="AY9" s="181" t="str" cm="1">
        <f t="array" ref="AY9">IF(OR(AY$3="",$AN9=""),"",INDEX(IF($C$2='Data Validation'!$A$2,'Bank Adjustments'!$H$4:$H$103,IF('Adjustment Surface'!$C$2='Data Validation'!$A$3,'Bank Adjustments'!$R$4:$R$103,"Unknown Option Type")),MATCH(1,($AN9=IF($C$2='Data Validation'!$A$2,'Bank Adjustments'!$C$4:$C$103,IF('Adjustment Surface'!$C$2='Data Validation'!$A$3,'Bank Adjustments'!$M$4:$M$103,"Unknown Option Type")))*(AY$3=IF($C$2='Data Validation'!$A$2,'Bank Adjustments'!$E$4:$E$103,IF('Adjustment Surface'!$C$2='Data Validation'!$A$3,'Bank Adjustments'!$O$4:$O$103,"Unknown Option Type"))),0)))</f>
        <v/>
      </c>
      <c r="AZ9" s="181" t="str" cm="1">
        <f t="array" ref="AZ9">IF(OR(AZ$3="",$AN9=""),"",INDEX(IF($C$2='Data Validation'!$A$2,'Bank Adjustments'!$H$4:$H$103,IF('Adjustment Surface'!$C$2='Data Validation'!$A$3,'Bank Adjustments'!$R$4:$R$103,"Unknown Option Type")),MATCH(1,($AN9=IF($C$2='Data Validation'!$A$2,'Bank Adjustments'!$C$4:$C$103,IF('Adjustment Surface'!$C$2='Data Validation'!$A$3,'Bank Adjustments'!$M$4:$M$103,"Unknown Option Type")))*(AZ$3=IF($C$2='Data Validation'!$A$2,'Bank Adjustments'!$E$4:$E$103,IF('Adjustment Surface'!$C$2='Data Validation'!$A$3,'Bank Adjustments'!$O$4:$O$103,"Unknown Option Type"))),0)))</f>
        <v/>
      </c>
      <c r="BA9" s="181" t="str" cm="1">
        <f t="array" ref="BA9">IF(OR(BA$3="",$AN9=""),"",INDEX(IF($C$2='Data Validation'!$A$2,'Bank Adjustments'!$H$4:$H$103,IF('Adjustment Surface'!$C$2='Data Validation'!$A$3,'Bank Adjustments'!$R$4:$R$103,"Unknown Option Type")),MATCH(1,($AN9=IF($C$2='Data Validation'!$A$2,'Bank Adjustments'!$C$4:$C$103,IF('Adjustment Surface'!$C$2='Data Validation'!$A$3,'Bank Adjustments'!$M$4:$M$103,"Unknown Option Type")))*(BA$3=IF($C$2='Data Validation'!$A$2,'Bank Adjustments'!$E$4:$E$103,IF('Adjustment Surface'!$C$2='Data Validation'!$A$3,'Bank Adjustments'!$O$4:$O$103,"Unknown Option Type"))),0)))</f>
        <v/>
      </c>
      <c r="BB9" s="181" t="str" cm="1">
        <f t="array" ref="BB9">IF(OR(BB$3="",$AN9=""),"",INDEX(IF($C$2='Data Validation'!$A$2,'Bank Adjustments'!$H$4:$H$103,IF('Adjustment Surface'!$C$2='Data Validation'!$A$3,'Bank Adjustments'!$R$4:$R$103,"Unknown Option Type")),MATCH(1,($AN9=IF($C$2='Data Validation'!$A$2,'Bank Adjustments'!$C$4:$C$103,IF('Adjustment Surface'!$C$2='Data Validation'!$A$3,'Bank Adjustments'!$M$4:$M$103,"Unknown Option Type")))*(BB$3=IF($C$2='Data Validation'!$A$2,'Bank Adjustments'!$E$4:$E$103,IF('Adjustment Surface'!$C$2='Data Validation'!$A$3,'Bank Adjustments'!$O$4:$O$103,"Unknown Option Type"))),0)))</f>
        <v/>
      </c>
      <c r="BC9" s="181" t="str" cm="1">
        <f t="array" ref="BC9">IF(OR(BC$3="",$AN9=""),"",INDEX(IF($C$2='Data Validation'!$A$2,'Bank Adjustments'!$H$4:$H$103,IF('Adjustment Surface'!$C$2='Data Validation'!$A$3,'Bank Adjustments'!$R$4:$R$103,"Unknown Option Type")),MATCH(1,($AN9=IF($C$2='Data Validation'!$A$2,'Bank Adjustments'!$C$4:$C$103,IF('Adjustment Surface'!$C$2='Data Validation'!$A$3,'Bank Adjustments'!$M$4:$M$103,"Unknown Option Type")))*(BC$3=IF($C$2='Data Validation'!$A$2,'Bank Adjustments'!$E$4:$E$103,IF('Adjustment Surface'!$C$2='Data Validation'!$A$3,'Bank Adjustments'!$O$4:$O$103,"Unknown Option Type"))),0)))</f>
        <v/>
      </c>
      <c r="BD9" s="181" t="str" cm="1">
        <f t="array" ref="BD9">IF(OR(BD$3="",$AN9=""),"",INDEX(IF($C$2='Data Validation'!$A$2,'Bank Adjustments'!$H$4:$H$103,IF('Adjustment Surface'!$C$2='Data Validation'!$A$3,'Bank Adjustments'!$R$4:$R$103,"Unknown Option Type")),MATCH(1,($AN9=IF($C$2='Data Validation'!$A$2,'Bank Adjustments'!$C$4:$C$103,IF('Adjustment Surface'!$C$2='Data Validation'!$A$3,'Bank Adjustments'!$M$4:$M$103,"Unknown Option Type")))*(BD$3=IF($C$2='Data Validation'!$A$2,'Bank Adjustments'!$E$4:$E$103,IF('Adjustment Surface'!$C$2='Data Validation'!$A$3,'Bank Adjustments'!$O$4:$O$103,"Unknown Option Type"))),0)))</f>
        <v/>
      </c>
      <c r="BE9" s="181" t="str" cm="1">
        <f t="array" ref="BE9">IF(OR(BE$3="",$AN9=""),"",INDEX(IF($C$2='Data Validation'!$A$2,'Bank Adjustments'!$H$4:$H$103,IF('Adjustment Surface'!$C$2='Data Validation'!$A$3,'Bank Adjustments'!$R$4:$R$103,"Unknown Option Type")),MATCH(1,($AN9=IF($C$2='Data Validation'!$A$2,'Bank Adjustments'!$C$4:$C$103,IF('Adjustment Surface'!$C$2='Data Validation'!$A$3,'Bank Adjustments'!$M$4:$M$103,"Unknown Option Type")))*(BE$3=IF($C$2='Data Validation'!$A$2,'Bank Adjustments'!$E$4:$E$103,IF('Adjustment Surface'!$C$2='Data Validation'!$A$3,'Bank Adjustments'!$O$4:$O$103,"Unknown Option Type"))),0)))</f>
        <v/>
      </c>
      <c r="BF9" s="181" t="str" cm="1">
        <f t="array" ref="BF9">IF(OR(BF$3="",$AN9=""),"",INDEX(IF($C$2='Data Validation'!$A$2,'Bank Adjustments'!$H$4:$H$103,IF('Adjustment Surface'!$C$2='Data Validation'!$A$3,'Bank Adjustments'!$R$4:$R$103,"Unknown Option Type")),MATCH(1,($AN9=IF($C$2='Data Validation'!$A$2,'Bank Adjustments'!$C$4:$C$103,IF('Adjustment Surface'!$C$2='Data Validation'!$A$3,'Bank Adjustments'!$M$4:$M$103,"Unknown Option Type")))*(BF$3=IF($C$2='Data Validation'!$A$2,'Bank Adjustments'!$E$4:$E$103,IF('Adjustment Surface'!$C$2='Data Validation'!$A$3,'Bank Adjustments'!$O$4:$O$103,"Unknown Option Type"))),0)))</f>
        <v/>
      </c>
      <c r="BG9" s="181" t="str" cm="1">
        <f t="array" ref="BG9">IF(OR(BG$3="",$AN9=""),"",INDEX(IF($C$2='Data Validation'!$A$2,'Bank Adjustments'!$H$4:$H$103,IF('Adjustment Surface'!$C$2='Data Validation'!$A$3,'Bank Adjustments'!$R$4:$R$103,"Unknown Option Type")),MATCH(1,($AN9=IF($C$2='Data Validation'!$A$2,'Bank Adjustments'!$C$4:$C$103,IF('Adjustment Surface'!$C$2='Data Validation'!$A$3,'Bank Adjustments'!$M$4:$M$103,"Unknown Option Type")))*(BG$3=IF($C$2='Data Validation'!$A$2,'Bank Adjustments'!$E$4:$E$103,IF('Adjustment Surface'!$C$2='Data Validation'!$A$3,'Bank Adjustments'!$O$4:$O$103,"Unknown Option Type"))),0)))</f>
        <v/>
      </c>
      <c r="BH9" s="182" t="str" cm="1">
        <f t="array" ref="BH9">IF(OR(BH$3="",$AN9=""),"",INDEX(IF($C$2='Data Validation'!$A$2,'Bank Adjustments'!$H$4:$H$103,IF('Adjustment Surface'!$C$2='Data Validation'!$A$3,'Bank Adjustments'!$R$4:$R$103,"Unknown Option Type")),MATCH(1,($AN9=IF($C$2='Data Validation'!$A$2,'Bank Adjustments'!$C$4:$C$103,IF('Adjustment Surface'!$C$2='Data Validation'!$A$3,'Bank Adjustments'!$M$4:$M$103,"Unknown Option Type")))*(BH$3=IF($C$2='Data Validation'!$A$2,'Bank Adjustments'!$E$4:$E$103,IF('Adjustment Surface'!$C$2='Data Validation'!$A$3,'Bank Adjustments'!$O$4:$O$103,"Unknown Option Type"))),0)))</f>
        <v/>
      </c>
    </row>
    <row r="10" spans="2:61" x14ac:dyDescent="0.25">
      <c r="B10" s="6" t="s">
        <v>30</v>
      </c>
      <c r="C10" s="99">
        <f>IF('Control Panel'!C3='Data Validation'!J2,#REF!,'Cap and Floor Pricer'!D24)</f>
        <v>0.02</v>
      </c>
      <c r="E10" t="s">
        <v>56</v>
      </c>
      <c r="F10" s="80">
        <f>'Control Panel'!C8</f>
        <v>-1000000</v>
      </c>
      <c r="H10" s="171">
        <v>46976</v>
      </c>
      <c r="I10" s="61">
        <f t="shared" si="1"/>
        <v>184</v>
      </c>
      <c r="J10" s="212">
        <f t="shared" si="1"/>
        <v>547</v>
      </c>
      <c r="K10" s="212">
        <f t="shared" si="1"/>
        <v>182</v>
      </c>
      <c r="L10" s="212">
        <f t="shared" si="1"/>
        <v>184</v>
      </c>
      <c r="M10" s="63">
        <f t="shared" si="1"/>
        <v>549</v>
      </c>
      <c r="O10" s="176">
        <v>0.05</v>
      </c>
      <c r="P10" s="180" cm="1">
        <f t="array" ref="P10">IF(OR(P$3="",$O10=""),"",1/((INDEX('Adjustment Surface'!$AN$4:$AN$23,MATCH(('Adjustment Surface'!$O10),'Adjustment Surface'!$AN$4:$AN$23,1)+IF('Adjustment Surface'!$O11="",-1,1))-INDEX('Adjustment Surface'!$AN$4:$AN$23,MATCH(('Adjustment Surface'!$O10),'Adjustment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Surface'!$O10),'Adjustment Surface'!$AN$4:$AN$23,1)),$AN$4:$AN$23,0),MATCH(INDEX('Adjustment Surface'!$AO$3:$BH$3,1,MATCH(('Adjustment Surface'!P$3),'Adjustment Surface'!$AO$3:$BH$3,1)),$AO$3:$BH$3,0))*(INDEX('Adjustment Surface'!$AN$4:$AN$23,MATCH(('Adjustment Surface'!$O10),'Adjustment Surface'!$AN$4:$AN$23,1)+IF('Adjustment Surface'!$O11="",-1,1))-'Adjustment Surface'!$O10)*(INDEX('Adjustment Surface'!$AO$3:$BH$3,1,MATCH(('Adjustment Surface'!P$3),'Adjustment Surface'!$AO$3:$BH$3,1)+IF('Adjustment Surface'!Q$3="",-1,1))-'Adjustment Surface'!P$3)+INDEX($AO$4:$BH$23,MATCH(INDEX('Adjustment Surface'!$AN$4:$AN$23,MATCH(('Adjustment Surface'!$O10),'Adjustment Surface'!$AN$4:$AN$23,1)+IF('Adjustment Surface'!$O11="",-1,1)),$AN$4:$AN$23,0),MATCH(INDEX('Adjustment Surface'!$AO$3:$BH$3,1,MATCH(('Adjustment Surface'!P$3),'Adjustment Surface'!$AO$3:$BH$3,1)),$AO$3:$BH$3,0))*('Adjustment Surface'!$O10-INDEX('Adjustment Surface'!$AN$4:$AN$23,MATCH(('Adjustment Surface'!$O10),'Adjustment Surface'!$AN$4:$AN$23,1)))*(INDEX('Adjustment Surface'!$AO$3:$BH$3,1,MATCH(('Adjustment Surface'!P$3),'Adjustment Surface'!$AO$3:$BH$3,1)+IF('Adjustment Surface'!Q$3="",-1,1))-'Adjustment Surface'!P$3)+INDEX($AO$4:$BH$23,MATCH(INDEX('Adjustment Surface'!$AN$4:$AN$23,MATCH(('Adjustment Surface'!$O10),'Adjustment Surface'!$AN$4:$AN$23,1)),$AN$4:$AN$23,0),MATCH(INDEX('Adjustment Surface'!$AO$3:$BH$3,1,MATCH(('Adjustment Surface'!P$3),'Adjustment Surface'!$AO$3:$BH$3,1)+IF('Adjustment Surface'!Q$3="",-1,1)),$AO$3:$BH$3,0))*(INDEX('Adjustment Surface'!$AN$4:$AN$23,MATCH(('Adjustment Surface'!$O10),'Adjustment Surface'!$AN$4:$AN$23,1)+IF('Adjustment Surface'!$O11="",-1,1))-'Adjustment Surface'!$O10)*('Adjustment Surface'!P$3-INDEX('Adjustment Surface'!$AO$3:$BH$3,1,MATCH(('Adjustment Surface'!P$3),'Adjustment Surface'!$AO$3:$BH$3,1)))+INDEX($AO$4:$BH$23,MATCH(INDEX('Adjustment Surface'!$AN$4:$AN$23,MATCH(('Adjustment Surface'!$O10),'Adjustment Surface'!$AN$4:$AN$23,1)+IF('Adjustment Surface'!$O11="",-1,1)),$AN$4:$AN$23,0),MATCH(INDEX('Adjustment Surface'!$AO$3:$BH$3,1,MATCH(('Adjustment Surface'!P$3),'Adjustment Surface'!$AO$3:$BH$3,1)+IF('Adjustment Surface'!Q$3="",-1,1)),$AO$3:$BH$3,0))*('Adjustment Surface'!$O10-INDEX('Adjustment Surface'!$AN$4:$AN$23,MATCH(('Adjustment Surface'!$O10),'Adjustment Surface'!$AN$4:$AN$23,1)))*('Adjustment Surface'!P$3-INDEX('Adjustment Surface'!$AO$3:$BH$3,1,MATCH(('Adjustment Surface'!P$3),'Adjustment Surface'!$AO$3:$BH$3,1)))))</f>
        <v>216.440953192291</v>
      </c>
      <c r="Q10" s="181" cm="1">
        <f t="array" ref="Q10">IF(OR(Q$3="",$O10=""),"",1/((INDEX('Adjustment Surface'!$AN$4:$AN$23,MATCH(('Adjustment Surface'!$O10),'Adjustment Surface'!$AN$4:$AN$23,1)+IF('Adjustment Surface'!$O11="",-1,1))-INDEX('Adjustment Surface'!$AN$4:$AN$23,MATCH(('Adjustment Surface'!$O10),'Adjustment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Surface'!$O10),'Adjustment Surface'!$AN$4:$AN$23,1)),$AN$4:$AN$23,0),MATCH(INDEX('Adjustment Surface'!$AO$3:$BH$3,1,MATCH(('Adjustment Surface'!Q$3),'Adjustment Surface'!$AO$3:$BH$3,1)),$AO$3:$BH$3,0))*(INDEX('Adjustment Surface'!$AN$4:$AN$23,MATCH(('Adjustment Surface'!$O10),'Adjustment Surface'!$AN$4:$AN$23,1)+IF('Adjustment Surface'!$O11="",-1,1))-'Adjustment Surface'!$O10)*(INDEX('Adjustment Surface'!$AO$3:$BH$3,1,MATCH(('Adjustment Surface'!Q$3),'Adjustment Surface'!$AO$3:$BH$3,1)+IF('Adjustment Surface'!R$3="",-1,1))-'Adjustment Surface'!Q$3)+INDEX($AO$4:$BH$23,MATCH(INDEX('Adjustment Surface'!$AN$4:$AN$23,MATCH(('Adjustment Surface'!$O10),'Adjustment Surface'!$AN$4:$AN$23,1)+IF('Adjustment Surface'!$O11="",-1,1)),$AN$4:$AN$23,0),MATCH(INDEX('Adjustment Surface'!$AO$3:$BH$3,1,MATCH(('Adjustment Surface'!Q$3),'Adjustment Surface'!$AO$3:$BH$3,1)),$AO$3:$BH$3,0))*('Adjustment Surface'!$O10-INDEX('Adjustment Surface'!$AN$4:$AN$23,MATCH(('Adjustment Surface'!$O10),'Adjustment Surface'!$AN$4:$AN$23,1)))*(INDEX('Adjustment Surface'!$AO$3:$BH$3,1,MATCH(('Adjustment Surface'!Q$3),'Adjustment Surface'!$AO$3:$BH$3,1)+IF('Adjustment Surface'!R$3="",-1,1))-'Adjustment Surface'!Q$3)+INDEX($AO$4:$BH$23,MATCH(INDEX('Adjustment Surface'!$AN$4:$AN$23,MATCH(('Adjustment Surface'!$O10),'Adjustment Surface'!$AN$4:$AN$23,1)),$AN$4:$AN$23,0),MATCH(INDEX('Adjustment Surface'!$AO$3:$BH$3,1,MATCH(('Adjustment Surface'!Q$3),'Adjustment Surface'!$AO$3:$BH$3,1)+IF('Adjustment Surface'!R$3="",-1,1)),$AO$3:$BH$3,0))*(INDEX('Adjustment Surface'!$AN$4:$AN$23,MATCH(('Adjustment Surface'!$O10),'Adjustment Surface'!$AN$4:$AN$23,1)+IF('Adjustment Surface'!$O11="",-1,1))-'Adjustment Surface'!$O10)*('Adjustment Surface'!Q$3-INDEX('Adjustment Surface'!$AO$3:$BH$3,1,MATCH(('Adjustment Surface'!Q$3),'Adjustment Surface'!$AO$3:$BH$3,1)))+INDEX($AO$4:$BH$23,MATCH(INDEX('Adjustment Surface'!$AN$4:$AN$23,MATCH(('Adjustment Surface'!$O10),'Adjustment Surface'!$AN$4:$AN$23,1)+IF('Adjustment Surface'!$O11="",-1,1)),$AN$4:$AN$23,0),MATCH(INDEX('Adjustment Surface'!$AO$3:$BH$3,1,MATCH(('Adjustment Surface'!Q$3),'Adjustment Surface'!$AO$3:$BH$3,1)+IF('Adjustment Surface'!R$3="",-1,1)),$AO$3:$BH$3,0))*('Adjustment Surface'!$O10-INDEX('Adjustment Surface'!$AN$4:$AN$23,MATCH(('Adjustment Surface'!$O10),'Adjustment Surface'!$AN$4:$AN$23,1)))*('Adjustment Surface'!Q$3-INDEX('Adjustment Surface'!$AO$3:$BH$3,1,MATCH(('Adjustment Surface'!Q$3),'Adjustment Surface'!$AO$3:$BH$3,1)))))</f>
        <v>168.04813189864888</v>
      </c>
      <c r="R10" s="181" cm="1">
        <f t="array" ref="R10">IF(OR(R$3="",$O10=""),"",1/((INDEX('Adjustment Surface'!$AN$4:$AN$23,MATCH(('Adjustment Surface'!$O10),'Adjustment Surface'!$AN$4:$AN$23,1)+IF('Adjustment Surface'!$O11="",-1,1))-INDEX('Adjustment Surface'!$AN$4:$AN$23,MATCH(('Adjustment Surface'!$O10),'Adjustment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Surface'!$O10),'Adjustment Surface'!$AN$4:$AN$23,1)),$AN$4:$AN$23,0),MATCH(INDEX('Adjustment Surface'!$AO$3:$BH$3,1,MATCH(('Adjustment Surface'!R$3),'Adjustment Surface'!$AO$3:$BH$3,1)),$AO$3:$BH$3,0))*(INDEX('Adjustment Surface'!$AN$4:$AN$23,MATCH(('Adjustment Surface'!$O10),'Adjustment Surface'!$AN$4:$AN$23,1)+IF('Adjustment Surface'!$O11="",-1,1))-'Adjustment Surface'!$O10)*(INDEX('Adjustment Surface'!$AO$3:$BH$3,1,MATCH(('Adjustment Surface'!R$3),'Adjustment Surface'!$AO$3:$BH$3,1)+IF('Adjustment Surface'!S$3="",-1,1))-'Adjustment Surface'!R$3)+INDEX($AO$4:$BH$23,MATCH(INDEX('Adjustment Surface'!$AN$4:$AN$23,MATCH(('Adjustment Surface'!$O10),'Adjustment Surface'!$AN$4:$AN$23,1)+IF('Adjustment Surface'!$O11="",-1,1)),$AN$4:$AN$23,0),MATCH(INDEX('Adjustment Surface'!$AO$3:$BH$3,1,MATCH(('Adjustment Surface'!R$3),'Adjustment Surface'!$AO$3:$BH$3,1)),$AO$3:$BH$3,0))*('Adjustment Surface'!$O10-INDEX('Adjustment Surface'!$AN$4:$AN$23,MATCH(('Adjustment Surface'!$O10),'Adjustment Surface'!$AN$4:$AN$23,1)))*(INDEX('Adjustment Surface'!$AO$3:$BH$3,1,MATCH(('Adjustment Surface'!R$3),'Adjustment Surface'!$AO$3:$BH$3,1)+IF('Adjustment Surface'!S$3="",-1,1))-'Adjustment Surface'!R$3)+INDEX($AO$4:$BH$23,MATCH(INDEX('Adjustment Surface'!$AN$4:$AN$23,MATCH(('Adjustment Surface'!$O10),'Adjustment Surface'!$AN$4:$AN$23,1)),$AN$4:$AN$23,0),MATCH(INDEX('Adjustment Surface'!$AO$3:$BH$3,1,MATCH(('Adjustment Surface'!R$3),'Adjustment Surface'!$AO$3:$BH$3,1)+IF('Adjustment Surface'!S$3="",-1,1)),$AO$3:$BH$3,0))*(INDEX('Adjustment Surface'!$AN$4:$AN$23,MATCH(('Adjustment Surface'!$O10),'Adjustment Surface'!$AN$4:$AN$23,1)+IF('Adjustment Surface'!$O11="",-1,1))-'Adjustment Surface'!$O10)*('Adjustment Surface'!R$3-INDEX('Adjustment Surface'!$AO$3:$BH$3,1,MATCH(('Adjustment Surface'!R$3),'Adjustment Surface'!$AO$3:$BH$3,1)))+INDEX($AO$4:$BH$23,MATCH(INDEX('Adjustment Surface'!$AN$4:$AN$23,MATCH(('Adjustment Surface'!$O10),'Adjustment Surface'!$AN$4:$AN$23,1)+IF('Adjustment Surface'!$O11="",-1,1)),$AN$4:$AN$23,0),MATCH(INDEX('Adjustment Surface'!$AO$3:$BH$3,1,MATCH(('Adjustment Surface'!R$3),'Adjustment Surface'!$AO$3:$BH$3,1)+IF('Adjustment Surface'!S$3="",-1,1)),$AO$3:$BH$3,0))*('Adjustment Surface'!$O10-INDEX('Adjustment Surface'!$AN$4:$AN$23,MATCH(('Adjustment Surface'!$O10),'Adjustment Surface'!$AN$4:$AN$23,1)))*('Adjustment Surface'!R$3-INDEX('Adjustment Surface'!$AO$3:$BH$3,1,MATCH(('Adjustment Surface'!R$3),'Adjustment Surface'!$AO$3:$BH$3,1)))))</f>
        <v>118.02409190971542</v>
      </c>
      <c r="S10" s="181" cm="1">
        <f t="array" ref="S10">IF(OR(S$3="",$O10=""),"",1/((INDEX('Adjustment Surface'!$AN$4:$AN$23,MATCH(('Adjustment Surface'!$O10),'Adjustment Surface'!$AN$4:$AN$23,1)+IF('Adjustment Surface'!$O11="",-1,1))-INDEX('Adjustment Surface'!$AN$4:$AN$23,MATCH(('Adjustment Surface'!$O10),'Adjustment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Surface'!$O10),'Adjustment Surface'!$AN$4:$AN$23,1)),$AN$4:$AN$23,0),MATCH(INDEX('Adjustment Surface'!$AO$3:$BH$3,1,MATCH(('Adjustment Surface'!S$3),'Adjustment Surface'!$AO$3:$BH$3,1)),$AO$3:$BH$3,0))*(INDEX('Adjustment Surface'!$AN$4:$AN$23,MATCH(('Adjustment Surface'!$O10),'Adjustment Surface'!$AN$4:$AN$23,1)+IF('Adjustment Surface'!$O11="",-1,1))-'Adjustment Surface'!$O10)*(INDEX('Adjustment Surface'!$AO$3:$BH$3,1,MATCH(('Adjustment Surface'!S$3),'Adjustment Surface'!$AO$3:$BH$3,1)+IF('Adjustment Surface'!T$3="",-1,1))-'Adjustment Surface'!S$3)+INDEX($AO$4:$BH$23,MATCH(INDEX('Adjustment Surface'!$AN$4:$AN$23,MATCH(('Adjustment Surface'!$O10),'Adjustment Surface'!$AN$4:$AN$23,1)+IF('Adjustment Surface'!$O11="",-1,1)),$AN$4:$AN$23,0),MATCH(INDEX('Adjustment Surface'!$AO$3:$BH$3,1,MATCH(('Adjustment Surface'!S$3),'Adjustment Surface'!$AO$3:$BH$3,1)),$AO$3:$BH$3,0))*('Adjustment Surface'!$O10-INDEX('Adjustment Surface'!$AN$4:$AN$23,MATCH(('Adjustment Surface'!$O10),'Adjustment Surface'!$AN$4:$AN$23,1)))*(INDEX('Adjustment Surface'!$AO$3:$BH$3,1,MATCH(('Adjustment Surface'!S$3),'Adjustment Surface'!$AO$3:$BH$3,1)+IF('Adjustment Surface'!T$3="",-1,1))-'Adjustment Surface'!S$3)+INDEX($AO$4:$BH$23,MATCH(INDEX('Adjustment Surface'!$AN$4:$AN$23,MATCH(('Adjustment Surface'!$O10),'Adjustment Surface'!$AN$4:$AN$23,1)),$AN$4:$AN$23,0),MATCH(INDEX('Adjustment Surface'!$AO$3:$BH$3,1,MATCH(('Adjustment Surface'!S$3),'Adjustment Surface'!$AO$3:$BH$3,1)+IF('Adjustment Surface'!T$3="",-1,1)),$AO$3:$BH$3,0))*(INDEX('Adjustment Surface'!$AN$4:$AN$23,MATCH(('Adjustment Surface'!$O10),'Adjustment Surface'!$AN$4:$AN$23,1)+IF('Adjustment Surface'!$O11="",-1,1))-'Adjustment Surface'!$O10)*('Adjustment Surface'!S$3-INDEX('Adjustment Surface'!$AO$3:$BH$3,1,MATCH(('Adjustment Surface'!S$3),'Adjustment Surface'!$AO$3:$BH$3,1)))+INDEX($AO$4:$BH$23,MATCH(INDEX('Adjustment Surface'!$AN$4:$AN$23,MATCH(('Adjustment Surface'!$O10),'Adjustment Surface'!$AN$4:$AN$23,1)+IF('Adjustment Surface'!$O11="",-1,1)),$AN$4:$AN$23,0),MATCH(INDEX('Adjustment Surface'!$AO$3:$BH$3,1,MATCH(('Adjustment Surface'!S$3),'Adjustment Surface'!$AO$3:$BH$3,1)+IF('Adjustment Surface'!T$3="",-1,1)),$AO$3:$BH$3,0))*('Adjustment Surface'!$O10-INDEX('Adjustment Surface'!$AN$4:$AN$23,MATCH(('Adjustment Surface'!$O10),'Adjustment Surface'!$AN$4:$AN$23,1)))*('Adjustment Surface'!S$3-INDEX('Adjustment Surface'!$AO$3:$BH$3,1,MATCH(('Adjustment Surface'!S$3),'Adjustment Surface'!$AO$3:$BH$3,1)))))</f>
        <v>68.000051920781971</v>
      </c>
      <c r="T10" s="181" cm="1">
        <f t="array" ref="T10">IF(OR(T$3="",$O10=""),"",1/((INDEX('Adjustment Surface'!$AN$4:$AN$23,MATCH(('Adjustment Surface'!$O10),'Adjustment Surface'!$AN$4:$AN$23,1)+IF('Adjustment Surface'!$O11="",-1,1))-INDEX('Adjustment Surface'!$AN$4:$AN$23,MATCH(('Adjustment Surface'!$O10),'Adjustment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Surface'!$O10),'Adjustment Surface'!$AN$4:$AN$23,1)),$AN$4:$AN$23,0),MATCH(INDEX('Adjustment Surface'!$AO$3:$BH$3,1,MATCH(('Adjustment Surface'!T$3),'Adjustment Surface'!$AO$3:$BH$3,1)),$AO$3:$BH$3,0))*(INDEX('Adjustment Surface'!$AN$4:$AN$23,MATCH(('Adjustment Surface'!$O10),'Adjustment Surface'!$AN$4:$AN$23,1)+IF('Adjustment Surface'!$O11="",-1,1))-'Adjustment Surface'!$O10)*(INDEX('Adjustment Surface'!$AO$3:$BH$3,1,MATCH(('Adjustment Surface'!T$3),'Adjustment Surface'!$AO$3:$BH$3,1)+IF('Adjustment Surface'!U$3="",-1,1))-'Adjustment Surface'!T$3)+INDEX($AO$4:$BH$23,MATCH(INDEX('Adjustment Surface'!$AN$4:$AN$23,MATCH(('Adjustment Surface'!$O10),'Adjustment Surface'!$AN$4:$AN$23,1)+IF('Adjustment Surface'!$O11="",-1,1)),$AN$4:$AN$23,0),MATCH(INDEX('Adjustment Surface'!$AO$3:$BH$3,1,MATCH(('Adjustment Surface'!T$3),'Adjustment Surface'!$AO$3:$BH$3,1)),$AO$3:$BH$3,0))*('Adjustment Surface'!$O10-INDEX('Adjustment Surface'!$AN$4:$AN$23,MATCH(('Adjustment Surface'!$O10),'Adjustment Surface'!$AN$4:$AN$23,1)))*(INDEX('Adjustment Surface'!$AO$3:$BH$3,1,MATCH(('Adjustment Surface'!T$3),'Adjustment Surface'!$AO$3:$BH$3,1)+IF('Adjustment Surface'!U$3="",-1,1))-'Adjustment Surface'!T$3)+INDEX($AO$4:$BH$23,MATCH(INDEX('Adjustment Surface'!$AN$4:$AN$23,MATCH(('Adjustment Surface'!$O10),'Adjustment Surface'!$AN$4:$AN$23,1)),$AN$4:$AN$23,0),MATCH(INDEX('Adjustment Surface'!$AO$3:$BH$3,1,MATCH(('Adjustment Surface'!T$3),'Adjustment Surface'!$AO$3:$BH$3,1)+IF('Adjustment Surface'!U$3="",-1,1)),$AO$3:$BH$3,0))*(INDEX('Adjustment Surface'!$AN$4:$AN$23,MATCH(('Adjustment Surface'!$O10),'Adjustment Surface'!$AN$4:$AN$23,1)+IF('Adjustment Surface'!$O11="",-1,1))-'Adjustment Surface'!$O10)*('Adjustment Surface'!T$3-INDEX('Adjustment Surface'!$AO$3:$BH$3,1,MATCH(('Adjustment Surface'!T$3),'Adjustment Surface'!$AO$3:$BH$3,1)))+INDEX($AO$4:$BH$23,MATCH(INDEX('Adjustment Surface'!$AN$4:$AN$23,MATCH(('Adjustment Surface'!$O10),'Adjustment Surface'!$AN$4:$AN$23,1)+IF('Adjustment Surface'!$O11="",-1,1)),$AN$4:$AN$23,0),MATCH(INDEX('Adjustment Surface'!$AO$3:$BH$3,1,MATCH(('Adjustment Surface'!T$3),'Adjustment Surface'!$AO$3:$BH$3,1)+IF('Adjustment Surface'!U$3="",-1,1)),$AO$3:$BH$3,0))*('Adjustment Surface'!$O10-INDEX('Adjustment Surface'!$AN$4:$AN$23,MATCH(('Adjustment Surface'!$O10),'Adjustment Surface'!$AN$4:$AN$23,1)))*('Adjustment Surface'!T$3-INDEX('Adjustment Surface'!$AO$3:$BH$3,1,MATCH(('Adjustment Surface'!T$3),'Adjustment Surface'!$AO$3:$BH$3,1)))))</f>
        <v>17.976011931848522</v>
      </c>
      <c r="U10" s="181" cm="1">
        <f t="array" ref="U10">IF(OR(U$3="",$O10=""),"",1/((INDEX('Adjustment Surface'!$AN$4:$AN$23,MATCH(('Adjustment Surface'!$O10),'Adjustment Surface'!$AN$4:$AN$23,1)+IF('Adjustment Surface'!$O11="",-1,1))-INDEX('Adjustment Surface'!$AN$4:$AN$23,MATCH(('Adjustment Surface'!$O10),'Adjustment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Surface'!$O10),'Adjustment Surface'!$AN$4:$AN$23,1)),$AN$4:$AN$23,0),MATCH(INDEX('Adjustment Surface'!$AO$3:$BH$3,1,MATCH(('Adjustment Surface'!U$3),'Adjustment Surface'!$AO$3:$BH$3,1)),$AO$3:$BH$3,0))*(INDEX('Adjustment Surface'!$AN$4:$AN$23,MATCH(('Adjustment Surface'!$O10),'Adjustment Surface'!$AN$4:$AN$23,1)+IF('Adjustment Surface'!$O11="",-1,1))-'Adjustment Surface'!$O10)*(INDEX('Adjustment Surface'!$AO$3:$BH$3,1,MATCH(('Adjustment Surface'!U$3),'Adjustment Surface'!$AO$3:$BH$3,1)+IF('Adjustment Surface'!V$3="",-1,1))-'Adjustment Surface'!U$3)+INDEX($AO$4:$BH$23,MATCH(INDEX('Adjustment Surface'!$AN$4:$AN$23,MATCH(('Adjustment Surface'!$O10),'Adjustment Surface'!$AN$4:$AN$23,1)+IF('Adjustment Surface'!$O11="",-1,1)),$AN$4:$AN$23,0),MATCH(INDEX('Adjustment Surface'!$AO$3:$BH$3,1,MATCH(('Adjustment Surface'!U$3),'Adjustment Surface'!$AO$3:$BH$3,1)),$AO$3:$BH$3,0))*('Adjustment Surface'!$O10-INDEX('Adjustment Surface'!$AN$4:$AN$23,MATCH(('Adjustment Surface'!$O10),'Adjustment Surface'!$AN$4:$AN$23,1)))*(INDEX('Adjustment Surface'!$AO$3:$BH$3,1,MATCH(('Adjustment Surface'!U$3),'Adjustment Surface'!$AO$3:$BH$3,1)+IF('Adjustment Surface'!V$3="",-1,1))-'Adjustment Surface'!U$3)+INDEX($AO$4:$BH$23,MATCH(INDEX('Adjustment Surface'!$AN$4:$AN$23,MATCH(('Adjustment Surface'!$O10),'Adjustment Surface'!$AN$4:$AN$23,1)),$AN$4:$AN$23,0),MATCH(INDEX('Adjustment Surface'!$AO$3:$BH$3,1,MATCH(('Adjustment Surface'!U$3),'Adjustment Surface'!$AO$3:$BH$3,1)+IF('Adjustment Surface'!V$3="",-1,1)),$AO$3:$BH$3,0))*(INDEX('Adjustment Surface'!$AN$4:$AN$23,MATCH(('Adjustment Surface'!$O10),'Adjustment Surface'!$AN$4:$AN$23,1)+IF('Adjustment Surface'!$O11="",-1,1))-'Adjustment Surface'!$O10)*('Adjustment Surface'!U$3-INDEX('Adjustment Surface'!$AO$3:$BH$3,1,MATCH(('Adjustment Surface'!U$3),'Adjustment Surface'!$AO$3:$BH$3,1)))+INDEX($AO$4:$BH$23,MATCH(INDEX('Adjustment Surface'!$AN$4:$AN$23,MATCH(('Adjustment Surface'!$O10),'Adjustment Surface'!$AN$4:$AN$23,1)+IF('Adjustment Surface'!$O11="",-1,1)),$AN$4:$AN$23,0),MATCH(INDEX('Adjustment Surface'!$AO$3:$BH$3,1,MATCH(('Adjustment Surface'!U$3),'Adjustment Surface'!$AO$3:$BH$3,1)+IF('Adjustment Surface'!V$3="",-1,1)),$AO$3:$BH$3,0))*('Adjustment Surface'!$O10-INDEX('Adjustment Surface'!$AN$4:$AN$23,MATCH(('Adjustment Surface'!$O10),'Adjustment Surface'!$AN$4:$AN$23,1)))*('Adjustment Surface'!U$3-INDEX('Adjustment Surface'!$AO$3:$BH$3,1,MATCH(('Adjustment Surface'!U$3),'Adjustment Surface'!$AO$3:$BH$3,1)))))</f>
        <v>16.8654902572103</v>
      </c>
      <c r="V10" s="181" cm="1">
        <f t="array" ref="V10">IF(OR(V$3="",$O10=""),"",1/((INDEX('Adjustment Surface'!$AN$4:$AN$23,MATCH(('Adjustment Surface'!$O10),'Adjustment Surface'!$AN$4:$AN$23,1)+IF('Adjustment Surface'!$O11="",-1,1))-INDEX('Adjustment Surface'!$AN$4:$AN$23,MATCH(('Adjustment Surface'!$O10),'Adjustment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Surface'!$O10),'Adjustment Surface'!$AN$4:$AN$23,1)),$AN$4:$AN$23,0),MATCH(INDEX('Adjustment Surface'!$AO$3:$BH$3,1,MATCH(('Adjustment Surface'!V$3),'Adjustment Surface'!$AO$3:$BH$3,1)),$AO$3:$BH$3,0))*(INDEX('Adjustment Surface'!$AN$4:$AN$23,MATCH(('Adjustment Surface'!$O10),'Adjustment Surface'!$AN$4:$AN$23,1)+IF('Adjustment Surface'!$O11="",-1,1))-'Adjustment Surface'!$O10)*(INDEX('Adjustment Surface'!$AO$3:$BH$3,1,MATCH(('Adjustment Surface'!V$3),'Adjustment Surface'!$AO$3:$BH$3,1)+IF('Adjustment Surface'!W$3="",-1,1))-'Adjustment Surface'!V$3)+INDEX($AO$4:$BH$23,MATCH(INDEX('Adjustment Surface'!$AN$4:$AN$23,MATCH(('Adjustment Surface'!$O10),'Adjustment Surface'!$AN$4:$AN$23,1)+IF('Adjustment Surface'!$O11="",-1,1)),$AN$4:$AN$23,0),MATCH(INDEX('Adjustment Surface'!$AO$3:$BH$3,1,MATCH(('Adjustment Surface'!V$3),'Adjustment Surface'!$AO$3:$BH$3,1)),$AO$3:$BH$3,0))*('Adjustment Surface'!$O10-INDEX('Adjustment Surface'!$AN$4:$AN$23,MATCH(('Adjustment Surface'!$O10),'Adjustment Surface'!$AN$4:$AN$23,1)))*(INDEX('Adjustment Surface'!$AO$3:$BH$3,1,MATCH(('Adjustment Surface'!V$3),'Adjustment Surface'!$AO$3:$BH$3,1)+IF('Adjustment Surface'!W$3="",-1,1))-'Adjustment Surface'!V$3)+INDEX($AO$4:$BH$23,MATCH(INDEX('Adjustment Surface'!$AN$4:$AN$23,MATCH(('Adjustment Surface'!$O10),'Adjustment Surface'!$AN$4:$AN$23,1)),$AN$4:$AN$23,0),MATCH(INDEX('Adjustment Surface'!$AO$3:$BH$3,1,MATCH(('Adjustment Surface'!V$3),'Adjustment Surface'!$AO$3:$BH$3,1)+IF('Adjustment Surface'!W$3="",-1,1)),$AO$3:$BH$3,0))*(INDEX('Adjustment Surface'!$AN$4:$AN$23,MATCH(('Adjustment Surface'!$O10),'Adjustment Surface'!$AN$4:$AN$23,1)+IF('Adjustment Surface'!$O11="",-1,1))-'Adjustment Surface'!$O10)*('Adjustment Surface'!V$3-INDEX('Adjustment Surface'!$AO$3:$BH$3,1,MATCH(('Adjustment Surface'!V$3),'Adjustment Surface'!$AO$3:$BH$3,1)))+INDEX($AO$4:$BH$23,MATCH(INDEX('Adjustment Surface'!$AN$4:$AN$23,MATCH(('Adjustment Surface'!$O10),'Adjustment Surface'!$AN$4:$AN$23,1)+IF('Adjustment Surface'!$O11="",-1,1)),$AN$4:$AN$23,0),MATCH(INDEX('Adjustment Surface'!$AO$3:$BH$3,1,MATCH(('Adjustment Surface'!V$3),'Adjustment Surface'!$AO$3:$BH$3,1)+IF('Adjustment Surface'!W$3="",-1,1)),$AO$3:$BH$3,0))*('Adjustment Surface'!$O10-INDEX('Adjustment Surface'!$AN$4:$AN$23,MATCH(('Adjustment Surface'!$O10),'Adjustment Surface'!$AN$4:$AN$23,1)))*('Adjustment Surface'!V$3-INDEX('Adjustment Surface'!$AO$3:$BH$3,1,MATCH(('Adjustment Surface'!V$3),'Adjustment Surface'!$AO$3:$BH$3,1)))))</f>
        <v>15.730290323135678</v>
      </c>
      <c r="W10" s="181" cm="1">
        <f t="array" ref="W10">IF(OR(W$3="",$O10=""),"",1/((INDEX('Adjustment Surface'!$AN$4:$AN$23,MATCH(('Adjustment Surface'!$O10),'Adjustment Surface'!$AN$4:$AN$23,1)+IF('Adjustment Surface'!$O11="",-1,1))-INDEX('Adjustment Surface'!$AN$4:$AN$23,MATCH(('Adjustment Surface'!$O10),'Adjustment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Surface'!$O10),'Adjustment Surface'!$AN$4:$AN$23,1)),$AN$4:$AN$23,0),MATCH(INDEX('Adjustment Surface'!$AO$3:$BH$3,1,MATCH(('Adjustment Surface'!W$3),'Adjustment Surface'!$AO$3:$BH$3,1)),$AO$3:$BH$3,0))*(INDEX('Adjustment Surface'!$AN$4:$AN$23,MATCH(('Adjustment Surface'!$O10),'Adjustment Surface'!$AN$4:$AN$23,1)+IF('Adjustment Surface'!$O11="",-1,1))-'Adjustment Surface'!$O10)*(INDEX('Adjustment Surface'!$AO$3:$BH$3,1,MATCH(('Adjustment Surface'!W$3),'Adjustment Surface'!$AO$3:$BH$3,1)+IF('Adjustment Surface'!X$3="",-1,1))-'Adjustment Surface'!W$3)+INDEX($AO$4:$BH$23,MATCH(INDEX('Adjustment Surface'!$AN$4:$AN$23,MATCH(('Adjustment Surface'!$O10),'Adjustment Surface'!$AN$4:$AN$23,1)+IF('Adjustment Surface'!$O11="",-1,1)),$AN$4:$AN$23,0),MATCH(INDEX('Adjustment Surface'!$AO$3:$BH$3,1,MATCH(('Adjustment Surface'!W$3),'Adjustment Surface'!$AO$3:$BH$3,1)),$AO$3:$BH$3,0))*('Adjustment Surface'!$O10-INDEX('Adjustment Surface'!$AN$4:$AN$23,MATCH(('Adjustment Surface'!$O10),'Adjustment Surface'!$AN$4:$AN$23,1)))*(INDEX('Adjustment Surface'!$AO$3:$BH$3,1,MATCH(('Adjustment Surface'!W$3),'Adjustment Surface'!$AO$3:$BH$3,1)+IF('Adjustment Surface'!X$3="",-1,1))-'Adjustment Surface'!W$3)+INDEX($AO$4:$BH$23,MATCH(INDEX('Adjustment Surface'!$AN$4:$AN$23,MATCH(('Adjustment Surface'!$O10),'Adjustment Surface'!$AN$4:$AN$23,1)),$AN$4:$AN$23,0),MATCH(INDEX('Adjustment Surface'!$AO$3:$BH$3,1,MATCH(('Adjustment Surface'!W$3),'Adjustment Surface'!$AO$3:$BH$3,1)+IF('Adjustment Surface'!X$3="",-1,1)),$AO$3:$BH$3,0))*(INDEX('Adjustment Surface'!$AN$4:$AN$23,MATCH(('Adjustment Surface'!$O10),'Adjustment Surface'!$AN$4:$AN$23,1)+IF('Adjustment Surface'!$O11="",-1,1))-'Adjustment Surface'!$O10)*('Adjustment Surface'!W$3-INDEX('Adjustment Surface'!$AO$3:$BH$3,1,MATCH(('Adjustment Surface'!W$3),'Adjustment Surface'!$AO$3:$BH$3,1)))+INDEX($AO$4:$BH$23,MATCH(INDEX('Adjustment Surface'!$AN$4:$AN$23,MATCH(('Adjustment Surface'!$O10),'Adjustment Surface'!$AN$4:$AN$23,1)+IF('Adjustment Surface'!$O11="",-1,1)),$AN$4:$AN$23,0),MATCH(INDEX('Adjustment Surface'!$AO$3:$BH$3,1,MATCH(('Adjustment Surface'!W$3),'Adjustment Surface'!$AO$3:$BH$3,1)+IF('Adjustment Surface'!X$3="",-1,1)),$AO$3:$BH$3,0))*('Adjustment Surface'!$O10-INDEX('Adjustment Surface'!$AN$4:$AN$23,MATCH(('Adjustment Surface'!$O10),'Adjustment Surface'!$AN$4:$AN$23,1)))*('Adjustment Surface'!W$3-INDEX('Adjustment Surface'!$AO$3:$BH$3,1,MATCH(('Adjustment Surface'!W$3),'Adjustment Surface'!$AO$3:$BH$3,1)))))</f>
        <v>14.595090389061054</v>
      </c>
      <c r="X10" s="181" cm="1">
        <f t="array" ref="X10">IF(OR(X$3="",$O10=""),"",1/((INDEX('Adjustment Surface'!$AN$4:$AN$23,MATCH(('Adjustment Surface'!$O10),'Adjustment Surface'!$AN$4:$AN$23,1)+IF('Adjustment Surface'!$O11="",-1,1))-INDEX('Adjustment Surface'!$AN$4:$AN$23,MATCH(('Adjustment Surface'!$O10),'Adjustment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Surface'!$O10),'Adjustment Surface'!$AN$4:$AN$23,1)),$AN$4:$AN$23,0),MATCH(INDEX('Adjustment Surface'!$AO$3:$BH$3,1,MATCH(('Adjustment Surface'!X$3),'Adjustment Surface'!$AO$3:$BH$3,1)),$AO$3:$BH$3,0))*(INDEX('Adjustment Surface'!$AN$4:$AN$23,MATCH(('Adjustment Surface'!$O10),'Adjustment Surface'!$AN$4:$AN$23,1)+IF('Adjustment Surface'!$O11="",-1,1))-'Adjustment Surface'!$O10)*(INDEX('Adjustment Surface'!$AO$3:$BH$3,1,MATCH(('Adjustment Surface'!X$3),'Adjustment Surface'!$AO$3:$BH$3,1)+IF('Adjustment Surface'!Y$3="",-1,1))-'Adjustment Surface'!X$3)+INDEX($AO$4:$BH$23,MATCH(INDEX('Adjustment Surface'!$AN$4:$AN$23,MATCH(('Adjustment Surface'!$O10),'Adjustment Surface'!$AN$4:$AN$23,1)+IF('Adjustment Surface'!$O11="",-1,1)),$AN$4:$AN$23,0),MATCH(INDEX('Adjustment Surface'!$AO$3:$BH$3,1,MATCH(('Adjustment Surface'!X$3),'Adjustment Surface'!$AO$3:$BH$3,1)),$AO$3:$BH$3,0))*('Adjustment Surface'!$O10-INDEX('Adjustment Surface'!$AN$4:$AN$23,MATCH(('Adjustment Surface'!$O10),'Adjustment Surface'!$AN$4:$AN$23,1)))*(INDEX('Adjustment Surface'!$AO$3:$BH$3,1,MATCH(('Adjustment Surface'!X$3),'Adjustment Surface'!$AO$3:$BH$3,1)+IF('Adjustment Surface'!Y$3="",-1,1))-'Adjustment Surface'!X$3)+INDEX($AO$4:$BH$23,MATCH(INDEX('Adjustment Surface'!$AN$4:$AN$23,MATCH(('Adjustment Surface'!$O10),'Adjustment Surface'!$AN$4:$AN$23,1)),$AN$4:$AN$23,0),MATCH(INDEX('Adjustment Surface'!$AO$3:$BH$3,1,MATCH(('Adjustment Surface'!X$3),'Adjustment Surface'!$AO$3:$BH$3,1)+IF('Adjustment Surface'!Y$3="",-1,1)),$AO$3:$BH$3,0))*(INDEX('Adjustment Surface'!$AN$4:$AN$23,MATCH(('Adjustment Surface'!$O10),'Adjustment Surface'!$AN$4:$AN$23,1)+IF('Adjustment Surface'!$O11="",-1,1))-'Adjustment Surface'!$O10)*('Adjustment Surface'!X$3-INDEX('Adjustment Surface'!$AO$3:$BH$3,1,MATCH(('Adjustment Surface'!X$3),'Adjustment Surface'!$AO$3:$BH$3,1)))+INDEX($AO$4:$BH$23,MATCH(INDEX('Adjustment Surface'!$AN$4:$AN$23,MATCH(('Adjustment Surface'!$O10),'Adjustment Surface'!$AN$4:$AN$23,1)+IF('Adjustment Surface'!$O11="",-1,1)),$AN$4:$AN$23,0),MATCH(INDEX('Adjustment Surface'!$AO$3:$BH$3,1,MATCH(('Adjustment Surface'!X$3),'Adjustment Surface'!$AO$3:$BH$3,1)+IF('Adjustment Surface'!Y$3="",-1,1)),$AO$3:$BH$3,0))*('Adjustment Surface'!$O10-INDEX('Adjustment Surface'!$AN$4:$AN$23,MATCH(('Adjustment Surface'!$O10),'Adjustment Surface'!$AN$4:$AN$23,1)))*('Adjustment Surface'!X$3-INDEX('Adjustment Surface'!$AO$3:$BH$3,1,MATCH(('Adjustment Surface'!X$3),'Adjustment Surface'!$AO$3:$BH$3,1)))))</f>
        <v>13.459890454986429</v>
      </c>
      <c r="Y10" s="181" t="str" cm="1">
        <f t="array" ref="Y10">IF(OR(Y$3="",$O10=""),"",1/((INDEX('Adjustment Surface'!$AN$4:$AN$23,MATCH(('Adjustment Surface'!$O10),'Adjustment Surface'!$AN$4:$AN$23,1)+IF('Adjustment Surface'!$O11="",-1,1))-INDEX('Adjustment Surface'!$AN$4:$AN$23,MATCH(('Adjustment Surface'!$O10),'Adjustment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Surface'!$O10),'Adjustment Surface'!$AN$4:$AN$23,1)),$AN$4:$AN$23,0),MATCH(INDEX('Adjustment Surface'!$AO$3:$BH$3,1,MATCH(('Adjustment Surface'!Y$3),'Adjustment Surface'!$AO$3:$BH$3,1)),$AO$3:$BH$3,0))*(INDEX('Adjustment Surface'!$AN$4:$AN$23,MATCH(('Adjustment Surface'!$O10),'Adjustment Surface'!$AN$4:$AN$23,1)+IF('Adjustment Surface'!$O11="",-1,1))-'Adjustment Surface'!$O10)*(INDEX('Adjustment Surface'!$AO$3:$BH$3,1,MATCH(('Adjustment Surface'!Y$3),'Adjustment Surface'!$AO$3:$BH$3,1)+IF('Adjustment Surface'!Z$3="",-1,1))-'Adjustment Surface'!Y$3)+INDEX($AO$4:$BH$23,MATCH(INDEX('Adjustment Surface'!$AN$4:$AN$23,MATCH(('Adjustment Surface'!$O10),'Adjustment Surface'!$AN$4:$AN$23,1)+IF('Adjustment Surface'!$O11="",-1,1)),$AN$4:$AN$23,0),MATCH(INDEX('Adjustment Surface'!$AO$3:$BH$3,1,MATCH(('Adjustment Surface'!Y$3),'Adjustment Surface'!$AO$3:$BH$3,1)),$AO$3:$BH$3,0))*('Adjustment Surface'!$O10-INDEX('Adjustment Surface'!$AN$4:$AN$23,MATCH(('Adjustment Surface'!$O10),'Adjustment Surface'!$AN$4:$AN$23,1)))*(INDEX('Adjustment Surface'!$AO$3:$BH$3,1,MATCH(('Adjustment Surface'!Y$3),'Adjustment Surface'!$AO$3:$BH$3,1)+IF('Adjustment Surface'!Z$3="",-1,1))-'Adjustment Surface'!Y$3)+INDEX($AO$4:$BH$23,MATCH(INDEX('Adjustment Surface'!$AN$4:$AN$23,MATCH(('Adjustment Surface'!$O10),'Adjustment Surface'!$AN$4:$AN$23,1)),$AN$4:$AN$23,0),MATCH(INDEX('Adjustment Surface'!$AO$3:$BH$3,1,MATCH(('Adjustment Surface'!Y$3),'Adjustment Surface'!$AO$3:$BH$3,1)+IF('Adjustment Surface'!Z$3="",-1,1)),$AO$3:$BH$3,0))*(INDEX('Adjustment Surface'!$AN$4:$AN$23,MATCH(('Adjustment Surface'!$O10),'Adjustment Surface'!$AN$4:$AN$23,1)+IF('Adjustment Surface'!$O11="",-1,1))-'Adjustment Surface'!$O10)*('Adjustment Surface'!Y$3-INDEX('Adjustment Surface'!$AO$3:$BH$3,1,MATCH(('Adjustment Surface'!Y$3),'Adjustment Surface'!$AO$3:$BH$3,1)))+INDEX($AO$4:$BH$23,MATCH(INDEX('Adjustment Surface'!$AN$4:$AN$23,MATCH(('Adjustment Surface'!$O10),'Adjustment Surface'!$AN$4:$AN$23,1)+IF('Adjustment Surface'!$O11="",-1,1)),$AN$4:$AN$23,0),MATCH(INDEX('Adjustment Surface'!$AO$3:$BH$3,1,MATCH(('Adjustment Surface'!Y$3),'Adjustment Surface'!$AO$3:$BH$3,1)+IF('Adjustment Surface'!Z$3="",-1,1)),$AO$3:$BH$3,0))*('Adjustment Surface'!$O10-INDEX('Adjustment Surface'!$AN$4:$AN$23,MATCH(('Adjustment Surface'!$O10),'Adjustment Surface'!$AN$4:$AN$23,1)))*('Adjustment Surface'!Y$3-INDEX('Adjustment Surface'!$AO$3:$BH$3,1,MATCH(('Adjustment Surface'!Y$3),'Adjustment Surface'!$AO$3:$BH$3,1)))))</f>
        <v/>
      </c>
      <c r="Z10" s="181" t="str" cm="1">
        <f t="array" ref="Z10">IF(OR(Z$3="",$O10=""),"",1/((INDEX('Adjustment Surface'!$AN$4:$AN$23,MATCH(('Adjustment Surface'!$O10),'Adjustment Surface'!$AN$4:$AN$23,1)+IF('Adjustment Surface'!$O11="",-1,1))-INDEX('Adjustment Surface'!$AN$4:$AN$23,MATCH(('Adjustment Surface'!$O10),'Adjustment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Surface'!$O10),'Adjustment Surface'!$AN$4:$AN$23,1)),$AN$4:$AN$23,0),MATCH(INDEX('Adjustment Surface'!$AO$3:$BH$3,1,MATCH(('Adjustment Surface'!Z$3),'Adjustment Surface'!$AO$3:$BH$3,1)),$AO$3:$BH$3,0))*(INDEX('Adjustment Surface'!$AN$4:$AN$23,MATCH(('Adjustment Surface'!$O10),'Adjustment Surface'!$AN$4:$AN$23,1)+IF('Adjustment Surface'!$O11="",-1,1))-'Adjustment Surface'!$O10)*(INDEX('Adjustment Surface'!$AO$3:$BH$3,1,MATCH(('Adjustment Surface'!Z$3),'Adjustment Surface'!$AO$3:$BH$3,1)+IF('Adjustment Surface'!AA$3="",-1,1))-'Adjustment Surface'!Z$3)+INDEX($AO$4:$BH$23,MATCH(INDEX('Adjustment Surface'!$AN$4:$AN$23,MATCH(('Adjustment Surface'!$O10),'Adjustment Surface'!$AN$4:$AN$23,1)+IF('Adjustment Surface'!$O11="",-1,1)),$AN$4:$AN$23,0),MATCH(INDEX('Adjustment Surface'!$AO$3:$BH$3,1,MATCH(('Adjustment Surface'!Z$3),'Adjustment Surface'!$AO$3:$BH$3,1)),$AO$3:$BH$3,0))*('Adjustment Surface'!$O10-INDEX('Adjustment Surface'!$AN$4:$AN$23,MATCH(('Adjustment Surface'!$O10),'Adjustment Surface'!$AN$4:$AN$23,1)))*(INDEX('Adjustment Surface'!$AO$3:$BH$3,1,MATCH(('Adjustment Surface'!Z$3),'Adjustment Surface'!$AO$3:$BH$3,1)+IF('Adjustment Surface'!AA$3="",-1,1))-'Adjustment Surface'!Z$3)+INDEX($AO$4:$BH$23,MATCH(INDEX('Adjustment Surface'!$AN$4:$AN$23,MATCH(('Adjustment Surface'!$O10),'Adjustment Surface'!$AN$4:$AN$23,1)),$AN$4:$AN$23,0),MATCH(INDEX('Adjustment Surface'!$AO$3:$BH$3,1,MATCH(('Adjustment Surface'!Z$3),'Adjustment Surface'!$AO$3:$BH$3,1)+IF('Adjustment Surface'!AA$3="",-1,1)),$AO$3:$BH$3,0))*(INDEX('Adjustment Surface'!$AN$4:$AN$23,MATCH(('Adjustment Surface'!$O10),'Adjustment Surface'!$AN$4:$AN$23,1)+IF('Adjustment Surface'!$O11="",-1,1))-'Adjustment Surface'!$O10)*('Adjustment Surface'!Z$3-INDEX('Adjustment Surface'!$AO$3:$BH$3,1,MATCH(('Adjustment Surface'!Z$3),'Adjustment Surface'!$AO$3:$BH$3,1)))+INDEX($AO$4:$BH$23,MATCH(INDEX('Adjustment Surface'!$AN$4:$AN$23,MATCH(('Adjustment Surface'!$O10),'Adjustment Surface'!$AN$4:$AN$23,1)+IF('Adjustment Surface'!$O11="",-1,1)),$AN$4:$AN$23,0),MATCH(INDEX('Adjustment Surface'!$AO$3:$BH$3,1,MATCH(('Adjustment Surface'!Z$3),'Adjustment Surface'!$AO$3:$BH$3,1)+IF('Adjustment Surface'!AA$3="",-1,1)),$AO$3:$BH$3,0))*('Adjustment Surface'!$O10-INDEX('Adjustment Surface'!$AN$4:$AN$23,MATCH(('Adjustment Surface'!$O10),'Adjustment Surface'!$AN$4:$AN$23,1)))*('Adjustment Surface'!Z$3-INDEX('Adjustment Surface'!$AO$3:$BH$3,1,MATCH(('Adjustment Surface'!Z$3),'Adjustment Surface'!$AO$3:$BH$3,1)))))</f>
        <v/>
      </c>
      <c r="AA10" s="181" t="str" cm="1">
        <f t="array" ref="AA10">IF(OR(AA$3="",$O10=""),"",1/((INDEX('Adjustment Surface'!$AN$4:$AN$23,MATCH(('Adjustment Surface'!$O10),'Adjustment Surface'!$AN$4:$AN$23,1)+IF('Adjustment Surface'!$O11="",-1,1))-INDEX('Adjustment Surface'!$AN$4:$AN$23,MATCH(('Adjustment Surface'!$O10),'Adjustment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Surface'!$O10),'Adjustment Surface'!$AN$4:$AN$23,1)),$AN$4:$AN$23,0),MATCH(INDEX('Adjustment Surface'!$AO$3:$BH$3,1,MATCH(('Adjustment Surface'!AA$3),'Adjustment Surface'!$AO$3:$BH$3,1)),$AO$3:$BH$3,0))*(INDEX('Adjustment Surface'!$AN$4:$AN$23,MATCH(('Adjustment Surface'!$O10),'Adjustment Surface'!$AN$4:$AN$23,1)+IF('Adjustment Surface'!$O11="",-1,1))-'Adjustment Surface'!$O10)*(INDEX('Adjustment Surface'!$AO$3:$BH$3,1,MATCH(('Adjustment Surface'!AA$3),'Adjustment Surface'!$AO$3:$BH$3,1)+IF('Adjustment Surface'!AB$3="",-1,1))-'Adjustment Surface'!AA$3)+INDEX($AO$4:$BH$23,MATCH(INDEX('Adjustment Surface'!$AN$4:$AN$23,MATCH(('Adjustment Surface'!$O10),'Adjustment Surface'!$AN$4:$AN$23,1)+IF('Adjustment Surface'!$O11="",-1,1)),$AN$4:$AN$23,0),MATCH(INDEX('Adjustment Surface'!$AO$3:$BH$3,1,MATCH(('Adjustment Surface'!AA$3),'Adjustment Surface'!$AO$3:$BH$3,1)),$AO$3:$BH$3,0))*('Adjustment Surface'!$O10-INDEX('Adjustment Surface'!$AN$4:$AN$23,MATCH(('Adjustment Surface'!$O10),'Adjustment Surface'!$AN$4:$AN$23,1)))*(INDEX('Adjustment Surface'!$AO$3:$BH$3,1,MATCH(('Adjustment Surface'!AA$3),'Adjustment Surface'!$AO$3:$BH$3,1)+IF('Adjustment Surface'!AB$3="",-1,1))-'Adjustment Surface'!AA$3)+INDEX($AO$4:$BH$23,MATCH(INDEX('Adjustment Surface'!$AN$4:$AN$23,MATCH(('Adjustment Surface'!$O10),'Adjustment Surface'!$AN$4:$AN$23,1)),$AN$4:$AN$23,0),MATCH(INDEX('Adjustment Surface'!$AO$3:$BH$3,1,MATCH(('Adjustment Surface'!AA$3),'Adjustment Surface'!$AO$3:$BH$3,1)+IF('Adjustment Surface'!AB$3="",-1,1)),$AO$3:$BH$3,0))*(INDEX('Adjustment Surface'!$AN$4:$AN$23,MATCH(('Adjustment Surface'!$O10),'Adjustment Surface'!$AN$4:$AN$23,1)+IF('Adjustment Surface'!$O11="",-1,1))-'Adjustment Surface'!$O10)*('Adjustment Surface'!AA$3-INDEX('Adjustment Surface'!$AO$3:$BH$3,1,MATCH(('Adjustment Surface'!AA$3),'Adjustment Surface'!$AO$3:$BH$3,1)))+INDEX($AO$4:$BH$23,MATCH(INDEX('Adjustment Surface'!$AN$4:$AN$23,MATCH(('Adjustment Surface'!$O10),'Adjustment Surface'!$AN$4:$AN$23,1)+IF('Adjustment Surface'!$O11="",-1,1)),$AN$4:$AN$23,0),MATCH(INDEX('Adjustment Surface'!$AO$3:$BH$3,1,MATCH(('Adjustment Surface'!AA$3),'Adjustment Surface'!$AO$3:$BH$3,1)+IF('Adjustment Surface'!AB$3="",-1,1)),$AO$3:$BH$3,0))*('Adjustment Surface'!$O10-INDEX('Adjustment Surface'!$AN$4:$AN$23,MATCH(('Adjustment Surface'!$O10),'Adjustment Surface'!$AN$4:$AN$23,1)))*('Adjustment Surface'!AA$3-INDEX('Adjustment Surface'!$AO$3:$BH$3,1,MATCH(('Adjustment Surface'!AA$3),'Adjustment Surface'!$AO$3:$BH$3,1)))))</f>
        <v/>
      </c>
      <c r="AB10" s="181" t="str" cm="1">
        <f t="array" ref="AB10">IF(OR(AB$3="",$O10=""),"",1/((INDEX('Adjustment Surface'!$AN$4:$AN$23,MATCH(('Adjustment Surface'!$O10),'Adjustment Surface'!$AN$4:$AN$23,1)+IF('Adjustment Surface'!$O11="",-1,1))-INDEX('Adjustment Surface'!$AN$4:$AN$23,MATCH(('Adjustment Surface'!$O10),'Adjustment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Surface'!$O10),'Adjustment Surface'!$AN$4:$AN$23,1)),$AN$4:$AN$23,0),MATCH(INDEX('Adjustment Surface'!$AO$3:$BH$3,1,MATCH(('Adjustment Surface'!AB$3),'Adjustment Surface'!$AO$3:$BH$3,1)),$AO$3:$BH$3,0))*(INDEX('Adjustment Surface'!$AN$4:$AN$23,MATCH(('Adjustment Surface'!$O10),'Adjustment Surface'!$AN$4:$AN$23,1)+IF('Adjustment Surface'!$O11="",-1,1))-'Adjustment Surface'!$O10)*(INDEX('Adjustment Surface'!$AO$3:$BH$3,1,MATCH(('Adjustment Surface'!AB$3),'Adjustment Surface'!$AO$3:$BH$3,1)+IF('Adjustment Surface'!AC$3="",-1,1))-'Adjustment Surface'!AB$3)+INDEX($AO$4:$BH$23,MATCH(INDEX('Adjustment Surface'!$AN$4:$AN$23,MATCH(('Adjustment Surface'!$O10),'Adjustment Surface'!$AN$4:$AN$23,1)+IF('Adjustment Surface'!$O11="",-1,1)),$AN$4:$AN$23,0),MATCH(INDEX('Adjustment Surface'!$AO$3:$BH$3,1,MATCH(('Adjustment Surface'!AB$3),'Adjustment Surface'!$AO$3:$BH$3,1)),$AO$3:$BH$3,0))*('Adjustment Surface'!$O10-INDEX('Adjustment Surface'!$AN$4:$AN$23,MATCH(('Adjustment Surface'!$O10),'Adjustment Surface'!$AN$4:$AN$23,1)))*(INDEX('Adjustment Surface'!$AO$3:$BH$3,1,MATCH(('Adjustment Surface'!AB$3),'Adjustment Surface'!$AO$3:$BH$3,1)+IF('Adjustment Surface'!AC$3="",-1,1))-'Adjustment Surface'!AB$3)+INDEX($AO$4:$BH$23,MATCH(INDEX('Adjustment Surface'!$AN$4:$AN$23,MATCH(('Adjustment Surface'!$O10),'Adjustment Surface'!$AN$4:$AN$23,1)),$AN$4:$AN$23,0),MATCH(INDEX('Adjustment Surface'!$AO$3:$BH$3,1,MATCH(('Adjustment Surface'!AB$3),'Adjustment Surface'!$AO$3:$BH$3,1)+IF('Adjustment Surface'!AC$3="",-1,1)),$AO$3:$BH$3,0))*(INDEX('Adjustment Surface'!$AN$4:$AN$23,MATCH(('Adjustment Surface'!$O10),'Adjustment Surface'!$AN$4:$AN$23,1)+IF('Adjustment Surface'!$O11="",-1,1))-'Adjustment Surface'!$O10)*('Adjustment Surface'!AB$3-INDEX('Adjustment Surface'!$AO$3:$BH$3,1,MATCH(('Adjustment Surface'!AB$3),'Adjustment Surface'!$AO$3:$BH$3,1)))+INDEX($AO$4:$BH$23,MATCH(INDEX('Adjustment Surface'!$AN$4:$AN$23,MATCH(('Adjustment Surface'!$O10),'Adjustment Surface'!$AN$4:$AN$23,1)+IF('Adjustment Surface'!$O11="",-1,1)),$AN$4:$AN$23,0),MATCH(INDEX('Adjustment Surface'!$AO$3:$BH$3,1,MATCH(('Adjustment Surface'!AB$3),'Adjustment Surface'!$AO$3:$BH$3,1)+IF('Adjustment Surface'!AC$3="",-1,1)),$AO$3:$BH$3,0))*('Adjustment Surface'!$O10-INDEX('Adjustment Surface'!$AN$4:$AN$23,MATCH(('Adjustment Surface'!$O10),'Adjustment Surface'!$AN$4:$AN$23,1)))*('Adjustment Surface'!AB$3-INDEX('Adjustment Surface'!$AO$3:$BH$3,1,MATCH(('Adjustment Surface'!AB$3),'Adjustment Surface'!$AO$3:$BH$3,1)))))</f>
        <v/>
      </c>
      <c r="AC10" s="181" t="str" cm="1">
        <f t="array" ref="AC10">IF(OR(AC$3="",$O10=""),"",1/((INDEX('Adjustment Surface'!$AN$4:$AN$23,MATCH(('Adjustment Surface'!$O10),'Adjustment Surface'!$AN$4:$AN$23,1)+IF('Adjustment Surface'!$O11="",-1,1))-INDEX('Adjustment Surface'!$AN$4:$AN$23,MATCH(('Adjustment Surface'!$O10),'Adjustment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Surface'!$O10),'Adjustment Surface'!$AN$4:$AN$23,1)),$AN$4:$AN$23,0),MATCH(INDEX('Adjustment Surface'!$AO$3:$BH$3,1,MATCH(('Adjustment Surface'!AC$3),'Adjustment Surface'!$AO$3:$BH$3,1)),$AO$3:$BH$3,0))*(INDEX('Adjustment Surface'!$AN$4:$AN$23,MATCH(('Adjustment Surface'!$O10),'Adjustment Surface'!$AN$4:$AN$23,1)+IF('Adjustment Surface'!$O11="",-1,1))-'Adjustment Surface'!$O10)*(INDEX('Adjustment Surface'!$AO$3:$BH$3,1,MATCH(('Adjustment Surface'!AC$3),'Adjustment Surface'!$AO$3:$BH$3,1)+IF('Adjustment Surface'!AD$3="",-1,1))-'Adjustment Surface'!AC$3)+INDEX($AO$4:$BH$23,MATCH(INDEX('Adjustment Surface'!$AN$4:$AN$23,MATCH(('Adjustment Surface'!$O10),'Adjustment Surface'!$AN$4:$AN$23,1)+IF('Adjustment Surface'!$O11="",-1,1)),$AN$4:$AN$23,0),MATCH(INDEX('Adjustment Surface'!$AO$3:$BH$3,1,MATCH(('Adjustment Surface'!AC$3),'Adjustment Surface'!$AO$3:$BH$3,1)),$AO$3:$BH$3,0))*('Adjustment Surface'!$O10-INDEX('Adjustment Surface'!$AN$4:$AN$23,MATCH(('Adjustment Surface'!$O10),'Adjustment Surface'!$AN$4:$AN$23,1)))*(INDEX('Adjustment Surface'!$AO$3:$BH$3,1,MATCH(('Adjustment Surface'!AC$3),'Adjustment Surface'!$AO$3:$BH$3,1)+IF('Adjustment Surface'!AD$3="",-1,1))-'Adjustment Surface'!AC$3)+INDEX($AO$4:$BH$23,MATCH(INDEX('Adjustment Surface'!$AN$4:$AN$23,MATCH(('Adjustment Surface'!$O10),'Adjustment Surface'!$AN$4:$AN$23,1)),$AN$4:$AN$23,0),MATCH(INDEX('Adjustment Surface'!$AO$3:$BH$3,1,MATCH(('Adjustment Surface'!AC$3),'Adjustment Surface'!$AO$3:$BH$3,1)+IF('Adjustment Surface'!AD$3="",-1,1)),$AO$3:$BH$3,0))*(INDEX('Adjustment Surface'!$AN$4:$AN$23,MATCH(('Adjustment Surface'!$O10),'Adjustment Surface'!$AN$4:$AN$23,1)+IF('Adjustment Surface'!$O11="",-1,1))-'Adjustment Surface'!$O10)*('Adjustment Surface'!AC$3-INDEX('Adjustment Surface'!$AO$3:$BH$3,1,MATCH(('Adjustment Surface'!AC$3),'Adjustment Surface'!$AO$3:$BH$3,1)))+INDEX($AO$4:$BH$23,MATCH(INDEX('Adjustment Surface'!$AN$4:$AN$23,MATCH(('Adjustment Surface'!$O10),'Adjustment Surface'!$AN$4:$AN$23,1)+IF('Adjustment Surface'!$O11="",-1,1)),$AN$4:$AN$23,0),MATCH(INDEX('Adjustment Surface'!$AO$3:$BH$3,1,MATCH(('Adjustment Surface'!AC$3),'Adjustment Surface'!$AO$3:$BH$3,1)+IF('Adjustment Surface'!AD$3="",-1,1)),$AO$3:$BH$3,0))*('Adjustment Surface'!$O10-INDEX('Adjustment Surface'!$AN$4:$AN$23,MATCH(('Adjustment Surface'!$O10),'Adjustment Surface'!$AN$4:$AN$23,1)))*('Adjustment Surface'!AC$3-INDEX('Adjustment Surface'!$AO$3:$BH$3,1,MATCH(('Adjustment Surface'!AC$3),'Adjustment Surface'!$AO$3:$BH$3,1)))))</f>
        <v/>
      </c>
      <c r="AD10" s="181" t="str" cm="1">
        <f t="array" ref="AD10">IF(OR(AD$3="",$O10=""),"",1/((INDEX('Adjustment Surface'!$AN$4:$AN$23,MATCH(('Adjustment Surface'!$O10),'Adjustment Surface'!$AN$4:$AN$23,1)+IF('Adjustment Surface'!$O11="",-1,1))-INDEX('Adjustment Surface'!$AN$4:$AN$23,MATCH(('Adjustment Surface'!$O10),'Adjustment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Surface'!$O10),'Adjustment Surface'!$AN$4:$AN$23,1)),$AN$4:$AN$23,0),MATCH(INDEX('Adjustment Surface'!$AO$3:$BH$3,1,MATCH(('Adjustment Surface'!AD$3),'Adjustment Surface'!$AO$3:$BH$3,1)),$AO$3:$BH$3,0))*(INDEX('Adjustment Surface'!$AN$4:$AN$23,MATCH(('Adjustment Surface'!$O10),'Adjustment Surface'!$AN$4:$AN$23,1)+IF('Adjustment Surface'!$O11="",-1,1))-'Adjustment Surface'!$O10)*(INDEX('Adjustment Surface'!$AO$3:$BH$3,1,MATCH(('Adjustment Surface'!AD$3),'Adjustment Surface'!$AO$3:$BH$3,1)+IF('Adjustment Surface'!AE$3="",-1,1))-'Adjustment Surface'!AD$3)+INDEX($AO$4:$BH$23,MATCH(INDEX('Adjustment Surface'!$AN$4:$AN$23,MATCH(('Adjustment Surface'!$O10),'Adjustment Surface'!$AN$4:$AN$23,1)+IF('Adjustment Surface'!$O11="",-1,1)),$AN$4:$AN$23,0),MATCH(INDEX('Adjustment Surface'!$AO$3:$BH$3,1,MATCH(('Adjustment Surface'!AD$3),'Adjustment Surface'!$AO$3:$BH$3,1)),$AO$3:$BH$3,0))*('Adjustment Surface'!$O10-INDEX('Adjustment Surface'!$AN$4:$AN$23,MATCH(('Adjustment Surface'!$O10),'Adjustment Surface'!$AN$4:$AN$23,1)))*(INDEX('Adjustment Surface'!$AO$3:$BH$3,1,MATCH(('Adjustment Surface'!AD$3),'Adjustment Surface'!$AO$3:$BH$3,1)+IF('Adjustment Surface'!AE$3="",-1,1))-'Adjustment Surface'!AD$3)+INDEX($AO$4:$BH$23,MATCH(INDEX('Adjustment Surface'!$AN$4:$AN$23,MATCH(('Adjustment Surface'!$O10),'Adjustment Surface'!$AN$4:$AN$23,1)),$AN$4:$AN$23,0),MATCH(INDEX('Adjustment Surface'!$AO$3:$BH$3,1,MATCH(('Adjustment Surface'!AD$3),'Adjustment Surface'!$AO$3:$BH$3,1)+IF('Adjustment Surface'!AE$3="",-1,1)),$AO$3:$BH$3,0))*(INDEX('Adjustment Surface'!$AN$4:$AN$23,MATCH(('Adjustment Surface'!$O10),'Adjustment Surface'!$AN$4:$AN$23,1)+IF('Adjustment Surface'!$O11="",-1,1))-'Adjustment Surface'!$O10)*('Adjustment Surface'!AD$3-INDEX('Adjustment Surface'!$AO$3:$BH$3,1,MATCH(('Adjustment Surface'!AD$3),'Adjustment Surface'!$AO$3:$BH$3,1)))+INDEX($AO$4:$BH$23,MATCH(INDEX('Adjustment Surface'!$AN$4:$AN$23,MATCH(('Adjustment Surface'!$O10),'Adjustment Surface'!$AN$4:$AN$23,1)+IF('Adjustment Surface'!$O11="",-1,1)),$AN$4:$AN$23,0),MATCH(INDEX('Adjustment Surface'!$AO$3:$BH$3,1,MATCH(('Adjustment Surface'!AD$3),'Adjustment Surface'!$AO$3:$BH$3,1)+IF('Adjustment Surface'!AE$3="",-1,1)),$AO$3:$BH$3,0))*('Adjustment Surface'!$O10-INDEX('Adjustment Surface'!$AN$4:$AN$23,MATCH(('Adjustment Surface'!$O10),'Adjustment Surface'!$AN$4:$AN$23,1)))*('Adjustment Surface'!AD$3-INDEX('Adjustment Surface'!$AO$3:$BH$3,1,MATCH(('Adjustment Surface'!AD$3),'Adjustment Surface'!$AO$3:$BH$3,1)))))</f>
        <v/>
      </c>
      <c r="AE10" s="181" t="str" cm="1">
        <f t="array" ref="AE10">IF(OR(AE$3="",$O10=""),"",1/((INDEX('Adjustment Surface'!$AN$4:$AN$23,MATCH(('Adjustment Surface'!$O10),'Adjustment Surface'!$AN$4:$AN$23,1)+IF('Adjustment Surface'!$O11="",-1,1))-INDEX('Adjustment Surface'!$AN$4:$AN$23,MATCH(('Adjustment Surface'!$O10),'Adjustment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Surface'!$O10),'Adjustment Surface'!$AN$4:$AN$23,1)),$AN$4:$AN$23,0),MATCH(INDEX('Adjustment Surface'!$AO$3:$BH$3,1,MATCH(('Adjustment Surface'!AE$3),'Adjustment Surface'!$AO$3:$BH$3,1)),$AO$3:$BH$3,0))*(INDEX('Adjustment Surface'!$AN$4:$AN$23,MATCH(('Adjustment Surface'!$O10),'Adjustment Surface'!$AN$4:$AN$23,1)+IF('Adjustment Surface'!$O11="",-1,1))-'Adjustment Surface'!$O10)*(INDEX('Adjustment Surface'!$AO$3:$BH$3,1,MATCH(('Adjustment Surface'!AE$3),'Adjustment Surface'!$AO$3:$BH$3,1)+IF('Adjustment Surface'!AF$3="",-1,1))-'Adjustment Surface'!AE$3)+INDEX($AO$4:$BH$23,MATCH(INDEX('Adjustment Surface'!$AN$4:$AN$23,MATCH(('Adjustment Surface'!$O10),'Adjustment Surface'!$AN$4:$AN$23,1)+IF('Adjustment Surface'!$O11="",-1,1)),$AN$4:$AN$23,0),MATCH(INDEX('Adjustment Surface'!$AO$3:$BH$3,1,MATCH(('Adjustment Surface'!AE$3),'Adjustment Surface'!$AO$3:$BH$3,1)),$AO$3:$BH$3,0))*('Adjustment Surface'!$O10-INDEX('Adjustment Surface'!$AN$4:$AN$23,MATCH(('Adjustment Surface'!$O10),'Adjustment Surface'!$AN$4:$AN$23,1)))*(INDEX('Adjustment Surface'!$AO$3:$BH$3,1,MATCH(('Adjustment Surface'!AE$3),'Adjustment Surface'!$AO$3:$BH$3,1)+IF('Adjustment Surface'!AF$3="",-1,1))-'Adjustment Surface'!AE$3)+INDEX($AO$4:$BH$23,MATCH(INDEX('Adjustment Surface'!$AN$4:$AN$23,MATCH(('Adjustment Surface'!$O10),'Adjustment Surface'!$AN$4:$AN$23,1)),$AN$4:$AN$23,0),MATCH(INDEX('Adjustment Surface'!$AO$3:$BH$3,1,MATCH(('Adjustment Surface'!AE$3),'Adjustment Surface'!$AO$3:$BH$3,1)+IF('Adjustment Surface'!AF$3="",-1,1)),$AO$3:$BH$3,0))*(INDEX('Adjustment Surface'!$AN$4:$AN$23,MATCH(('Adjustment Surface'!$O10),'Adjustment Surface'!$AN$4:$AN$23,1)+IF('Adjustment Surface'!$O11="",-1,1))-'Adjustment Surface'!$O10)*('Adjustment Surface'!AE$3-INDEX('Adjustment Surface'!$AO$3:$BH$3,1,MATCH(('Adjustment Surface'!AE$3),'Adjustment Surface'!$AO$3:$BH$3,1)))+INDEX($AO$4:$BH$23,MATCH(INDEX('Adjustment Surface'!$AN$4:$AN$23,MATCH(('Adjustment Surface'!$O10),'Adjustment Surface'!$AN$4:$AN$23,1)+IF('Adjustment Surface'!$O11="",-1,1)),$AN$4:$AN$23,0),MATCH(INDEX('Adjustment Surface'!$AO$3:$BH$3,1,MATCH(('Adjustment Surface'!AE$3),'Adjustment Surface'!$AO$3:$BH$3,1)+IF('Adjustment Surface'!AF$3="",-1,1)),$AO$3:$BH$3,0))*('Adjustment Surface'!$O10-INDEX('Adjustment Surface'!$AN$4:$AN$23,MATCH(('Adjustment Surface'!$O10),'Adjustment Surface'!$AN$4:$AN$23,1)))*('Adjustment Surface'!AE$3-INDEX('Adjustment Surface'!$AO$3:$BH$3,1,MATCH(('Adjustment Surface'!AE$3),'Adjustment Surface'!$AO$3:$BH$3,1)))))</f>
        <v/>
      </c>
      <c r="AF10" s="181" t="str" cm="1">
        <f t="array" ref="AF10">IF(OR(AF$3="",$O10=""),"",1/((INDEX('Adjustment Surface'!$AN$4:$AN$23,MATCH(('Adjustment Surface'!$O10),'Adjustment Surface'!$AN$4:$AN$23,1)+IF('Adjustment Surface'!$O11="",-1,1))-INDEX('Adjustment Surface'!$AN$4:$AN$23,MATCH(('Adjustment Surface'!$O10),'Adjustment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Surface'!$O10),'Adjustment Surface'!$AN$4:$AN$23,1)),$AN$4:$AN$23,0),MATCH(INDEX('Adjustment Surface'!$AO$3:$BH$3,1,MATCH(('Adjustment Surface'!AF$3),'Adjustment Surface'!$AO$3:$BH$3,1)),$AO$3:$BH$3,0))*(INDEX('Adjustment Surface'!$AN$4:$AN$23,MATCH(('Adjustment Surface'!$O10),'Adjustment Surface'!$AN$4:$AN$23,1)+IF('Adjustment Surface'!$O11="",-1,1))-'Adjustment Surface'!$O10)*(INDEX('Adjustment Surface'!$AO$3:$BH$3,1,MATCH(('Adjustment Surface'!AF$3),'Adjustment Surface'!$AO$3:$BH$3,1)+IF('Adjustment Surface'!AG$3="",-1,1))-'Adjustment Surface'!AF$3)+INDEX($AO$4:$BH$23,MATCH(INDEX('Adjustment Surface'!$AN$4:$AN$23,MATCH(('Adjustment Surface'!$O10),'Adjustment Surface'!$AN$4:$AN$23,1)+IF('Adjustment Surface'!$O11="",-1,1)),$AN$4:$AN$23,0),MATCH(INDEX('Adjustment Surface'!$AO$3:$BH$3,1,MATCH(('Adjustment Surface'!AF$3),'Adjustment Surface'!$AO$3:$BH$3,1)),$AO$3:$BH$3,0))*('Adjustment Surface'!$O10-INDEX('Adjustment Surface'!$AN$4:$AN$23,MATCH(('Adjustment Surface'!$O10),'Adjustment Surface'!$AN$4:$AN$23,1)))*(INDEX('Adjustment Surface'!$AO$3:$BH$3,1,MATCH(('Adjustment Surface'!AF$3),'Adjustment Surface'!$AO$3:$BH$3,1)+IF('Adjustment Surface'!AG$3="",-1,1))-'Adjustment Surface'!AF$3)+INDEX($AO$4:$BH$23,MATCH(INDEX('Adjustment Surface'!$AN$4:$AN$23,MATCH(('Adjustment Surface'!$O10),'Adjustment Surface'!$AN$4:$AN$23,1)),$AN$4:$AN$23,0),MATCH(INDEX('Adjustment Surface'!$AO$3:$BH$3,1,MATCH(('Adjustment Surface'!AF$3),'Adjustment Surface'!$AO$3:$BH$3,1)+IF('Adjustment Surface'!AG$3="",-1,1)),$AO$3:$BH$3,0))*(INDEX('Adjustment Surface'!$AN$4:$AN$23,MATCH(('Adjustment Surface'!$O10),'Adjustment Surface'!$AN$4:$AN$23,1)+IF('Adjustment Surface'!$O11="",-1,1))-'Adjustment Surface'!$O10)*('Adjustment Surface'!AF$3-INDEX('Adjustment Surface'!$AO$3:$BH$3,1,MATCH(('Adjustment Surface'!AF$3),'Adjustment Surface'!$AO$3:$BH$3,1)))+INDEX($AO$4:$BH$23,MATCH(INDEX('Adjustment Surface'!$AN$4:$AN$23,MATCH(('Adjustment Surface'!$O10),'Adjustment Surface'!$AN$4:$AN$23,1)+IF('Adjustment Surface'!$O11="",-1,1)),$AN$4:$AN$23,0),MATCH(INDEX('Adjustment Surface'!$AO$3:$BH$3,1,MATCH(('Adjustment Surface'!AF$3),'Adjustment Surface'!$AO$3:$BH$3,1)+IF('Adjustment Surface'!AG$3="",-1,1)),$AO$3:$BH$3,0))*('Adjustment Surface'!$O10-INDEX('Adjustment Surface'!$AN$4:$AN$23,MATCH(('Adjustment Surface'!$O10),'Adjustment Surface'!$AN$4:$AN$23,1)))*('Adjustment Surface'!AF$3-INDEX('Adjustment Surface'!$AO$3:$BH$3,1,MATCH(('Adjustment Surface'!AF$3),'Adjustment Surface'!$AO$3:$BH$3,1)))))</f>
        <v/>
      </c>
      <c r="AG10" s="181" t="str" cm="1">
        <f t="array" ref="AG10">IF(OR(AG$3="",$O10=""),"",1/((INDEX('Adjustment Surface'!$AN$4:$AN$23,MATCH(('Adjustment Surface'!$O10),'Adjustment Surface'!$AN$4:$AN$23,1)+IF('Adjustment Surface'!$O11="",-1,1))-INDEX('Adjustment Surface'!$AN$4:$AN$23,MATCH(('Adjustment Surface'!$O10),'Adjustment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Surface'!$O10),'Adjustment Surface'!$AN$4:$AN$23,1)),$AN$4:$AN$23,0),MATCH(INDEX('Adjustment Surface'!$AO$3:$BH$3,1,MATCH(('Adjustment Surface'!AG$3),'Adjustment Surface'!$AO$3:$BH$3,1)),$AO$3:$BH$3,0))*(INDEX('Adjustment Surface'!$AN$4:$AN$23,MATCH(('Adjustment Surface'!$O10),'Adjustment Surface'!$AN$4:$AN$23,1)+IF('Adjustment Surface'!$O11="",-1,1))-'Adjustment Surface'!$O10)*(INDEX('Adjustment Surface'!$AO$3:$BH$3,1,MATCH(('Adjustment Surface'!AG$3),'Adjustment Surface'!$AO$3:$BH$3,1)+IF('Adjustment Surface'!AH$3="",-1,1))-'Adjustment Surface'!AG$3)+INDEX($AO$4:$BH$23,MATCH(INDEX('Adjustment Surface'!$AN$4:$AN$23,MATCH(('Adjustment Surface'!$O10),'Adjustment Surface'!$AN$4:$AN$23,1)+IF('Adjustment Surface'!$O11="",-1,1)),$AN$4:$AN$23,0),MATCH(INDEX('Adjustment Surface'!$AO$3:$BH$3,1,MATCH(('Adjustment Surface'!AG$3),'Adjustment Surface'!$AO$3:$BH$3,1)),$AO$3:$BH$3,0))*('Adjustment Surface'!$O10-INDEX('Adjustment Surface'!$AN$4:$AN$23,MATCH(('Adjustment Surface'!$O10),'Adjustment Surface'!$AN$4:$AN$23,1)))*(INDEX('Adjustment Surface'!$AO$3:$BH$3,1,MATCH(('Adjustment Surface'!AG$3),'Adjustment Surface'!$AO$3:$BH$3,1)+IF('Adjustment Surface'!AH$3="",-1,1))-'Adjustment Surface'!AG$3)+INDEX($AO$4:$BH$23,MATCH(INDEX('Adjustment Surface'!$AN$4:$AN$23,MATCH(('Adjustment Surface'!$O10),'Adjustment Surface'!$AN$4:$AN$23,1)),$AN$4:$AN$23,0),MATCH(INDEX('Adjustment Surface'!$AO$3:$BH$3,1,MATCH(('Adjustment Surface'!AG$3),'Adjustment Surface'!$AO$3:$BH$3,1)+IF('Adjustment Surface'!AH$3="",-1,1)),$AO$3:$BH$3,0))*(INDEX('Adjustment Surface'!$AN$4:$AN$23,MATCH(('Adjustment Surface'!$O10),'Adjustment Surface'!$AN$4:$AN$23,1)+IF('Adjustment Surface'!$O11="",-1,1))-'Adjustment Surface'!$O10)*('Adjustment Surface'!AG$3-INDEX('Adjustment Surface'!$AO$3:$BH$3,1,MATCH(('Adjustment Surface'!AG$3),'Adjustment Surface'!$AO$3:$BH$3,1)))+INDEX($AO$4:$BH$23,MATCH(INDEX('Adjustment Surface'!$AN$4:$AN$23,MATCH(('Adjustment Surface'!$O10),'Adjustment Surface'!$AN$4:$AN$23,1)+IF('Adjustment Surface'!$O11="",-1,1)),$AN$4:$AN$23,0),MATCH(INDEX('Adjustment Surface'!$AO$3:$BH$3,1,MATCH(('Adjustment Surface'!AG$3),'Adjustment Surface'!$AO$3:$BH$3,1)+IF('Adjustment Surface'!AH$3="",-1,1)),$AO$3:$BH$3,0))*('Adjustment Surface'!$O10-INDEX('Adjustment Surface'!$AN$4:$AN$23,MATCH(('Adjustment Surface'!$O10),'Adjustment Surface'!$AN$4:$AN$23,1)))*('Adjustment Surface'!AG$3-INDEX('Adjustment Surface'!$AO$3:$BH$3,1,MATCH(('Adjustment Surface'!AG$3),'Adjustment Surface'!$AO$3:$BH$3,1)))))</f>
        <v/>
      </c>
      <c r="AH10" s="181" t="str" cm="1">
        <f t="array" ref="AH10">IF(OR(AH$3="",$O10=""),"",1/((INDEX('Adjustment Surface'!$AN$4:$AN$23,MATCH(('Adjustment Surface'!$O10),'Adjustment Surface'!$AN$4:$AN$23,1)+IF('Adjustment Surface'!$O11="",-1,1))-INDEX('Adjustment Surface'!$AN$4:$AN$23,MATCH(('Adjustment Surface'!$O10),'Adjustment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Surface'!$O10),'Adjustment Surface'!$AN$4:$AN$23,1)),$AN$4:$AN$23,0),MATCH(INDEX('Adjustment Surface'!$AO$3:$BH$3,1,MATCH(('Adjustment Surface'!AH$3),'Adjustment Surface'!$AO$3:$BH$3,1)),$AO$3:$BH$3,0))*(INDEX('Adjustment Surface'!$AN$4:$AN$23,MATCH(('Adjustment Surface'!$O10),'Adjustment Surface'!$AN$4:$AN$23,1)+IF('Adjustment Surface'!$O11="",-1,1))-'Adjustment Surface'!$O10)*(INDEX('Adjustment Surface'!$AO$3:$BH$3,1,MATCH(('Adjustment Surface'!AH$3),'Adjustment Surface'!$AO$3:$BH$3,1)+IF('Adjustment Surface'!AI$3="",-1,1))-'Adjustment Surface'!AH$3)+INDEX($AO$4:$BH$23,MATCH(INDEX('Adjustment Surface'!$AN$4:$AN$23,MATCH(('Adjustment Surface'!$O10),'Adjustment Surface'!$AN$4:$AN$23,1)+IF('Adjustment Surface'!$O11="",-1,1)),$AN$4:$AN$23,0),MATCH(INDEX('Adjustment Surface'!$AO$3:$BH$3,1,MATCH(('Adjustment Surface'!AH$3),'Adjustment Surface'!$AO$3:$BH$3,1)),$AO$3:$BH$3,0))*('Adjustment Surface'!$O10-INDEX('Adjustment Surface'!$AN$4:$AN$23,MATCH(('Adjustment Surface'!$O10),'Adjustment Surface'!$AN$4:$AN$23,1)))*(INDEX('Adjustment Surface'!$AO$3:$BH$3,1,MATCH(('Adjustment Surface'!AH$3),'Adjustment Surface'!$AO$3:$BH$3,1)+IF('Adjustment Surface'!AI$3="",-1,1))-'Adjustment Surface'!AH$3)+INDEX($AO$4:$BH$23,MATCH(INDEX('Adjustment Surface'!$AN$4:$AN$23,MATCH(('Adjustment Surface'!$O10),'Adjustment Surface'!$AN$4:$AN$23,1)),$AN$4:$AN$23,0),MATCH(INDEX('Adjustment Surface'!$AO$3:$BH$3,1,MATCH(('Adjustment Surface'!AH$3),'Adjustment Surface'!$AO$3:$BH$3,1)+IF('Adjustment Surface'!AI$3="",-1,1)),$AO$3:$BH$3,0))*(INDEX('Adjustment Surface'!$AN$4:$AN$23,MATCH(('Adjustment Surface'!$O10),'Adjustment Surface'!$AN$4:$AN$23,1)+IF('Adjustment Surface'!$O11="",-1,1))-'Adjustment Surface'!$O10)*('Adjustment Surface'!AH$3-INDEX('Adjustment Surface'!$AO$3:$BH$3,1,MATCH(('Adjustment Surface'!AH$3),'Adjustment Surface'!$AO$3:$BH$3,1)))+INDEX($AO$4:$BH$23,MATCH(INDEX('Adjustment Surface'!$AN$4:$AN$23,MATCH(('Adjustment Surface'!$O10),'Adjustment Surface'!$AN$4:$AN$23,1)+IF('Adjustment Surface'!$O11="",-1,1)),$AN$4:$AN$23,0),MATCH(INDEX('Adjustment Surface'!$AO$3:$BH$3,1,MATCH(('Adjustment Surface'!AH$3),'Adjustment Surface'!$AO$3:$BH$3,1)+IF('Adjustment Surface'!AI$3="",-1,1)),$AO$3:$BH$3,0))*('Adjustment Surface'!$O10-INDEX('Adjustment Surface'!$AN$4:$AN$23,MATCH(('Adjustment Surface'!$O10),'Adjustment Surface'!$AN$4:$AN$23,1)))*('Adjustment Surface'!AH$3-INDEX('Adjustment Surface'!$AO$3:$BH$3,1,MATCH(('Adjustment Surface'!AH$3),'Adjustment Surface'!$AO$3:$BH$3,1)))))</f>
        <v/>
      </c>
      <c r="AI10" s="182" t="str" cm="1">
        <f t="array" ref="AI10">IF(OR(AI$3="",$O10=""),"",1/((INDEX('Adjustment Surface'!$AN$4:$AN$23,MATCH(('Adjustment Surface'!$O10),'Adjustment Surface'!$AN$4:$AN$23,1)+IF('Adjustment Surface'!$O11="",-1,1))-INDEX('Adjustment Surface'!$AN$4:$AN$23,MATCH(('Adjustment Surface'!$O10),'Adjustment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Surface'!$O10),'Adjustment Surface'!$AN$4:$AN$23,1)),$AN$4:$AN$23,0),MATCH(INDEX('Adjustment Surface'!$AO$3:$BH$3,1,MATCH(('Adjustment Surface'!AI$3),'Adjustment Surface'!$AO$3:$BH$3,1)),$AO$3:$BH$3,0))*(INDEX('Adjustment Surface'!$AN$4:$AN$23,MATCH(('Adjustment Surface'!$O10),'Adjustment Surface'!$AN$4:$AN$23,1)+IF('Adjustment Surface'!$O11="",-1,1))-'Adjustment Surface'!$O10)*(INDEX('Adjustment Surface'!$AO$3:$BH$3,1,MATCH(('Adjustment Surface'!AI$3),'Adjustment Surface'!$AO$3:$BH$3,1)+IF('Adjustment Surface'!AJ$3="",-1,1))-'Adjustment Surface'!AI$3)+INDEX($AO$4:$BH$23,MATCH(INDEX('Adjustment Surface'!$AN$4:$AN$23,MATCH(('Adjustment Surface'!$O10),'Adjustment Surface'!$AN$4:$AN$23,1)+IF('Adjustment Surface'!$O11="",-1,1)),$AN$4:$AN$23,0),MATCH(INDEX('Adjustment Surface'!$AO$3:$BH$3,1,MATCH(('Adjustment Surface'!AI$3),'Adjustment Surface'!$AO$3:$BH$3,1)),$AO$3:$BH$3,0))*('Adjustment Surface'!$O10-INDEX('Adjustment Surface'!$AN$4:$AN$23,MATCH(('Adjustment Surface'!$O10),'Adjustment Surface'!$AN$4:$AN$23,1)))*(INDEX('Adjustment Surface'!$AO$3:$BH$3,1,MATCH(('Adjustment Surface'!AI$3),'Adjustment Surface'!$AO$3:$BH$3,1)+IF('Adjustment Surface'!AJ$3="",-1,1))-'Adjustment Surface'!AI$3)+INDEX($AO$4:$BH$23,MATCH(INDEX('Adjustment Surface'!$AN$4:$AN$23,MATCH(('Adjustment Surface'!$O10),'Adjustment Surface'!$AN$4:$AN$23,1)),$AN$4:$AN$23,0),MATCH(INDEX('Adjustment Surface'!$AO$3:$BH$3,1,MATCH(('Adjustment Surface'!AI$3),'Adjustment Surface'!$AO$3:$BH$3,1)+IF('Adjustment Surface'!AJ$3="",-1,1)),$AO$3:$BH$3,0))*(INDEX('Adjustment Surface'!$AN$4:$AN$23,MATCH(('Adjustment Surface'!$O10),'Adjustment Surface'!$AN$4:$AN$23,1)+IF('Adjustment Surface'!$O11="",-1,1))-'Adjustment Surface'!$O10)*('Adjustment Surface'!AI$3-INDEX('Adjustment Surface'!$AO$3:$BH$3,1,MATCH(('Adjustment Surface'!AI$3),'Adjustment Surface'!$AO$3:$BH$3,1)))+INDEX($AO$4:$BH$23,MATCH(INDEX('Adjustment Surface'!$AN$4:$AN$23,MATCH(('Adjustment Surface'!$O10),'Adjustment Surface'!$AN$4:$AN$23,1)+IF('Adjustment Surface'!$O11="",-1,1)),$AN$4:$AN$23,0),MATCH(INDEX('Adjustment Surface'!$AO$3:$BH$3,1,MATCH(('Adjustment Surface'!AI$3),'Adjustment Surface'!$AO$3:$BH$3,1)+IF('Adjustment Surface'!AJ$3="",-1,1)),$AO$3:$BH$3,0))*('Adjustment Surface'!$O10-INDEX('Adjustment Surface'!$AN$4:$AN$23,MATCH(('Adjustment Surface'!$O10),'Adjustment Surface'!$AN$4:$AN$23,1)))*('Adjustment Surface'!AI$3-INDEX('Adjustment Surface'!$AO$3:$BH$3,1,MATCH(('Adjustment Surface'!AI$3),'Adjustment Surface'!$AO$3:$BH$3,1)))))</f>
        <v/>
      </c>
      <c r="AK10" s="203">
        <f>IF(OR(AK9=IF('Adjustment Surface'!$C$2='Data Validation'!$A$2,_xlfn.FLOOR.MATH(MAX('Bank Adjustments'!$C$4:$C$103),0.5%,2),IF('Adjustment Surface'!$C$2='Data Validation'!$A$3,_xlfn.FLOOR.MATH(MAX('Bank Adjustments'!$M$4:$M$103),0.5%,2),"Uknown Option Type")),AK9=""),"",AK9+0.5%)</f>
        <v>4.9999999999999996E-2</v>
      </c>
      <c r="AL10" s="204">
        <f>IF(OR(AL9=IF('Adjustment Surface'!$C$2='Data Validation'!$A$2,IF(EDATE('Rate &amp; Vol Update'!$C$2,_xlfn.FLOOR.MATH(DATEDIF('Rate &amp; Vol Update'!$C$2,MAX('Bank Adjustments'!$E$4:$E$103),"M"),3,2))&gt;MAX('Bank Adjustments'!$E$4:$E$103),EDATE('Rate &amp; Vol Update'!$C$2,_xlfn.FLOOR.MATH(DATEDIF('Rate &amp; Vol Update'!$C$2,MAX('Bank Adjustments'!$E$4:$E$103),"M")-3,3,2)),EDATE('Rate &amp; Vol Update'!$C$2,_xlfn.FLOOR.MATH(DATEDIF('Rate &amp; Vol Update'!$C$2,MAX('Bank Adjustments'!$E$4:$E$103),"M"),3,2))),IF('Adjustment Surface'!$C$2='Data Validation'!$A$3,IF(EDATE('Rate &amp; Vol Update'!$C$2,_xlfn.FLOOR.MATH(DATEDIF('Rate &amp; Vol Update'!$C$2,MAX('Bank Adjustments'!$O$4:$O$103),"M"),3,2))&gt;MAX('Bank Adjustments'!$O$4:$O$103),EDATE('Rate &amp; Vol Update'!$C$2,_xlfn.FLOOR.MATH(DATEDIF('Rate &amp; Vol Update'!$C$2,MAX('Bank Adjustments'!$O$4:$O$103),"M")-3,3,2)),EDATE('Rate &amp; Vol Update'!$C$2,_xlfn.FLOOR.MATH(DATEDIF('Rate &amp; Vol Update'!$C$2,MAX('Bank Adjustments'!$O$4:$O$103),"M"),3,2))),"Unkown Option Type")),AL9=""),"",EDATE(AL9,3))</f>
        <v>46976</v>
      </c>
      <c r="AN10" s="176"/>
      <c r="AO10" s="180" t="str" cm="1">
        <f t="array" ref="AO10">IF(OR(AO$3="",$AN10=""),"",INDEX(IF($C$2='Data Validation'!$A$2,'Bank Adjustments'!$H$4:$H$103,IF('Adjustment Surface'!$C$2='Data Validation'!$A$3,'Bank Adjustments'!$R$4:$R$103,"Unknown Option Type")),MATCH(1,($AN10=IF($C$2='Data Validation'!$A$2,'Bank Adjustments'!$C$4:$C$103,IF('Adjustment Surface'!$C$2='Data Validation'!$A$3,'Bank Adjustments'!$M$4:$M$103,"Unknown Option Type")))*(AO$3=IF($C$2='Data Validation'!$A$2,'Bank Adjustments'!$E$4:$E$103,IF('Adjustment Surface'!$C$2='Data Validation'!$A$3,'Bank Adjustments'!$O$4:$O$103,"Unknown Option Type"))),0)))</f>
        <v/>
      </c>
      <c r="AP10" s="181" t="str" cm="1">
        <f t="array" ref="AP10">IF(OR(AP$3="",$AN10=""),"",INDEX(IF($C$2='Data Validation'!$A$2,'Bank Adjustments'!$H$4:$H$103,IF('Adjustment Surface'!$C$2='Data Validation'!$A$3,'Bank Adjustments'!$R$4:$R$103,"Unknown Option Type")),MATCH(1,($AN10=IF($C$2='Data Validation'!$A$2,'Bank Adjustments'!$C$4:$C$103,IF('Adjustment Surface'!$C$2='Data Validation'!$A$3,'Bank Adjustments'!$M$4:$M$103,"Unknown Option Type")))*(AP$3=IF($C$2='Data Validation'!$A$2,'Bank Adjustments'!$E$4:$E$103,IF('Adjustment Surface'!$C$2='Data Validation'!$A$3,'Bank Adjustments'!$O$4:$O$103,"Unknown Option Type"))),0)))</f>
        <v/>
      </c>
      <c r="AQ10" s="181" t="str" cm="1">
        <f t="array" ref="AQ10">IF(OR(AQ$3="",$AN10=""),"",INDEX(IF($C$2='Data Validation'!$A$2,'Bank Adjustments'!$H$4:$H$103,IF('Adjustment Surface'!$C$2='Data Validation'!$A$3,'Bank Adjustments'!$R$4:$R$103,"Unknown Option Type")),MATCH(1,($AN10=IF($C$2='Data Validation'!$A$2,'Bank Adjustments'!$C$4:$C$103,IF('Adjustment Surface'!$C$2='Data Validation'!$A$3,'Bank Adjustments'!$M$4:$M$103,"Unknown Option Type")))*(AQ$3=IF($C$2='Data Validation'!$A$2,'Bank Adjustments'!$E$4:$E$103,IF('Adjustment Surface'!$C$2='Data Validation'!$A$3,'Bank Adjustments'!$O$4:$O$103,"Unknown Option Type"))),0)))</f>
        <v/>
      </c>
      <c r="AR10" s="181" t="str" cm="1">
        <f t="array" ref="AR10">IF(OR(AR$3="",$AN10=""),"",INDEX(IF($C$2='Data Validation'!$A$2,'Bank Adjustments'!$H$4:$H$103,IF('Adjustment Surface'!$C$2='Data Validation'!$A$3,'Bank Adjustments'!$R$4:$R$103,"Unknown Option Type")),MATCH(1,($AN10=IF($C$2='Data Validation'!$A$2,'Bank Adjustments'!$C$4:$C$103,IF('Adjustment Surface'!$C$2='Data Validation'!$A$3,'Bank Adjustments'!$M$4:$M$103,"Unknown Option Type")))*(AR$3=IF($C$2='Data Validation'!$A$2,'Bank Adjustments'!$E$4:$E$103,IF('Adjustment Surface'!$C$2='Data Validation'!$A$3,'Bank Adjustments'!$O$4:$O$103,"Unknown Option Type"))),0)))</f>
        <v/>
      </c>
      <c r="AS10" s="181" t="str" cm="1">
        <f t="array" ref="AS10">IF(OR(AS$3="",$AN10=""),"",INDEX(IF($C$2='Data Validation'!$A$2,'Bank Adjustments'!$H$4:$H$103,IF('Adjustment Surface'!$C$2='Data Validation'!$A$3,'Bank Adjustments'!$R$4:$R$103,"Unknown Option Type")),MATCH(1,($AN10=IF($C$2='Data Validation'!$A$2,'Bank Adjustments'!$C$4:$C$103,IF('Adjustment Surface'!$C$2='Data Validation'!$A$3,'Bank Adjustments'!$M$4:$M$103,"Unknown Option Type")))*(AS$3=IF($C$2='Data Validation'!$A$2,'Bank Adjustments'!$E$4:$E$103,IF('Adjustment Surface'!$C$2='Data Validation'!$A$3,'Bank Adjustments'!$O$4:$O$103,"Unknown Option Type"))),0)))</f>
        <v/>
      </c>
      <c r="AT10" s="181" t="str" cm="1">
        <f t="array" ref="AT10">IF(OR(AT$3="",$AN10=""),"",INDEX(IF($C$2='Data Validation'!$A$2,'Bank Adjustments'!$H$4:$H$103,IF('Adjustment Surface'!$C$2='Data Validation'!$A$3,'Bank Adjustments'!$R$4:$R$103,"Unknown Option Type")),MATCH(1,($AN10=IF($C$2='Data Validation'!$A$2,'Bank Adjustments'!$C$4:$C$103,IF('Adjustment Surface'!$C$2='Data Validation'!$A$3,'Bank Adjustments'!$M$4:$M$103,"Unknown Option Type")))*(AT$3=IF($C$2='Data Validation'!$A$2,'Bank Adjustments'!$E$4:$E$103,IF('Adjustment Surface'!$C$2='Data Validation'!$A$3,'Bank Adjustments'!$O$4:$O$103,"Unknown Option Type"))),0)))</f>
        <v/>
      </c>
      <c r="AU10" s="181" t="str" cm="1">
        <f t="array" ref="AU10">IF(OR(AU$3="",$AN10=""),"",INDEX(IF($C$2='Data Validation'!$A$2,'Bank Adjustments'!$H$4:$H$103,IF('Adjustment Surface'!$C$2='Data Validation'!$A$3,'Bank Adjustments'!$R$4:$R$103,"Unknown Option Type")),MATCH(1,($AN10=IF($C$2='Data Validation'!$A$2,'Bank Adjustments'!$C$4:$C$103,IF('Adjustment Surface'!$C$2='Data Validation'!$A$3,'Bank Adjustments'!$M$4:$M$103,"Unknown Option Type")))*(AU$3=IF($C$2='Data Validation'!$A$2,'Bank Adjustments'!$E$4:$E$103,IF('Adjustment Surface'!$C$2='Data Validation'!$A$3,'Bank Adjustments'!$O$4:$O$103,"Unknown Option Type"))),0)))</f>
        <v/>
      </c>
      <c r="AV10" s="181" t="str" cm="1">
        <f t="array" ref="AV10">IF(OR(AV$3="",$AN10=""),"",INDEX(IF($C$2='Data Validation'!$A$2,'Bank Adjustments'!$H$4:$H$103,IF('Adjustment Surface'!$C$2='Data Validation'!$A$3,'Bank Adjustments'!$R$4:$R$103,"Unknown Option Type")),MATCH(1,($AN10=IF($C$2='Data Validation'!$A$2,'Bank Adjustments'!$C$4:$C$103,IF('Adjustment Surface'!$C$2='Data Validation'!$A$3,'Bank Adjustments'!$M$4:$M$103,"Unknown Option Type")))*(AV$3=IF($C$2='Data Validation'!$A$2,'Bank Adjustments'!$E$4:$E$103,IF('Adjustment Surface'!$C$2='Data Validation'!$A$3,'Bank Adjustments'!$O$4:$O$103,"Unknown Option Type"))),0)))</f>
        <v/>
      </c>
      <c r="AW10" s="181" t="str" cm="1">
        <f t="array" ref="AW10">IF(OR(AW$3="",$AN10=""),"",INDEX(IF($C$2='Data Validation'!$A$2,'Bank Adjustments'!$H$4:$H$103,IF('Adjustment Surface'!$C$2='Data Validation'!$A$3,'Bank Adjustments'!$R$4:$R$103,"Unknown Option Type")),MATCH(1,($AN10=IF($C$2='Data Validation'!$A$2,'Bank Adjustments'!$C$4:$C$103,IF('Adjustment Surface'!$C$2='Data Validation'!$A$3,'Bank Adjustments'!$M$4:$M$103,"Unknown Option Type")))*(AW$3=IF($C$2='Data Validation'!$A$2,'Bank Adjustments'!$E$4:$E$103,IF('Adjustment Surface'!$C$2='Data Validation'!$A$3,'Bank Adjustments'!$O$4:$O$103,"Unknown Option Type"))),0)))</f>
        <v/>
      </c>
      <c r="AX10" s="181" t="str" cm="1">
        <f t="array" ref="AX10">IF(OR(AX$3="",$AN10=""),"",INDEX(IF($C$2='Data Validation'!$A$2,'Bank Adjustments'!$H$4:$H$103,IF('Adjustment Surface'!$C$2='Data Validation'!$A$3,'Bank Adjustments'!$R$4:$R$103,"Unknown Option Type")),MATCH(1,($AN10=IF($C$2='Data Validation'!$A$2,'Bank Adjustments'!$C$4:$C$103,IF('Adjustment Surface'!$C$2='Data Validation'!$A$3,'Bank Adjustments'!$M$4:$M$103,"Unknown Option Type")))*(AX$3=IF($C$2='Data Validation'!$A$2,'Bank Adjustments'!$E$4:$E$103,IF('Adjustment Surface'!$C$2='Data Validation'!$A$3,'Bank Adjustments'!$O$4:$O$103,"Unknown Option Type"))),0)))</f>
        <v/>
      </c>
      <c r="AY10" s="181" t="str" cm="1">
        <f t="array" ref="AY10">IF(OR(AY$3="",$AN10=""),"",INDEX(IF($C$2='Data Validation'!$A$2,'Bank Adjustments'!$H$4:$H$103,IF('Adjustment Surface'!$C$2='Data Validation'!$A$3,'Bank Adjustments'!$R$4:$R$103,"Unknown Option Type")),MATCH(1,($AN10=IF($C$2='Data Validation'!$A$2,'Bank Adjustments'!$C$4:$C$103,IF('Adjustment Surface'!$C$2='Data Validation'!$A$3,'Bank Adjustments'!$M$4:$M$103,"Unknown Option Type")))*(AY$3=IF($C$2='Data Validation'!$A$2,'Bank Adjustments'!$E$4:$E$103,IF('Adjustment Surface'!$C$2='Data Validation'!$A$3,'Bank Adjustments'!$O$4:$O$103,"Unknown Option Type"))),0)))</f>
        <v/>
      </c>
      <c r="AZ10" s="181" t="str" cm="1">
        <f t="array" ref="AZ10">IF(OR(AZ$3="",$AN10=""),"",INDEX(IF($C$2='Data Validation'!$A$2,'Bank Adjustments'!$H$4:$H$103,IF('Adjustment Surface'!$C$2='Data Validation'!$A$3,'Bank Adjustments'!$R$4:$R$103,"Unknown Option Type")),MATCH(1,($AN10=IF($C$2='Data Validation'!$A$2,'Bank Adjustments'!$C$4:$C$103,IF('Adjustment Surface'!$C$2='Data Validation'!$A$3,'Bank Adjustments'!$M$4:$M$103,"Unknown Option Type")))*(AZ$3=IF($C$2='Data Validation'!$A$2,'Bank Adjustments'!$E$4:$E$103,IF('Adjustment Surface'!$C$2='Data Validation'!$A$3,'Bank Adjustments'!$O$4:$O$103,"Unknown Option Type"))),0)))</f>
        <v/>
      </c>
      <c r="BA10" s="181" t="str" cm="1">
        <f t="array" ref="BA10">IF(OR(BA$3="",$AN10=""),"",INDEX(IF($C$2='Data Validation'!$A$2,'Bank Adjustments'!$H$4:$H$103,IF('Adjustment Surface'!$C$2='Data Validation'!$A$3,'Bank Adjustments'!$R$4:$R$103,"Unknown Option Type")),MATCH(1,($AN10=IF($C$2='Data Validation'!$A$2,'Bank Adjustments'!$C$4:$C$103,IF('Adjustment Surface'!$C$2='Data Validation'!$A$3,'Bank Adjustments'!$M$4:$M$103,"Unknown Option Type")))*(BA$3=IF($C$2='Data Validation'!$A$2,'Bank Adjustments'!$E$4:$E$103,IF('Adjustment Surface'!$C$2='Data Validation'!$A$3,'Bank Adjustments'!$O$4:$O$103,"Unknown Option Type"))),0)))</f>
        <v/>
      </c>
      <c r="BB10" s="181" t="str" cm="1">
        <f t="array" ref="BB10">IF(OR(BB$3="",$AN10=""),"",INDEX(IF($C$2='Data Validation'!$A$2,'Bank Adjustments'!$H$4:$H$103,IF('Adjustment Surface'!$C$2='Data Validation'!$A$3,'Bank Adjustments'!$R$4:$R$103,"Unknown Option Type")),MATCH(1,($AN10=IF($C$2='Data Validation'!$A$2,'Bank Adjustments'!$C$4:$C$103,IF('Adjustment Surface'!$C$2='Data Validation'!$A$3,'Bank Adjustments'!$M$4:$M$103,"Unknown Option Type")))*(BB$3=IF($C$2='Data Validation'!$A$2,'Bank Adjustments'!$E$4:$E$103,IF('Adjustment Surface'!$C$2='Data Validation'!$A$3,'Bank Adjustments'!$O$4:$O$103,"Unknown Option Type"))),0)))</f>
        <v/>
      </c>
      <c r="BC10" s="181" t="str" cm="1">
        <f t="array" ref="BC10">IF(OR(BC$3="",$AN10=""),"",INDEX(IF($C$2='Data Validation'!$A$2,'Bank Adjustments'!$H$4:$H$103,IF('Adjustment Surface'!$C$2='Data Validation'!$A$3,'Bank Adjustments'!$R$4:$R$103,"Unknown Option Type")),MATCH(1,($AN10=IF($C$2='Data Validation'!$A$2,'Bank Adjustments'!$C$4:$C$103,IF('Adjustment Surface'!$C$2='Data Validation'!$A$3,'Bank Adjustments'!$M$4:$M$103,"Unknown Option Type")))*(BC$3=IF($C$2='Data Validation'!$A$2,'Bank Adjustments'!$E$4:$E$103,IF('Adjustment Surface'!$C$2='Data Validation'!$A$3,'Bank Adjustments'!$O$4:$O$103,"Unknown Option Type"))),0)))</f>
        <v/>
      </c>
      <c r="BD10" s="181" t="str" cm="1">
        <f t="array" ref="BD10">IF(OR(BD$3="",$AN10=""),"",INDEX(IF($C$2='Data Validation'!$A$2,'Bank Adjustments'!$H$4:$H$103,IF('Adjustment Surface'!$C$2='Data Validation'!$A$3,'Bank Adjustments'!$R$4:$R$103,"Unknown Option Type")),MATCH(1,($AN10=IF($C$2='Data Validation'!$A$2,'Bank Adjustments'!$C$4:$C$103,IF('Adjustment Surface'!$C$2='Data Validation'!$A$3,'Bank Adjustments'!$M$4:$M$103,"Unknown Option Type")))*(BD$3=IF($C$2='Data Validation'!$A$2,'Bank Adjustments'!$E$4:$E$103,IF('Adjustment Surface'!$C$2='Data Validation'!$A$3,'Bank Adjustments'!$O$4:$O$103,"Unknown Option Type"))),0)))</f>
        <v/>
      </c>
      <c r="BE10" s="181" t="str" cm="1">
        <f t="array" ref="BE10">IF(OR(BE$3="",$AN10=""),"",INDEX(IF($C$2='Data Validation'!$A$2,'Bank Adjustments'!$H$4:$H$103,IF('Adjustment Surface'!$C$2='Data Validation'!$A$3,'Bank Adjustments'!$R$4:$R$103,"Unknown Option Type")),MATCH(1,($AN10=IF($C$2='Data Validation'!$A$2,'Bank Adjustments'!$C$4:$C$103,IF('Adjustment Surface'!$C$2='Data Validation'!$A$3,'Bank Adjustments'!$M$4:$M$103,"Unknown Option Type")))*(BE$3=IF($C$2='Data Validation'!$A$2,'Bank Adjustments'!$E$4:$E$103,IF('Adjustment Surface'!$C$2='Data Validation'!$A$3,'Bank Adjustments'!$O$4:$O$103,"Unknown Option Type"))),0)))</f>
        <v/>
      </c>
      <c r="BF10" s="181" t="str" cm="1">
        <f t="array" ref="BF10">IF(OR(BF$3="",$AN10=""),"",INDEX(IF($C$2='Data Validation'!$A$2,'Bank Adjustments'!$H$4:$H$103,IF('Adjustment Surface'!$C$2='Data Validation'!$A$3,'Bank Adjustments'!$R$4:$R$103,"Unknown Option Type")),MATCH(1,($AN10=IF($C$2='Data Validation'!$A$2,'Bank Adjustments'!$C$4:$C$103,IF('Adjustment Surface'!$C$2='Data Validation'!$A$3,'Bank Adjustments'!$M$4:$M$103,"Unknown Option Type")))*(BF$3=IF($C$2='Data Validation'!$A$2,'Bank Adjustments'!$E$4:$E$103,IF('Adjustment Surface'!$C$2='Data Validation'!$A$3,'Bank Adjustments'!$O$4:$O$103,"Unknown Option Type"))),0)))</f>
        <v/>
      </c>
      <c r="BG10" s="181" t="str" cm="1">
        <f t="array" ref="BG10">IF(OR(BG$3="",$AN10=""),"",INDEX(IF($C$2='Data Validation'!$A$2,'Bank Adjustments'!$H$4:$H$103,IF('Adjustment Surface'!$C$2='Data Validation'!$A$3,'Bank Adjustments'!$R$4:$R$103,"Unknown Option Type")),MATCH(1,($AN10=IF($C$2='Data Validation'!$A$2,'Bank Adjustments'!$C$4:$C$103,IF('Adjustment Surface'!$C$2='Data Validation'!$A$3,'Bank Adjustments'!$M$4:$M$103,"Unknown Option Type")))*(BG$3=IF($C$2='Data Validation'!$A$2,'Bank Adjustments'!$E$4:$E$103,IF('Adjustment Surface'!$C$2='Data Validation'!$A$3,'Bank Adjustments'!$O$4:$O$103,"Unknown Option Type"))),0)))</f>
        <v/>
      </c>
      <c r="BH10" s="182" t="str" cm="1">
        <f t="array" ref="BH10">IF(OR(BH$3="",$AN10=""),"",INDEX(IF($C$2='Data Validation'!$A$2,'Bank Adjustments'!$H$4:$H$103,IF('Adjustment Surface'!$C$2='Data Validation'!$A$3,'Bank Adjustments'!$R$4:$R$103,"Unknown Option Type")),MATCH(1,($AN10=IF($C$2='Data Validation'!$A$2,'Bank Adjustments'!$C$4:$C$103,IF('Adjustment Surface'!$C$2='Data Validation'!$A$3,'Bank Adjustments'!$M$4:$M$103,"Unknown Option Type")))*(BH$3=IF($C$2='Data Validation'!$A$2,'Bank Adjustments'!$E$4:$E$103,IF('Adjustment Surface'!$C$2='Data Validation'!$A$3,'Bank Adjustments'!$O$4:$O$103,"Unknown Option Type"))),0)))</f>
        <v/>
      </c>
    </row>
    <row r="11" spans="2:61" x14ac:dyDescent="0.25">
      <c r="B11" s="6" t="s">
        <v>31</v>
      </c>
      <c r="C11" s="6" t="str">
        <f>IF('Control Panel'!C3='Data Validation'!J2,#REF!,'Cap and Floor Pricer'!D19)</f>
        <v>Term SOFR</v>
      </c>
      <c r="E11" t="s">
        <v>57</v>
      </c>
      <c r="F11" s="80">
        <f>'Control Panel'!C9</f>
        <v>1000000</v>
      </c>
      <c r="G11" s="55"/>
      <c r="H11" s="171">
        <v>47068</v>
      </c>
      <c r="I11" s="61">
        <f t="shared" si="1"/>
        <v>92</v>
      </c>
      <c r="J11" s="212">
        <f t="shared" si="1"/>
        <v>639</v>
      </c>
      <c r="K11" s="212">
        <f t="shared" si="1"/>
        <v>274</v>
      </c>
      <c r="L11" s="212">
        <f t="shared" si="1"/>
        <v>92</v>
      </c>
      <c r="M11" s="63">
        <f t="shared" si="1"/>
        <v>457</v>
      </c>
      <c r="O11" s="176">
        <v>5.5E-2</v>
      </c>
      <c r="P11" s="180" cm="1">
        <f t="array" ref="P11">IF(OR(P$3="",$O11=""),"",1/((INDEX('Adjustment Surface'!$AN$4:$AN$23,MATCH(('Adjustment Surface'!$O11),'Adjustment Surface'!$AN$4:$AN$23,1)+IF('Adjustment Surface'!$O12="",-1,1))-INDEX('Adjustment Surface'!$AN$4:$AN$23,MATCH(('Adjustment Surface'!$O11),'Adjustment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Surface'!$O11),'Adjustment Surface'!$AN$4:$AN$23,1)),$AN$4:$AN$23,0),MATCH(INDEX('Adjustment Surface'!$AO$3:$BH$3,1,MATCH(('Adjustment Surface'!P$3),'Adjustment Surface'!$AO$3:$BH$3,1)),$AO$3:$BH$3,0))*(INDEX('Adjustment Surface'!$AN$4:$AN$23,MATCH(('Adjustment Surface'!$O11),'Adjustment Surface'!$AN$4:$AN$23,1)+IF('Adjustment Surface'!$O12="",-1,1))-'Adjustment Surface'!$O11)*(INDEX('Adjustment Surface'!$AO$3:$BH$3,1,MATCH(('Adjustment Surface'!P$3),'Adjustment Surface'!$AO$3:$BH$3,1)+IF('Adjustment Surface'!Q$3="",-1,1))-'Adjustment Surface'!P$3)+INDEX($AO$4:$BH$23,MATCH(INDEX('Adjustment Surface'!$AN$4:$AN$23,MATCH(('Adjustment Surface'!$O11),'Adjustment Surface'!$AN$4:$AN$23,1)+IF('Adjustment Surface'!$O12="",-1,1)),$AN$4:$AN$23,0),MATCH(INDEX('Adjustment Surface'!$AO$3:$BH$3,1,MATCH(('Adjustment Surface'!P$3),'Adjustment Surface'!$AO$3:$BH$3,1)),$AO$3:$BH$3,0))*('Adjustment Surface'!$O11-INDEX('Adjustment Surface'!$AN$4:$AN$23,MATCH(('Adjustment Surface'!$O11),'Adjustment Surface'!$AN$4:$AN$23,1)))*(INDEX('Adjustment Surface'!$AO$3:$BH$3,1,MATCH(('Adjustment Surface'!P$3),'Adjustment Surface'!$AO$3:$BH$3,1)+IF('Adjustment Surface'!Q$3="",-1,1))-'Adjustment Surface'!P$3)+INDEX($AO$4:$BH$23,MATCH(INDEX('Adjustment Surface'!$AN$4:$AN$23,MATCH(('Adjustment Surface'!$O11),'Adjustment Surface'!$AN$4:$AN$23,1)),$AN$4:$AN$23,0),MATCH(INDEX('Adjustment Surface'!$AO$3:$BH$3,1,MATCH(('Adjustment Surface'!P$3),'Adjustment Surface'!$AO$3:$BH$3,1)+IF('Adjustment Surface'!Q$3="",-1,1)),$AO$3:$BH$3,0))*(INDEX('Adjustment Surface'!$AN$4:$AN$23,MATCH(('Adjustment Surface'!$O11),'Adjustment Surface'!$AN$4:$AN$23,1)+IF('Adjustment Surface'!$O12="",-1,1))-'Adjustment Surface'!$O11)*('Adjustment Surface'!P$3-INDEX('Adjustment Surface'!$AO$3:$BH$3,1,MATCH(('Adjustment Surface'!P$3),'Adjustment Surface'!$AO$3:$BH$3,1)))+INDEX($AO$4:$BH$23,MATCH(INDEX('Adjustment Surface'!$AN$4:$AN$23,MATCH(('Adjustment Surface'!$O11),'Adjustment Surface'!$AN$4:$AN$23,1)+IF('Adjustment Surface'!$O12="",-1,1)),$AN$4:$AN$23,0),MATCH(INDEX('Adjustment Surface'!$AO$3:$BH$3,1,MATCH(('Adjustment Surface'!P$3),'Adjustment Surface'!$AO$3:$BH$3,1)+IF('Adjustment Surface'!Q$3="",-1,1)),$AO$3:$BH$3,0))*('Adjustment Surface'!$O11-INDEX('Adjustment Surface'!$AN$4:$AN$23,MATCH(('Adjustment Surface'!$O11),'Adjustment Surface'!$AN$4:$AN$23,1)))*('Adjustment Surface'!P$3-INDEX('Adjustment Surface'!$AO$3:$BH$3,1,MATCH(('Adjustment Surface'!P$3),'Adjustment Surface'!$AO$3:$BH$3,1)))))</f>
        <v>506.69181558303893</v>
      </c>
      <c r="Q11" s="181" cm="1">
        <f t="array" ref="Q11">IF(OR(Q$3="",$O11=""),"",1/((INDEX('Adjustment Surface'!$AN$4:$AN$23,MATCH(('Adjustment Surface'!$O11),'Adjustment Surface'!$AN$4:$AN$23,1)+IF('Adjustment Surface'!$O12="",-1,1))-INDEX('Adjustment Surface'!$AN$4:$AN$23,MATCH(('Adjustment Surface'!$O11),'Adjustment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Surface'!$O11),'Adjustment Surface'!$AN$4:$AN$23,1)),$AN$4:$AN$23,0),MATCH(INDEX('Adjustment Surface'!$AO$3:$BH$3,1,MATCH(('Adjustment Surface'!Q$3),'Adjustment Surface'!$AO$3:$BH$3,1)),$AO$3:$BH$3,0))*(INDEX('Adjustment Surface'!$AN$4:$AN$23,MATCH(('Adjustment Surface'!$O11),'Adjustment Surface'!$AN$4:$AN$23,1)+IF('Adjustment Surface'!$O12="",-1,1))-'Adjustment Surface'!$O11)*(INDEX('Adjustment Surface'!$AO$3:$BH$3,1,MATCH(('Adjustment Surface'!Q$3),'Adjustment Surface'!$AO$3:$BH$3,1)+IF('Adjustment Surface'!R$3="",-1,1))-'Adjustment Surface'!Q$3)+INDEX($AO$4:$BH$23,MATCH(INDEX('Adjustment Surface'!$AN$4:$AN$23,MATCH(('Adjustment Surface'!$O11),'Adjustment Surface'!$AN$4:$AN$23,1)+IF('Adjustment Surface'!$O12="",-1,1)),$AN$4:$AN$23,0),MATCH(INDEX('Adjustment Surface'!$AO$3:$BH$3,1,MATCH(('Adjustment Surface'!Q$3),'Adjustment Surface'!$AO$3:$BH$3,1)),$AO$3:$BH$3,0))*('Adjustment Surface'!$O11-INDEX('Adjustment Surface'!$AN$4:$AN$23,MATCH(('Adjustment Surface'!$O11),'Adjustment Surface'!$AN$4:$AN$23,1)))*(INDEX('Adjustment Surface'!$AO$3:$BH$3,1,MATCH(('Adjustment Surface'!Q$3),'Adjustment Surface'!$AO$3:$BH$3,1)+IF('Adjustment Surface'!R$3="",-1,1))-'Adjustment Surface'!Q$3)+INDEX($AO$4:$BH$23,MATCH(INDEX('Adjustment Surface'!$AN$4:$AN$23,MATCH(('Adjustment Surface'!$O11),'Adjustment Surface'!$AN$4:$AN$23,1)),$AN$4:$AN$23,0),MATCH(INDEX('Adjustment Surface'!$AO$3:$BH$3,1,MATCH(('Adjustment Surface'!Q$3),'Adjustment Surface'!$AO$3:$BH$3,1)+IF('Adjustment Surface'!R$3="",-1,1)),$AO$3:$BH$3,0))*(INDEX('Adjustment Surface'!$AN$4:$AN$23,MATCH(('Adjustment Surface'!$O11),'Adjustment Surface'!$AN$4:$AN$23,1)+IF('Adjustment Surface'!$O12="",-1,1))-'Adjustment Surface'!$O11)*('Adjustment Surface'!Q$3-INDEX('Adjustment Surface'!$AO$3:$BH$3,1,MATCH(('Adjustment Surface'!Q$3),'Adjustment Surface'!$AO$3:$BH$3,1)))+INDEX($AO$4:$BH$23,MATCH(INDEX('Adjustment Surface'!$AN$4:$AN$23,MATCH(('Adjustment Surface'!$O11),'Adjustment Surface'!$AN$4:$AN$23,1)+IF('Adjustment Surface'!$O12="",-1,1)),$AN$4:$AN$23,0),MATCH(INDEX('Adjustment Surface'!$AO$3:$BH$3,1,MATCH(('Adjustment Surface'!Q$3),'Adjustment Surface'!$AO$3:$BH$3,1)+IF('Adjustment Surface'!R$3="",-1,1)),$AO$3:$BH$3,0))*('Adjustment Surface'!$O11-INDEX('Adjustment Surface'!$AN$4:$AN$23,MATCH(('Adjustment Surface'!$O11),'Adjustment Surface'!$AN$4:$AN$23,1)))*('Adjustment Surface'!Q$3-INDEX('Adjustment Surface'!$AO$3:$BH$3,1,MATCH(('Adjustment Surface'!Q$3),'Adjustment Surface'!$AO$3:$BH$3,1)))))</f>
        <v>391.39250389929754</v>
      </c>
      <c r="R11" s="181" cm="1">
        <f t="array" ref="R11">IF(OR(R$3="",$O11=""),"",1/((INDEX('Adjustment Surface'!$AN$4:$AN$23,MATCH(('Adjustment Surface'!$O11),'Adjustment Surface'!$AN$4:$AN$23,1)+IF('Adjustment Surface'!$O12="",-1,1))-INDEX('Adjustment Surface'!$AN$4:$AN$23,MATCH(('Adjustment Surface'!$O11),'Adjustment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Surface'!$O11),'Adjustment Surface'!$AN$4:$AN$23,1)),$AN$4:$AN$23,0),MATCH(INDEX('Adjustment Surface'!$AO$3:$BH$3,1,MATCH(('Adjustment Surface'!R$3),'Adjustment Surface'!$AO$3:$BH$3,1)),$AO$3:$BH$3,0))*(INDEX('Adjustment Surface'!$AN$4:$AN$23,MATCH(('Adjustment Surface'!$O11),'Adjustment Surface'!$AN$4:$AN$23,1)+IF('Adjustment Surface'!$O12="",-1,1))-'Adjustment Surface'!$O11)*(INDEX('Adjustment Surface'!$AO$3:$BH$3,1,MATCH(('Adjustment Surface'!R$3),'Adjustment Surface'!$AO$3:$BH$3,1)+IF('Adjustment Surface'!S$3="",-1,1))-'Adjustment Surface'!R$3)+INDEX($AO$4:$BH$23,MATCH(INDEX('Adjustment Surface'!$AN$4:$AN$23,MATCH(('Adjustment Surface'!$O11),'Adjustment Surface'!$AN$4:$AN$23,1)+IF('Adjustment Surface'!$O12="",-1,1)),$AN$4:$AN$23,0),MATCH(INDEX('Adjustment Surface'!$AO$3:$BH$3,1,MATCH(('Adjustment Surface'!R$3),'Adjustment Surface'!$AO$3:$BH$3,1)),$AO$3:$BH$3,0))*('Adjustment Surface'!$O11-INDEX('Adjustment Surface'!$AN$4:$AN$23,MATCH(('Adjustment Surface'!$O11),'Adjustment Surface'!$AN$4:$AN$23,1)))*(INDEX('Adjustment Surface'!$AO$3:$BH$3,1,MATCH(('Adjustment Surface'!R$3),'Adjustment Surface'!$AO$3:$BH$3,1)+IF('Adjustment Surface'!S$3="",-1,1))-'Adjustment Surface'!R$3)+INDEX($AO$4:$BH$23,MATCH(INDEX('Adjustment Surface'!$AN$4:$AN$23,MATCH(('Adjustment Surface'!$O11),'Adjustment Surface'!$AN$4:$AN$23,1)),$AN$4:$AN$23,0),MATCH(INDEX('Adjustment Surface'!$AO$3:$BH$3,1,MATCH(('Adjustment Surface'!R$3),'Adjustment Surface'!$AO$3:$BH$3,1)+IF('Adjustment Surface'!S$3="",-1,1)),$AO$3:$BH$3,0))*(INDEX('Adjustment Surface'!$AN$4:$AN$23,MATCH(('Adjustment Surface'!$O11),'Adjustment Surface'!$AN$4:$AN$23,1)+IF('Adjustment Surface'!$O12="",-1,1))-'Adjustment Surface'!$O11)*('Adjustment Surface'!R$3-INDEX('Adjustment Surface'!$AO$3:$BH$3,1,MATCH(('Adjustment Surface'!R$3),'Adjustment Surface'!$AO$3:$BH$3,1)))+INDEX($AO$4:$BH$23,MATCH(INDEX('Adjustment Surface'!$AN$4:$AN$23,MATCH(('Adjustment Surface'!$O11),'Adjustment Surface'!$AN$4:$AN$23,1)+IF('Adjustment Surface'!$O12="",-1,1)),$AN$4:$AN$23,0),MATCH(INDEX('Adjustment Surface'!$AO$3:$BH$3,1,MATCH(('Adjustment Surface'!R$3),'Adjustment Surface'!$AO$3:$BH$3,1)+IF('Adjustment Surface'!S$3="",-1,1)),$AO$3:$BH$3,0))*('Adjustment Surface'!$O11-INDEX('Adjustment Surface'!$AN$4:$AN$23,MATCH(('Adjustment Surface'!$O11),'Adjustment Surface'!$AN$4:$AN$23,1)))*('Adjustment Surface'!R$3-INDEX('Adjustment Surface'!$AO$3:$BH$3,1,MATCH(('Adjustment Surface'!R$3),'Adjustment Surface'!$AO$3:$BH$3,1)))))</f>
        <v>272.20669856329528</v>
      </c>
      <c r="S11" s="181" cm="1">
        <f t="array" ref="S11">IF(OR(S$3="",$O11=""),"",1/((INDEX('Adjustment Surface'!$AN$4:$AN$23,MATCH(('Adjustment Surface'!$O11),'Adjustment Surface'!$AN$4:$AN$23,1)+IF('Adjustment Surface'!$O12="",-1,1))-INDEX('Adjustment Surface'!$AN$4:$AN$23,MATCH(('Adjustment Surface'!$O11),'Adjustment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Surface'!$O11),'Adjustment Surface'!$AN$4:$AN$23,1)),$AN$4:$AN$23,0),MATCH(INDEX('Adjustment Surface'!$AO$3:$BH$3,1,MATCH(('Adjustment Surface'!S$3),'Adjustment Surface'!$AO$3:$BH$3,1)),$AO$3:$BH$3,0))*(INDEX('Adjustment Surface'!$AN$4:$AN$23,MATCH(('Adjustment Surface'!$O11),'Adjustment Surface'!$AN$4:$AN$23,1)+IF('Adjustment Surface'!$O12="",-1,1))-'Adjustment Surface'!$O11)*(INDEX('Adjustment Surface'!$AO$3:$BH$3,1,MATCH(('Adjustment Surface'!S$3),'Adjustment Surface'!$AO$3:$BH$3,1)+IF('Adjustment Surface'!T$3="",-1,1))-'Adjustment Surface'!S$3)+INDEX($AO$4:$BH$23,MATCH(INDEX('Adjustment Surface'!$AN$4:$AN$23,MATCH(('Adjustment Surface'!$O11),'Adjustment Surface'!$AN$4:$AN$23,1)+IF('Adjustment Surface'!$O12="",-1,1)),$AN$4:$AN$23,0),MATCH(INDEX('Adjustment Surface'!$AO$3:$BH$3,1,MATCH(('Adjustment Surface'!S$3),'Adjustment Surface'!$AO$3:$BH$3,1)),$AO$3:$BH$3,0))*('Adjustment Surface'!$O11-INDEX('Adjustment Surface'!$AN$4:$AN$23,MATCH(('Adjustment Surface'!$O11),'Adjustment Surface'!$AN$4:$AN$23,1)))*(INDEX('Adjustment Surface'!$AO$3:$BH$3,1,MATCH(('Adjustment Surface'!S$3),'Adjustment Surface'!$AO$3:$BH$3,1)+IF('Adjustment Surface'!T$3="",-1,1))-'Adjustment Surface'!S$3)+INDEX($AO$4:$BH$23,MATCH(INDEX('Adjustment Surface'!$AN$4:$AN$23,MATCH(('Adjustment Surface'!$O11),'Adjustment Surface'!$AN$4:$AN$23,1)),$AN$4:$AN$23,0),MATCH(INDEX('Adjustment Surface'!$AO$3:$BH$3,1,MATCH(('Adjustment Surface'!S$3),'Adjustment Surface'!$AO$3:$BH$3,1)+IF('Adjustment Surface'!T$3="",-1,1)),$AO$3:$BH$3,0))*(INDEX('Adjustment Surface'!$AN$4:$AN$23,MATCH(('Adjustment Surface'!$O11),'Adjustment Surface'!$AN$4:$AN$23,1)+IF('Adjustment Surface'!$O12="",-1,1))-'Adjustment Surface'!$O11)*('Adjustment Surface'!S$3-INDEX('Adjustment Surface'!$AO$3:$BH$3,1,MATCH(('Adjustment Surface'!S$3),'Adjustment Surface'!$AO$3:$BH$3,1)))+INDEX($AO$4:$BH$23,MATCH(INDEX('Adjustment Surface'!$AN$4:$AN$23,MATCH(('Adjustment Surface'!$O11),'Adjustment Surface'!$AN$4:$AN$23,1)+IF('Adjustment Surface'!$O12="",-1,1)),$AN$4:$AN$23,0),MATCH(INDEX('Adjustment Surface'!$AO$3:$BH$3,1,MATCH(('Adjustment Surface'!S$3),'Adjustment Surface'!$AO$3:$BH$3,1)+IF('Adjustment Surface'!T$3="",-1,1)),$AO$3:$BH$3,0))*('Adjustment Surface'!$O11-INDEX('Adjustment Surface'!$AN$4:$AN$23,MATCH(('Adjustment Surface'!$O11),'Adjustment Surface'!$AN$4:$AN$23,1)))*('Adjustment Surface'!S$3-INDEX('Adjustment Surface'!$AO$3:$BH$3,1,MATCH(('Adjustment Surface'!S$3),'Adjustment Surface'!$AO$3:$BH$3,1)))))</f>
        <v>153.02089322729302</v>
      </c>
      <c r="T11" s="181" cm="1">
        <f t="array" ref="T11">IF(OR(T$3="",$O11=""),"",1/((INDEX('Adjustment Surface'!$AN$4:$AN$23,MATCH(('Adjustment Surface'!$O11),'Adjustment Surface'!$AN$4:$AN$23,1)+IF('Adjustment Surface'!$O12="",-1,1))-INDEX('Adjustment Surface'!$AN$4:$AN$23,MATCH(('Adjustment Surface'!$O11),'Adjustment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Surface'!$O11),'Adjustment Surface'!$AN$4:$AN$23,1)),$AN$4:$AN$23,0),MATCH(INDEX('Adjustment Surface'!$AO$3:$BH$3,1,MATCH(('Adjustment Surface'!T$3),'Adjustment Surface'!$AO$3:$BH$3,1)),$AO$3:$BH$3,0))*(INDEX('Adjustment Surface'!$AN$4:$AN$23,MATCH(('Adjustment Surface'!$O11),'Adjustment Surface'!$AN$4:$AN$23,1)+IF('Adjustment Surface'!$O12="",-1,1))-'Adjustment Surface'!$O11)*(INDEX('Adjustment Surface'!$AO$3:$BH$3,1,MATCH(('Adjustment Surface'!T$3),'Adjustment Surface'!$AO$3:$BH$3,1)+IF('Adjustment Surface'!U$3="",-1,1))-'Adjustment Surface'!T$3)+INDEX($AO$4:$BH$23,MATCH(INDEX('Adjustment Surface'!$AN$4:$AN$23,MATCH(('Adjustment Surface'!$O11),'Adjustment Surface'!$AN$4:$AN$23,1)+IF('Adjustment Surface'!$O12="",-1,1)),$AN$4:$AN$23,0),MATCH(INDEX('Adjustment Surface'!$AO$3:$BH$3,1,MATCH(('Adjustment Surface'!T$3),'Adjustment Surface'!$AO$3:$BH$3,1)),$AO$3:$BH$3,0))*('Adjustment Surface'!$O11-INDEX('Adjustment Surface'!$AN$4:$AN$23,MATCH(('Adjustment Surface'!$O11),'Adjustment Surface'!$AN$4:$AN$23,1)))*(INDEX('Adjustment Surface'!$AO$3:$BH$3,1,MATCH(('Adjustment Surface'!T$3),'Adjustment Surface'!$AO$3:$BH$3,1)+IF('Adjustment Surface'!U$3="",-1,1))-'Adjustment Surface'!T$3)+INDEX($AO$4:$BH$23,MATCH(INDEX('Adjustment Surface'!$AN$4:$AN$23,MATCH(('Adjustment Surface'!$O11),'Adjustment Surface'!$AN$4:$AN$23,1)),$AN$4:$AN$23,0),MATCH(INDEX('Adjustment Surface'!$AO$3:$BH$3,1,MATCH(('Adjustment Surface'!T$3),'Adjustment Surface'!$AO$3:$BH$3,1)+IF('Adjustment Surface'!U$3="",-1,1)),$AO$3:$BH$3,0))*(INDEX('Adjustment Surface'!$AN$4:$AN$23,MATCH(('Adjustment Surface'!$O11),'Adjustment Surface'!$AN$4:$AN$23,1)+IF('Adjustment Surface'!$O12="",-1,1))-'Adjustment Surface'!$O11)*('Adjustment Surface'!T$3-INDEX('Adjustment Surface'!$AO$3:$BH$3,1,MATCH(('Adjustment Surface'!T$3),'Adjustment Surface'!$AO$3:$BH$3,1)))+INDEX($AO$4:$BH$23,MATCH(INDEX('Adjustment Surface'!$AN$4:$AN$23,MATCH(('Adjustment Surface'!$O11),'Adjustment Surface'!$AN$4:$AN$23,1)+IF('Adjustment Surface'!$O12="",-1,1)),$AN$4:$AN$23,0),MATCH(INDEX('Adjustment Surface'!$AO$3:$BH$3,1,MATCH(('Adjustment Surface'!T$3),'Adjustment Surface'!$AO$3:$BH$3,1)+IF('Adjustment Surface'!U$3="",-1,1)),$AO$3:$BH$3,0))*('Adjustment Surface'!$O11-INDEX('Adjustment Surface'!$AN$4:$AN$23,MATCH(('Adjustment Surface'!$O11),'Adjustment Surface'!$AN$4:$AN$23,1)))*('Adjustment Surface'!T$3-INDEX('Adjustment Surface'!$AO$3:$BH$3,1,MATCH(('Adjustment Surface'!T$3),'Adjustment Surface'!$AO$3:$BH$3,1)))))</f>
        <v>33.835087891290748</v>
      </c>
      <c r="U11" s="181" cm="1">
        <f t="array" ref="U11">IF(OR(U$3="",$O11=""),"",1/((INDEX('Adjustment Surface'!$AN$4:$AN$23,MATCH(('Adjustment Surface'!$O11),'Adjustment Surface'!$AN$4:$AN$23,1)+IF('Adjustment Surface'!$O12="",-1,1))-INDEX('Adjustment Surface'!$AN$4:$AN$23,MATCH(('Adjustment Surface'!$O11),'Adjustment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Surface'!$O11),'Adjustment Surface'!$AN$4:$AN$23,1)),$AN$4:$AN$23,0),MATCH(INDEX('Adjustment Surface'!$AO$3:$BH$3,1,MATCH(('Adjustment Surface'!U$3),'Adjustment Surface'!$AO$3:$BH$3,1)),$AO$3:$BH$3,0))*(INDEX('Adjustment Surface'!$AN$4:$AN$23,MATCH(('Adjustment Surface'!$O11),'Adjustment Surface'!$AN$4:$AN$23,1)+IF('Adjustment Surface'!$O12="",-1,1))-'Adjustment Surface'!$O11)*(INDEX('Adjustment Surface'!$AO$3:$BH$3,1,MATCH(('Adjustment Surface'!U$3),'Adjustment Surface'!$AO$3:$BH$3,1)+IF('Adjustment Surface'!V$3="",-1,1))-'Adjustment Surface'!U$3)+INDEX($AO$4:$BH$23,MATCH(INDEX('Adjustment Surface'!$AN$4:$AN$23,MATCH(('Adjustment Surface'!$O11),'Adjustment Surface'!$AN$4:$AN$23,1)+IF('Adjustment Surface'!$O12="",-1,1)),$AN$4:$AN$23,0),MATCH(INDEX('Adjustment Surface'!$AO$3:$BH$3,1,MATCH(('Adjustment Surface'!U$3),'Adjustment Surface'!$AO$3:$BH$3,1)),$AO$3:$BH$3,0))*('Adjustment Surface'!$O11-INDEX('Adjustment Surface'!$AN$4:$AN$23,MATCH(('Adjustment Surface'!$O11),'Adjustment Surface'!$AN$4:$AN$23,1)))*(INDEX('Adjustment Surface'!$AO$3:$BH$3,1,MATCH(('Adjustment Surface'!U$3),'Adjustment Surface'!$AO$3:$BH$3,1)+IF('Adjustment Surface'!V$3="",-1,1))-'Adjustment Surface'!U$3)+INDEX($AO$4:$BH$23,MATCH(INDEX('Adjustment Surface'!$AN$4:$AN$23,MATCH(('Adjustment Surface'!$O11),'Adjustment Surface'!$AN$4:$AN$23,1)),$AN$4:$AN$23,0),MATCH(INDEX('Adjustment Surface'!$AO$3:$BH$3,1,MATCH(('Adjustment Surface'!U$3),'Adjustment Surface'!$AO$3:$BH$3,1)+IF('Adjustment Surface'!V$3="",-1,1)),$AO$3:$BH$3,0))*(INDEX('Adjustment Surface'!$AN$4:$AN$23,MATCH(('Adjustment Surface'!$O11),'Adjustment Surface'!$AN$4:$AN$23,1)+IF('Adjustment Surface'!$O12="",-1,1))-'Adjustment Surface'!$O11)*('Adjustment Surface'!U$3-INDEX('Adjustment Surface'!$AO$3:$BH$3,1,MATCH(('Adjustment Surface'!U$3),'Adjustment Surface'!$AO$3:$BH$3,1)))+INDEX($AO$4:$BH$23,MATCH(INDEX('Adjustment Surface'!$AN$4:$AN$23,MATCH(('Adjustment Surface'!$O11),'Adjustment Surface'!$AN$4:$AN$23,1)+IF('Adjustment Surface'!$O12="",-1,1)),$AN$4:$AN$23,0),MATCH(INDEX('Adjustment Surface'!$AO$3:$BH$3,1,MATCH(('Adjustment Surface'!U$3),'Adjustment Surface'!$AO$3:$BH$3,1)+IF('Adjustment Surface'!V$3="",-1,1)),$AO$3:$BH$3,0))*('Adjustment Surface'!$O11-INDEX('Adjustment Surface'!$AN$4:$AN$23,MATCH(('Adjustment Surface'!$O11),'Adjustment Surface'!$AN$4:$AN$23,1)))*('Adjustment Surface'!U$3-INDEX('Adjustment Surface'!$AO$3:$BH$3,1,MATCH(('Adjustment Surface'!U$3),'Adjustment Surface'!$AO$3:$BH$3,1)))))</f>
        <v>28.801166060516504</v>
      </c>
      <c r="V11" s="181" cm="1">
        <f t="array" ref="V11">IF(OR(V$3="",$O11=""),"",1/((INDEX('Adjustment Surface'!$AN$4:$AN$23,MATCH(('Adjustment Surface'!$O11),'Adjustment Surface'!$AN$4:$AN$23,1)+IF('Adjustment Surface'!$O12="",-1,1))-INDEX('Adjustment Surface'!$AN$4:$AN$23,MATCH(('Adjustment Surface'!$O11),'Adjustment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Surface'!$O11),'Adjustment Surface'!$AN$4:$AN$23,1)),$AN$4:$AN$23,0),MATCH(INDEX('Adjustment Surface'!$AO$3:$BH$3,1,MATCH(('Adjustment Surface'!V$3),'Adjustment Surface'!$AO$3:$BH$3,1)),$AO$3:$BH$3,0))*(INDEX('Adjustment Surface'!$AN$4:$AN$23,MATCH(('Adjustment Surface'!$O11),'Adjustment Surface'!$AN$4:$AN$23,1)+IF('Adjustment Surface'!$O12="",-1,1))-'Adjustment Surface'!$O11)*(INDEX('Adjustment Surface'!$AO$3:$BH$3,1,MATCH(('Adjustment Surface'!V$3),'Adjustment Surface'!$AO$3:$BH$3,1)+IF('Adjustment Surface'!W$3="",-1,1))-'Adjustment Surface'!V$3)+INDEX($AO$4:$BH$23,MATCH(INDEX('Adjustment Surface'!$AN$4:$AN$23,MATCH(('Adjustment Surface'!$O11),'Adjustment Surface'!$AN$4:$AN$23,1)+IF('Adjustment Surface'!$O12="",-1,1)),$AN$4:$AN$23,0),MATCH(INDEX('Adjustment Surface'!$AO$3:$BH$3,1,MATCH(('Adjustment Surface'!V$3),'Adjustment Surface'!$AO$3:$BH$3,1)),$AO$3:$BH$3,0))*('Adjustment Surface'!$O11-INDEX('Adjustment Surface'!$AN$4:$AN$23,MATCH(('Adjustment Surface'!$O11),'Adjustment Surface'!$AN$4:$AN$23,1)))*(INDEX('Adjustment Surface'!$AO$3:$BH$3,1,MATCH(('Adjustment Surface'!V$3),'Adjustment Surface'!$AO$3:$BH$3,1)+IF('Adjustment Surface'!W$3="",-1,1))-'Adjustment Surface'!V$3)+INDEX($AO$4:$BH$23,MATCH(INDEX('Adjustment Surface'!$AN$4:$AN$23,MATCH(('Adjustment Surface'!$O11),'Adjustment Surface'!$AN$4:$AN$23,1)),$AN$4:$AN$23,0),MATCH(INDEX('Adjustment Surface'!$AO$3:$BH$3,1,MATCH(('Adjustment Surface'!V$3),'Adjustment Surface'!$AO$3:$BH$3,1)+IF('Adjustment Surface'!W$3="",-1,1)),$AO$3:$BH$3,0))*(INDEX('Adjustment Surface'!$AN$4:$AN$23,MATCH(('Adjustment Surface'!$O11),'Adjustment Surface'!$AN$4:$AN$23,1)+IF('Adjustment Surface'!$O12="",-1,1))-'Adjustment Surface'!$O11)*('Adjustment Surface'!V$3-INDEX('Adjustment Surface'!$AO$3:$BH$3,1,MATCH(('Adjustment Surface'!V$3),'Adjustment Surface'!$AO$3:$BH$3,1)))+INDEX($AO$4:$BH$23,MATCH(INDEX('Adjustment Surface'!$AN$4:$AN$23,MATCH(('Adjustment Surface'!$O11),'Adjustment Surface'!$AN$4:$AN$23,1)+IF('Adjustment Surface'!$O12="",-1,1)),$AN$4:$AN$23,0),MATCH(INDEX('Adjustment Surface'!$AO$3:$BH$3,1,MATCH(('Adjustment Surface'!V$3),'Adjustment Surface'!$AO$3:$BH$3,1)+IF('Adjustment Surface'!W$3="",-1,1)),$AO$3:$BH$3,0))*('Adjustment Surface'!$O11-INDEX('Adjustment Surface'!$AN$4:$AN$23,MATCH(('Adjustment Surface'!$O11),'Adjustment Surface'!$AN$4:$AN$23,1)))*('Adjustment Surface'!V$3-INDEX('Adjustment Surface'!$AO$3:$BH$3,1,MATCH(('Adjustment Surface'!V$3),'Adjustment Surface'!$AO$3:$BH$3,1)))))</f>
        <v>23.655379300169503</v>
      </c>
      <c r="W11" s="181" cm="1">
        <f t="array" ref="W11">IF(OR(W$3="",$O11=""),"",1/((INDEX('Adjustment Surface'!$AN$4:$AN$23,MATCH(('Adjustment Surface'!$O11),'Adjustment Surface'!$AN$4:$AN$23,1)+IF('Adjustment Surface'!$O12="",-1,1))-INDEX('Adjustment Surface'!$AN$4:$AN$23,MATCH(('Adjustment Surface'!$O11),'Adjustment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Surface'!$O11),'Adjustment Surface'!$AN$4:$AN$23,1)),$AN$4:$AN$23,0),MATCH(INDEX('Adjustment Surface'!$AO$3:$BH$3,1,MATCH(('Adjustment Surface'!W$3),'Adjustment Surface'!$AO$3:$BH$3,1)),$AO$3:$BH$3,0))*(INDEX('Adjustment Surface'!$AN$4:$AN$23,MATCH(('Adjustment Surface'!$O11),'Adjustment Surface'!$AN$4:$AN$23,1)+IF('Adjustment Surface'!$O12="",-1,1))-'Adjustment Surface'!$O11)*(INDEX('Adjustment Surface'!$AO$3:$BH$3,1,MATCH(('Adjustment Surface'!W$3),'Adjustment Surface'!$AO$3:$BH$3,1)+IF('Adjustment Surface'!X$3="",-1,1))-'Adjustment Surface'!W$3)+INDEX($AO$4:$BH$23,MATCH(INDEX('Adjustment Surface'!$AN$4:$AN$23,MATCH(('Adjustment Surface'!$O11),'Adjustment Surface'!$AN$4:$AN$23,1)+IF('Adjustment Surface'!$O12="",-1,1)),$AN$4:$AN$23,0),MATCH(INDEX('Adjustment Surface'!$AO$3:$BH$3,1,MATCH(('Adjustment Surface'!W$3),'Adjustment Surface'!$AO$3:$BH$3,1)),$AO$3:$BH$3,0))*('Adjustment Surface'!$O11-INDEX('Adjustment Surface'!$AN$4:$AN$23,MATCH(('Adjustment Surface'!$O11),'Adjustment Surface'!$AN$4:$AN$23,1)))*(INDEX('Adjustment Surface'!$AO$3:$BH$3,1,MATCH(('Adjustment Surface'!W$3),'Adjustment Surface'!$AO$3:$BH$3,1)+IF('Adjustment Surface'!X$3="",-1,1))-'Adjustment Surface'!W$3)+INDEX($AO$4:$BH$23,MATCH(INDEX('Adjustment Surface'!$AN$4:$AN$23,MATCH(('Adjustment Surface'!$O11),'Adjustment Surface'!$AN$4:$AN$23,1)),$AN$4:$AN$23,0),MATCH(INDEX('Adjustment Surface'!$AO$3:$BH$3,1,MATCH(('Adjustment Surface'!W$3),'Adjustment Surface'!$AO$3:$BH$3,1)+IF('Adjustment Surface'!X$3="",-1,1)),$AO$3:$BH$3,0))*(INDEX('Adjustment Surface'!$AN$4:$AN$23,MATCH(('Adjustment Surface'!$O11),'Adjustment Surface'!$AN$4:$AN$23,1)+IF('Adjustment Surface'!$O12="",-1,1))-'Adjustment Surface'!$O11)*('Adjustment Surface'!W$3-INDEX('Adjustment Surface'!$AO$3:$BH$3,1,MATCH(('Adjustment Surface'!W$3),'Adjustment Surface'!$AO$3:$BH$3,1)))+INDEX($AO$4:$BH$23,MATCH(INDEX('Adjustment Surface'!$AN$4:$AN$23,MATCH(('Adjustment Surface'!$O11),'Adjustment Surface'!$AN$4:$AN$23,1)+IF('Adjustment Surface'!$O12="",-1,1)),$AN$4:$AN$23,0),MATCH(INDEX('Adjustment Surface'!$AO$3:$BH$3,1,MATCH(('Adjustment Surface'!W$3),'Adjustment Surface'!$AO$3:$BH$3,1)+IF('Adjustment Surface'!X$3="",-1,1)),$AO$3:$BH$3,0))*('Adjustment Surface'!$O11-INDEX('Adjustment Surface'!$AN$4:$AN$23,MATCH(('Adjustment Surface'!$O11),'Adjustment Surface'!$AN$4:$AN$23,1)))*('Adjustment Surface'!W$3-INDEX('Adjustment Surface'!$AO$3:$BH$3,1,MATCH(('Adjustment Surface'!W$3),'Adjustment Surface'!$AO$3:$BH$3,1)))))</f>
        <v>18.509592539822496</v>
      </c>
      <c r="X11" s="181" cm="1">
        <f t="array" ref="X11">IF(OR(X$3="",$O11=""),"",1/((INDEX('Adjustment Surface'!$AN$4:$AN$23,MATCH(('Adjustment Surface'!$O11),'Adjustment Surface'!$AN$4:$AN$23,1)+IF('Adjustment Surface'!$O12="",-1,1))-INDEX('Adjustment Surface'!$AN$4:$AN$23,MATCH(('Adjustment Surface'!$O11),'Adjustment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Surface'!$O11),'Adjustment Surface'!$AN$4:$AN$23,1)),$AN$4:$AN$23,0),MATCH(INDEX('Adjustment Surface'!$AO$3:$BH$3,1,MATCH(('Adjustment Surface'!X$3),'Adjustment Surface'!$AO$3:$BH$3,1)),$AO$3:$BH$3,0))*(INDEX('Adjustment Surface'!$AN$4:$AN$23,MATCH(('Adjustment Surface'!$O11),'Adjustment Surface'!$AN$4:$AN$23,1)+IF('Adjustment Surface'!$O12="",-1,1))-'Adjustment Surface'!$O11)*(INDEX('Adjustment Surface'!$AO$3:$BH$3,1,MATCH(('Adjustment Surface'!X$3),'Adjustment Surface'!$AO$3:$BH$3,1)+IF('Adjustment Surface'!Y$3="",-1,1))-'Adjustment Surface'!X$3)+INDEX($AO$4:$BH$23,MATCH(INDEX('Adjustment Surface'!$AN$4:$AN$23,MATCH(('Adjustment Surface'!$O11),'Adjustment Surface'!$AN$4:$AN$23,1)+IF('Adjustment Surface'!$O12="",-1,1)),$AN$4:$AN$23,0),MATCH(INDEX('Adjustment Surface'!$AO$3:$BH$3,1,MATCH(('Adjustment Surface'!X$3),'Adjustment Surface'!$AO$3:$BH$3,1)),$AO$3:$BH$3,0))*('Adjustment Surface'!$O11-INDEX('Adjustment Surface'!$AN$4:$AN$23,MATCH(('Adjustment Surface'!$O11),'Adjustment Surface'!$AN$4:$AN$23,1)))*(INDEX('Adjustment Surface'!$AO$3:$BH$3,1,MATCH(('Adjustment Surface'!X$3),'Adjustment Surface'!$AO$3:$BH$3,1)+IF('Adjustment Surface'!Y$3="",-1,1))-'Adjustment Surface'!X$3)+INDEX($AO$4:$BH$23,MATCH(INDEX('Adjustment Surface'!$AN$4:$AN$23,MATCH(('Adjustment Surface'!$O11),'Adjustment Surface'!$AN$4:$AN$23,1)),$AN$4:$AN$23,0),MATCH(INDEX('Adjustment Surface'!$AO$3:$BH$3,1,MATCH(('Adjustment Surface'!X$3),'Adjustment Surface'!$AO$3:$BH$3,1)+IF('Adjustment Surface'!Y$3="",-1,1)),$AO$3:$BH$3,0))*(INDEX('Adjustment Surface'!$AN$4:$AN$23,MATCH(('Adjustment Surface'!$O11),'Adjustment Surface'!$AN$4:$AN$23,1)+IF('Adjustment Surface'!$O12="",-1,1))-'Adjustment Surface'!$O11)*('Adjustment Surface'!X$3-INDEX('Adjustment Surface'!$AO$3:$BH$3,1,MATCH(('Adjustment Surface'!X$3),'Adjustment Surface'!$AO$3:$BH$3,1)))+INDEX($AO$4:$BH$23,MATCH(INDEX('Adjustment Surface'!$AN$4:$AN$23,MATCH(('Adjustment Surface'!$O11),'Adjustment Surface'!$AN$4:$AN$23,1)+IF('Adjustment Surface'!$O12="",-1,1)),$AN$4:$AN$23,0),MATCH(INDEX('Adjustment Surface'!$AO$3:$BH$3,1,MATCH(('Adjustment Surface'!X$3),'Adjustment Surface'!$AO$3:$BH$3,1)+IF('Adjustment Surface'!Y$3="",-1,1)),$AO$3:$BH$3,0))*('Adjustment Surface'!$O11-INDEX('Adjustment Surface'!$AN$4:$AN$23,MATCH(('Adjustment Surface'!$O11),'Adjustment Surface'!$AN$4:$AN$23,1)))*('Adjustment Surface'!X$3-INDEX('Adjustment Surface'!$AO$3:$BH$3,1,MATCH(('Adjustment Surface'!X$3),'Adjustment Surface'!$AO$3:$BH$3,1)))))</f>
        <v>13.363805779475497</v>
      </c>
      <c r="Y11" s="181" t="str" cm="1">
        <f t="array" ref="Y11">IF(OR(Y$3="",$O11=""),"",1/((INDEX('Adjustment Surface'!$AN$4:$AN$23,MATCH(('Adjustment Surface'!$O11),'Adjustment Surface'!$AN$4:$AN$23,1)+IF('Adjustment Surface'!$O12="",-1,1))-INDEX('Adjustment Surface'!$AN$4:$AN$23,MATCH(('Adjustment Surface'!$O11),'Adjustment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Surface'!$O11),'Adjustment Surface'!$AN$4:$AN$23,1)),$AN$4:$AN$23,0),MATCH(INDEX('Adjustment Surface'!$AO$3:$BH$3,1,MATCH(('Adjustment Surface'!Y$3),'Adjustment Surface'!$AO$3:$BH$3,1)),$AO$3:$BH$3,0))*(INDEX('Adjustment Surface'!$AN$4:$AN$23,MATCH(('Adjustment Surface'!$O11),'Adjustment Surface'!$AN$4:$AN$23,1)+IF('Adjustment Surface'!$O12="",-1,1))-'Adjustment Surface'!$O11)*(INDEX('Adjustment Surface'!$AO$3:$BH$3,1,MATCH(('Adjustment Surface'!Y$3),'Adjustment Surface'!$AO$3:$BH$3,1)+IF('Adjustment Surface'!Z$3="",-1,1))-'Adjustment Surface'!Y$3)+INDEX($AO$4:$BH$23,MATCH(INDEX('Adjustment Surface'!$AN$4:$AN$23,MATCH(('Adjustment Surface'!$O11),'Adjustment Surface'!$AN$4:$AN$23,1)+IF('Adjustment Surface'!$O12="",-1,1)),$AN$4:$AN$23,0),MATCH(INDEX('Adjustment Surface'!$AO$3:$BH$3,1,MATCH(('Adjustment Surface'!Y$3),'Adjustment Surface'!$AO$3:$BH$3,1)),$AO$3:$BH$3,0))*('Adjustment Surface'!$O11-INDEX('Adjustment Surface'!$AN$4:$AN$23,MATCH(('Adjustment Surface'!$O11),'Adjustment Surface'!$AN$4:$AN$23,1)))*(INDEX('Adjustment Surface'!$AO$3:$BH$3,1,MATCH(('Adjustment Surface'!Y$3),'Adjustment Surface'!$AO$3:$BH$3,1)+IF('Adjustment Surface'!Z$3="",-1,1))-'Adjustment Surface'!Y$3)+INDEX($AO$4:$BH$23,MATCH(INDEX('Adjustment Surface'!$AN$4:$AN$23,MATCH(('Adjustment Surface'!$O11),'Adjustment Surface'!$AN$4:$AN$23,1)),$AN$4:$AN$23,0),MATCH(INDEX('Adjustment Surface'!$AO$3:$BH$3,1,MATCH(('Adjustment Surface'!Y$3),'Adjustment Surface'!$AO$3:$BH$3,1)+IF('Adjustment Surface'!Z$3="",-1,1)),$AO$3:$BH$3,0))*(INDEX('Adjustment Surface'!$AN$4:$AN$23,MATCH(('Adjustment Surface'!$O11),'Adjustment Surface'!$AN$4:$AN$23,1)+IF('Adjustment Surface'!$O12="",-1,1))-'Adjustment Surface'!$O11)*('Adjustment Surface'!Y$3-INDEX('Adjustment Surface'!$AO$3:$BH$3,1,MATCH(('Adjustment Surface'!Y$3),'Adjustment Surface'!$AO$3:$BH$3,1)))+INDEX($AO$4:$BH$23,MATCH(INDEX('Adjustment Surface'!$AN$4:$AN$23,MATCH(('Adjustment Surface'!$O11),'Adjustment Surface'!$AN$4:$AN$23,1)+IF('Adjustment Surface'!$O12="",-1,1)),$AN$4:$AN$23,0),MATCH(INDEX('Adjustment Surface'!$AO$3:$BH$3,1,MATCH(('Adjustment Surface'!Y$3),'Adjustment Surface'!$AO$3:$BH$3,1)+IF('Adjustment Surface'!Z$3="",-1,1)),$AO$3:$BH$3,0))*('Adjustment Surface'!$O11-INDEX('Adjustment Surface'!$AN$4:$AN$23,MATCH(('Adjustment Surface'!$O11),'Adjustment Surface'!$AN$4:$AN$23,1)))*('Adjustment Surface'!Y$3-INDEX('Adjustment Surface'!$AO$3:$BH$3,1,MATCH(('Adjustment Surface'!Y$3),'Adjustment Surface'!$AO$3:$BH$3,1)))))</f>
        <v/>
      </c>
      <c r="Z11" s="181" t="str" cm="1">
        <f t="array" ref="Z11">IF(OR(Z$3="",$O11=""),"",1/((INDEX('Adjustment Surface'!$AN$4:$AN$23,MATCH(('Adjustment Surface'!$O11),'Adjustment Surface'!$AN$4:$AN$23,1)+IF('Adjustment Surface'!$O12="",-1,1))-INDEX('Adjustment Surface'!$AN$4:$AN$23,MATCH(('Adjustment Surface'!$O11),'Adjustment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Surface'!$O11),'Adjustment Surface'!$AN$4:$AN$23,1)),$AN$4:$AN$23,0),MATCH(INDEX('Adjustment Surface'!$AO$3:$BH$3,1,MATCH(('Adjustment Surface'!Z$3),'Adjustment Surface'!$AO$3:$BH$3,1)),$AO$3:$BH$3,0))*(INDEX('Adjustment Surface'!$AN$4:$AN$23,MATCH(('Adjustment Surface'!$O11),'Adjustment Surface'!$AN$4:$AN$23,1)+IF('Adjustment Surface'!$O12="",-1,1))-'Adjustment Surface'!$O11)*(INDEX('Adjustment Surface'!$AO$3:$BH$3,1,MATCH(('Adjustment Surface'!Z$3),'Adjustment Surface'!$AO$3:$BH$3,1)+IF('Adjustment Surface'!AA$3="",-1,1))-'Adjustment Surface'!Z$3)+INDEX($AO$4:$BH$23,MATCH(INDEX('Adjustment Surface'!$AN$4:$AN$23,MATCH(('Adjustment Surface'!$O11),'Adjustment Surface'!$AN$4:$AN$23,1)+IF('Adjustment Surface'!$O12="",-1,1)),$AN$4:$AN$23,0),MATCH(INDEX('Adjustment Surface'!$AO$3:$BH$3,1,MATCH(('Adjustment Surface'!Z$3),'Adjustment Surface'!$AO$3:$BH$3,1)),$AO$3:$BH$3,0))*('Adjustment Surface'!$O11-INDEX('Adjustment Surface'!$AN$4:$AN$23,MATCH(('Adjustment Surface'!$O11),'Adjustment Surface'!$AN$4:$AN$23,1)))*(INDEX('Adjustment Surface'!$AO$3:$BH$3,1,MATCH(('Adjustment Surface'!Z$3),'Adjustment Surface'!$AO$3:$BH$3,1)+IF('Adjustment Surface'!AA$3="",-1,1))-'Adjustment Surface'!Z$3)+INDEX($AO$4:$BH$23,MATCH(INDEX('Adjustment Surface'!$AN$4:$AN$23,MATCH(('Adjustment Surface'!$O11),'Adjustment Surface'!$AN$4:$AN$23,1)),$AN$4:$AN$23,0),MATCH(INDEX('Adjustment Surface'!$AO$3:$BH$3,1,MATCH(('Adjustment Surface'!Z$3),'Adjustment Surface'!$AO$3:$BH$3,1)+IF('Adjustment Surface'!AA$3="",-1,1)),$AO$3:$BH$3,0))*(INDEX('Adjustment Surface'!$AN$4:$AN$23,MATCH(('Adjustment Surface'!$O11),'Adjustment Surface'!$AN$4:$AN$23,1)+IF('Adjustment Surface'!$O12="",-1,1))-'Adjustment Surface'!$O11)*('Adjustment Surface'!Z$3-INDEX('Adjustment Surface'!$AO$3:$BH$3,1,MATCH(('Adjustment Surface'!Z$3),'Adjustment Surface'!$AO$3:$BH$3,1)))+INDEX($AO$4:$BH$23,MATCH(INDEX('Adjustment Surface'!$AN$4:$AN$23,MATCH(('Adjustment Surface'!$O11),'Adjustment Surface'!$AN$4:$AN$23,1)+IF('Adjustment Surface'!$O12="",-1,1)),$AN$4:$AN$23,0),MATCH(INDEX('Adjustment Surface'!$AO$3:$BH$3,1,MATCH(('Adjustment Surface'!Z$3),'Adjustment Surface'!$AO$3:$BH$3,1)+IF('Adjustment Surface'!AA$3="",-1,1)),$AO$3:$BH$3,0))*('Adjustment Surface'!$O11-INDEX('Adjustment Surface'!$AN$4:$AN$23,MATCH(('Adjustment Surface'!$O11),'Adjustment Surface'!$AN$4:$AN$23,1)))*('Adjustment Surface'!Z$3-INDEX('Adjustment Surface'!$AO$3:$BH$3,1,MATCH(('Adjustment Surface'!Z$3),'Adjustment Surface'!$AO$3:$BH$3,1)))))</f>
        <v/>
      </c>
      <c r="AA11" s="181" t="str" cm="1">
        <f t="array" ref="AA11">IF(OR(AA$3="",$O11=""),"",1/((INDEX('Adjustment Surface'!$AN$4:$AN$23,MATCH(('Adjustment Surface'!$O11),'Adjustment Surface'!$AN$4:$AN$23,1)+IF('Adjustment Surface'!$O12="",-1,1))-INDEX('Adjustment Surface'!$AN$4:$AN$23,MATCH(('Adjustment Surface'!$O11),'Adjustment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Surface'!$O11),'Adjustment Surface'!$AN$4:$AN$23,1)),$AN$4:$AN$23,0),MATCH(INDEX('Adjustment Surface'!$AO$3:$BH$3,1,MATCH(('Adjustment Surface'!AA$3),'Adjustment Surface'!$AO$3:$BH$3,1)),$AO$3:$BH$3,0))*(INDEX('Adjustment Surface'!$AN$4:$AN$23,MATCH(('Adjustment Surface'!$O11),'Adjustment Surface'!$AN$4:$AN$23,1)+IF('Adjustment Surface'!$O12="",-1,1))-'Adjustment Surface'!$O11)*(INDEX('Adjustment Surface'!$AO$3:$BH$3,1,MATCH(('Adjustment Surface'!AA$3),'Adjustment Surface'!$AO$3:$BH$3,1)+IF('Adjustment Surface'!AB$3="",-1,1))-'Adjustment Surface'!AA$3)+INDEX($AO$4:$BH$23,MATCH(INDEX('Adjustment Surface'!$AN$4:$AN$23,MATCH(('Adjustment Surface'!$O11),'Adjustment Surface'!$AN$4:$AN$23,1)+IF('Adjustment Surface'!$O12="",-1,1)),$AN$4:$AN$23,0),MATCH(INDEX('Adjustment Surface'!$AO$3:$BH$3,1,MATCH(('Adjustment Surface'!AA$3),'Adjustment Surface'!$AO$3:$BH$3,1)),$AO$3:$BH$3,0))*('Adjustment Surface'!$O11-INDEX('Adjustment Surface'!$AN$4:$AN$23,MATCH(('Adjustment Surface'!$O11),'Adjustment Surface'!$AN$4:$AN$23,1)))*(INDEX('Adjustment Surface'!$AO$3:$BH$3,1,MATCH(('Adjustment Surface'!AA$3),'Adjustment Surface'!$AO$3:$BH$3,1)+IF('Adjustment Surface'!AB$3="",-1,1))-'Adjustment Surface'!AA$3)+INDEX($AO$4:$BH$23,MATCH(INDEX('Adjustment Surface'!$AN$4:$AN$23,MATCH(('Adjustment Surface'!$O11),'Adjustment Surface'!$AN$4:$AN$23,1)),$AN$4:$AN$23,0),MATCH(INDEX('Adjustment Surface'!$AO$3:$BH$3,1,MATCH(('Adjustment Surface'!AA$3),'Adjustment Surface'!$AO$3:$BH$3,1)+IF('Adjustment Surface'!AB$3="",-1,1)),$AO$3:$BH$3,0))*(INDEX('Adjustment Surface'!$AN$4:$AN$23,MATCH(('Adjustment Surface'!$O11),'Adjustment Surface'!$AN$4:$AN$23,1)+IF('Adjustment Surface'!$O12="",-1,1))-'Adjustment Surface'!$O11)*('Adjustment Surface'!AA$3-INDEX('Adjustment Surface'!$AO$3:$BH$3,1,MATCH(('Adjustment Surface'!AA$3),'Adjustment Surface'!$AO$3:$BH$3,1)))+INDEX($AO$4:$BH$23,MATCH(INDEX('Adjustment Surface'!$AN$4:$AN$23,MATCH(('Adjustment Surface'!$O11),'Adjustment Surface'!$AN$4:$AN$23,1)+IF('Adjustment Surface'!$O12="",-1,1)),$AN$4:$AN$23,0),MATCH(INDEX('Adjustment Surface'!$AO$3:$BH$3,1,MATCH(('Adjustment Surface'!AA$3),'Adjustment Surface'!$AO$3:$BH$3,1)+IF('Adjustment Surface'!AB$3="",-1,1)),$AO$3:$BH$3,0))*('Adjustment Surface'!$O11-INDEX('Adjustment Surface'!$AN$4:$AN$23,MATCH(('Adjustment Surface'!$O11),'Adjustment Surface'!$AN$4:$AN$23,1)))*('Adjustment Surface'!AA$3-INDEX('Adjustment Surface'!$AO$3:$BH$3,1,MATCH(('Adjustment Surface'!AA$3),'Adjustment Surface'!$AO$3:$BH$3,1)))))</f>
        <v/>
      </c>
      <c r="AB11" s="181" t="str" cm="1">
        <f t="array" ref="AB11">IF(OR(AB$3="",$O11=""),"",1/((INDEX('Adjustment Surface'!$AN$4:$AN$23,MATCH(('Adjustment Surface'!$O11),'Adjustment Surface'!$AN$4:$AN$23,1)+IF('Adjustment Surface'!$O12="",-1,1))-INDEX('Adjustment Surface'!$AN$4:$AN$23,MATCH(('Adjustment Surface'!$O11),'Adjustment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Surface'!$O11),'Adjustment Surface'!$AN$4:$AN$23,1)),$AN$4:$AN$23,0),MATCH(INDEX('Adjustment Surface'!$AO$3:$BH$3,1,MATCH(('Adjustment Surface'!AB$3),'Adjustment Surface'!$AO$3:$BH$3,1)),$AO$3:$BH$3,0))*(INDEX('Adjustment Surface'!$AN$4:$AN$23,MATCH(('Adjustment Surface'!$O11),'Adjustment Surface'!$AN$4:$AN$23,1)+IF('Adjustment Surface'!$O12="",-1,1))-'Adjustment Surface'!$O11)*(INDEX('Adjustment Surface'!$AO$3:$BH$3,1,MATCH(('Adjustment Surface'!AB$3),'Adjustment Surface'!$AO$3:$BH$3,1)+IF('Adjustment Surface'!AC$3="",-1,1))-'Adjustment Surface'!AB$3)+INDEX($AO$4:$BH$23,MATCH(INDEX('Adjustment Surface'!$AN$4:$AN$23,MATCH(('Adjustment Surface'!$O11),'Adjustment Surface'!$AN$4:$AN$23,1)+IF('Adjustment Surface'!$O12="",-1,1)),$AN$4:$AN$23,0),MATCH(INDEX('Adjustment Surface'!$AO$3:$BH$3,1,MATCH(('Adjustment Surface'!AB$3),'Adjustment Surface'!$AO$3:$BH$3,1)),$AO$3:$BH$3,0))*('Adjustment Surface'!$O11-INDEX('Adjustment Surface'!$AN$4:$AN$23,MATCH(('Adjustment Surface'!$O11),'Adjustment Surface'!$AN$4:$AN$23,1)))*(INDEX('Adjustment Surface'!$AO$3:$BH$3,1,MATCH(('Adjustment Surface'!AB$3),'Adjustment Surface'!$AO$3:$BH$3,1)+IF('Adjustment Surface'!AC$3="",-1,1))-'Adjustment Surface'!AB$3)+INDEX($AO$4:$BH$23,MATCH(INDEX('Adjustment Surface'!$AN$4:$AN$23,MATCH(('Adjustment Surface'!$O11),'Adjustment Surface'!$AN$4:$AN$23,1)),$AN$4:$AN$23,0),MATCH(INDEX('Adjustment Surface'!$AO$3:$BH$3,1,MATCH(('Adjustment Surface'!AB$3),'Adjustment Surface'!$AO$3:$BH$3,1)+IF('Adjustment Surface'!AC$3="",-1,1)),$AO$3:$BH$3,0))*(INDEX('Adjustment Surface'!$AN$4:$AN$23,MATCH(('Adjustment Surface'!$O11),'Adjustment Surface'!$AN$4:$AN$23,1)+IF('Adjustment Surface'!$O12="",-1,1))-'Adjustment Surface'!$O11)*('Adjustment Surface'!AB$3-INDEX('Adjustment Surface'!$AO$3:$BH$3,1,MATCH(('Adjustment Surface'!AB$3),'Adjustment Surface'!$AO$3:$BH$3,1)))+INDEX($AO$4:$BH$23,MATCH(INDEX('Adjustment Surface'!$AN$4:$AN$23,MATCH(('Adjustment Surface'!$O11),'Adjustment Surface'!$AN$4:$AN$23,1)+IF('Adjustment Surface'!$O12="",-1,1)),$AN$4:$AN$23,0),MATCH(INDEX('Adjustment Surface'!$AO$3:$BH$3,1,MATCH(('Adjustment Surface'!AB$3),'Adjustment Surface'!$AO$3:$BH$3,1)+IF('Adjustment Surface'!AC$3="",-1,1)),$AO$3:$BH$3,0))*('Adjustment Surface'!$O11-INDEX('Adjustment Surface'!$AN$4:$AN$23,MATCH(('Adjustment Surface'!$O11),'Adjustment Surface'!$AN$4:$AN$23,1)))*('Adjustment Surface'!AB$3-INDEX('Adjustment Surface'!$AO$3:$BH$3,1,MATCH(('Adjustment Surface'!AB$3),'Adjustment Surface'!$AO$3:$BH$3,1)))))</f>
        <v/>
      </c>
      <c r="AC11" s="181" t="str" cm="1">
        <f t="array" ref="AC11">IF(OR(AC$3="",$O11=""),"",1/((INDEX('Adjustment Surface'!$AN$4:$AN$23,MATCH(('Adjustment Surface'!$O11),'Adjustment Surface'!$AN$4:$AN$23,1)+IF('Adjustment Surface'!$O12="",-1,1))-INDEX('Adjustment Surface'!$AN$4:$AN$23,MATCH(('Adjustment Surface'!$O11),'Adjustment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Surface'!$O11),'Adjustment Surface'!$AN$4:$AN$23,1)),$AN$4:$AN$23,0),MATCH(INDEX('Adjustment Surface'!$AO$3:$BH$3,1,MATCH(('Adjustment Surface'!AC$3),'Adjustment Surface'!$AO$3:$BH$3,1)),$AO$3:$BH$3,0))*(INDEX('Adjustment Surface'!$AN$4:$AN$23,MATCH(('Adjustment Surface'!$O11),'Adjustment Surface'!$AN$4:$AN$23,1)+IF('Adjustment Surface'!$O12="",-1,1))-'Adjustment Surface'!$O11)*(INDEX('Adjustment Surface'!$AO$3:$BH$3,1,MATCH(('Adjustment Surface'!AC$3),'Adjustment Surface'!$AO$3:$BH$3,1)+IF('Adjustment Surface'!AD$3="",-1,1))-'Adjustment Surface'!AC$3)+INDEX($AO$4:$BH$23,MATCH(INDEX('Adjustment Surface'!$AN$4:$AN$23,MATCH(('Adjustment Surface'!$O11),'Adjustment Surface'!$AN$4:$AN$23,1)+IF('Adjustment Surface'!$O12="",-1,1)),$AN$4:$AN$23,0),MATCH(INDEX('Adjustment Surface'!$AO$3:$BH$3,1,MATCH(('Adjustment Surface'!AC$3),'Adjustment Surface'!$AO$3:$BH$3,1)),$AO$3:$BH$3,0))*('Adjustment Surface'!$O11-INDEX('Adjustment Surface'!$AN$4:$AN$23,MATCH(('Adjustment Surface'!$O11),'Adjustment Surface'!$AN$4:$AN$23,1)))*(INDEX('Adjustment Surface'!$AO$3:$BH$3,1,MATCH(('Adjustment Surface'!AC$3),'Adjustment Surface'!$AO$3:$BH$3,1)+IF('Adjustment Surface'!AD$3="",-1,1))-'Adjustment Surface'!AC$3)+INDEX($AO$4:$BH$23,MATCH(INDEX('Adjustment Surface'!$AN$4:$AN$23,MATCH(('Adjustment Surface'!$O11),'Adjustment Surface'!$AN$4:$AN$23,1)),$AN$4:$AN$23,0),MATCH(INDEX('Adjustment Surface'!$AO$3:$BH$3,1,MATCH(('Adjustment Surface'!AC$3),'Adjustment Surface'!$AO$3:$BH$3,1)+IF('Adjustment Surface'!AD$3="",-1,1)),$AO$3:$BH$3,0))*(INDEX('Adjustment Surface'!$AN$4:$AN$23,MATCH(('Adjustment Surface'!$O11),'Adjustment Surface'!$AN$4:$AN$23,1)+IF('Adjustment Surface'!$O12="",-1,1))-'Adjustment Surface'!$O11)*('Adjustment Surface'!AC$3-INDEX('Adjustment Surface'!$AO$3:$BH$3,1,MATCH(('Adjustment Surface'!AC$3),'Adjustment Surface'!$AO$3:$BH$3,1)))+INDEX($AO$4:$BH$23,MATCH(INDEX('Adjustment Surface'!$AN$4:$AN$23,MATCH(('Adjustment Surface'!$O11),'Adjustment Surface'!$AN$4:$AN$23,1)+IF('Adjustment Surface'!$O12="",-1,1)),$AN$4:$AN$23,0),MATCH(INDEX('Adjustment Surface'!$AO$3:$BH$3,1,MATCH(('Adjustment Surface'!AC$3),'Adjustment Surface'!$AO$3:$BH$3,1)+IF('Adjustment Surface'!AD$3="",-1,1)),$AO$3:$BH$3,0))*('Adjustment Surface'!$O11-INDEX('Adjustment Surface'!$AN$4:$AN$23,MATCH(('Adjustment Surface'!$O11),'Adjustment Surface'!$AN$4:$AN$23,1)))*('Adjustment Surface'!AC$3-INDEX('Adjustment Surface'!$AO$3:$BH$3,1,MATCH(('Adjustment Surface'!AC$3),'Adjustment Surface'!$AO$3:$BH$3,1)))))</f>
        <v/>
      </c>
      <c r="AD11" s="181" t="str" cm="1">
        <f t="array" ref="AD11">IF(OR(AD$3="",$O11=""),"",1/((INDEX('Adjustment Surface'!$AN$4:$AN$23,MATCH(('Adjustment Surface'!$O11),'Adjustment Surface'!$AN$4:$AN$23,1)+IF('Adjustment Surface'!$O12="",-1,1))-INDEX('Adjustment Surface'!$AN$4:$AN$23,MATCH(('Adjustment Surface'!$O11),'Adjustment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Surface'!$O11),'Adjustment Surface'!$AN$4:$AN$23,1)),$AN$4:$AN$23,0),MATCH(INDEX('Adjustment Surface'!$AO$3:$BH$3,1,MATCH(('Adjustment Surface'!AD$3),'Adjustment Surface'!$AO$3:$BH$3,1)),$AO$3:$BH$3,0))*(INDEX('Adjustment Surface'!$AN$4:$AN$23,MATCH(('Adjustment Surface'!$O11),'Adjustment Surface'!$AN$4:$AN$23,1)+IF('Adjustment Surface'!$O12="",-1,1))-'Adjustment Surface'!$O11)*(INDEX('Adjustment Surface'!$AO$3:$BH$3,1,MATCH(('Adjustment Surface'!AD$3),'Adjustment Surface'!$AO$3:$BH$3,1)+IF('Adjustment Surface'!AE$3="",-1,1))-'Adjustment Surface'!AD$3)+INDEX($AO$4:$BH$23,MATCH(INDEX('Adjustment Surface'!$AN$4:$AN$23,MATCH(('Adjustment Surface'!$O11),'Adjustment Surface'!$AN$4:$AN$23,1)+IF('Adjustment Surface'!$O12="",-1,1)),$AN$4:$AN$23,0),MATCH(INDEX('Adjustment Surface'!$AO$3:$BH$3,1,MATCH(('Adjustment Surface'!AD$3),'Adjustment Surface'!$AO$3:$BH$3,1)),$AO$3:$BH$3,0))*('Adjustment Surface'!$O11-INDEX('Adjustment Surface'!$AN$4:$AN$23,MATCH(('Adjustment Surface'!$O11),'Adjustment Surface'!$AN$4:$AN$23,1)))*(INDEX('Adjustment Surface'!$AO$3:$BH$3,1,MATCH(('Adjustment Surface'!AD$3),'Adjustment Surface'!$AO$3:$BH$3,1)+IF('Adjustment Surface'!AE$3="",-1,1))-'Adjustment Surface'!AD$3)+INDEX($AO$4:$BH$23,MATCH(INDEX('Adjustment Surface'!$AN$4:$AN$23,MATCH(('Adjustment Surface'!$O11),'Adjustment Surface'!$AN$4:$AN$23,1)),$AN$4:$AN$23,0),MATCH(INDEX('Adjustment Surface'!$AO$3:$BH$3,1,MATCH(('Adjustment Surface'!AD$3),'Adjustment Surface'!$AO$3:$BH$3,1)+IF('Adjustment Surface'!AE$3="",-1,1)),$AO$3:$BH$3,0))*(INDEX('Adjustment Surface'!$AN$4:$AN$23,MATCH(('Adjustment Surface'!$O11),'Adjustment Surface'!$AN$4:$AN$23,1)+IF('Adjustment Surface'!$O12="",-1,1))-'Adjustment Surface'!$O11)*('Adjustment Surface'!AD$3-INDEX('Adjustment Surface'!$AO$3:$BH$3,1,MATCH(('Adjustment Surface'!AD$3),'Adjustment Surface'!$AO$3:$BH$3,1)))+INDEX($AO$4:$BH$23,MATCH(INDEX('Adjustment Surface'!$AN$4:$AN$23,MATCH(('Adjustment Surface'!$O11),'Adjustment Surface'!$AN$4:$AN$23,1)+IF('Adjustment Surface'!$O12="",-1,1)),$AN$4:$AN$23,0),MATCH(INDEX('Adjustment Surface'!$AO$3:$BH$3,1,MATCH(('Adjustment Surface'!AD$3),'Adjustment Surface'!$AO$3:$BH$3,1)+IF('Adjustment Surface'!AE$3="",-1,1)),$AO$3:$BH$3,0))*('Adjustment Surface'!$O11-INDEX('Adjustment Surface'!$AN$4:$AN$23,MATCH(('Adjustment Surface'!$O11),'Adjustment Surface'!$AN$4:$AN$23,1)))*('Adjustment Surface'!AD$3-INDEX('Adjustment Surface'!$AO$3:$BH$3,1,MATCH(('Adjustment Surface'!AD$3),'Adjustment Surface'!$AO$3:$BH$3,1)))))</f>
        <v/>
      </c>
      <c r="AE11" s="181" t="str" cm="1">
        <f t="array" ref="AE11">IF(OR(AE$3="",$O11=""),"",1/((INDEX('Adjustment Surface'!$AN$4:$AN$23,MATCH(('Adjustment Surface'!$O11),'Adjustment Surface'!$AN$4:$AN$23,1)+IF('Adjustment Surface'!$O12="",-1,1))-INDEX('Adjustment Surface'!$AN$4:$AN$23,MATCH(('Adjustment Surface'!$O11),'Adjustment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Surface'!$O11),'Adjustment Surface'!$AN$4:$AN$23,1)),$AN$4:$AN$23,0),MATCH(INDEX('Adjustment Surface'!$AO$3:$BH$3,1,MATCH(('Adjustment Surface'!AE$3),'Adjustment Surface'!$AO$3:$BH$3,1)),$AO$3:$BH$3,0))*(INDEX('Adjustment Surface'!$AN$4:$AN$23,MATCH(('Adjustment Surface'!$O11),'Adjustment Surface'!$AN$4:$AN$23,1)+IF('Adjustment Surface'!$O12="",-1,1))-'Adjustment Surface'!$O11)*(INDEX('Adjustment Surface'!$AO$3:$BH$3,1,MATCH(('Adjustment Surface'!AE$3),'Adjustment Surface'!$AO$3:$BH$3,1)+IF('Adjustment Surface'!AF$3="",-1,1))-'Adjustment Surface'!AE$3)+INDEX($AO$4:$BH$23,MATCH(INDEX('Adjustment Surface'!$AN$4:$AN$23,MATCH(('Adjustment Surface'!$O11),'Adjustment Surface'!$AN$4:$AN$23,1)+IF('Adjustment Surface'!$O12="",-1,1)),$AN$4:$AN$23,0),MATCH(INDEX('Adjustment Surface'!$AO$3:$BH$3,1,MATCH(('Adjustment Surface'!AE$3),'Adjustment Surface'!$AO$3:$BH$3,1)),$AO$3:$BH$3,0))*('Adjustment Surface'!$O11-INDEX('Adjustment Surface'!$AN$4:$AN$23,MATCH(('Adjustment Surface'!$O11),'Adjustment Surface'!$AN$4:$AN$23,1)))*(INDEX('Adjustment Surface'!$AO$3:$BH$3,1,MATCH(('Adjustment Surface'!AE$3),'Adjustment Surface'!$AO$3:$BH$3,1)+IF('Adjustment Surface'!AF$3="",-1,1))-'Adjustment Surface'!AE$3)+INDEX($AO$4:$BH$23,MATCH(INDEX('Adjustment Surface'!$AN$4:$AN$23,MATCH(('Adjustment Surface'!$O11),'Adjustment Surface'!$AN$4:$AN$23,1)),$AN$4:$AN$23,0),MATCH(INDEX('Adjustment Surface'!$AO$3:$BH$3,1,MATCH(('Adjustment Surface'!AE$3),'Adjustment Surface'!$AO$3:$BH$3,1)+IF('Adjustment Surface'!AF$3="",-1,1)),$AO$3:$BH$3,0))*(INDEX('Adjustment Surface'!$AN$4:$AN$23,MATCH(('Adjustment Surface'!$O11),'Adjustment Surface'!$AN$4:$AN$23,1)+IF('Adjustment Surface'!$O12="",-1,1))-'Adjustment Surface'!$O11)*('Adjustment Surface'!AE$3-INDEX('Adjustment Surface'!$AO$3:$BH$3,1,MATCH(('Adjustment Surface'!AE$3),'Adjustment Surface'!$AO$3:$BH$3,1)))+INDEX($AO$4:$BH$23,MATCH(INDEX('Adjustment Surface'!$AN$4:$AN$23,MATCH(('Adjustment Surface'!$O11),'Adjustment Surface'!$AN$4:$AN$23,1)+IF('Adjustment Surface'!$O12="",-1,1)),$AN$4:$AN$23,0),MATCH(INDEX('Adjustment Surface'!$AO$3:$BH$3,1,MATCH(('Adjustment Surface'!AE$3),'Adjustment Surface'!$AO$3:$BH$3,1)+IF('Adjustment Surface'!AF$3="",-1,1)),$AO$3:$BH$3,0))*('Adjustment Surface'!$O11-INDEX('Adjustment Surface'!$AN$4:$AN$23,MATCH(('Adjustment Surface'!$O11),'Adjustment Surface'!$AN$4:$AN$23,1)))*('Adjustment Surface'!AE$3-INDEX('Adjustment Surface'!$AO$3:$BH$3,1,MATCH(('Adjustment Surface'!AE$3),'Adjustment Surface'!$AO$3:$BH$3,1)))))</f>
        <v/>
      </c>
      <c r="AF11" s="181" t="str" cm="1">
        <f t="array" ref="AF11">IF(OR(AF$3="",$O11=""),"",1/((INDEX('Adjustment Surface'!$AN$4:$AN$23,MATCH(('Adjustment Surface'!$O11),'Adjustment Surface'!$AN$4:$AN$23,1)+IF('Adjustment Surface'!$O12="",-1,1))-INDEX('Adjustment Surface'!$AN$4:$AN$23,MATCH(('Adjustment Surface'!$O11),'Adjustment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Surface'!$O11),'Adjustment Surface'!$AN$4:$AN$23,1)),$AN$4:$AN$23,0),MATCH(INDEX('Adjustment Surface'!$AO$3:$BH$3,1,MATCH(('Adjustment Surface'!AF$3),'Adjustment Surface'!$AO$3:$BH$3,1)),$AO$3:$BH$3,0))*(INDEX('Adjustment Surface'!$AN$4:$AN$23,MATCH(('Adjustment Surface'!$O11),'Adjustment Surface'!$AN$4:$AN$23,1)+IF('Adjustment Surface'!$O12="",-1,1))-'Adjustment Surface'!$O11)*(INDEX('Adjustment Surface'!$AO$3:$BH$3,1,MATCH(('Adjustment Surface'!AF$3),'Adjustment Surface'!$AO$3:$BH$3,1)+IF('Adjustment Surface'!AG$3="",-1,1))-'Adjustment Surface'!AF$3)+INDEX($AO$4:$BH$23,MATCH(INDEX('Adjustment Surface'!$AN$4:$AN$23,MATCH(('Adjustment Surface'!$O11),'Adjustment Surface'!$AN$4:$AN$23,1)+IF('Adjustment Surface'!$O12="",-1,1)),$AN$4:$AN$23,0),MATCH(INDEX('Adjustment Surface'!$AO$3:$BH$3,1,MATCH(('Adjustment Surface'!AF$3),'Adjustment Surface'!$AO$3:$BH$3,1)),$AO$3:$BH$3,0))*('Adjustment Surface'!$O11-INDEX('Adjustment Surface'!$AN$4:$AN$23,MATCH(('Adjustment Surface'!$O11),'Adjustment Surface'!$AN$4:$AN$23,1)))*(INDEX('Adjustment Surface'!$AO$3:$BH$3,1,MATCH(('Adjustment Surface'!AF$3),'Adjustment Surface'!$AO$3:$BH$3,1)+IF('Adjustment Surface'!AG$3="",-1,1))-'Adjustment Surface'!AF$3)+INDEX($AO$4:$BH$23,MATCH(INDEX('Adjustment Surface'!$AN$4:$AN$23,MATCH(('Adjustment Surface'!$O11),'Adjustment Surface'!$AN$4:$AN$23,1)),$AN$4:$AN$23,0),MATCH(INDEX('Adjustment Surface'!$AO$3:$BH$3,1,MATCH(('Adjustment Surface'!AF$3),'Adjustment Surface'!$AO$3:$BH$3,1)+IF('Adjustment Surface'!AG$3="",-1,1)),$AO$3:$BH$3,0))*(INDEX('Adjustment Surface'!$AN$4:$AN$23,MATCH(('Adjustment Surface'!$O11),'Adjustment Surface'!$AN$4:$AN$23,1)+IF('Adjustment Surface'!$O12="",-1,1))-'Adjustment Surface'!$O11)*('Adjustment Surface'!AF$3-INDEX('Adjustment Surface'!$AO$3:$BH$3,1,MATCH(('Adjustment Surface'!AF$3),'Adjustment Surface'!$AO$3:$BH$3,1)))+INDEX($AO$4:$BH$23,MATCH(INDEX('Adjustment Surface'!$AN$4:$AN$23,MATCH(('Adjustment Surface'!$O11),'Adjustment Surface'!$AN$4:$AN$23,1)+IF('Adjustment Surface'!$O12="",-1,1)),$AN$4:$AN$23,0),MATCH(INDEX('Adjustment Surface'!$AO$3:$BH$3,1,MATCH(('Adjustment Surface'!AF$3),'Adjustment Surface'!$AO$3:$BH$3,1)+IF('Adjustment Surface'!AG$3="",-1,1)),$AO$3:$BH$3,0))*('Adjustment Surface'!$O11-INDEX('Adjustment Surface'!$AN$4:$AN$23,MATCH(('Adjustment Surface'!$O11),'Adjustment Surface'!$AN$4:$AN$23,1)))*('Adjustment Surface'!AF$3-INDEX('Adjustment Surface'!$AO$3:$BH$3,1,MATCH(('Adjustment Surface'!AF$3),'Adjustment Surface'!$AO$3:$BH$3,1)))))</f>
        <v/>
      </c>
      <c r="AG11" s="181" t="str" cm="1">
        <f t="array" ref="AG11">IF(OR(AG$3="",$O11=""),"",1/((INDEX('Adjustment Surface'!$AN$4:$AN$23,MATCH(('Adjustment Surface'!$O11),'Adjustment Surface'!$AN$4:$AN$23,1)+IF('Adjustment Surface'!$O12="",-1,1))-INDEX('Adjustment Surface'!$AN$4:$AN$23,MATCH(('Adjustment Surface'!$O11),'Adjustment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Surface'!$O11),'Adjustment Surface'!$AN$4:$AN$23,1)),$AN$4:$AN$23,0),MATCH(INDEX('Adjustment Surface'!$AO$3:$BH$3,1,MATCH(('Adjustment Surface'!AG$3),'Adjustment Surface'!$AO$3:$BH$3,1)),$AO$3:$BH$3,0))*(INDEX('Adjustment Surface'!$AN$4:$AN$23,MATCH(('Adjustment Surface'!$O11),'Adjustment Surface'!$AN$4:$AN$23,1)+IF('Adjustment Surface'!$O12="",-1,1))-'Adjustment Surface'!$O11)*(INDEX('Adjustment Surface'!$AO$3:$BH$3,1,MATCH(('Adjustment Surface'!AG$3),'Adjustment Surface'!$AO$3:$BH$3,1)+IF('Adjustment Surface'!AH$3="",-1,1))-'Adjustment Surface'!AG$3)+INDEX($AO$4:$BH$23,MATCH(INDEX('Adjustment Surface'!$AN$4:$AN$23,MATCH(('Adjustment Surface'!$O11),'Adjustment Surface'!$AN$4:$AN$23,1)+IF('Adjustment Surface'!$O12="",-1,1)),$AN$4:$AN$23,0),MATCH(INDEX('Adjustment Surface'!$AO$3:$BH$3,1,MATCH(('Adjustment Surface'!AG$3),'Adjustment Surface'!$AO$3:$BH$3,1)),$AO$3:$BH$3,0))*('Adjustment Surface'!$O11-INDEX('Adjustment Surface'!$AN$4:$AN$23,MATCH(('Adjustment Surface'!$O11),'Adjustment Surface'!$AN$4:$AN$23,1)))*(INDEX('Adjustment Surface'!$AO$3:$BH$3,1,MATCH(('Adjustment Surface'!AG$3),'Adjustment Surface'!$AO$3:$BH$3,1)+IF('Adjustment Surface'!AH$3="",-1,1))-'Adjustment Surface'!AG$3)+INDEX($AO$4:$BH$23,MATCH(INDEX('Adjustment Surface'!$AN$4:$AN$23,MATCH(('Adjustment Surface'!$O11),'Adjustment Surface'!$AN$4:$AN$23,1)),$AN$4:$AN$23,0),MATCH(INDEX('Adjustment Surface'!$AO$3:$BH$3,1,MATCH(('Adjustment Surface'!AG$3),'Adjustment Surface'!$AO$3:$BH$3,1)+IF('Adjustment Surface'!AH$3="",-1,1)),$AO$3:$BH$3,0))*(INDEX('Adjustment Surface'!$AN$4:$AN$23,MATCH(('Adjustment Surface'!$O11),'Adjustment Surface'!$AN$4:$AN$23,1)+IF('Adjustment Surface'!$O12="",-1,1))-'Adjustment Surface'!$O11)*('Adjustment Surface'!AG$3-INDEX('Adjustment Surface'!$AO$3:$BH$3,1,MATCH(('Adjustment Surface'!AG$3),'Adjustment Surface'!$AO$3:$BH$3,1)))+INDEX($AO$4:$BH$23,MATCH(INDEX('Adjustment Surface'!$AN$4:$AN$23,MATCH(('Adjustment Surface'!$O11),'Adjustment Surface'!$AN$4:$AN$23,1)+IF('Adjustment Surface'!$O12="",-1,1)),$AN$4:$AN$23,0),MATCH(INDEX('Adjustment Surface'!$AO$3:$BH$3,1,MATCH(('Adjustment Surface'!AG$3),'Adjustment Surface'!$AO$3:$BH$3,1)+IF('Adjustment Surface'!AH$3="",-1,1)),$AO$3:$BH$3,0))*('Adjustment Surface'!$O11-INDEX('Adjustment Surface'!$AN$4:$AN$23,MATCH(('Adjustment Surface'!$O11),'Adjustment Surface'!$AN$4:$AN$23,1)))*('Adjustment Surface'!AG$3-INDEX('Adjustment Surface'!$AO$3:$BH$3,1,MATCH(('Adjustment Surface'!AG$3),'Adjustment Surface'!$AO$3:$BH$3,1)))))</f>
        <v/>
      </c>
      <c r="AH11" s="181" t="str" cm="1">
        <f t="array" ref="AH11">IF(OR(AH$3="",$O11=""),"",1/((INDEX('Adjustment Surface'!$AN$4:$AN$23,MATCH(('Adjustment Surface'!$O11),'Adjustment Surface'!$AN$4:$AN$23,1)+IF('Adjustment Surface'!$O12="",-1,1))-INDEX('Adjustment Surface'!$AN$4:$AN$23,MATCH(('Adjustment Surface'!$O11),'Adjustment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Surface'!$O11),'Adjustment Surface'!$AN$4:$AN$23,1)),$AN$4:$AN$23,0),MATCH(INDEX('Adjustment Surface'!$AO$3:$BH$3,1,MATCH(('Adjustment Surface'!AH$3),'Adjustment Surface'!$AO$3:$BH$3,1)),$AO$3:$BH$3,0))*(INDEX('Adjustment Surface'!$AN$4:$AN$23,MATCH(('Adjustment Surface'!$O11),'Adjustment Surface'!$AN$4:$AN$23,1)+IF('Adjustment Surface'!$O12="",-1,1))-'Adjustment Surface'!$O11)*(INDEX('Adjustment Surface'!$AO$3:$BH$3,1,MATCH(('Adjustment Surface'!AH$3),'Adjustment Surface'!$AO$3:$BH$3,1)+IF('Adjustment Surface'!AI$3="",-1,1))-'Adjustment Surface'!AH$3)+INDEX($AO$4:$BH$23,MATCH(INDEX('Adjustment Surface'!$AN$4:$AN$23,MATCH(('Adjustment Surface'!$O11),'Adjustment Surface'!$AN$4:$AN$23,1)+IF('Adjustment Surface'!$O12="",-1,1)),$AN$4:$AN$23,0),MATCH(INDEX('Adjustment Surface'!$AO$3:$BH$3,1,MATCH(('Adjustment Surface'!AH$3),'Adjustment Surface'!$AO$3:$BH$3,1)),$AO$3:$BH$3,0))*('Adjustment Surface'!$O11-INDEX('Adjustment Surface'!$AN$4:$AN$23,MATCH(('Adjustment Surface'!$O11),'Adjustment Surface'!$AN$4:$AN$23,1)))*(INDEX('Adjustment Surface'!$AO$3:$BH$3,1,MATCH(('Adjustment Surface'!AH$3),'Adjustment Surface'!$AO$3:$BH$3,1)+IF('Adjustment Surface'!AI$3="",-1,1))-'Adjustment Surface'!AH$3)+INDEX($AO$4:$BH$23,MATCH(INDEX('Adjustment Surface'!$AN$4:$AN$23,MATCH(('Adjustment Surface'!$O11),'Adjustment Surface'!$AN$4:$AN$23,1)),$AN$4:$AN$23,0),MATCH(INDEX('Adjustment Surface'!$AO$3:$BH$3,1,MATCH(('Adjustment Surface'!AH$3),'Adjustment Surface'!$AO$3:$BH$3,1)+IF('Adjustment Surface'!AI$3="",-1,1)),$AO$3:$BH$3,0))*(INDEX('Adjustment Surface'!$AN$4:$AN$23,MATCH(('Adjustment Surface'!$O11),'Adjustment Surface'!$AN$4:$AN$23,1)+IF('Adjustment Surface'!$O12="",-1,1))-'Adjustment Surface'!$O11)*('Adjustment Surface'!AH$3-INDEX('Adjustment Surface'!$AO$3:$BH$3,1,MATCH(('Adjustment Surface'!AH$3),'Adjustment Surface'!$AO$3:$BH$3,1)))+INDEX($AO$4:$BH$23,MATCH(INDEX('Adjustment Surface'!$AN$4:$AN$23,MATCH(('Adjustment Surface'!$O11),'Adjustment Surface'!$AN$4:$AN$23,1)+IF('Adjustment Surface'!$O12="",-1,1)),$AN$4:$AN$23,0),MATCH(INDEX('Adjustment Surface'!$AO$3:$BH$3,1,MATCH(('Adjustment Surface'!AH$3),'Adjustment Surface'!$AO$3:$BH$3,1)+IF('Adjustment Surface'!AI$3="",-1,1)),$AO$3:$BH$3,0))*('Adjustment Surface'!$O11-INDEX('Adjustment Surface'!$AN$4:$AN$23,MATCH(('Adjustment Surface'!$O11),'Adjustment Surface'!$AN$4:$AN$23,1)))*('Adjustment Surface'!AH$3-INDEX('Adjustment Surface'!$AO$3:$BH$3,1,MATCH(('Adjustment Surface'!AH$3),'Adjustment Surface'!$AO$3:$BH$3,1)))))</f>
        <v/>
      </c>
      <c r="AI11" s="182" t="str" cm="1">
        <f t="array" ref="AI11">IF(OR(AI$3="",$O11=""),"",1/((INDEX('Adjustment Surface'!$AN$4:$AN$23,MATCH(('Adjustment Surface'!$O11),'Adjustment Surface'!$AN$4:$AN$23,1)+IF('Adjustment Surface'!$O12="",-1,1))-INDEX('Adjustment Surface'!$AN$4:$AN$23,MATCH(('Adjustment Surface'!$O11),'Adjustment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Surface'!$O11),'Adjustment Surface'!$AN$4:$AN$23,1)),$AN$4:$AN$23,0),MATCH(INDEX('Adjustment Surface'!$AO$3:$BH$3,1,MATCH(('Adjustment Surface'!AI$3),'Adjustment Surface'!$AO$3:$BH$3,1)),$AO$3:$BH$3,0))*(INDEX('Adjustment Surface'!$AN$4:$AN$23,MATCH(('Adjustment Surface'!$O11),'Adjustment Surface'!$AN$4:$AN$23,1)+IF('Adjustment Surface'!$O12="",-1,1))-'Adjustment Surface'!$O11)*(INDEX('Adjustment Surface'!$AO$3:$BH$3,1,MATCH(('Adjustment Surface'!AI$3),'Adjustment Surface'!$AO$3:$BH$3,1)+IF('Adjustment Surface'!AJ$3="",-1,1))-'Adjustment Surface'!AI$3)+INDEX($AO$4:$BH$23,MATCH(INDEX('Adjustment Surface'!$AN$4:$AN$23,MATCH(('Adjustment Surface'!$O11),'Adjustment Surface'!$AN$4:$AN$23,1)+IF('Adjustment Surface'!$O12="",-1,1)),$AN$4:$AN$23,0),MATCH(INDEX('Adjustment Surface'!$AO$3:$BH$3,1,MATCH(('Adjustment Surface'!AI$3),'Adjustment Surface'!$AO$3:$BH$3,1)),$AO$3:$BH$3,0))*('Adjustment Surface'!$O11-INDEX('Adjustment Surface'!$AN$4:$AN$23,MATCH(('Adjustment Surface'!$O11),'Adjustment Surface'!$AN$4:$AN$23,1)))*(INDEX('Adjustment Surface'!$AO$3:$BH$3,1,MATCH(('Adjustment Surface'!AI$3),'Adjustment Surface'!$AO$3:$BH$3,1)+IF('Adjustment Surface'!AJ$3="",-1,1))-'Adjustment Surface'!AI$3)+INDEX($AO$4:$BH$23,MATCH(INDEX('Adjustment Surface'!$AN$4:$AN$23,MATCH(('Adjustment Surface'!$O11),'Adjustment Surface'!$AN$4:$AN$23,1)),$AN$4:$AN$23,0),MATCH(INDEX('Adjustment Surface'!$AO$3:$BH$3,1,MATCH(('Adjustment Surface'!AI$3),'Adjustment Surface'!$AO$3:$BH$3,1)+IF('Adjustment Surface'!AJ$3="",-1,1)),$AO$3:$BH$3,0))*(INDEX('Adjustment Surface'!$AN$4:$AN$23,MATCH(('Adjustment Surface'!$O11),'Adjustment Surface'!$AN$4:$AN$23,1)+IF('Adjustment Surface'!$O12="",-1,1))-'Adjustment Surface'!$O11)*('Adjustment Surface'!AI$3-INDEX('Adjustment Surface'!$AO$3:$BH$3,1,MATCH(('Adjustment Surface'!AI$3),'Adjustment Surface'!$AO$3:$BH$3,1)))+INDEX($AO$4:$BH$23,MATCH(INDEX('Adjustment Surface'!$AN$4:$AN$23,MATCH(('Adjustment Surface'!$O11),'Adjustment Surface'!$AN$4:$AN$23,1)+IF('Adjustment Surface'!$O12="",-1,1)),$AN$4:$AN$23,0),MATCH(INDEX('Adjustment Surface'!$AO$3:$BH$3,1,MATCH(('Adjustment Surface'!AI$3),'Adjustment Surface'!$AO$3:$BH$3,1)+IF('Adjustment Surface'!AJ$3="",-1,1)),$AO$3:$BH$3,0))*('Adjustment Surface'!$O11-INDEX('Adjustment Surface'!$AN$4:$AN$23,MATCH(('Adjustment Surface'!$O11),'Adjustment Surface'!$AN$4:$AN$23,1)))*('Adjustment Surface'!AI$3-INDEX('Adjustment Surface'!$AO$3:$BH$3,1,MATCH(('Adjustment Surface'!AI$3),'Adjustment Surface'!$AO$3:$BH$3,1)))))</f>
        <v/>
      </c>
      <c r="AK11" s="203">
        <f>IF(OR(AK10=IF('Adjustment Surface'!$C$2='Data Validation'!$A$2,_xlfn.FLOOR.MATH(MAX('Bank Adjustments'!$C$4:$C$103),0.5%,2),IF('Adjustment Surface'!$C$2='Data Validation'!$A$3,_xlfn.FLOOR.MATH(MAX('Bank Adjustments'!$M$4:$M$103),0.5%,2),"Uknown Option Type")),AK10=""),"",AK10+0.5%)</f>
        <v>5.4999999999999993E-2</v>
      </c>
      <c r="AL11" s="204">
        <f>IF(OR(AL10=IF('Adjustment Surface'!$C$2='Data Validation'!$A$2,IF(EDATE('Rate &amp; Vol Update'!$C$2,_xlfn.FLOOR.MATH(DATEDIF('Rate &amp; Vol Update'!$C$2,MAX('Bank Adjustments'!$E$4:$E$103),"M"),3,2))&gt;MAX('Bank Adjustments'!$E$4:$E$103),EDATE('Rate &amp; Vol Update'!$C$2,_xlfn.FLOOR.MATH(DATEDIF('Rate &amp; Vol Update'!$C$2,MAX('Bank Adjustments'!$E$4:$E$103),"M")-3,3,2)),EDATE('Rate &amp; Vol Update'!$C$2,_xlfn.FLOOR.MATH(DATEDIF('Rate &amp; Vol Update'!$C$2,MAX('Bank Adjustments'!$E$4:$E$103),"M"),3,2))),IF('Adjustment Surface'!$C$2='Data Validation'!$A$3,IF(EDATE('Rate &amp; Vol Update'!$C$2,_xlfn.FLOOR.MATH(DATEDIF('Rate &amp; Vol Update'!$C$2,MAX('Bank Adjustments'!$O$4:$O$103),"M"),3,2))&gt;MAX('Bank Adjustments'!$O$4:$O$103),EDATE('Rate &amp; Vol Update'!$C$2,_xlfn.FLOOR.MATH(DATEDIF('Rate &amp; Vol Update'!$C$2,MAX('Bank Adjustments'!$O$4:$O$103),"M")-3,3,2)),EDATE('Rate &amp; Vol Update'!$C$2,_xlfn.FLOOR.MATH(DATEDIF('Rate &amp; Vol Update'!$C$2,MAX('Bank Adjustments'!$O$4:$O$103),"M"),3,2))),"Unkown Option Type")),AL10=""),"",EDATE(AL10,3))</f>
        <v>47068</v>
      </c>
      <c r="AN11" s="176"/>
      <c r="AO11" s="180" t="str" cm="1">
        <f t="array" ref="AO11">IF(OR(AO$3="",$AN11=""),"",INDEX(IF($C$2='Data Validation'!$A$2,'Bank Adjustments'!$H$4:$H$103,IF('Adjustment Surface'!$C$2='Data Validation'!$A$3,'Bank Adjustments'!$R$4:$R$103,"Unknown Option Type")),MATCH(1,($AN11=IF($C$2='Data Validation'!$A$2,'Bank Adjustments'!$C$4:$C$103,IF('Adjustment Surface'!$C$2='Data Validation'!$A$3,'Bank Adjustments'!$M$4:$M$103,"Unknown Option Type")))*(AO$3=IF($C$2='Data Validation'!$A$2,'Bank Adjustments'!$E$4:$E$103,IF('Adjustment Surface'!$C$2='Data Validation'!$A$3,'Bank Adjustments'!$O$4:$O$103,"Unknown Option Type"))),0)))</f>
        <v/>
      </c>
      <c r="AP11" s="181" t="str" cm="1">
        <f t="array" ref="AP11">IF(OR(AP$3="",$AN11=""),"",INDEX(IF($C$2='Data Validation'!$A$2,'Bank Adjustments'!$H$4:$H$103,IF('Adjustment Surface'!$C$2='Data Validation'!$A$3,'Bank Adjustments'!$R$4:$R$103,"Unknown Option Type")),MATCH(1,($AN11=IF($C$2='Data Validation'!$A$2,'Bank Adjustments'!$C$4:$C$103,IF('Adjustment Surface'!$C$2='Data Validation'!$A$3,'Bank Adjustments'!$M$4:$M$103,"Unknown Option Type")))*(AP$3=IF($C$2='Data Validation'!$A$2,'Bank Adjustments'!$E$4:$E$103,IF('Adjustment Surface'!$C$2='Data Validation'!$A$3,'Bank Adjustments'!$O$4:$O$103,"Unknown Option Type"))),0)))</f>
        <v/>
      </c>
      <c r="AQ11" s="181" t="str" cm="1">
        <f t="array" ref="AQ11">IF(OR(AQ$3="",$AN11=""),"",INDEX(IF($C$2='Data Validation'!$A$2,'Bank Adjustments'!$H$4:$H$103,IF('Adjustment Surface'!$C$2='Data Validation'!$A$3,'Bank Adjustments'!$R$4:$R$103,"Unknown Option Type")),MATCH(1,($AN11=IF($C$2='Data Validation'!$A$2,'Bank Adjustments'!$C$4:$C$103,IF('Adjustment Surface'!$C$2='Data Validation'!$A$3,'Bank Adjustments'!$M$4:$M$103,"Unknown Option Type")))*(AQ$3=IF($C$2='Data Validation'!$A$2,'Bank Adjustments'!$E$4:$E$103,IF('Adjustment Surface'!$C$2='Data Validation'!$A$3,'Bank Adjustments'!$O$4:$O$103,"Unknown Option Type"))),0)))</f>
        <v/>
      </c>
      <c r="AR11" s="181" t="str" cm="1">
        <f t="array" ref="AR11">IF(OR(AR$3="",$AN11=""),"",INDEX(IF($C$2='Data Validation'!$A$2,'Bank Adjustments'!$H$4:$H$103,IF('Adjustment Surface'!$C$2='Data Validation'!$A$3,'Bank Adjustments'!$R$4:$R$103,"Unknown Option Type")),MATCH(1,($AN11=IF($C$2='Data Validation'!$A$2,'Bank Adjustments'!$C$4:$C$103,IF('Adjustment Surface'!$C$2='Data Validation'!$A$3,'Bank Adjustments'!$M$4:$M$103,"Unknown Option Type")))*(AR$3=IF($C$2='Data Validation'!$A$2,'Bank Adjustments'!$E$4:$E$103,IF('Adjustment Surface'!$C$2='Data Validation'!$A$3,'Bank Adjustments'!$O$4:$O$103,"Unknown Option Type"))),0)))</f>
        <v/>
      </c>
      <c r="AS11" s="181" t="str" cm="1">
        <f t="array" ref="AS11">IF(OR(AS$3="",$AN11=""),"",INDEX(IF($C$2='Data Validation'!$A$2,'Bank Adjustments'!$H$4:$H$103,IF('Adjustment Surface'!$C$2='Data Validation'!$A$3,'Bank Adjustments'!$R$4:$R$103,"Unknown Option Type")),MATCH(1,($AN11=IF($C$2='Data Validation'!$A$2,'Bank Adjustments'!$C$4:$C$103,IF('Adjustment Surface'!$C$2='Data Validation'!$A$3,'Bank Adjustments'!$M$4:$M$103,"Unknown Option Type")))*(AS$3=IF($C$2='Data Validation'!$A$2,'Bank Adjustments'!$E$4:$E$103,IF('Adjustment Surface'!$C$2='Data Validation'!$A$3,'Bank Adjustments'!$O$4:$O$103,"Unknown Option Type"))),0)))</f>
        <v/>
      </c>
      <c r="AT11" s="181" t="str" cm="1">
        <f t="array" ref="AT11">IF(OR(AT$3="",$AN11=""),"",INDEX(IF($C$2='Data Validation'!$A$2,'Bank Adjustments'!$H$4:$H$103,IF('Adjustment Surface'!$C$2='Data Validation'!$A$3,'Bank Adjustments'!$R$4:$R$103,"Unknown Option Type")),MATCH(1,($AN11=IF($C$2='Data Validation'!$A$2,'Bank Adjustments'!$C$4:$C$103,IF('Adjustment Surface'!$C$2='Data Validation'!$A$3,'Bank Adjustments'!$M$4:$M$103,"Unknown Option Type")))*(AT$3=IF($C$2='Data Validation'!$A$2,'Bank Adjustments'!$E$4:$E$103,IF('Adjustment Surface'!$C$2='Data Validation'!$A$3,'Bank Adjustments'!$O$4:$O$103,"Unknown Option Type"))),0)))</f>
        <v/>
      </c>
      <c r="AU11" s="181" t="str" cm="1">
        <f t="array" ref="AU11">IF(OR(AU$3="",$AN11=""),"",INDEX(IF($C$2='Data Validation'!$A$2,'Bank Adjustments'!$H$4:$H$103,IF('Adjustment Surface'!$C$2='Data Validation'!$A$3,'Bank Adjustments'!$R$4:$R$103,"Unknown Option Type")),MATCH(1,($AN11=IF($C$2='Data Validation'!$A$2,'Bank Adjustments'!$C$4:$C$103,IF('Adjustment Surface'!$C$2='Data Validation'!$A$3,'Bank Adjustments'!$M$4:$M$103,"Unknown Option Type")))*(AU$3=IF($C$2='Data Validation'!$A$2,'Bank Adjustments'!$E$4:$E$103,IF('Adjustment Surface'!$C$2='Data Validation'!$A$3,'Bank Adjustments'!$O$4:$O$103,"Unknown Option Type"))),0)))</f>
        <v/>
      </c>
      <c r="AV11" s="181" t="str" cm="1">
        <f t="array" ref="AV11">IF(OR(AV$3="",$AN11=""),"",INDEX(IF($C$2='Data Validation'!$A$2,'Bank Adjustments'!$H$4:$H$103,IF('Adjustment Surface'!$C$2='Data Validation'!$A$3,'Bank Adjustments'!$R$4:$R$103,"Unknown Option Type")),MATCH(1,($AN11=IF($C$2='Data Validation'!$A$2,'Bank Adjustments'!$C$4:$C$103,IF('Adjustment Surface'!$C$2='Data Validation'!$A$3,'Bank Adjustments'!$M$4:$M$103,"Unknown Option Type")))*(AV$3=IF($C$2='Data Validation'!$A$2,'Bank Adjustments'!$E$4:$E$103,IF('Adjustment Surface'!$C$2='Data Validation'!$A$3,'Bank Adjustments'!$O$4:$O$103,"Unknown Option Type"))),0)))</f>
        <v/>
      </c>
      <c r="AW11" s="181" t="str" cm="1">
        <f t="array" ref="AW11">IF(OR(AW$3="",$AN11=""),"",INDEX(IF($C$2='Data Validation'!$A$2,'Bank Adjustments'!$H$4:$H$103,IF('Adjustment Surface'!$C$2='Data Validation'!$A$3,'Bank Adjustments'!$R$4:$R$103,"Unknown Option Type")),MATCH(1,($AN11=IF($C$2='Data Validation'!$A$2,'Bank Adjustments'!$C$4:$C$103,IF('Adjustment Surface'!$C$2='Data Validation'!$A$3,'Bank Adjustments'!$M$4:$M$103,"Unknown Option Type")))*(AW$3=IF($C$2='Data Validation'!$A$2,'Bank Adjustments'!$E$4:$E$103,IF('Adjustment Surface'!$C$2='Data Validation'!$A$3,'Bank Adjustments'!$O$4:$O$103,"Unknown Option Type"))),0)))</f>
        <v/>
      </c>
      <c r="AX11" s="181" t="str" cm="1">
        <f t="array" ref="AX11">IF(OR(AX$3="",$AN11=""),"",INDEX(IF($C$2='Data Validation'!$A$2,'Bank Adjustments'!$H$4:$H$103,IF('Adjustment Surface'!$C$2='Data Validation'!$A$3,'Bank Adjustments'!$R$4:$R$103,"Unknown Option Type")),MATCH(1,($AN11=IF($C$2='Data Validation'!$A$2,'Bank Adjustments'!$C$4:$C$103,IF('Adjustment Surface'!$C$2='Data Validation'!$A$3,'Bank Adjustments'!$M$4:$M$103,"Unknown Option Type")))*(AX$3=IF($C$2='Data Validation'!$A$2,'Bank Adjustments'!$E$4:$E$103,IF('Adjustment Surface'!$C$2='Data Validation'!$A$3,'Bank Adjustments'!$O$4:$O$103,"Unknown Option Type"))),0)))</f>
        <v/>
      </c>
      <c r="AY11" s="181" t="str" cm="1">
        <f t="array" ref="AY11">IF(OR(AY$3="",$AN11=""),"",INDEX(IF($C$2='Data Validation'!$A$2,'Bank Adjustments'!$H$4:$H$103,IF('Adjustment Surface'!$C$2='Data Validation'!$A$3,'Bank Adjustments'!$R$4:$R$103,"Unknown Option Type")),MATCH(1,($AN11=IF($C$2='Data Validation'!$A$2,'Bank Adjustments'!$C$4:$C$103,IF('Adjustment Surface'!$C$2='Data Validation'!$A$3,'Bank Adjustments'!$M$4:$M$103,"Unknown Option Type")))*(AY$3=IF($C$2='Data Validation'!$A$2,'Bank Adjustments'!$E$4:$E$103,IF('Adjustment Surface'!$C$2='Data Validation'!$A$3,'Bank Adjustments'!$O$4:$O$103,"Unknown Option Type"))),0)))</f>
        <v/>
      </c>
      <c r="AZ11" s="181" t="str" cm="1">
        <f t="array" ref="AZ11">IF(OR(AZ$3="",$AN11=""),"",INDEX(IF($C$2='Data Validation'!$A$2,'Bank Adjustments'!$H$4:$H$103,IF('Adjustment Surface'!$C$2='Data Validation'!$A$3,'Bank Adjustments'!$R$4:$R$103,"Unknown Option Type")),MATCH(1,($AN11=IF($C$2='Data Validation'!$A$2,'Bank Adjustments'!$C$4:$C$103,IF('Adjustment Surface'!$C$2='Data Validation'!$A$3,'Bank Adjustments'!$M$4:$M$103,"Unknown Option Type")))*(AZ$3=IF($C$2='Data Validation'!$A$2,'Bank Adjustments'!$E$4:$E$103,IF('Adjustment Surface'!$C$2='Data Validation'!$A$3,'Bank Adjustments'!$O$4:$O$103,"Unknown Option Type"))),0)))</f>
        <v/>
      </c>
      <c r="BA11" s="181" t="str" cm="1">
        <f t="array" ref="BA11">IF(OR(BA$3="",$AN11=""),"",INDEX(IF($C$2='Data Validation'!$A$2,'Bank Adjustments'!$H$4:$H$103,IF('Adjustment Surface'!$C$2='Data Validation'!$A$3,'Bank Adjustments'!$R$4:$R$103,"Unknown Option Type")),MATCH(1,($AN11=IF($C$2='Data Validation'!$A$2,'Bank Adjustments'!$C$4:$C$103,IF('Adjustment Surface'!$C$2='Data Validation'!$A$3,'Bank Adjustments'!$M$4:$M$103,"Unknown Option Type")))*(BA$3=IF($C$2='Data Validation'!$A$2,'Bank Adjustments'!$E$4:$E$103,IF('Adjustment Surface'!$C$2='Data Validation'!$A$3,'Bank Adjustments'!$O$4:$O$103,"Unknown Option Type"))),0)))</f>
        <v/>
      </c>
      <c r="BB11" s="181" t="str" cm="1">
        <f t="array" ref="BB11">IF(OR(BB$3="",$AN11=""),"",INDEX(IF($C$2='Data Validation'!$A$2,'Bank Adjustments'!$H$4:$H$103,IF('Adjustment Surface'!$C$2='Data Validation'!$A$3,'Bank Adjustments'!$R$4:$R$103,"Unknown Option Type")),MATCH(1,($AN11=IF($C$2='Data Validation'!$A$2,'Bank Adjustments'!$C$4:$C$103,IF('Adjustment Surface'!$C$2='Data Validation'!$A$3,'Bank Adjustments'!$M$4:$M$103,"Unknown Option Type")))*(BB$3=IF($C$2='Data Validation'!$A$2,'Bank Adjustments'!$E$4:$E$103,IF('Adjustment Surface'!$C$2='Data Validation'!$A$3,'Bank Adjustments'!$O$4:$O$103,"Unknown Option Type"))),0)))</f>
        <v/>
      </c>
      <c r="BC11" s="181" t="str" cm="1">
        <f t="array" ref="BC11">IF(OR(BC$3="",$AN11=""),"",INDEX(IF($C$2='Data Validation'!$A$2,'Bank Adjustments'!$H$4:$H$103,IF('Adjustment Surface'!$C$2='Data Validation'!$A$3,'Bank Adjustments'!$R$4:$R$103,"Unknown Option Type")),MATCH(1,($AN11=IF($C$2='Data Validation'!$A$2,'Bank Adjustments'!$C$4:$C$103,IF('Adjustment Surface'!$C$2='Data Validation'!$A$3,'Bank Adjustments'!$M$4:$M$103,"Unknown Option Type")))*(BC$3=IF($C$2='Data Validation'!$A$2,'Bank Adjustments'!$E$4:$E$103,IF('Adjustment Surface'!$C$2='Data Validation'!$A$3,'Bank Adjustments'!$O$4:$O$103,"Unknown Option Type"))),0)))</f>
        <v/>
      </c>
      <c r="BD11" s="181" t="str" cm="1">
        <f t="array" ref="BD11">IF(OR(BD$3="",$AN11=""),"",INDEX(IF($C$2='Data Validation'!$A$2,'Bank Adjustments'!$H$4:$H$103,IF('Adjustment Surface'!$C$2='Data Validation'!$A$3,'Bank Adjustments'!$R$4:$R$103,"Unknown Option Type")),MATCH(1,($AN11=IF($C$2='Data Validation'!$A$2,'Bank Adjustments'!$C$4:$C$103,IF('Adjustment Surface'!$C$2='Data Validation'!$A$3,'Bank Adjustments'!$M$4:$M$103,"Unknown Option Type")))*(BD$3=IF($C$2='Data Validation'!$A$2,'Bank Adjustments'!$E$4:$E$103,IF('Adjustment Surface'!$C$2='Data Validation'!$A$3,'Bank Adjustments'!$O$4:$O$103,"Unknown Option Type"))),0)))</f>
        <v/>
      </c>
      <c r="BE11" s="181" t="str" cm="1">
        <f t="array" ref="BE11">IF(OR(BE$3="",$AN11=""),"",INDEX(IF($C$2='Data Validation'!$A$2,'Bank Adjustments'!$H$4:$H$103,IF('Adjustment Surface'!$C$2='Data Validation'!$A$3,'Bank Adjustments'!$R$4:$R$103,"Unknown Option Type")),MATCH(1,($AN11=IF($C$2='Data Validation'!$A$2,'Bank Adjustments'!$C$4:$C$103,IF('Adjustment Surface'!$C$2='Data Validation'!$A$3,'Bank Adjustments'!$M$4:$M$103,"Unknown Option Type")))*(BE$3=IF($C$2='Data Validation'!$A$2,'Bank Adjustments'!$E$4:$E$103,IF('Adjustment Surface'!$C$2='Data Validation'!$A$3,'Bank Adjustments'!$O$4:$O$103,"Unknown Option Type"))),0)))</f>
        <v/>
      </c>
      <c r="BF11" s="181" t="str" cm="1">
        <f t="array" ref="BF11">IF(OR(BF$3="",$AN11=""),"",INDEX(IF($C$2='Data Validation'!$A$2,'Bank Adjustments'!$H$4:$H$103,IF('Adjustment Surface'!$C$2='Data Validation'!$A$3,'Bank Adjustments'!$R$4:$R$103,"Unknown Option Type")),MATCH(1,($AN11=IF($C$2='Data Validation'!$A$2,'Bank Adjustments'!$C$4:$C$103,IF('Adjustment Surface'!$C$2='Data Validation'!$A$3,'Bank Adjustments'!$M$4:$M$103,"Unknown Option Type")))*(BF$3=IF($C$2='Data Validation'!$A$2,'Bank Adjustments'!$E$4:$E$103,IF('Adjustment Surface'!$C$2='Data Validation'!$A$3,'Bank Adjustments'!$O$4:$O$103,"Unknown Option Type"))),0)))</f>
        <v/>
      </c>
      <c r="BG11" s="181" t="str" cm="1">
        <f t="array" ref="BG11">IF(OR(BG$3="",$AN11=""),"",INDEX(IF($C$2='Data Validation'!$A$2,'Bank Adjustments'!$H$4:$H$103,IF('Adjustment Surface'!$C$2='Data Validation'!$A$3,'Bank Adjustments'!$R$4:$R$103,"Unknown Option Type")),MATCH(1,($AN11=IF($C$2='Data Validation'!$A$2,'Bank Adjustments'!$C$4:$C$103,IF('Adjustment Surface'!$C$2='Data Validation'!$A$3,'Bank Adjustments'!$M$4:$M$103,"Unknown Option Type")))*(BG$3=IF($C$2='Data Validation'!$A$2,'Bank Adjustments'!$E$4:$E$103,IF('Adjustment Surface'!$C$2='Data Validation'!$A$3,'Bank Adjustments'!$O$4:$O$103,"Unknown Option Type"))),0)))</f>
        <v/>
      </c>
      <c r="BH11" s="182" t="str" cm="1">
        <f t="array" ref="BH11">IF(OR(BH$3="",$AN11=""),"",INDEX(IF($C$2='Data Validation'!$A$2,'Bank Adjustments'!$H$4:$H$103,IF('Adjustment Surface'!$C$2='Data Validation'!$A$3,'Bank Adjustments'!$R$4:$R$103,"Unknown Option Type")),MATCH(1,($AN11=IF($C$2='Data Validation'!$A$2,'Bank Adjustments'!$C$4:$C$103,IF('Adjustment Surface'!$C$2='Data Validation'!$A$3,'Bank Adjustments'!$M$4:$M$103,"Unknown Option Type")))*(BH$3=IF($C$2='Data Validation'!$A$2,'Bank Adjustments'!$E$4:$E$103,IF('Adjustment Surface'!$C$2='Data Validation'!$A$3,'Bank Adjustments'!$O$4:$O$103,"Unknown Option Type"))),0)))</f>
        <v/>
      </c>
    </row>
    <row r="12" spans="2:61" x14ac:dyDescent="0.25">
      <c r="G12" s="55"/>
      <c r="H12" s="171">
        <v>47160</v>
      </c>
      <c r="I12" s="61">
        <f t="shared" si="1"/>
        <v>0</v>
      </c>
      <c r="J12" s="212">
        <f t="shared" si="1"/>
        <v>731</v>
      </c>
      <c r="K12" s="212">
        <f t="shared" si="1"/>
        <v>366</v>
      </c>
      <c r="L12" s="212">
        <f t="shared" si="1"/>
        <v>0</v>
      </c>
      <c r="M12" s="63">
        <f t="shared" si="1"/>
        <v>365</v>
      </c>
      <c r="O12" s="176">
        <v>0.06</v>
      </c>
      <c r="P12" s="180" cm="1">
        <f t="array" ref="P12">IF(OR(P$3="",$O12=""),"",1/((INDEX('Adjustment Surface'!$AN$4:$AN$23,MATCH(('Adjustment Surface'!$O12),'Adjustment Surface'!$AN$4:$AN$23,1)+IF('Adjustment Surface'!$O13="",-1,1))-INDEX('Adjustment Surface'!$AN$4:$AN$23,MATCH(('Adjustment Surface'!$O12),'Adjustment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Surface'!$O12),'Adjustment Surface'!$AN$4:$AN$23,1)),$AN$4:$AN$23,0),MATCH(INDEX('Adjustment Surface'!$AO$3:$BH$3,1,MATCH(('Adjustment Surface'!P$3),'Adjustment Surface'!$AO$3:$BH$3,1)),$AO$3:$BH$3,0))*(INDEX('Adjustment Surface'!$AN$4:$AN$23,MATCH(('Adjustment Surface'!$O12),'Adjustment Surface'!$AN$4:$AN$23,1)+IF('Adjustment Surface'!$O13="",-1,1))-'Adjustment Surface'!$O12)*(INDEX('Adjustment Surface'!$AO$3:$BH$3,1,MATCH(('Adjustment Surface'!P$3),'Adjustment Surface'!$AO$3:$BH$3,1)+IF('Adjustment Surface'!Q$3="",-1,1))-'Adjustment Surface'!P$3)+INDEX($AO$4:$BH$23,MATCH(INDEX('Adjustment Surface'!$AN$4:$AN$23,MATCH(('Adjustment Surface'!$O12),'Adjustment Surface'!$AN$4:$AN$23,1)+IF('Adjustment Surface'!$O13="",-1,1)),$AN$4:$AN$23,0),MATCH(INDEX('Adjustment Surface'!$AO$3:$BH$3,1,MATCH(('Adjustment Surface'!P$3),'Adjustment Surface'!$AO$3:$BH$3,1)),$AO$3:$BH$3,0))*('Adjustment Surface'!$O12-INDEX('Adjustment Surface'!$AN$4:$AN$23,MATCH(('Adjustment Surface'!$O12),'Adjustment Surface'!$AN$4:$AN$23,1)))*(INDEX('Adjustment Surface'!$AO$3:$BH$3,1,MATCH(('Adjustment Surface'!P$3),'Adjustment Surface'!$AO$3:$BH$3,1)+IF('Adjustment Surface'!Q$3="",-1,1))-'Adjustment Surface'!P$3)+INDEX($AO$4:$BH$23,MATCH(INDEX('Adjustment Surface'!$AN$4:$AN$23,MATCH(('Adjustment Surface'!$O12),'Adjustment Surface'!$AN$4:$AN$23,1)),$AN$4:$AN$23,0),MATCH(INDEX('Adjustment Surface'!$AO$3:$BH$3,1,MATCH(('Adjustment Surface'!P$3),'Adjustment Surface'!$AO$3:$BH$3,1)+IF('Adjustment Surface'!Q$3="",-1,1)),$AO$3:$BH$3,0))*(INDEX('Adjustment Surface'!$AN$4:$AN$23,MATCH(('Adjustment Surface'!$O12),'Adjustment Surface'!$AN$4:$AN$23,1)+IF('Adjustment Surface'!$O13="",-1,1))-'Adjustment Surface'!$O12)*('Adjustment Surface'!P$3-INDEX('Adjustment Surface'!$AO$3:$BH$3,1,MATCH(('Adjustment Surface'!P$3),'Adjustment Surface'!$AO$3:$BH$3,1)))+INDEX($AO$4:$BH$23,MATCH(INDEX('Adjustment Surface'!$AN$4:$AN$23,MATCH(('Adjustment Surface'!$O12),'Adjustment Surface'!$AN$4:$AN$23,1)+IF('Adjustment Surface'!$O13="",-1,1)),$AN$4:$AN$23,0),MATCH(INDEX('Adjustment Surface'!$AO$3:$BH$3,1,MATCH(('Adjustment Surface'!P$3),'Adjustment Surface'!$AO$3:$BH$3,1)+IF('Adjustment Surface'!Q$3="",-1,1)),$AO$3:$BH$3,0))*('Adjustment Surface'!$O12-INDEX('Adjustment Surface'!$AN$4:$AN$23,MATCH(('Adjustment Surface'!$O12),'Adjustment Surface'!$AN$4:$AN$23,1)))*('Adjustment Surface'!P$3-INDEX('Adjustment Surface'!$AO$3:$BH$3,1,MATCH(('Adjustment Surface'!P$3),'Adjustment Surface'!$AO$3:$BH$3,1)))))</f>
        <v>796.94267797378689</v>
      </c>
      <c r="Q12" s="181" cm="1">
        <f t="array" ref="Q12">IF(OR(Q$3="",$O12=""),"",1/((INDEX('Adjustment Surface'!$AN$4:$AN$23,MATCH(('Adjustment Surface'!$O12),'Adjustment Surface'!$AN$4:$AN$23,1)+IF('Adjustment Surface'!$O13="",-1,1))-INDEX('Adjustment Surface'!$AN$4:$AN$23,MATCH(('Adjustment Surface'!$O12),'Adjustment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Surface'!$O12),'Adjustment Surface'!$AN$4:$AN$23,1)),$AN$4:$AN$23,0),MATCH(INDEX('Adjustment Surface'!$AO$3:$BH$3,1,MATCH(('Adjustment Surface'!Q$3),'Adjustment Surface'!$AO$3:$BH$3,1)),$AO$3:$BH$3,0))*(INDEX('Adjustment Surface'!$AN$4:$AN$23,MATCH(('Adjustment Surface'!$O12),'Adjustment Surface'!$AN$4:$AN$23,1)+IF('Adjustment Surface'!$O13="",-1,1))-'Adjustment Surface'!$O12)*(INDEX('Adjustment Surface'!$AO$3:$BH$3,1,MATCH(('Adjustment Surface'!Q$3),'Adjustment Surface'!$AO$3:$BH$3,1)+IF('Adjustment Surface'!R$3="",-1,1))-'Adjustment Surface'!Q$3)+INDEX($AO$4:$BH$23,MATCH(INDEX('Adjustment Surface'!$AN$4:$AN$23,MATCH(('Adjustment Surface'!$O12),'Adjustment Surface'!$AN$4:$AN$23,1)+IF('Adjustment Surface'!$O13="",-1,1)),$AN$4:$AN$23,0),MATCH(INDEX('Adjustment Surface'!$AO$3:$BH$3,1,MATCH(('Adjustment Surface'!Q$3),'Adjustment Surface'!$AO$3:$BH$3,1)),$AO$3:$BH$3,0))*('Adjustment Surface'!$O12-INDEX('Adjustment Surface'!$AN$4:$AN$23,MATCH(('Adjustment Surface'!$O12),'Adjustment Surface'!$AN$4:$AN$23,1)))*(INDEX('Adjustment Surface'!$AO$3:$BH$3,1,MATCH(('Adjustment Surface'!Q$3),'Adjustment Surface'!$AO$3:$BH$3,1)+IF('Adjustment Surface'!R$3="",-1,1))-'Adjustment Surface'!Q$3)+INDEX($AO$4:$BH$23,MATCH(INDEX('Adjustment Surface'!$AN$4:$AN$23,MATCH(('Adjustment Surface'!$O12),'Adjustment Surface'!$AN$4:$AN$23,1)),$AN$4:$AN$23,0),MATCH(INDEX('Adjustment Surface'!$AO$3:$BH$3,1,MATCH(('Adjustment Surface'!Q$3),'Adjustment Surface'!$AO$3:$BH$3,1)+IF('Adjustment Surface'!R$3="",-1,1)),$AO$3:$BH$3,0))*(INDEX('Adjustment Surface'!$AN$4:$AN$23,MATCH(('Adjustment Surface'!$O12),'Adjustment Surface'!$AN$4:$AN$23,1)+IF('Adjustment Surface'!$O13="",-1,1))-'Adjustment Surface'!$O12)*('Adjustment Surface'!Q$3-INDEX('Adjustment Surface'!$AO$3:$BH$3,1,MATCH(('Adjustment Surface'!Q$3),'Adjustment Surface'!$AO$3:$BH$3,1)))+INDEX($AO$4:$BH$23,MATCH(INDEX('Adjustment Surface'!$AN$4:$AN$23,MATCH(('Adjustment Surface'!$O12),'Adjustment Surface'!$AN$4:$AN$23,1)+IF('Adjustment Surface'!$O13="",-1,1)),$AN$4:$AN$23,0),MATCH(INDEX('Adjustment Surface'!$AO$3:$BH$3,1,MATCH(('Adjustment Surface'!Q$3),'Adjustment Surface'!$AO$3:$BH$3,1)+IF('Adjustment Surface'!R$3="",-1,1)),$AO$3:$BH$3,0))*('Adjustment Surface'!$O12-INDEX('Adjustment Surface'!$AN$4:$AN$23,MATCH(('Adjustment Surface'!$O12),'Adjustment Surface'!$AN$4:$AN$23,1)))*('Adjustment Surface'!Q$3-INDEX('Adjustment Surface'!$AO$3:$BH$3,1,MATCH(('Adjustment Surface'!Q$3),'Adjustment Surface'!$AO$3:$BH$3,1)))))</f>
        <v>614.73687589994631</v>
      </c>
      <c r="R12" s="181" cm="1">
        <f t="array" ref="R12">IF(OR(R$3="",$O12=""),"",1/((INDEX('Adjustment Surface'!$AN$4:$AN$23,MATCH(('Adjustment Surface'!$O12),'Adjustment Surface'!$AN$4:$AN$23,1)+IF('Adjustment Surface'!$O13="",-1,1))-INDEX('Adjustment Surface'!$AN$4:$AN$23,MATCH(('Adjustment Surface'!$O12),'Adjustment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Surface'!$O12),'Adjustment Surface'!$AN$4:$AN$23,1)),$AN$4:$AN$23,0),MATCH(INDEX('Adjustment Surface'!$AO$3:$BH$3,1,MATCH(('Adjustment Surface'!R$3),'Adjustment Surface'!$AO$3:$BH$3,1)),$AO$3:$BH$3,0))*(INDEX('Adjustment Surface'!$AN$4:$AN$23,MATCH(('Adjustment Surface'!$O12),'Adjustment Surface'!$AN$4:$AN$23,1)+IF('Adjustment Surface'!$O13="",-1,1))-'Adjustment Surface'!$O12)*(INDEX('Adjustment Surface'!$AO$3:$BH$3,1,MATCH(('Adjustment Surface'!R$3),'Adjustment Surface'!$AO$3:$BH$3,1)+IF('Adjustment Surface'!S$3="",-1,1))-'Adjustment Surface'!R$3)+INDEX($AO$4:$BH$23,MATCH(INDEX('Adjustment Surface'!$AN$4:$AN$23,MATCH(('Adjustment Surface'!$O12),'Adjustment Surface'!$AN$4:$AN$23,1)+IF('Adjustment Surface'!$O13="",-1,1)),$AN$4:$AN$23,0),MATCH(INDEX('Adjustment Surface'!$AO$3:$BH$3,1,MATCH(('Adjustment Surface'!R$3),'Adjustment Surface'!$AO$3:$BH$3,1)),$AO$3:$BH$3,0))*('Adjustment Surface'!$O12-INDEX('Adjustment Surface'!$AN$4:$AN$23,MATCH(('Adjustment Surface'!$O12),'Adjustment Surface'!$AN$4:$AN$23,1)))*(INDEX('Adjustment Surface'!$AO$3:$BH$3,1,MATCH(('Adjustment Surface'!R$3),'Adjustment Surface'!$AO$3:$BH$3,1)+IF('Adjustment Surface'!S$3="",-1,1))-'Adjustment Surface'!R$3)+INDEX($AO$4:$BH$23,MATCH(INDEX('Adjustment Surface'!$AN$4:$AN$23,MATCH(('Adjustment Surface'!$O12),'Adjustment Surface'!$AN$4:$AN$23,1)),$AN$4:$AN$23,0),MATCH(INDEX('Adjustment Surface'!$AO$3:$BH$3,1,MATCH(('Adjustment Surface'!R$3),'Adjustment Surface'!$AO$3:$BH$3,1)+IF('Adjustment Surface'!S$3="",-1,1)),$AO$3:$BH$3,0))*(INDEX('Adjustment Surface'!$AN$4:$AN$23,MATCH(('Adjustment Surface'!$O12),'Adjustment Surface'!$AN$4:$AN$23,1)+IF('Adjustment Surface'!$O13="",-1,1))-'Adjustment Surface'!$O12)*('Adjustment Surface'!R$3-INDEX('Adjustment Surface'!$AO$3:$BH$3,1,MATCH(('Adjustment Surface'!R$3),'Adjustment Surface'!$AO$3:$BH$3,1)))+INDEX($AO$4:$BH$23,MATCH(INDEX('Adjustment Surface'!$AN$4:$AN$23,MATCH(('Adjustment Surface'!$O12),'Adjustment Surface'!$AN$4:$AN$23,1)+IF('Adjustment Surface'!$O13="",-1,1)),$AN$4:$AN$23,0),MATCH(INDEX('Adjustment Surface'!$AO$3:$BH$3,1,MATCH(('Adjustment Surface'!R$3),'Adjustment Surface'!$AO$3:$BH$3,1)+IF('Adjustment Surface'!S$3="",-1,1)),$AO$3:$BH$3,0))*('Adjustment Surface'!$O12-INDEX('Adjustment Surface'!$AN$4:$AN$23,MATCH(('Adjustment Surface'!$O12),'Adjustment Surface'!$AN$4:$AN$23,1)))*('Adjustment Surface'!R$3-INDEX('Adjustment Surface'!$AO$3:$BH$3,1,MATCH(('Adjustment Surface'!R$3),'Adjustment Surface'!$AO$3:$BH$3,1)))))</f>
        <v>426.38930521687519</v>
      </c>
      <c r="S12" s="181" cm="1">
        <f t="array" ref="S12">IF(OR(S$3="",$O12=""),"",1/((INDEX('Adjustment Surface'!$AN$4:$AN$23,MATCH(('Adjustment Surface'!$O12),'Adjustment Surface'!$AN$4:$AN$23,1)+IF('Adjustment Surface'!$O13="",-1,1))-INDEX('Adjustment Surface'!$AN$4:$AN$23,MATCH(('Adjustment Surface'!$O12),'Adjustment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Surface'!$O12),'Adjustment Surface'!$AN$4:$AN$23,1)),$AN$4:$AN$23,0),MATCH(INDEX('Adjustment Surface'!$AO$3:$BH$3,1,MATCH(('Adjustment Surface'!S$3),'Adjustment Surface'!$AO$3:$BH$3,1)),$AO$3:$BH$3,0))*(INDEX('Adjustment Surface'!$AN$4:$AN$23,MATCH(('Adjustment Surface'!$O12),'Adjustment Surface'!$AN$4:$AN$23,1)+IF('Adjustment Surface'!$O13="",-1,1))-'Adjustment Surface'!$O12)*(INDEX('Adjustment Surface'!$AO$3:$BH$3,1,MATCH(('Adjustment Surface'!S$3),'Adjustment Surface'!$AO$3:$BH$3,1)+IF('Adjustment Surface'!T$3="",-1,1))-'Adjustment Surface'!S$3)+INDEX($AO$4:$BH$23,MATCH(INDEX('Adjustment Surface'!$AN$4:$AN$23,MATCH(('Adjustment Surface'!$O12),'Adjustment Surface'!$AN$4:$AN$23,1)+IF('Adjustment Surface'!$O13="",-1,1)),$AN$4:$AN$23,0),MATCH(INDEX('Adjustment Surface'!$AO$3:$BH$3,1,MATCH(('Adjustment Surface'!S$3),'Adjustment Surface'!$AO$3:$BH$3,1)),$AO$3:$BH$3,0))*('Adjustment Surface'!$O12-INDEX('Adjustment Surface'!$AN$4:$AN$23,MATCH(('Adjustment Surface'!$O12),'Adjustment Surface'!$AN$4:$AN$23,1)))*(INDEX('Adjustment Surface'!$AO$3:$BH$3,1,MATCH(('Adjustment Surface'!S$3),'Adjustment Surface'!$AO$3:$BH$3,1)+IF('Adjustment Surface'!T$3="",-1,1))-'Adjustment Surface'!S$3)+INDEX($AO$4:$BH$23,MATCH(INDEX('Adjustment Surface'!$AN$4:$AN$23,MATCH(('Adjustment Surface'!$O12),'Adjustment Surface'!$AN$4:$AN$23,1)),$AN$4:$AN$23,0),MATCH(INDEX('Adjustment Surface'!$AO$3:$BH$3,1,MATCH(('Adjustment Surface'!S$3),'Adjustment Surface'!$AO$3:$BH$3,1)+IF('Adjustment Surface'!T$3="",-1,1)),$AO$3:$BH$3,0))*(INDEX('Adjustment Surface'!$AN$4:$AN$23,MATCH(('Adjustment Surface'!$O12),'Adjustment Surface'!$AN$4:$AN$23,1)+IF('Adjustment Surface'!$O13="",-1,1))-'Adjustment Surface'!$O12)*('Adjustment Surface'!S$3-INDEX('Adjustment Surface'!$AO$3:$BH$3,1,MATCH(('Adjustment Surface'!S$3),'Adjustment Surface'!$AO$3:$BH$3,1)))+INDEX($AO$4:$BH$23,MATCH(INDEX('Adjustment Surface'!$AN$4:$AN$23,MATCH(('Adjustment Surface'!$O12),'Adjustment Surface'!$AN$4:$AN$23,1)+IF('Adjustment Surface'!$O13="",-1,1)),$AN$4:$AN$23,0),MATCH(INDEX('Adjustment Surface'!$AO$3:$BH$3,1,MATCH(('Adjustment Surface'!S$3),'Adjustment Surface'!$AO$3:$BH$3,1)+IF('Adjustment Surface'!T$3="",-1,1)),$AO$3:$BH$3,0))*('Adjustment Surface'!$O12-INDEX('Adjustment Surface'!$AN$4:$AN$23,MATCH(('Adjustment Surface'!$O12),'Adjustment Surface'!$AN$4:$AN$23,1)))*('Adjustment Surface'!S$3-INDEX('Adjustment Surface'!$AO$3:$BH$3,1,MATCH(('Adjustment Surface'!S$3),'Adjustment Surface'!$AO$3:$BH$3,1)))))</f>
        <v>238.04173453380406</v>
      </c>
      <c r="T12" s="181" cm="1">
        <f t="array" ref="T12">IF(OR(T$3="",$O12=""),"",1/((INDEX('Adjustment Surface'!$AN$4:$AN$23,MATCH(('Adjustment Surface'!$O12),'Adjustment Surface'!$AN$4:$AN$23,1)+IF('Adjustment Surface'!$O13="",-1,1))-INDEX('Adjustment Surface'!$AN$4:$AN$23,MATCH(('Adjustment Surface'!$O12),'Adjustment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Surface'!$O12),'Adjustment Surface'!$AN$4:$AN$23,1)),$AN$4:$AN$23,0),MATCH(INDEX('Adjustment Surface'!$AO$3:$BH$3,1,MATCH(('Adjustment Surface'!T$3),'Adjustment Surface'!$AO$3:$BH$3,1)),$AO$3:$BH$3,0))*(INDEX('Adjustment Surface'!$AN$4:$AN$23,MATCH(('Adjustment Surface'!$O12),'Adjustment Surface'!$AN$4:$AN$23,1)+IF('Adjustment Surface'!$O13="",-1,1))-'Adjustment Surface'!$O12)*(INDEX('Adjustment Surface'!$AO$3:$BH$3,1,MATCH(('Adjustment Surface'!T$3),'Adjustment Surface'!$AO$3:$BH$3,1)+IF('Adjustment Surface'!U$3="",-1,1))-'Adjustment Surface'!T$3)+INDEX($AO$4:$BH$23,MATCH(INDEX('Adjustment Surface'!$AN$4:$AN$23,MATCH(('Adjustment Surface'!$O12),'Adjustment Surface'!$AN$4:$AN$23,1)+IF('Adjustment Surface'!$O13="",-1,1)),$AN$4:$AN$23,0),MATCH(INDEX('Adjustment Surface'!$AO$3:$BH$3,1,MATCH(('Adjustment Surface'!T$3),'Adjustment Surface'!$AO$3:$BH$3,1)),$AO$3:$BH$3,0))*('Adjustment Surface'!$O12-INDEX('Adjustment Surface'!$AN$4:$AN$23,MATCH(('Adjustment Surface'!$O12),'Adjustment Surface'!$AN$4:$AN$23,1)))*(INDEX('Adjustment Surface'!$AO$3:$BH$3,1,MATCH(('Adjustment Surface'!T$3),'Adjustment Surface'!$AO$3:$BH$3,1)+IF('Adjustment Surface'!U$3="",-1,1))-'Adjustment Surface'!T$3)+INDEX($AO$4:$BH$23,MATCH(INDEX('Adjustment Surface'!$AN$4:$AN$23,MATCH(('Adjustment Surface'!$O12),'Adjustment Surface'!$AN$4:$AN$23,1)),$AN$4:$AN$23,0),MATCH(INDEX('Adjustment Surface'!$AO$3:$BH$3,1,MATCH(('Adjustment Surface'!T$3),'Adjustment Surface'!$AO$3:$BH$3,1)+IF('Adjustment Surface'!U$3="",-1,1)),$AO$3:$BH$3,0))*(INDEX('Adjustment Surface'!$AN$4:$AN$23,MATCH(('Adjustment Surface'!$O12),'Adjustment Surface'!$AN$4:$AN$23,1)+IF('Adjustment Surface'!$O13="",-1,1))-'Adjustment Surface'!$O12)*('Adjustment Surface'!T$3-INDEX('Adjustment Surface'!$AO$3:$BH$3,1,MATCH(('Adjustment Surface'!T$3),'Adjustment Surface'!$AO$3:$BH$3,1)))+INDEX($AO$4:$BH$23,MATCH(INDEX('Adjustment Surface'!$AN$4:$AN$23,MATCH(('Adjustment Surface'!$O12),'Adjustment Surface'!$AN$4:$AN$23,1)+IF('Adjustment Surface'!$O13="",-1,1)),$AN$4:$AN$23,0),MATCH(INDEX('Adjustment Surface'!$AO$3:$BH$3,1,MATCH(('Adjustment Surface'!T$3),'Adjustment Surface'!$AO$3:$BH$3,1)+IF('Adjustment Surface'!U$3="",-1,1)),$AO$3:$BH$3,0))*('Adjustment Surface'!$O12-INDEX('Adjustment Surface'!$AN$4:$AN$23,MATCH(('Adjustment Surface'!$O12),'Adjustment Surface'!$AN$4:$AN$23,1)))*('Adjustment Surface'!T$3-INDEX('Adjustment Surface'!$AO$3:$BH$3,1,MATCH(('Adjustment Surface'!T$3),'Adjustment Surface'!$AO$3:$BH$3,1)))))</f>
        <v>49.69416385073297</v>
      </c>
      <c r="U12" s="181" cm="1">
        <f t="array" ref="U12">IF(OR(U$3="",$O12=""),"",1/((INDEX('Adjustment Surface'!$AN$4:$AN$23,MATCH(('Adjustment Surface'!$O12),'Adjustment Surface'!$AN$4:$AN$23,1)+IF('Adjustment Surface'!$O13="",-1,1))-INDEX('Adjustment Surface'!$AN$4:$AN$23,MATCH(('Adjustment Surface'!$O12),'Adjustment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Surface'!$O12),'Adjustment Surface'!$AN$4:$AN$23,1)),$AN$4:$AN$23,0),MATCH(INDEX('Adjustment Surface'!$AO$3:$BH$3,1,MATCH(('Adjustment Surface'!U$3),'Adjustment Surface'!$AO$3:$BH$3,1)),$AO$3:$BH$3,0))*(INDEX('Adjustment Surface'!$AN$4:$AN$23,MATCH(('Adjustment Surface'!$O12),'Adjustment Surface'!$AN$4:$AN$23,1)+IF('Adjustment Surface'!$O13="",-1,1))-'Adjustment Surface'!$O12)*(INDEX('Adjustment Surface'!$AO$3:$BH$3,1,MATCH(('Adjustment Surface'!U$3),'Adjustment Surface'!$AO$3:$BH$3,1)+IF('Adjustment Surface'!V$3="",-1,1))-'Adjustment Surface'!U$3)+INDEX($AO$4:$BH$23,MATCH(INDEX('Adjustment Surface'!$AN$4:$AN$23,MATCH(('Adjustment Surface'!$O12),'Adjustment Surface'!$AN$4:$AN$23,1)+IF('Adjustment Surface'!$O13="",-1,1)),$AN$4:$AN$23,0),MATCH(INDEX('Adjustment Surface'!$AO$3:$BH$3,1,MATCH(('Adjustment Surface'!U$3),'Adjustment Surface'!$AO$3:$BH$3,1)),$AO$3:$BH$3,0))*('Adjustment Surface'!$O12-INDEX('Adjustment Surface'!$AN$4:$AN$23,MATCH(('Adjustment Surface'!$O12),'Adjustment Surface'!$AN$4:$AN$23,1)))*(INDEX('Adjustment Surface'!$AO$3:$BH$3,1,MATCH(('Adjustment Surface'!U$3),'Adjustment Surface'!$AO$3:$BH$3,1)+IF('Adjustment Surface'!V$3="",-1,1))-'Adjustment Surface'!U$3)+INDEX($AO$4:$BH$23,MATCH(INDEX('Adjustment Surface'!$AN$4:$AN$23,MATCH(('Adjustment Surface'!$O12),'Adjustment Surface'!$AN$4:$AN$23,1)),$AN$4:$AN$23,0),MATCH(INDEX('Adjustment Surface'!$AO$3:$BH$3,1,MATCH(('Adjustment Surface'!U$3),'Adjustment Surface'!$AO$3:$BH$3,1)+IF('Adjustment Surface'!V$3="",-1,1)),$AO$3:$BH$3,0))*(INDEX('Adjustment Surface'!$AN$4:$AN$23,MATCH(('Adjustment Surface'!$O12),'Adjustment Surface'!$AN$4:$AN$23,1)+IF('Adjustment Surface'!$O13="",-1,1))-'Adjustment Surface'!$O12)*('Adjustment Surface'!U$3-INDEX('Adjustment Surface'!$AO$3:$BH$3,1,MATCH(('Adjustment Surface'!U$3),'Adjustment Surface'!$AO$3:$BH$3,1)))+INDEX($AO$4:$BH$23,MATCH(INDEX('Adjustment Surface'!$AN$4:$AN$23,MATCH(('Adjustment Surface'!$O12),'Adjustment Surface'!$AN$4:$AN$23,1)+IF('Adjustment Surface'!$O13="",-1,1)),$AN$4:$AN$23,0),MATCH(INDEX('Adjustment Surface'!$AO$3:$BH$3,1,MATCH(('Adjustment Surface'!U$3),'Adjustment Surface'!$AO$3:$BH$3,1)+IF('Adjustment Surface'!V$3="",-1,1)),$AO$3:$BH$3,0))*('Adjustment Surface'!$O12-INDEX('Adjustment Surface'!$AN$4:$AN$23,MATCH(('Adjustment Surface'!$O12),'Adjustment Surface'!$AN$4:$AN$23,1)))*('Adjustment Surface'!U$3-INDEX('Adjustment Surface'!$AO$3:$BH$3,1,MATCH(('Adjustment Surface'!U$3),'Adjustment Surface'!$AO$3:$BH$3,1)))))</f>
        <v>40.736841863822704</v>
      </c>
      <c r="V12" s="181" cm="1">
        <f t="array" ref="V12">IF(OR(V$3="",$O12=""),"",1/((INDEX('Adjustment Surface'!$AN$4:$AN$23,MATCH(('Adjustment Surface'!$O12),'Adjustment Surface'!$AN$4:$AN$23,1)+IF('Adjustment Surface'!$O13="",-1,1))-INDEX('Adjustment Surface'!$AN$4:$AN$23,MATCH(('Adjustment Surface'!$O12),'Adjustment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Surface'!$O12),'Adjustment Surface'!$AN$4:$AN$23,1)),$AN$4:$AN$23,0),MATCH(INDEX('Adjustment Surface'!$AO$3:$BH$3,1,MATCH(('Adjustment Surface'!V$3),'Adjustment Surface'!$AO$3:$BH$3,1)),$AO$3:$BH$3,0))*(INDEX('Adjustment Surface'!$AN$4:$AN$23,MATCH(('Adjustment Surface'!$O12),'Adjustment Surface'!$AN$4:$AN$23,1)+IF('Adjustment Surface'!$O13="",-1,1))-'Adjustment Surface'!$O12)*(INDEX('Adjustment Surface'!$AO$3:$BH$3,1,MATCH(('Adjustment Surface'!V$3),'Adjustment Surface'!$AO$3:$BH$3,1)+IF('Adjustment Surface'!W$3="",-1,1))-'Adjustment Surface'!V$3)+INDEX($AO$4:$BH$23,MATCH(INDEX('Adjustment Surface'!$AN$4:$AN$23,MATCH(('Adjustment Surface'!$O12),'Adjustment Surface'!$AN$4:$AN$23,1)+IF('Adjustment Surface'!$O13="",-1,1)),$AN$4:$AN$23,0),MATCH(INDEX('Adjustment Surface'!$AO$3:$BH$3,1,MATCH(('Adjustment Surface'!V$3),'Adjustment Surface'!$AO$3:$BH$3,1)),$AO$3:$BH$3,0))*('Adjustment Surface'!$O12-INDEX('Adjustment Surface'!$AN$4:$AN$23,MATCH(('Adjustment Surface'!$O12),'Adjustment Surface'!$AN$4:$AN$23,1)))*(INDEX('Adjustment Surface'!$AO$3:$BH$3,1,MATCH(('Adjustment Surface'!V$3),'Adjustment Surface'!$AO$3:$BH$3,1)+IF('Adjustment Surface'!W$3="",-1,1))-'Adjustment Surface'!V$3)+INDEX($AO$4:$BH$23,MATCH(INDEX('Adjustment Surface'!$AN$4:$AN$23,MATCH(('Adjustment Surface'!$O12),'Adjustment Surface'!$AN$4:$AN$23,1)),$AN$4:$AN$23,0),MATCH(INDEX('Adjustment Surface'!$AO$3:$BH$3,1,MATCH(('Adjustment Surface'!V$3),'Adjustment Surface'!$AO$3:$BH$3,1)+IF('Adjustment Surface'!W$3="",-1,1)),$AO$3:$BH$3,0))*(INDEX('Adjustment Surface'!$AN$4:$AN$23,MATCH(('Adjustment Surface'!$O12),'Adjustment Surface'!$AN$4:$AN$23,1)+IF('Adjustment Surface'!$O13="",-1,1))-'Adjustment Surface'!$O12)*('Adjustment Surface'!V$3-INDEX('Adjustment Surface'!$AO$3:$BH$3,1,MATCH(('Adjustment Surface'!V$3),'Adjustment Surface'!$AO$3:$BH$3,1)))+INDEX($AO$4:$BH$23,MATCH(INDEX('Adjustment Surface'!$AN$4:$AN$23,MATCH(('Adjustment Surface'!$O12),'Adjustment Surface'!$AN$4:$AN$23,1)+IF('Adjustment Surface'!$O13="",-1,1)),$AN$4:$AN$23,0),MATCH(INDEX('Adjustment Surface'!$AO$3:$BH$3,1,MATCH(('Adjustment Surface'!V$3),'Adjustment Surface'!$AO$3:$BH$3,1)+IF('Adjustment Surface'!W$3="",-1,1)),$AO$3:$BH$3,0))*('Adjustment Surface'!$O12-INDEX('Adjustment Surface'!$AN$4:$AN$23,MATCH(('Adjustment Surface'!$O12),'Adjustment Surface'!$AN$4:$AN$23,1)))*('Adjustment Surface'!V$3-INDEX('Adjustment Surface'!$AO$3:$BH$3,1,MATCH(('Adjustment Surface'!V$3),'Adjustment Surface'!$AO$3:$BH$3,1)))))</f>
        <v>31.580468277203323</v>
      </c>
      <c r="W12" s="181" cm="1">
        <f t="array" ref="W12">IF(OR(W$3="",$O12=""),"",1/((INDEX('Adjustment Surface'!$AN$4:$AN$23,MATCH(('Adjustment Surface'!$O12),'Adjustment Surface'!$AN$4:$AN$23,1)+IF('Adjustment Surface'!$O13="",-1,1))-INDEX('Adjustment Surface'!$AN$4:$AN$23,MATCH(('Adjustment Surface'!$O12),'Adjustment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Surface'!$O12),'Adjustment Surface'!$AN$4:$AN$23,1)),$AN$4:$AN$23,0),MATCH(INDEX('Adjustment Surface'!$AO$3:$BH$3,1,MATCH(('Adjustment Surface'!W$3),'Adjustment Surface'!$AO$3:$BH$3,1)),$AO$3:$BH$3,0))*(INDEX('Adjustment Surface'!$AN$4:$AN$23,MATCH(('Adjustment Surface'!$O12),'Adjustment Surface'!$AN$4:$AN$23,1)+IF('Adjustment Surface'!$O13="",-1,1))-'Adjustment Surface'!$O12)*(INDEX('Adjustment Surface'!$AO$3:$BH$3,1,MATCH(('Adjustment Surface'!W$3),'Adjustment Surface'!$AO$3:$BH$3,1)+IF('Adjustment Surface'!X$3="",-1,1))-'Adjustment Surface'!W$3)+INDEX($AO$4:$BH$23,MATCH(INDEX('Adjustment Surface'!$AN$4:$AN$23,MATCH(('Adjustment Surface'!$O12),'Adjustment Surface'!$AN$4:$AN$23,1)+IF('Adjustment Surface'!$O13="",-1,1)),$AN$4:$AN$23,0),MATCH(INDEX('Adjustment Surface'!$AO$3:$BH$3,1,MATCH(('Adjustment Surface'!W$3),'Adjustment Surface'!$AO$3:$BH$3,1)),$AO$3:$BH$3,0))*('Adjustment Surface'!$O12-INDEX('Adjustment Surface'!$AN$4:$AN$23,MATCH(('Adjustment Surface'!$O12),'Adjustment Surface'!$AN$4:$AN$23,1)))*(INDEX('Adjustment Surface'!$AO$3:$BH$3,1,MATCH(('Adjustment Surface'!W$3),'Adjustment Surface'!$AO$3:$BH$3,1)+IF('Adjustment Surface'!X$3="",-1,1))-'Adjustment Surface'!W$3)+INDEX($AO$4:$BH$23,MATCH(INDEX('Adjustment Surface'!$AN$4:$AN$23,MATCH(('Adjustment Surface'!$O12),'Adjustment Surface'!$AN$4:$AN$23,1)),$AN$4:$AN$23,0),MATCH(INDEX('Adjustment Surface'!$AO$3:$BH$3,1,MATCH(('Adjustment Surface'!W$3),'Adjustment Surface'!$AO$3:$BH$3,1)+IF('Adjustment Surface'!X$3="",-1,1)),$AO$3:$BH$3,0))*(INDEX('Adjustment Surface'!$AN$4:$AN$23,MATCH(('Adjustment Surface'!$O12),'Adjustment Surface'!$AN$4:$AN$23,1)+IF('Adjustment Surface'!$O13="",-1,1))-'Adjustment Surface'!$O12)*('Adjustment Surface'!W$3-INDEX('Adjustment Surface'!$AO$3:$BH$3,1,MATCH(('Adjustment Surface'!W$3),'Adjustment Surface'!$AO$3:$BH$3,1)))+INDEX($AO$4:$BH$23,MATCH(INDEX('Adjustment Surface'!$AN$4:$AN$23,MATCH(('Adjustment Surface'!$O12),'Adjustment Surface'!$AN$4:$AN$23,1)+IF('Adjustment Surface'!$O13="",-1,1)),$AN$4:$AN$23,0),MATCH(INDEX('Adjustment Surface'!$AO$3:$BH$3,1,MATCH(('Adjustment Surface'!W$3),'Adjustment Surface'!$AO$3:$BH$3,1)+IF('Adjustment Surface'!X$3="",-1,1)),$AO$3:$BH$3,0))*('Adjustment Surface'!$O12-INDEX('Adjustment Surface'!$AN$4:$AN$23,MATCH(('Adjustment Surface'!$O12),'Adjustment Surface'!$AN$4:$AN$23,1)))*('Adjustment Surface'!W$3-INDEX('Adjustment Surface'!$AO$3:$BH$3,1,MATCH(('Adjustment Surface'!W$3),'Adjustment Surface'!$AO$3:$BH$3,1)))))</f>
        <v>22.424094690583942</v>
      </c>
      <c r="X12" s="181" cm="1">
        <f t="array" ref="X12">IF(OR(X$3="",$O12=""),"",1/((INDEX('Adjustment Surface'!$AN$4:$AN$23,MATCH(('Adjustment Surface'!$O12),'Adjustment Surface'!$AN$4:$AN$23,1)+IF('Adjustment Surface'!$O13="",-1,1))-INDEX('Adjustment Surface'!$AN$4:$AN$23,MATCH(('Adjustment Surface'!$O12),'Adjustment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Surface'!$O12),'Adjustment Surface'!$AN$4:$AN$23,1)),$AN$4:$AN$23,0),MATCH(INDEX('Adjustment Surface'!$AO$3:$BH$3,1,MATCH(('Adjustment Surface'!X$3),'Adjustment Surface'!$AO$3:$BH$3,1)),$AO$3:$BH$3,0))*(INDEX('Adjustment Surface'!$AN$4:$AN$23,MATCH(('Adjustment Surface'!$O12),'Adjustment Surface'!$AN$4:$AN$23,1)+IF('Adjustment Surface'!$O13="",-1,1))-'Adjustment Surface'!$O12)*(INDEX('Adjustment Surface'!$AO$3:$BH$3,1,MATCH(('Adjustment Surface'!X$3),'Adjustment Surface'!$AO$3:$BH$3,1)+IF('Adjustment Surface'!Y$3="",-1,1))-'Adjustment Surface'!X$3)+INDEX($AO$4:$BH$23,MATCH(INDEX('Adjustment Surface'!$AN$4:$AN$23,MATCH(('Adjustment Surface'!$O12),'Adjustment Surface'!$AN$4:$AN$23,1)+IF('Adjustment Surface'!$O13="",-1,1)),$AN$4:$AN$23,0),MATCH(INDEX('Adjustment Surface'!$AO$3:$BH$3,1,MATCH(('Adjustment Surface'!X$3),'Adjustment Surface'!$AO$3:$BH$3,1)),$AO$3:$BH$3,0))*('Adjustment Surface'!$O12-INDEX('Adjustment Surface'!$AN$4:$AN$23,MATCH(('Adjustment Surface'!$O12),'Adjustment Surface'!$AN$4:$AN$23,1)))*(INDEX('Adjustment Surface'!$AO$3:$BH$3,1,MATCH(('Adjustment Surface'!X$3),'Adjustment Surface'!$AO$3:$BH$3,1)+IF('Adjustment Surface'!Y$3="",-1,1))-'Adjustment Surface'!X$3)+INDEX($AO$4:$BH$23,MATCH(INDEX('Adjustment Surface'!$AN$4:$AN$23,MATCH(('Adjustment Surface'!$O12),'Adjustment Surface'!$AN$4:$AN$23,1)),$AN$4:$AN$23,0),MATCH(INDEX('Adjustment Surface'!$AO$3:$BH$3,1,MATCH(('Adjustment Surface'!X$3),'Adjustment Surface'!$AO$3:$BH$3,1)+IF('Adjustment Surface'!Y$3="",-1,1)),$AO$3:$BH$3,0))*(INDEX('Adjustment Surface'!$AN$4:$AN$23,MATCH(('Adjustment Surface'!$O12),'Adjustment Surface'!$AN$4:$AN$23,1)+IF('Adjustment Surface'!$O13="",-1,1))-'Adjustment Surface'!$O12)*('Adjustment Surface'!X$3-INDEX('Adjustment Surface'!$AO$3:$BH$3,1,MATCH(('Adjustment Surface'!X$3),'Adjustment Surface'!$AO$3:$BH$3,1)))+INDEX($AO$4:$BH$23,MATCH(INDEX('Adjustment Surface'!$AN$4:$AN$23,MATCH(('Adjustment Surface'!$O12),'Adjustment Surface'!$AN$4:$AN$23,1)+IF('Adjustment Surface'!$O13="",-1,1)),$AN$4:$AN$23,0),MATCH(INDEX('Adjustment Surface'!$AO$3:$BH$3,1,MATCH(('Adjustment Surface'!X$3),'Adjustment Surface'!$AO$3:$BH$3,1)+IF('Adjustment Surface'!Y$3="",-1,1)),$AO$3:$BH$3,0))*('Adjustment Surface'!$O12-INDEX('Adjustment Surface'!$AN$4:$AN$23,MATCH(('Adjustment Surface'!$O12),'Adjustment Surface'!$AN$4:$AN$23,1)))*('Adjustment Surface'!X$3-INDEX('Adjustment Surface'!$AO$3:$BH$3,1,MATCH(('Adjustment Surface'!X$3),'Adjustment Surface'!$AO$3:$BH$3,1)))))</f>
        <v>13.267721103964561</v>
      </c>
      <c r="Y12" s="181" t="str" cm="1">
        <f t="array" ref="Y12">IF(OR(Y$3="",$O12=""),"",1/((INDEX('Adjustment Surface'!$AN$4:$AN$23,MATCH(('Adjustment Surface'!$O12),'Adjustment Surface'!$AN$4:$AN$23,1)+IF('Adjustment Surface'!$O13="",-1,1))-INDEX('Adjustment Surface'!$AN$4:$AN$23,MATCH(('Adjustment Surface'!$O12),'Adjustment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Surface'!$O12),'Adjustment Surface'!$AN$4:$AN$23,1)),$AN$4:$AN$23,0),MATCH(INDEX('Adjustment Surface'!$AO$3:$BH$3,1,MATCH(('Adjustment Surface'!Y$3),'Adjustment Surface'!$AO$3:$BH$3,1)),$AO$3:$BH$3,0))*(INDEX('Adjustment Surface'!$AN$4:$AN$23,MATCH(('Adjustment Surface'!$O12),'Adjustment Surface'!$AN$4:$AN$23,1)+IF('Adjustment Surface'!$O13="",-1,1))-'Adjustment Surface'!$O12)*(INDEX('Adjustment Surface'!$AO$3:$BH$3,1,MATCH(('Adjustment Surface'!Y$3),'Adjustment Surface'!$AO$3:$BH$3,1)+IF('Adjustment Surface'!Z$3="",-1,1))-'Adjustment Surface'!Y$3)+INDEX($AO$4:$BH$23,MATCH(INDEX('Adjustment Surface'!$AN$4:$AN$23,MATCH(('Adjustment Surface'!$O12),'Adjustment Surface'!$AN$4:$AN$23,1)+IF('Adjustment Surface'!$O13="",-1,1)),$AN$4:$AN$23,0),MATCH(INDEX('Adjustment Surface'!$AO$3:$BH$3,1,MATCH(('Adjustment Surface'!Y$3),'Adjustment Surface'!$AO$3:$BH$3,1)),$AO$3:$BH$3,0))*('Adjustment Surface'!$O12-INDEX('Adjustment Surface'!$AN$4:$AN$23,MATCH(('Adjustment Surface'!$O12),'Adjustment Surface'!$AN$4:$AN$23,1)))*(INDEX('Adjustment Surface'!$AO$3:$BH$3,1,MATCH(('Adjustment Surface'!Y$3),'Adjustment Surface'!$AO$3:$BH$3,1)+IF('Adjustment Surface'!Z$3="",-1,1))-'Adjustment Surface'!Y$3)+INDEX($AO$4:$BH$23,MATCH(INDEX('Adjustment Surface'!$AN$4:$AN$23,MATCH(('Adjustment Surface'!$O12),'Adjustment Surface'!$AN$4:$AN$23,1)),$AN$4:$AN$23,0),MATCH(INDEX('Adjustment Surface'!$AO$3:$BH$3,1,MATCH(('Adjustment Surface'!Y$3),'Adjustment Surface'!$AO$3:$BH$3,1)+IF('Adjustment Surface'!Z$3="",-1,1)),$AO$3:$BH$3,0))*(INDEX('Adjustment Surface'!$AN$4:$AN$23,MATCH(('Adjustment Surface'!$O12),'Adjustment Surface'!$AN$4:$AN$23,1)+IF('Adjustment Surface'!$O13="",-1,1))-'Adjustment Surface'!$O12)*('Adjustment Surface'!Y$3-INDEX('Adjustment Surface'!$AO$3:$BH$3,1,MATCH(('Adjustment Surface'!Y$3),'Adjustment Surface'!$AO$3:$BH$3,1)))+INDEX($AO$4:$BH$23,MATCH(INDEX('Adjustment Surface'!$AN$4:$AN$23,MATCH(('Adjustment Surface'!$O12),'Adjustment Surface'!$AN$4:$AN$23,1)+IF('Adjustment Surface'!$O13="",-1,1)),$AN$4:$AN$23,0),MATCH(INDEX('Adjustment Surface'!$AO$3:$BH$3,1,MATCH(('Adjustment Surface'!Y$3),'Adjustment Surface'!$AO$3:$BH$3,1)+IF('Adjustment Surface'!Z$3="",-1,1)),$AO$3:$BH$3,0))*('Adjustment Surface'!$O12-INDEX('Adjustment Surface'!$AN$4:$AN$23,MATCH(('Adjustment Surface'!$O12),'Adjustment Surface'!$AN$4:$AN$23,1)))*('Adjustment Surface'!Y$3-INDEX('Adjustment Surface'!$AO$3:$BH$3,1,MATCH(('Adjustment Surface'!Y$3),'Adjustment Surface'!$AO$3:$BH$3,1)))))</f>
        <v/>
      </c>
      <c r="Z12" s="181" t="str" cm="1">
        <f t="array" ref="Z12">IF(OR(Z$3="",$O12=""),"",1/((INDEX('Adjustment Surface'!$AN$4:$AN$23,MATCH(('Adjustment Surface'!$O12),'Adjustment Surface'!$AN$4:$AN$23,1)+IF('Adjustment Surface'!$O13="",-1,1))-INDEX('Adjustment Surface'!$AN$4:$AN$23,MATCH(('Adjustment Surface'!$O12),'Adjustment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Surface'!$O12),'Adjustment Surface'!$AN$4:$AN$23,1)),$AN$4:$AN$23,0),MATCH(INDEX('Adjustment Surface'!$AO$3:$BH$3,1,MATCH(('Adjustment Surface'!Z$3),'Adjustment Surface'!$AO$3:$BH$3,1)),$AO$3:$BH$3,0))*(INDEX('Adjustment Surface'!$AN$4:$AN$23,MATCH(('Adjustment Surface'!$O12),'Adjustment Surface'!$AN$4:$AN$23,1)+IF('Adjustment Surface'!$O13="",-1,1))-'Adjustment Surface'!$O12)*(INDEX('Adjustment Surface'!$AO$3:$BH$3,1,MATCH(('Adjustment Surface'!Z$3),'Adjustment Surface'!$AO$3:$BH$3,1)+IF('Adjustment Surface'!AA$3="",-1,1))-'Adjustment Surface'!Z$3)+INDEX($AO$4:$BH$23,MATCH(INDEX('Adjustment Surface'!$AN$4:$AN$23,MATCH(('Adjustment Surface'!$O12),'Adjustment Surface'!$AN$4:$AN$23,1)+IF('Adjustment Surface'!$O13="",-1,1)),$AN$4:$AN$23,0),MATCH(INDEX('Adjustment Surface'!$AO$3:$BH$3,1,MATCH(('Adjustment Surface'!Z$3),'Adjustment Surface'!$AO$3:$BH$3,1)),$AO$3:$BH$3,0))*('Adjustment Surface'!$O12-INDEX('Adjustment Surface'!$AN$4:$AN$23,MATCH(('Adjustment Surface'!$O12),'Adjustment Surface'!$AN$4:$AN$23,1)))*(INDEX('Adjustment Surface'!$AO$3:$BH$3,1,MATCH(('Adjustment Surface'!Z$3),'Adjustment Surface'!$AO$3:$BH$3,1)+IF('Adjustment Surface'!AA$3="",-1,1))-'Adjustment Surface'!Z$3)+INDEX($AO$4:$BH$23,MATCH(INDEX('Adjustment Surface'!$AN$4:$AN$23,MATCH(('Adjustment Surface'!$O12),'Adjustment Surface'!$AN$4:$AN$23,1)),$AN$4:$AN$23,0),MATCH(INDEX('Adjustment Surface'!$AO$3:$BH$3,1,MATCH(('Adjustment Surface'!Z$3),'Adjustment Surface'!$AO$3:$BH$3,1)+IF('Adjustment Surface'!AA$3="",-1,1)),$AO$3:$BH$3,0))*(INDEX('Adjustment Surface'!$AN$4:$AN$23,MATCH(('Adjustment Surface'!$O12),'Adjustment Surface'!$AN$4:$AN$23,1)+IF('Adjustment Surface'!$O13="",-1,1))-'Adjustment Surface'!$O12)*('Adjustment Surface'!Z$3-INDEX('Adjustment Surface'!$AO$3:$BH$3,1,MATCH(('Adjustment Surface'!Z$3),'Adjustment Surface'!$AO$3:$BH$3,1)))+INDEX($AO$4:$BH$23,MATCH(INDEX('Adjustment Surface'!$AN$4:$AN$23,MATCH(('Adjustment Surface'!$O12),'Adjustment Surface'!$AN$4:$AN$23,1)+IF('Adjustment Surface'!$O13="",-1,1)),$AN$4:$AN$23,0),MATCH(INDEX('Adjustment Surface'!$AO$3:$BH$3,1,MATCH(('Adjustment Surface'!Z$3),'Adjustment Surface'!$AO$3:$BH$3,1)+IF('Adjustment Surface'!AA$3="",-1,1)),$AO$3:$BH$3,0))*('Adjustment Surface'!$O12-INDEX('Adjustment Surface'!$AN$4:$AN$23,MATCH(('Adjustment Surface'!$O12),'Adjustment Surface'!$AN$4:$AN$23,1)))*('Adjustment Surface'!Z$3-INDEX('Adjustment Surface'!$AO$3:$BH$3,1,MATCH(('Adjustment Surface'!Z$3),'Adjustment Surface'!$AO$3:$BH$3,1)))))</f>
        <v/>
      </c>
      <c r="AA12" s="181" t="str" cm="1">
        <f t="array" ref="AA12">IF(OR(AA$3="",$O12=""),"",1/((INDEX('Adjustment Surface'!$AN$4:$AN$23,MATCH(('Adjustment Surface'!$O12),'Adjustment Surface'!$AN$4:$AN$23,1)+IF('Adjustment Surface'!$O13="",-1,1))-INDEX('Adjustment Surface'!$AN$4:$AN$23,MATCH(('Adjustment Surface'!$O12),'Adjustment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Surface'!$O12),'Adjustment Surface'!$AN$4:$AN$23,1)),$AN$4:$AN$23,0),MATCH(INDEX('Adjustment Surface'!$AO$3:$BH$3,1,MATCH(('Adjustment Surface'!AA$3),'Adjustment Surface'!$AO$3:$BH$3,1)),$AO$3:$BH$3,0))*(INDEX('Adjustment Surface'!$AN$4:$AN$23,MATCH(('Adjustment Surface'!$O12),'Adjustment Surface'!$AN$4:$AN$23,1)+IF('Adjustment Surface'!$O13="",-1,1))-'Adjustment Surface'!$O12)*(INDEX('Adjustment Surface'!$AO$3:$BH$3,1,MATCH(('Adjustment Surface'!AA$3),'Adjustment Surface'!$AO$3:$BH$3,1)+IF('Adjustment Surface'!AB$3="",-1,1))-'Adjustment Surface'!AA$3)+INDEX($AO$4:$BH$23,MATCH(INDEX('Adjustment Surface'!$AN$4:$AN$23,MATCH(('Adjustment Surface'!$O12),'Adjustment Surface'!$AN$4:$AN$23,1)+IF('Adjustment Surface'!$O13="",-1,1)),$AN$4:$AN$23,0),MATCH(INDEX('Adjustment Surface'!$AO$3:$BH$3,1,MATCH(('Adjustment Surface'!AA$3),'Adjustment Surface'!$AO$3:$BH$3,1)),$AO$3:$BH$3,0))*('Adjustment Surface'!$O12-INDEX('Adjustment Surface'!$AN$4:$AN$23,MATCH(('Adjustment Surface'!$O12),'Adjustment Surface'!$AN$4:$AN$23,1)))*(INDEX('Adjustment Surface'!$AO$3:$BH$3,1,MATCH(('Adjustment Surface'!AA$3),'Adjustment Surface'!$AO$3:$BH$3,1)+IF('Adjustment Surface'!AB$3="",-1,1))-'Adjustment Surface'!AA$3)+INDEX($AO$4:$BH$23,MATCH(INDEX('Adjustment Surface'!$AN$4:$AN$23,MATCH(('Adjustment Surface'!$O12),'Adjustment Surface'!$AN$4:$AN$23,1)),$AN$4:$AN$23,0),MATCH(INDEX('Adjustment Surface'!$AO$3:$BH$3,1,MATCH(('Adjustment Surface'!AA$3),'Adjustment Surface'!$AO$3:$BH$3,1)+IF('Adjustment Surface'!AB$3="",-1,1)),$AO$3:$BH$3,0))*(INDEX('Adjustment Surface'!$AN$4:$AN$23,MATCH(('Adjustment Surface'!$O12),'Adjustment Surface'!$AN$4:$AN$23,1)+IF('Adjustment Surface'!$O13="",-1,1))-'Adjustment Surface'!$O12)*('Adjustment Surface'!AA$3-INDEX('Adjustment Surface'!$AO$3:$BH$3,1,MATCH(('Adjustment Surface'!AA$3),'Adjustment Surface'!$AO$3:$BH$3,1)))+INDEX($AO$4:$BH$23,MATCH(INDEX('Adjustment Surface'!$AN$4:$AN$23,MATCH(('Adjustment Surface'!$O12),'Adjustment Surface'!$AN$4:$AN$23,1)+IF('Adjustment Surface'!$O13="",-1,1)),$AN$4:$AN$23,0),MATCH(INDEX('Adjustment Surface'!$AO$3:$BH$3,1,MATCH(('Adjustment Surface'!AA$3),'Adjustment Surface'!$AO$3:$BH$3,1)+IF('Adjustment Surface'!AB$3="",-1,1)),$AO$3:$BH$3,0))*('Adjustment Surface'!$O12-INDEX('Adjustment Surface'!$AN$4:$AN$23,MATCH(('Adjustment Surface'!$O12),'Adjustment Surface'!$AN$4:$AN$23,1)))*('Adjustment Surface'!AA$3-INDEX('Adjustment Surface'!$AO$3:$BH$3,1,MATCH(('Adjustment Surface'!AA$3),'Adjustment Surface'!$AO$3:$BH$3,1)))))</f>
        <v/>
      </c>
      <c r="AB12" s="181" t="str" cm="1">
        <f t="array" ref="AB12">IF(OR(AB$3="",$O12=""),"",1/((INDEX('Adjustment Surface'!$AN$4:$AN$23,MATCH(('Adjustment Surface'!$O12),'Adjustment Surface'!$AN$4:$AN$23,1)+IF('Adjustment Surface'!$O13="",-1,1))-INDEX('Adjustment Surface'!$AN$4:$AN$23,MATCH(('Adjustment Surface'!$O12),'Adjustment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Surface'!$O12),'Adjustment Surface'!$AN$4:$AN$23,1)),$AN$4:$AN$23,0),MATCH(INDEX('Adjustment Surface'!$AO$3:$BH$3,1,MATCH(('Adjustment Surface'!AB$3),'Adjustment Surface'!$AO$3:$BH$3,1)),$AO$3:$BH$3,0))*(INDEX('Adjustment Surface'!$AN$4:$AN$23,MATCH(('Adjustment Surface'!$O12),'Adjustment Surface'!$AN$4:$AN$23,1)+IF('Adjustment Surface'!$O13="",-1,1))-'Adjustment Surface'!$O12)*(INDEX('Adjustment Surface'!$AO$3:$BH$3,1,MATCH(('Adjustment Surface'!AB$3),'Adjustment Surface'!$AO$3:$BH$3,1)+IF('Adjustment Surface'!AC$3="",-1,1))-'Adjustment Surface'!AB$3)+INDEX($AO$4:$BH$23,MATCH(INDEX('Adjustment Surface'!$AN$4:$AN$23,MATCH(('Adjustment Surface'!$O12),'Adjustment Surface'!$AN$4:$AN$23,1)+IF('Adjustment Surface'!$O13="",-1,1)),$AN$4:$AN$23,0),MATCH(INDEX('Adjustment Surface'!$AO$3:$BH$3,1,MATCH(('Adjustment Surface'!AB$3),'Adjustment Surface'!$AO$3:$BH$3,1)),$AO$3:$BH$3,0))*('Adjustment Surface'!$O12-INDEX('Adjustment Surface'!$AN$4:$AN$23,MATCH(('Adjustment Surface'!$O12),'Adjustment Surface'!$AN$4:$AN$23,1)))*(INDEX('Adjustment Surface'!$AO$3:$BH$3,1,MATCH(('Adjustment Surface'!AB$3),'Adjustment Surface'!$AO$3:$BH$3,1)+IF('Adjustment Surface'!AC$3="",-1,1))-'Adjustment Surface'!AB$3)+INDEX($AO$4:$BH$23,MATCH(INDEX('Adjustment Surface'!$AN$4:$AN$23,MATCH(('Adjustment Surface'!$O12),'Adjustment Surface'!$AN$4:$AN$23,1)),$AN$4:$AN$23,0),MATCH(INDEX('Adjustment Surface'!$AO$3:$BH$3,1,MATCH(('Adjustment Surface'!AB$3),'Adjustment Surface'!$AO$3:$BH$3,1)+IF('Adjustment Surface'!AC$3="",-1,1)),$AO$3:$BH$3,0))*(INDEX('Adjustment Surface'!$AN$4:$AN$23,MATCH(('Adjustment Surface'!$O12),'Adjustment Surface'!$AN$4:$AN$23,1)+IF('Adjustment Surface'!$O13="",-1,1))-'Adjustment Surface'!$O12)*('Adjustment Surface'!AB$3-INDEX('Adjustment Surface'!$AO$3:$BH$3,1,MATCH(('Adjustment Surface'!AB$3),'Adjustment Surface'!$AO$3:$BH$3,1)))+INDEX($AO$4:$BH$23,MATCH(INDEX('Adjustment Surface'!$AN$4:$AN$23,MATCH(('Adjustment Surface'!$O12),'Adjustment Surface'!$AN$4:$AN$23,1)+IF('Adjustment Surface'!$O13="",-1,1)),$AN$4:$AN$23,0),MATCH(INDEX('Adjustment Surface'!$AO$3:$BH$3,1,MATCH(('Adjustment Surface'!AB$3),'Adjustment Surface'!$AO$3:$BH$3,1)+IF('Adjustment Surface'!AC$3="",-1,1)),$AO$3:$BH$3,0))*('Adjustment Surface'!$O12-INDEX('Adjustment Surface'!$AN$4:$AN$23,MATCH(('Adjustment Surface'!$O12),'Adjustment Surface'!$AN$4:$AN$23,1)))*('Adjustment Surface'!AB$3-INDEX('Adjustment Surface'!$AO$3:$BH$3,1,MATCH(('Adjustment Surface'!AB$3),'Adjustment Surface'!$AO$3:$BH$3,1)))))</f>
        <v/>
      </c>
      <c r="AC12" s="181" t="str" cm="1">
        <f t="array" ref="AC12">IF(OR(AC$3="",$O12=""),"",1/((INDEX('Adjustment Surface'!$AN$4:$AN$23,MATCH(('Adjustment Surface'!$O12),'Adjustment Surface'!$AN$4:$AN$23,1)+IF('Adjustment Surface'!$O13="",-1,1))-INDEX('Adjustment Surface'!$AN$4:$AN$23,MATCH(('Adjustment Surface'!$O12),'Adjustment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Surface'!$O12),'Adjustment Surface'!$AN$4:$AN$23,1)),$AN$4:$AN$23,0),MATCH(INDEX('Adjustment Surface'!$AO$3:$BH$3,1,MATCH(('Adjustment Surface'!AC$3),'Adjustment Surface'!$AO$3:$BH$3,1)),$AO$3:$BH$3,0))*(INDEX('Adjustment Surface'!$AN$4:$AN$23,MATCH(('Adjustment Surface'!$O12),'Adjustment Surface'!$AN$4:$AN$23,1)+IF('Adjustment Surface'!$O13="",-1,1))-'Adjustment Surface'!$O12)*(INDEX('Adjustment Surface'!$AO$3:$BH$3,1,MATCH(('Adjustment Surface'!AC$3),'Adjustment Surface'!$AO$3:$BH$3,1)+IF('Adjustment Surface'!AD$3="",-1,1))-'Adjustment Surface'!AC$3)+INDEX($AO$4:$BH$23,MATCH(INDEX('Adjustment Surface'!$AN$4:$AN$23,MATCH(('Adjustment Surface'!$O12),'Adjustment Surface'!$AN$4:$AN$23,1)+IF('Adjustment Surface'!$O13="",-1,1)),$AN$4:$AN$23,0),MATCH(INDEX('Adjustment Surface'!$AO$3:$BH$3,1,MATCH(('Adjustment Surface'!AC$3),'Adjustment Surface'!$AO$3:$BH$3,1)),$AO$3:$BH$3,0))*('Adjustment Surface'!$O12-INDEX('Adjustment Surface'!$AN$4:$AN$23,MATCH(('Adjustment Surface'!$O12),'Adjustment Surface'!$AN$4:$AN$23,1)))*(INDEX('Adjustment Surface'!$AO$3:$BH$3,1,MATCH(('Adjustment Surface'!AC$3),'Adjustment Surface'!$AO$3:$BH$3,1)+IF('Adjustment Surface'!AD$3="",-1,1))-'Adjustment Surface'!AC$3)+INDEX($AO$4:$BH$23,MATCH(INDEX('Adjustment Surface'!$AN$4:$AN$23,MATCH(('Adjustment Surface'!$O12),'Adjustment Surface'!$AN$4:$AN$23,1)),$AN$4:$AN$23,0),MATCH(INDEX('Adjustment Surface'!$AO$3:$BH$3,1,MATCH(('Adjustment Surface'!AC$3),'Adjustment Surface'!$AO$3:$BH$3,1)+IF('Adjustment Surface'!AD$3="",-1,1)),$AO$3:$BH$3,0))*(INDEX('Adjustment Surface'!$AN$4:$AN$23,MATCH(('Adjustment Surface'!$O12),'Adjustment Surface'!$AN$4:$AN$23,1)+IF('Adjustment Surface'!$O13="",-1,1))-'Adjustment Surface'!$O12)*('Adjustment Surface'!AC$3-INDEX('Adjustment Surface'!$AO$3:$BH$3,1,MATCH(('Adjustment Surface'!AC$3),'Adjustment Surface'!$AO$3:$BH$3,1)))+INDEX($AO$4:$BH$23,MATCH(INDEX('Adjustment Surface'!$AN$4:$AN$23,MATCH(('Adjustment Surface'!$O12),'Adjustment Surface'!$AN$4:$AN$23,1)+IF('Adjustment Surface'!$O13="",-1,1)),$AN$4:$AN$23,0),MATCH(INDEX('Adjustment Surface'!$AO$3:$BH$3,1,MATCH(('Adjustment Surface'!AC$3),'Adjustment Surface'!$AO$3:$BH$3,1)+IF('Adjustment Surface'!AD$3="",-1,1)),$AO$3:$BH$3,0))*('Adjustment Surface'!$O12-INDEX('Adjustment Surface'!$AN$4:$AN$23,MATCH(('Adjustment Surface'!$O12),'Adjustment Surface'!$AN$4:$AN$23,1)))*('Adjustment Surface'!AC$3-INDEX('Adjustment Surface'!$AO$3:$BH$3,1,MATCH(('Adjustment Surface'!AC$3),'Adjustment Surface'!$AO$3:$BH$3,1)))))</f>
        <v/>
      </c>
      <c r="AD12" s="181" t="str" cm="1">
        <f t="array" ref="AD12">IF(OR(AD$3="",$O12=""),"",1/((INDEX('Adjustment Surface'!$AN$4:$AN$23,MATCH(('Adjustment Surface'!$O12),'Adjustment Surface'!$AN$4:$AN$23,1)+IF('Adjustment Surface'!$O13="",-1,1))-INDEX('Adjustment Surface'!$AN$4:$AN$23,MATCH(('Adjustment Surface'!$O12),'Adjustment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Surface'!$O12),'Adjustment Surface'!$AN$4:$AN$23,1)),$AN$4:$AN$23,0),MATCH(INDEX('Adjustment Surface'!$AO$3:$BH$3,1,MATCH(('Adjustment Surface'!AD$3),'Adjustment Surface'!$AO$3:$BH$3,1)),$AO$3:$BH$3,0))*(INDEX('Adjustment Surface'!$AN$4:$AN$23,MATCH(('Adjustment Surface'!$O12),'Adjustment Surface'!$AN$4:$AN$23,1)+IF('Adjustment Surface'!$O13="",-1,1))-'Adjustment Surface'!$O12)*(INDEX('Adjustment Surface'!$AO$3:$BH$3,1,MATCH(('Adjustment Surface'!AD$3),'Adjustment Surface'!$AO$3:$BH$3,1)+IF('Adjustment Surface'!AE$3="",-1,1))-'Adjustment Surface'!AD$3)+INDEX($AO$4:$BH$23,MATCH(INDEX('Adjustment Surface'!$AN$4:$AN$23,MATCH(('Adjustment Surface'!$O12),'Adjustment Surface'!$AN$4:$AN$23,1)+IF('Adjustment Surface'!$O13="",-1,1)),$AN$4:$AN$23,0),MATCH(INDEX('Adjustment Surface'!$AO$3:$BH$3,1,MATCH(('Adjustment Surface'!AD$3),'Adjustment Surface'!$AO$3:$BH$3,1)),$AO$3:$BH$3,0))*('Adjustment Surface'!$O12-INDEX('Adjustment Surface'!$AN$4:$AN$23,MATCH(('Adjustment Surface'!$O12),'Adjustment Surface'!$AN$4:$AN$23,1)))*(INDEX('Adjustment Surface'!$AO$3:$BH$3,1,MATCH(('Adjustment Surface'!AD$3),'Adjustment Surface'!$AO$3:$BH$3,1)+IF('Adjustment Surface'!AE$3="",-1,1))-'Adjustment Surface'!AD$3)+INDEX($AO$4:$BH$23,MATCH(INDEX('Adjustment Surface'!$AN$4:$AN$23,MATCH(('Adjustment Surface'!$O12),'Adjustment Surface'!$AN$4:$AN$23,1)),$AN$4:$AN$23,0),MATCH(INDEX('Adjustment Surface'!$AO$3:$BH$3,1,MATCH(('Adjustment Surface'!AD$3),'Adjustment Surface'!$AO$3:$BH$3,1)+IF('Adjustment Surface'!AE$3="",-1,1)),$AO$3:$BH$3,0))*(INDEX('Adjustment Surface'!$AN$4:$AN$23,MATCH(('Adjustment Surface'!$O12),'Adjustment Surface'!$AN$4:$AN$23,1)+IF('Adjustment Surface'!$O13="",-1,1))-'Adjustment Surface'!$O12)*('Adjustment Surface'!AD$3-INDEX('Adjustment Surface'!$AO$3:$BH$3,1,MATCH(('Adjustment Surface'!AD$3),'Adjustment Surface'!$AO$3:$BH$3,1)))+INDEX($AO$4:$BH$23,MATCH(INDEX('Adjustment Surface'!$AN$4:$AN$23,MATCH(('Adjustment Surface'!$O12),'Adjustment Surface'!$AN$4:$AN$23,1)+IF('Adjustment Surface'!$O13="",-1,1)),$AN$4:$AN$23,0),MATCH(INDEX('Adjustment Surface'!$AO$3:$BH$3,1,MATCH(('Adjustment Surface'!AD$3),'Adjustment Surface'!$AO$3:$BH$3,1)+IF('Adjustment Surface'!AE$3="",-1,1)),$AO$3:$BH$3,0))*('Adjustment Surface'!$O12-INDEX('Adjustment Surface'!$AN$4:$AN$23,MATCH(('Adjustment Surface'!$O12),'Adjustment Surface'!$AN$4:$AN$23,1)))*('Adjustment Surface'!AD$3-INDEX('Adjustment Surface'!$AO$3:$BH$3,1,MATCH(('Adjustment Surface'!AD$3),'Adjustment Surface'!$AO$3:$BH$3,1)))))</f>
        <v/>
      </c>
      <c r="AE12" s="181" t="str" cm="1">
        <f t="array" ref="AE12">IF(OR(AE$3="",$O12=""),"",1/((INDEX('Adjustment Surface'!$AN$4:$AN$23,MATCH(('Adjustment Surface'!$O12),'Adjustment Surface'!$AN$4:$AN$23,1)+IF('Adjustment Surface'!$O13="",-1,1))-INDEX('Adjustment Surface'!$AN$4:$AN$23,MATCH(('Adjustment Surface'!$O12),'Adjustment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Surface'!$O12),'Adjustment Surface'!$AN$4:$AN$23,1)),$AN$4:$AN$23,0),MATCH(INDEX('Adjustment Surface'!$AO$3:$BH$3,1,MATCH(('Adjustment Surface'!AE$3),'Adjustment Surface'!$AO$3:$BH$3,1)),$AO$3:$BH$3,0))*(INDEX('Adjustment Surface'!$AN$4:$AN$23,MATCH(('Adjustment Surface'!$O12),'Adjustment Surface'!$AN$4:$AN$23,1)+IF('Adjustment Surface'!$O13="",-1,1))-'Adjustment Surface'!$O12)*(INDEX('Adjustment Surface'!$AO$3:$BH$3,1,MATCH(('Adjustment Surface'!AE$3),'Adjustment Surface'!$AO$3:$BH$3,1)+IF('Adjustment Surface'!AF$3="",-1,1))-'Adjustment Surface'!AE$3)+INDEX($AO$4:$BH$23,MATCH(INDEX('Adjustment Surface'!$AN$4:$AN$23,MATCH(('Adjustment Surface'!$O12),'Adjustment Surface'!$AN$4:$AN$23,1)+IF('Adjustment Surface'!$O13="",-1,1)),$AN$4:$AN$23,0),MATCH(INDEX('Adjustment Surface'!$AO$3:$BH$3,1,MATCH(('Adjustment Surface'!AE$3),'Adjustment Surface'!$AO$3:$BH$3,1)),$AO$3:$BH$3,0))*('Adjustment Surface'!$O12-INDEX('Adjustment Surface'!$AN$4:$AN$23,MATCH(('Adjustment Surface'!$O12),'Adjustment Surface'!$AN$4:$AN$23,1)))*(INDEX('Adjustment Surface'!$AO$3:$BH$3,1,MATCH(('Adjustment Surface'!AE$3),'Adjustment Surface'!$AO$3:$BH$3,1)+IF('Adjustment Surface'!AF$3="",-1,1))-'Adjustment Surface'!AE$3)+INDEX($AO$4:$BH$23,MATCH(INDEX('Adjustment Surface'!$AN$4:$AN$23,MATCH(('Adjustment Surface'!$O12),'Adjustment Surface'!$AN$4:$AN$23,1)),$AN$4:$AN$23,0),MATCH(INDEX('Adjustment Surface'!$AO$3:$BH$3,1,MATCH(('Adjustment Surface'!AE$3),'Adjustment Surface'!$AO$3:$BH$3,1)+IF('Adjustment Surface'!AF$3="",-1,1)),$AO$3:$BH$3,0))*(INDEX('Adjustment Surface'!$AN$4:$AN$23,MATCH(('Adjustment Surface'!$O12),'Adjustment Surface'!$AN$4:$AN$23,1)+IF('Adjustment Surface'!$O13="",-1,1))-'Adjustment Surface'!$O12)*('Adjustment Surface'!AE$3-INDEX('Adjustment Surface'!$AO$3:$BH$3,1,MATCH(('Adjustment Surface'!AE$3),'Adjustment Surface'!$AO$3:$BH$3,1)))+INDEX($AO$4:$BH$23,MATCH(INDEX('Adjustment Surface'!$AN$4:$AN$23,MATCH(('Adjustment Surface'!$O12),'Adjustment Surface'!$AN$4:$AN$23,1)+IF('Adjustment Surface'!$O13="",-1,1)),$AN$4:$AN$23,0),MATCH(INDEX('Adjustment Surface'!$AO$3:$BH$3,1,MATCH(('Adjustment Surface'!AE$3),'Adjustment Surface'!$AO$3:$BH$3,1)+IF('Adjustment Surface'!AF$3="",-1,1)),$AO$3:$BH$3,0))*('Adjustment Surface'!$O12-INDEX('Adjustment Surface'!$AN$4:$AN$23,MATCH(('Adjustment Surface'!$O12),'Adjustment Surface'!$AN$4:$AN$23,1)))*('Adjustment Surface'!AE$3-INDEX('Adjustment Surface'!$AO$3:$BH$3,1,MATCH(('Adjustment Surface'!AE$3),'Adjustment Surface'!$AO$3:$BH$3,1)))))</f>
        <v/>
      </c>
      <c r="AF12" s="181" t="str" cm="1">
        <f t="array" ref="AF12">IF(OR(AF$3="",$O12=""),"",1/((INDEX('Adjustment Surface'!$AN$4:$AN$23,MATCH(('Adjustment Surface'!$O12),'Adjustment Surface'!$AN$4:$AN$23,1)+IF('Adjustment Surface'!$O13="",-1,1))-INDEX('Adjustment Surface'!$AN$4:$AN$23,MATCH(('Adjustment Surface'!$O12),'Adjustment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Surface'!$O12),'Adjustment Surface'!$AN$4:$AN$23,1)),$AN$4:$AN$23,0),MATCH(INDEX('Adjustment Surface'!$AO$3:$BH$3,1,MATCH(('Adjustment Surface'!AF$3),'Adjustment Surface'!$AO$3:$BH$3,1)),$AO$3:$BH$3,0))*(INDEX('Adjustment Surface'!$AN$4:$AN$23,MATCH(('Adjustment Surface'!$O12),'Adjustment Surface'!$AN$4:$AN$23,1)+IF('Adjustment Surface'!$O13="",-1,1))-'Adjustment Surface'!$O12)*(INDEX('Adjustment Surface'!$AO$3:$BH$3,1,MATCH(('Adjustment Surface'!AF$3),'Adjustment Surface'!$AO$3:$BH$3,1)+IF('Adjustment Surface'!AG$3="",-1,1))-'Adjustment Surface'!AF$3)+INDEX($AO$4:$BH$23,MATCH(INDEX('Adjustment Surface'!$AN$4:$AN$23,MATCH(('Adjustment Surface'!$O12),'Adjustment Surface'!$AN$4:$AN$23,1)+IF('Adjustment Surface'!$O13="",-1,1)),$AN$4:$AN$23,0),MATCH(INDEX('Adjustment Surface'!$AO$3:$BH$3,1,MATCH(('Adjustment Surface'!AF$3),'Adjustment Surface'!$AO$3:$BH$3,1)),$AO$3:$BH$3,0))*('Adjustment Surface'!$O12-INDEX('Adjustment Surface'!$AN$4:$AN$23,MATCH(('Adjustment Surface'!$O12),'Adjustment Surface'!$AN$4:$AN$23,1)))*(INDEX('Adjustment Surface'!$AO$3:$BH$3,1,MATCH(('Adjustment Surface'!AF$3),'Adjustment Surface'!$AO$3:$BH$3,1)+IF('Adjustment Surface'!AG$3="",-1,1))-'Adjustment Surface'!AF$3)+INDEX($AO$4:$BH$23,MATCH(INDEX('Adjustment Surface'!$AN$4:$AN$23,MATCH(('Adjustment Surface'!$O12),'Adjustment Surface'!$AN$4:$AN$23,1)),$AN$4:$AN$23,0),MATCH(INDEX('Adjustment Surface'!$AO$3:$BH$3,1,MATCH(('Adjustment Surface'!AF$3),'Adjustment Surface'!$AO$3:$BH$3,1)+IF('Adjustment Surface'!AG$3="",-1,1)),$AO$3:$BH$3,0))*(INDEX('Adjustment Surface'!$AN$4:$AN$23,MATCH(('Adjustment Surface'!$O12),'Adjustment Surface'!$AN$4:$AN$23,1)+IF('Adjustment Surface'!$O13="",-1,1))-'Adjustment Surface'!$O12)*('Adjustment Surface'!AF$3-INDEX('Adjustment Surface'!$AO$3:$BH$3,1,MATCH(('Adjustment Surface'!AF$3),'Adjustment Surface'!$AO$3:$BH$3,1)))+INDEX($AO$4:$BH$23,MATCH(INDEX('Adjustment Surface'!$AN$4:$AN$23,MATCH(('Adjustment Surface'!$O12),'Adjustment Surface'!$AN$4:$AN$23,1)+IF('Adjustment Surface'!$O13="",-1,1)),$AN$4:$AN$23,0),MATCH(INDEX('Adjustment Surface'!$AO$3:$BH$3,1,MATCH(('Adjustment Surface'!AF$3),'Adjustment Surface'!$AO$3:$BH$3,1)+IF('Adjustment Surface'!AG$3="",-1,1)),$AO$3:$BH$3,0))*('Adjustment Surface'!$O12-INDEX('Adjustment Surface'!$AN$4:$AN$23,MATCH(('Adjustment Surface'!$O12),'Adjustment Surface'!$AN$4:$AN$23,1)))*('Adjustment Surface'!AF$3-INDEX('Adjustment Surface'!$AO$3:$BH$3,1,MATCH(('Adjustment Surface'!AF$3),'Adjustment Surface'!$AO$3:$BH$3,1)))))</f>
        <v/>
      </c>
      <c r="AG12" s="181" t="str" cm="1">
        <f t="array" ref="AG12">IF(OR(AG$3="",$O12=""),"",1/((INDEX('Adjustment Surface'!$AN$4:$AN$23,MATCH(('Adjustment Surface'!$O12),'Adjustment Surface'!$AN$4:$AN$23,1)+IF('Adjustment Surface'!$O13="",-1,1))-INDEX('Adjustment Surface'!$AN$4:$AN$23,MATCH(('Adjustment Surface'!$O12),'Adjustment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Surface'!$O12),'Adjustment Surface'!$AN$4:$AN$23,1)),$AN$4:$AN$23,0),MATCH(INDEX('Adjustment Surface'!$AO$3:$BH$3,1,MATCH(('Adjustment Surface'!AG$3),'Adjustment Surface'!$AO$3:$BH$3,1)),$AO$3:$BH$3,0))*(INDEX('Adjustment Surface'!$AN$4:$AN$23,MATCH(('Adjustment Surface'!$O12),'Adjustment Surface'!$AN$4:$AN$23,1)+IF('Adjustment Surface'!$O13="",-1,1))-'Adjustment Surface'!$O12)*(INDEX('Adjustment Surface'!$AO$3:$BH$3,1,MATCH(('Adjustment Surface'!AG$3),'Adjustment Surface'!$AO$3:$BH$3,1)+IF('Adjustment Surface'!AH$3="",-1,1))-'Adjustment Surface'!AG$3)+INDEX($AO$4:$BH$23,MATCH(INDEX('Adjustment Surface'!$AN$4:$AN$23,MATCH(('Adjustment Surface'!$O12),'Adjustment Surface'!$AN$4:$AN$23,1)+IF('Adjustment Surface'!$O13="",-1,1)),$AN$4:$AN$23,0),MATCH(INDEX('Adjustment Surface'!$AO$3:$BH$3,1,MATCH(('Adjustment Surface'!AG$3),'Adjustment Surface'!$AO$3:$BH$3,1)),$AO$3:$BH$3,0))*('Adjustment Surface'!$O12-INDEX('Adjustment Surface'!$AN$4:$AN$23,MATCH(('Adjustment Surface'!$O12),'Adjustment Surface'!$AN$4:$AN$23,1)))*(INDEX('Adjustment Surface'!$AO$3:$BH$3,1,MATCH(('Adjustment Surface'!AG$3),'Adjustment Surface'!$AO$3:$BH$3,1)+IF('Adjustment Surface'!AH$3="",-1,1))-'Adjustment Surface'!AG$3)+INDEX($AO$4:$BH$23,MATCH(INDEX('Adjustment Surface'!$AN$4:$AN$23,MATCH(('Adjustment Surface'!$O12),'Adjustment Surface'!$AN$4:$AN$23,1)),$AN$4:$AN$23,0),MATCH(INDEX('Adjustment Surface'!$AO$3:$BH$3,1,MATCH(('Adjustment Surface'!AG$3),'Adjustment Surface'!$AO$3:$BH$3,1)+IF('Adjustment Surface'!AH$3="",-1,1)),$AO$3:$BH$3,0))*(INDEX('Adjustment Surface'!$AN$4:$AN$23,MATCH(('Adjustment Surface'!$O12),'Adjustment Surface'!$AN$4:$AN$23,1)+IF('Adjustment Surface'!$O13="",-1,1))-'Adjustment Surface'!$O12)*('Adjustment Surface'!AG$3-INDEX('Adjustment Surface'!$AO$3:$BH$3,1,MATCH(('Adjustment Surface'!AG$3),'Adjustment Surface'!$AO$3:$BH$3,1)))+INDEX($AO$4:$BH$23,MATCH(INDEX('Adjustment Surface'!$AN$4:$AN$23,MATCH(('Adjustment Surface'!$O12),'Adjustment Surface'!$AN$4:$AN$23,1)+IF('Adjustment Surface'!$O13="",-1,1)),$AN$4:$AN$23,0),MATCH(INDEX('Adjustment Surface'!$AO$3:$BH$3,1,MATCH(('Adjustment Surface'!AG$3),'Adjustment Surface'!$AO$3:$BH$3,1)+IF('Adjustment Surface'!AH$3="",-1,1)),$AO$3:$BH$3,0))*('Adjustment Surface'!$O12-INDEX('Adjustment Surface'!$AN$4:$AN$23,MATCH(('Adjustment Surface'!$O12),'Adjustment Surface'!$AN$4:$AN$23,1)))*('Adjustment Surface'!AG$3-INDEX('Adjustment Surface'!$AO$3:$BH$3,1,MATCH(('Adjustment Surface'!AG$3),'Adjustment Surface'!$AO$3:$BH$3,1)))))</f>
        <v/>
      </c>
      <c r="AH12" s="181" t="str" cm="1">
        <f t="array" ref="AH12">IF(OR(AH$3="",$O12=""),"",1/((INDEX('Adjustment Surface'!$AN$4:$AN$23,MATCH(('Adjustment Surface'!$O12),'Adjustment Surface'!$AN$4:$AN$23,1)+IF('Adjustment Surface'!$O13="",-1,1))-INDEX('Adjustment Surface'!$AN$4:$AN$23,MATCH(('Adjustment Surface'!$O12),'Adjustment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Surface'!$O12),'Adjustment Surface'!$AN$4:$AN$23,1)),$AN$4:$AN$23,0),MATCH(INDEX('Adjustment Surface'!$AO$3:$BH$3,1,MATCH(('Adjustment Surface'!AH$3),'Adjustment Surface'!$AO$3:$BH$3,1)),$AO$3:$BH$3,0))*(INDEX('Adjustment Surface'!$AN$4:$AN$23,MATCH(('Adjustment Surface'!$O12),'Adjustment Surface'!$AN$4:$AN$23,1)+IF('Adjustment Surface'!$O13="",-1,1))-'Adjustment Surface'!$O12)*(INDEX('Adjustment Surface'!$AO$3:$BH$3,1,MATCH(('Adjustment Surface'!AH$3),'Adjustment Surface'!$AO$3:$BH$3,1)+IF('Adjustment Surface'!AI$3="",-1,1))-'Adjustment Surface'!AH$3)+INDEX($AO$4:$BH$23,MATCH(INDEX('Adjustment Surface'!$AN$4:$AN$23,MATCH(('Adjustment Surface'!$O12),'Adjustment Surface'!$AN$4:$AN$23,1)+IF('Adjustment Surface'!$O13="",-1,1)),$AN$4:$AN$23,0),MATCH(INDEX('Adjustment Surface'!$AO$3:$BH$3,1,MATCH(('Adjustment Surface'!AH$3),'Adjustment Surface'!$AO$3:$BH$3,1)),$AO$3:$BH$3,0))*('Adjustment Surface'!$O12-INDEX('Adjustment Surface'!$AN$4:$AN$23,MATCH(('Adjustment Surface'!$O12),'Adjustment Surface'!$AN$4:$AN$23,1)))*(INDEX('Adjustment Surface'!$AO$3:$BH$3,1,MATCH(('Adjustment Surface'!AH$3),'Adjustment Surface'!$AO$3:$BH$3,1)+IF('Adjustment Surface'!AI$3="",-1,1))-'Adjustment Surface'!AH$3)+INDEX($AO$4:$BH$23,MATCH(INDEX('Adjustment Surface'!$AN$4:$AN$23,MATCH(('Adjustment Surface'!$O12),'Adjustment Surface'!$AN$4:$AN$23,1)),$AN$4:$AN$23,0),MATCH(INDEX('Adjustment Surface'!$AO$3:$BH$3,1,MATCH(('Adjustment Surface'!AH$3),'Adjustment Surface'!$AO$3:$BH$3,1)+IF('Adjustment Surface'!AI$3="",-1,1)),$AO$3:$BH$3,0))*(INDEX('Adjustment Surface'!$AN$4:$AN$23,MATCH(('Adjustment Surface'!$O12),'Adjustment Surface'!$AN$4:$AN$23,1)+IF('Adjustment Surface'!$O13="",-1,1))-'Adjustment Surface'!$O12)*('Adjustment Surface'!AH$3-INDEX('Adjustment Surface'!$AO$3:$BH$3,1,MATCH(('Adjustment Surface'!AH$3),'Adjustment Surface'!$AO$3:$BH$3,1)))+INDEX($AO$4:$BH$23,MATCH(INDEX('Adjustment Surface'!$AN$4:$AN$23,MATCH(('Adjustment Surface'!$O12),'Adjustment Surface'!$AN$4:$AN$23,1)+IF('Adjustment Surface'!$O13="",-1,1)),$AN$4:$AN$23,0),MATCH(INDEX('Adjustment Surface'!$AO$3:$BH$3,1,MATCH(('Adjustment Surface'!AH$3),'Adjustment Surface'!$AO$3:$BH$3,1)+IF('Adjustment Surface'!AI$3="",-1,1)),$AO$3:$BH$3,0))*('Adjustment Surface'!$O12-INDEX('Adjustment Surface'!$AN$4:$AN$23,MATCH(('Adjustment Surface'!$O12),'Adjustment Surface'!$AN$4:$AN$23,1)))*('Adjustment Surface'!AH$3-INDEX('Adjustment Surface'!$AO$3:$BH$3,1,MATCH(('Adjustment Surface'!AH$3),'Adjustment Surface'!$AO$3:$BH$3,1)))))</f>
        <v/>
      </c>
      <c r="AI12" s="182" t="str" cm="1">
        <f t="array" ref="AI12">IF(OR(AI$3="",$O12=""),"",1/((INDEX('Adjustment Surface'!$AN$4:$AN$23,MATCH(('Adjustment Surface'!$O12),'Adjustment Surface'!$AN$4:$AN$23,1)+IF('Adjustment Surface'!$O13="",-1,1))-INDEX('Adjustment Surface'!$AN$4:$AN$23,MATCH(('Adjustment Surface'!$O12),'Adjustment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Surface'!$O12),'Adjustment Surface'!$AN$4:$AN$23,1)),$AN$4:$AN$23,0),MATCH(INDEX('Adjustment Surface'!$AO$3:$BH$3,1,MATCH(('Adjustment Surface'!AI$3),'Adjustment Surface'!$AO$3:$BH$3,1)),$AO$3:$BH$3,0))*(INDEX('Adjustment Surface'!$AN$4:$AN$23,MATCH(('Adjustment Surface'!$O12),'Adjustment Surface'!$AN$4:$AN$23,1)+IF('Adjustment Surface'!$O13="",-1,1))-'Adjustment Surface'!$O12)*(INDEX('Adjustment Surface'!$AO$3:$BH$3,1,MATCH(('Adjustment Surface'!AI$3),'Adjustment Surface'!$AO$3:$BH$3,1)+IF('Adjustment Surface'!AJ$3="",-1,1))-'Adjustment Surface'!AI$3)+INDEX($AO$4:$BH$23,MATCH(INDEX('Adjustment Surface'!$AN$4:$AN$23,MATCH(('Adjustment Surface'!$O12),'Adjustment Surface'!$AN$4:$AN$23,1)+IF('Adjustment Surface'!$O13="",-1,1)),$AN$4:$AN$23,0),MATCH(INDEX('Adjustment Surface'!$AO$3:$BH$3,1,MATCH(('Adjustment Surface'!AI$3),'Adjustment Surface'!$AO$3:$BH$3,1)),$AO$3:$BH$3,0))*('Adjustment Surface'!$O12-INDEX('Adjustment Surface'!$AN$4:$AN$23,MATCH(('Adjustment Surface'!$O12),'Adjustment Surface'!$AN$4:$AN$23,1)))*(INDEX('Adjustment Surface'!$AO$3:$BH$3,1,MATCH(('Adjustment Surface'!AI$3),'Adjustment Surface'!$AO$3:$BH$3,1)+IF('Adjustment Surface'!AJ$3="",-1,1))-'Adjustment Surface'!AI$3)+INDEX($AO$4:$BH$23,MATCH(INDEX('Adjustment Surface'!$AN$4:$AN$23,MATCH(('Adjustment Surface'!$O12),'Adjustment Surface'!$AN$4:$AN$23,1)),$AN$4:$AN$23,0),MATCH(INDEX('Adjustment Surface'!$AO$3:$BH$3,1,MATCH(('Adjustment Surface'!AI$3),'Adjustment Surface'!$AO$3:$BH$3,1)+IF('Adjustment Surface'!AJ$3="",-1,1)),$AO$3:$BH$3,0))*(INDEX('Adjustment Surface'!$AN$4:$AN$23,MATCH(('Adjustment Surface'!$O12),'Adjustment Surface'!$AN$4:$AN$23,1)+IF('Adjustment Surface'!$O13="",-1,1))-'Adjustment Surface'!$O12)*('Adjustment Surface'!AI$3-INDEX('Adjustment Surface'!$AO$3:$BH$3,1,MATCH(('Adjustment Surface'!AI$3),'Adjustment Surface'!$AO$3:$BH$3,1)))+INDEX($AO$4:$BH$23,MATCH(INDEX('Adjustment Surface'!$AN$4:$AN$23,MATCH(('Adjustment Surface'!$O12),'Adjustment Surface'!$AN$4:$AN$23,1)+IF('Adjustment Surface'!$O13="",-1,1)),$AN$4:$AN$23,0),MATCH(INDEX('Adjustment Surface'!$AO$3:$BH$3,1,MATCH(('Adjustment Surface'!AI$3),'Adjustment Surface'!$AO$3:$BH$3,1)+IF('Adjustment Surface'!AJ$3="",-1,1)),$AO$3:$BH$3,0))*('Adjustment Surface'!$O12-INDEX('Adjustment Surface'!$AN$4:$AN$23,MATCH(('Adjustment Surface'!$O12),'Adjustment Surface'!$AN$4:$AN$23,1)))*('Adjustment Surface'!AI$3-INDEX('Adjustment Surface'!$AO$3:$BH$3,1,MATCH(('Adjustment Surface'!AI$3),'Adjustment Surface'!$AO$3:$BH$3,1)))))</f>
        <v/>
      </c>
      <c r="AK12" s="203">
        <f>IF(OR(AK11=IF('Adjustment Surface'!$C$2='Data Validation'!$A$2,_xlfn.FLOOR.MATH(MAX('Bank Adjustments'!$C$4:$C$103),0.5%,2),IF('Adjustment Surface'!$C$2='Data Validation'!$A$3,_xlfn.FLOOR.MATH(MAX('Bank Adjustments'!$M$4:$M$103),0.5%,2),"Uknown Option Type")),AK11=""),"",AK11+0.5%)</f>
        <v>5.9999999999999991E-2</v>
      </c>
      <c r="AL12" s="204">
        <f>IF(OR(AL11=IF('Adjustment Surface'!$C$2='Data Validation'!$A$2,IF(EDATE('Rate &amp; Vol Update'!$C$2,_xlfn.FLOOR.MATH(DATEDIF('Rate &amp; Vol Update'!$C$2,MAX('Bank Adjustments'!$E$4:$E$103),"M"),3,2))&gt;MAX('Bank Adjustments'!$E$4:$E$103),EDATE('Rate &amp; Vol Update'!$C$2,_xlfn.FLOOR.MATH(DATEDIF('Rate &amp; Vol Update'!$C$2,MAX('Bank Adjustments'!$E$4:$E$103),"M")-3,3,2)),EDATE('Rate &amp; Vol Update'!$C$2,_xlfn.FLOOR.MATH(DATEDIF('Rate &amp; Vol Update'!$C$2,MAX('Bank Adjustments'!$E$4:$E$103),"M"),3,2))),IF('Adjustment Surface'!$C$2='Data Validation'!$A$3,IF(EDATE('Rate &amp; Vol Update'!$C$2,_xlfn.FLOOR.MATH(DATEDIF('Rate &amp; Vol Update'!$C$2,MAX('Bank Adjustments'!$O$4:$O$103),"M"),3,2))&gt;MAX('Bank Adjustments'!$O$4:$O$103),EDATE('Rate &amp; Vol Update'!$C$2,_xlfn.FLOOR.MATH(DATEDIF('Rate &amp; Vol Update'!$C$2,MAX('Bank Adjustments'!$O$4:$O$103),"M")-3,3,2)),EDATE('Rate &amp; Vol Update'!$C$2,_xlfn.FLOOR.MATH(DATEDIF('Rate &amp; Vol Update'!$C$2,MAX('Bank Adjustments'!$O$4:$O$103),"M"),3,2))),"Unkown Option Type")),AL11=""),"",EDATE(AL11,3))</f>
        <v>47160</v>
      </c>
      <c r="AN12" s="176"/>
      <c r="AO12" s="180" t="str" cm="1">
        <f t="array" ref="AO12">IF(OR(AO$3="",$AN12=""),"",INDEX(IF($C$2='Data Validation'!$A$2,'Bank Adjustments'!$H$4:$H$103,IF('Adjustment Surface'!$C$2='Data Validation'!$A$3,'Bank Adjustments'!$R$4:$R$103,"Unknown Option Type")),MATCH(1,($AN12=IF($C$2='Data Validation'!$A$2,'Bank Adjustments'!$C$4:$C$103,IF('Adjustment Surface'!$C$2='Data Validation'!$A$3,'Bank Adjustments'!$M$4:$M$103,"Unknown Option Type")))*(AO$3=IF($C$2='Data Validation'!$A$2,'Bank Adjustments'!$E$4:$E$103,IF('Adjustment Surface'!$C$2='Data Validation'!$A$3,'Bank Adjustments'!$O$4:$O$103,"Unknown Option Type"))),0)))</f>
        <v/>
      </c>
      <c r="AP12" s="181" t="str" cm="1">
        <f t="array" ref="AP12">IF(OR(AP$3="",$AN12=""),"",INDEX(IF($C$2='Data Validation'!$A$2,'Bank Adjustments'!$H$4:$H$103,IF('Adjustment Surface'!$C$2='Data Validation'!$A$3,'Bank Adjustments'!$R$4:$R$103,"Unknown Option Type")),MATCH(1,($AN12=IF($C$2='Data Validation'!$A$2,'Bank Adjustments'!$C$4:$C$103,IF('Adjustment Surface'!$C$2='Data Validation'!$A$3,'Bank Adjustments'!$M$4:$M$103,"Unknown Option Type")))*(AP$3=IF($C$2='Data Validation'!$A$2,'Bank Adjustments'!$E$4:$E$103,IF('Adjustment Surface'!$C$2='Data Validation'!$A$3,'Bank Adjustments'!$O$4:$O$103,"Unknown Option Type"))),0)))</f>
        <v/>
      </c>
      <c r="AQ12" s="181" t="str" cm="1">
        <f t="array" ref="AQ12">IF(OR(AQ$3="",$AN12=""),"",INDEX(IF($C$2='Data Validation'!$A$2,'Bank Adjustments'!$H$4:$H$103,IF('Adjustment Surface'!$C$2='Data Validation'!$A$3,'Bank Adjustments'!$R$4:$R$103,"Unknown Option Type")),MATCH(1,($AN12=IF($C$2='Data Validation'!$A$2,'Bank Adjustments'!$C$4:$C$103,IF('Adjustment Surface'!$C$2='Data Validation'!$A$3,'Bank Adjustments'!$M$4:$M$103,"Unknown Option Type")))*(AQ$3=IF($C$2='Data Validation'!$A$2,'Bank Adjustments'!$E$4:$E$103,IF('Adjustment Surface'!$C$2='Data Validation'!$A$3,'Bank Adjustments'!$O$4:$O$103,"Unknown Option Type"))),0)))</f>
        <v/>
      </c>
      <c r="AR12" s="181" t="str" cm="1">
        <f t="array" ref="AR12">IF(OR(AR$3="",$AN12=""),"",INDEX(IF($C$2='Data Validation'!$A$2,'Bank Adjustments'!$H$4:$H$103,IF('Adjustment Surface'!$C$2='Data Validation'!$A$3,'Bank Adjustments'!$R$4:$R$103,"Unknown Option Type")),MATCH(1,($AN12=IF($C$2='Data Validation'!$A$2,'Bank Adjustments'!$C$4:$C$103,IF('Adjustment Surface'!$C$2='Data Validation'!$A$3,'Bank Adjustments'!$M$4:$M$103,"Unknown Option Type")))*(AR$3=IF($C$2='Data Validation'!$A$2,'Bank Adjustments'!$E$4:$E$103,IF('Adjustment Surface'!$C$2='Data Validation'!$A$3,'Bank Adjustments'!$O$4:$O$103,"Unknown Option Type"))),0)))</f>
        <v/>
      </c>
      <c r="AS12" s="181" t="str" cm="1">
        <f t="array" ref="AS12">IF(OR(AS$3="",$AN12=""),"",INDEX(IF($C$2='Data Validation'!$A$2,'Bank Adjustments'!$H$4:$H$103,IF('Adjustment Surface'!$C$2='Data Validation'!$A$3,'Bank Adjustments'!$R$4:$R$103,"Unknown Option Type")),MATCH(1,($AN12=IF($C$2='Data Validation'!$A$2,'Bank Adjustments'!$C$4:$C$103,IF('Adjustment Surface'!$C$2='Data Validation'!$A$3,'Bank Adjustments'!$M$4:$M$103,"Unknown Option Type")))*(AS$3=IF($C$2='Data Validation'!$A$2,'Bank Adjustments'!$E$4:$E$103,IF('Adjustment Surface'!$C$2='Data Validation'!$A$3,'Bank Adjustments'!$O$4:$O$103,"Unknown Option Type"))),0)))</f>
        <v/>
      </c>
      <c r="AT12" s="181" t="str" cm="1">
        <f t="array" ref="AT12">IF(OR(AT$3="",$AN12=""),"",INDEX(IF($C$2='Data Validation'!$A$2,'Bank Adjustments'!$H$4:$H$103,IF('Adjustment Surface'!$C$2='Data Validation'!$A$3,'Bank Adjustments'!$R$4:$R$103,"Unknown Option Type")),MATCH(1,($AN12=IF($C$2='Data Validation'!$A$2,'Bank Adjustments'!$C$4:$C$103,IF('Adjustment Surface'!$C$2='Data Validation'!$A$3,'Bank Adjustments'!$M$4:$M$103,"Unknown Option Type")))*(AT$3=IF($C$2='Data Validation'!$A$2,'Bank Adjustments'!$E$4:$E$103,IF('Adjustment Surface'!$C$2='Data Validation'!$A$3,'Bank Adjustments'!$O$4:$O$103,"Unknown Option Type"))),0)))</f>
        <v/>
      </c>
      <c r="AU12" s="181" t="str" cm="1">
        <f t="array" ref="AU12">IF(OR(AU$3="",$AN12=""),"",INDEX(IF($C$2='Data Validation'!$A$2,'Bank Adjustments'!$H$4:$H$103,IF('Adjustment Surface'!$C$2='Data Validation'!$A$3,'Bank Adjustments'!$R$4:$R$103,"Unknown Option Type")),MATCH(1,($AN12=IF($C$2='Data Validation'!$A$2,'Bank Adjustments'!$C$4:$C$103,IF('Adjustment Surface'!$C$2='Data Validation'!$A$3,'Bank Adjustments'!$M$4:$M$103,"Unknown Option Type")))*(AU$3=IF($C$2='Data Validation'!$A$2,'Bank Adjustments'!$E$4:$E$103,IF('Adjustment Surface'!$C$2='Data Validation'!$A$3,'Bank Adjustments'!$O$4:$O$103,"Unknown Option Type"))),0)))</f>
        <v/>
      </c>
      <c r="AV12" s="181" t="str" cm="1">
        <f t="array" ref="AV12">IF(OR(AV$3="",$AN12=""),"",INDEX(IF($C$2='Data Validation'!$A$2,'Bank Adjustments'!$H$4:$H$103,IF('Adjustment Surface'!$C$2='Data Validation'!$A$3,'Bank Adjustments'!$R$4:$R$103,"Unknown Option Type")),MATCH(1,($AN12=IF($C$2='Data Validation'!$A$2,'Bank Adjustments'!$C$4:$C$103,IF('Adjustment Surface'!$C$2='Data Validation'!$A$3,'Bank Adjustments'!$M$4:$M$103,"Unknown Option Type")))*(AV$3=IF($C$2='Data Validation'!$A$2,'Bank Adjustments'!$E$4:$E$103,IF('Adjustment Surface'!$C$2='Data Validation'!$A$3,'Bank Adjustments'!$O$4:$O$103,"Unknown Option Type"))),0)))</f>
        <v/>
      </c>
      <c r="AW12" s="181" t="str" cm="1">
        <f t="array" ref="AW12">IF(OR(AW$3="",$AN12=""),"",INDEX(IF($C$2='Data Validation'!$A$2,'Bank Adjustments'!$H$4:$H$103,IF('Adjustment Surface'!$C$2='Data Validation'!$A$3,'Bank Adjustments'!$R$4:$R$103,"Unknown Option Type")),MATCH(1,($AN12=IF($C$2='Data Validation'!$A$2,'Bank Adjustments'!$C$4:$C$103,IF('Adjustment Surface'!$C$2='Data Validation'!$A$3,'Bank Adjustments'!$M$4:$M$103,"Unknown Option Type")))*(AW$3=IF($C$2='Data Validation'!$A$2,'Bank Adjustments'!$E$4:$E$103,IF('Adjustment Surface'!$C$2='Data Validation'!$A$3,'Bank Adjustments'!$O$4:$O$103,"Unknown Option Type"))),0)))</f>
        <v/>
      </c>
      <c r="AX12" s="181" t="str" cm="1">
        <f t="array" ref="AX12">IF(OR(AX$3="",$AN12=""),"",INDEX(IF($C$2='Data Validation'!$A$2,'Bank Adjustments'!$H$4:$H$103,IF('Adjustment Surface'!$C$2='Data Validation'!$A$3,'Bank Adjustments'!$R$4:$R$103,"Unknown Option Type")),MATCH(1,($AN12=IF($C$2='Data Validation'!$A$2,'Bank Adjustments'!$C$4:$C$103,IF('Adjustment Surface'!$C$2='Data Validation'!$A$3,'Bank Adjustments'!$M$4:$M$103,"Unknown Option Type")))*(AX$3=IF($C$2='Data Validation'!$A$2,'Bank Adjustments'!$E$4:$E$103,IF('Adjustment Surface'!$C$2='Data Validation'!$A$3,'Bank Adjustments'!$O$4:$O$103,"Unknown Option Type"))),0)))</f>
        <v/>
      </c>
      <c r="AY12" s="181" t="str" cm="1">
        <f t="array" ref="AY12">IF(OR(AY$3="",$AN12=""),"",INDEX(IF($C$2='Data Validation'!$A$2,'Bank Adjustments'!$H$4:$H$103,IF('Adjustment Surface'!$C$2='Data Validation'!$A$3,'Bank Adjustments'!$R$4:$R$103,"Unknown Option Type")),MATCH(1,($AN12=IF($C$2='Data Validation'!$A$2,'Bank Adjustments'!$C$4:$C$103,IF('Adjustment Surface'!$C$2='Data Validation'!$A$3,'Bank Adjustments'!$M$4:$M$103,"Unknown Option Type")))*(AY$3=IF($C$2='Data Validation'!$A$2,'Bank Adjustments'!$E$4:$E$103,IF('Adjustment Surface'!$C$2='Data Validation'!$A$3,'Bank Adjustments'!$O$4:$O$103,"Unknown Option Type"))),0)))</f>
        <v/>
      </c>
      <c r="AZ12" s="181" t="str" cm="1">
        <f t="array" ref="AZ12">IF(OR(AZ$3="",$AN12=""),"",INDEX(IF($C$2='Data Validation'!$A$2,'Bank Adjustments'!$H$4:$H$103,IF('Adjustment Surface'!$C$2='Data Validation'!$A$3,'Bank Adjustments'!$R$4:$R$103,"Unknown Option Type")),MATCH(1,($AN12=IF($C$2='Data Validation'!$A$2,'Bank Adjustments'!$C$4:$C$103,IF('Adjustment Surface'!$C$2='Data Validation'!$A$3,'Bank Adjustments'!$M$4:$M$103,"Unknown Option Type")))*(AZ$3=IF($C$2='Data Validation'!$A$2,'Bank Adjustments'!$E$4:$E$103,IF('Adjustment Surface'!$C$2='Data Validation'!$A$3,'Bank Adjustments'!$O$4:$O$103,"Unknown Option Type"))),0)))</f>
        <v/>
      </c>
      <c r="BA12" s="181" t="str" cm="1">
        <f t="array" ref="BA12">IF(OR(BA$3="",$AN12=""),"",INDEX(IF($C$2='Data Validation'!$A$2,'Bank Adjustments'!$H$4:$H$103,IF('Adjustment Surface'!$C$2='Data Validation'!$A$3,'Bank Adjustments'!$R$4:$R$103,"Unknown Option Type")),MATCH(1,($AN12=IF($C$2='Data Validation'!$A$2,'Bank Adjustments'!$C$4:$C$103,IF('Adjustment Surface'!$C$2='Data Validation'!$A$3,'Bank Adjustments'!$M$4:$M$103,"Unknown Option Type")))*(BA$3=IF($C$2='Data Validation'!$A$2,'Bank Adjustments'!$E$4:$E$103,IF('Adjustment Surface'!$C$2='Data Validation'!$A$3,'Bank Adjustments'!$O$4:$O$103,"Unknown Option Type"))),0)))</f>
        <v/>
      </c>
      <c r="BB12" s="181" t="str" cm="1">
        <f t="array" ref="BB12">IF(OR(BB$3="",$AN12=""),"",INDEX(IF($C$2='Data Validation'!$A$2,'Bank Adjustments'!$H$4:$H$103,IF('Adjustment Surface'!$C$2='Data Validation'!$A$3,'Bank Adjustments'!$R$4:$R$103,"Unknown Option Type")),MATCH(1,($AN12=IF($C$2='Data Validation'!$A$2,'Bank Adjustments'!$C$4:$C$103,IF('Adjustment Surface'!$C$2='Data Validation'!$A$3,'Bank Adjustments'!$M$4:$M$103,"Unknown Option Type")))*(BB$3=IF($C$2='Data Validation'!$A$2,'Bank Adjustments'!$E$4:$E$103,IF('Adjustment Surface'!$C$2='Data Validation'!$A$3,'Bank Adjustments'!$O$4:$O$103,"Unknown Option Type"))),0)))</f>
        <v/>
      </c>
      <c r="BC12" s="181" t="str" cm="1">
        <f t="array" ref="BC12">IF(OR(BC$3="",$AN12=""),"",INDEX(IF($C$2='Data Validation'!$A$2,'Bank Adjustments'!$H$4:$H$103,IF('Adjustment Surface'!$C$2='Data Validation'!$A$3,'Bank Adjustments'!$R$4:$R$103,"Unknown Option Type")),MATCH(1,($AN12=IF($C$2='Data Validation'!$A$2,'Bank Adjustments'!$C$4:$C$103,IF('Adjustment Surface'!$C$2='Data Validation'!$A$3,'Bank Adjustments'!$M$4:$M$103,"Unknown Option Type")))*(BC$3=IF($C$2='Data Validation'!$A$2,'Bank Adjustments'!$E$4:$E$103,IF('Adjustment Surface'!$C$2='Data Validation'!$A$3,'Bank Adjustments'!$O$4:$O$103,"Unknown Option Type"))),0)))</f>
        <v/>
      </c>
      <c r="BD12" s="181" t="str" cm="1">
        <f t="array" ref="BD12">IF(OR(BD$3="",$AN12=""),"",INDEX(IF($C$2='Data Validation'!$A$2,'Bank Adjustments'!$H$4:$H$103,IF('Adjustment Surface'!$C$2='Data Validation'!$A$3,'Bank Adjustments'!$R$4:$R$103,"Unknown Option Type")),MATCH(1,($AN12=IF($C$2='Data Validation'!$A$2,'Bank Adjustments'!$C$4:$C$103,IF('Adjustment Surface'!$C$2='Data Validation'!$A$3,'Bank Adjustments'!$M$4:$M$103,"Unknown Option Type")))*(BD$3=IF($C$2='Data Validation'!$A$2,'Bank Adjustments'!$E$4:$E$103,IF('Adjustment Surface'!$C$2='Data Validation'!$A$3,'Bank Adjustments'!$O$4:$O$103,"Unknown Option Type"))),0)))</f>
        <v/>
      </c>
      <c r="BE12" s="181" t="str" cm="1">
        <f t="array" ref="BE12">IF(OR(BE$3="",$AN12=""),"",INDEX(IF($C$2='Data Validation'!$A$2,'Bank Adjustments'!$H$4:$H$103,IF('Adjustment Surface'!$C$2='Data Validation'!$A$3,'Bank Adjustments'!$R$4:$R$103,"Unknown Option Type")),MATCH(1,($AN12=IF($C$2='Data Validation'!$A$2,'Bank Adjustments'!$C$4:$C$103,IF('Adjustment Surface'!$C$2='Data Validation'!$A$3,'Bank Adjustments'!$M$4:$M$103,"Unknown Option Type")))*(BE$3=IF($C$2='Data Validation'!$A$2,'Bank Adjustments'!$E$4:$E$103,IF('Adjustment Surface'!$C$2='Data Validation'!$A$3,'Bank Adjustments'!$O$4:$O$103,"Unknown Option Type"))),0)))</f>
        <v/>
      </c>
      <c r="BF12" s="181" t="str" cm="1">
        <f t="array" ref="BF12">IF(OR(BF$3="",$AN12=""),"",INDEX(IF($C$2='Data Validation'!$A$2,'Bank Adjustments'!$H$4:$H$103,IF('Adjustment Surface'!$C$2='Data Validation'!$A$3,'Bank Adjustments'!$R$4:$R$103,"Unknown Option Type")),MATCH(1,($AN12=IF($C$2='Data Validation'!$A$2,'Bank Adjustments'!$C$4:$C$103,IF('Adjustment Surface'!$C$2='Data Validation'!$A$3,'Bank Adjustments'!$M$4:$M$103,"Unknown Option Type")))*(BF$3=IF($C$2='Data Validation'!$A$2,'Bank Adjustments'!$E$4:$E$103,IF('Adjustment Surface'!$C$2='Data Validation'!$A$3,'Bank Adjustments'!$O$4:$O$103,"Unknown Option Type"))),0)))</f>
        <v/>
      </c>
      <c r="BG12" s="181" t="str" cm="1">
        <f t="array" ref="BG12">IF(OR(BG$3="",$AN12=""),"",INDEX(IF($C$2='Data Validation'!$A$2,'Bank Adjustments'!$H$4:$H$103,IF('Adjustment Surface'!$C$2='Data Validation'!$A$3,'Bank Adjustments'!$R$4:$R$103,"Unknown Option Type")),MATCH(1,($AN12=IF($C$2='Data Validation'!$A$2,'Bank Adjustments'!$C$4:$C$103,IF('Adjustment Surface'!$C$2='Data Validation'!$A$3,'Bank Adjustments'!$M$4:$M$103,"Unknown Option Type")))*(BG$3=IF($C$2='Data Validation'!$A$2,'Bank Adjustments'!$E$4:$E$103,IF('Adjustment Surface'!$C$2='Data Validation'!$A$3,'Bank Adjustments'!$O$4:$O$103,"Unknown Option Type"))),0)))</f>
        <v/>
      </c>
      <c r="BH12" s="182" t="str" cm="1">
        <f t="array" ref="BH12">IF(OR(BH$3="",$AN12=""),"",INDEX(IF($C$2='Data Validation'!$A$2,'Bank Adjustments'!$H$4:$H$103,IF('Adjustment Surface'!$C$2='Data Validation'!$A$3,'Bank Adjustments'!$R$4:$R$103,"Unknown Option Type")),MATCH(1,($AN12=IF($C$2='Data Validation'!$A$2,'Bank Adjustments'!$C$4:$C$103,IF('Adjustment Surface'!$C$2='Data Validation'!$A$3,'Bank Adjustments'!$M$4:$M$103,"Unknown Option Type")))*(BH$3=IF($C$2='Data Validation'!$A$2,'Bank Adjustments'!$E$4:$E$103,IF('Adjustment Surface'!$C$2='Data Validation'!$A$3,'Bank Adjustments'!$O$4:$O$103,"Unknown Option Type"))),0)))</f>
        <v/>
      </c>
    </row>
    <row r="13" spans="2:61" x14ac:dyDescent="0.25">
      <c r="B13" s="27" t="s">
        <v>63</v>
      </c>
      <c r="C13" s="11"/>
      <c r="D13" s="11"/>
      <c r="E13" s="11"/>
      <c r="F13" s="11"/>
      <c r="G13" s="55"/>
      <c r="H13" s="171"/>
      <c r="I13" s="61" t="str">
        <f t="shared" si="1"/>
        <v/>
      </c>
      <c r="J13" s="212" t="str">
        <f t="shared" si="1"/>
        <v/>
      </c>
      <c r="K13" s="212" t="str">
        <f t="shared" si="1"/>
        <v/>
      </c>
      <c r="L13" s="212" t="str">
        <f t="shared" si="1"/>
        <v/>
      </c>
      <c r="M13" s="63" t="str">
        <f t="shared" si="1"/>
        <v/>
      </c>
      <c r="O13" s="176"/>
      <c r="P13" s="180" t="str" cm="1">
        <f t="array" ref="P13">IF(OR(P$3="",$O13=""),"",1/((INDEX('Adjustment Surface'!$AN$4:$AN$23,MATCH(('Adjustment Surface'!$O13),'Adjustment Surface'!$AN$4:$AN$23,1)+IF('Adjustment Surface'!$O14="",-1,1))-INDEX('Adjustment Surface'!$AN$4:$AN$23,MATCH(('Adjustment Surface'!$O13),'Adjustment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Surface'!$O13),'Adjustment Surface'!$AN$4:$AN$23,1)),$AN$4:$AN$23,0),MATCH(INDEX('Adjustment Surface'!$AO$3:$BH$3,1,MATCH(('Adjustment Surface'!P$3),'Adjustment Surface'!$AO$3:$BH$3,1)),$AO$3:$BH$3,0))*(INDEX('Adjustment Surface'!$AN$4:$AN$23,MATCH(('Adjustment Surface'!$O13),'Adjustment Surface'!$AN$4:$AN$23,1)+IF('Adjustment Surface'!$O14="",-1,1))-'Adjustment Surface'!$O13)*(INDEX('Adjustment Surface'!$AO$3:$BH$3,1,MATCH(('Adjustment Surface'!P$3),'Adjustment Surface'!$AO$3:$BH$3,1)+IF('Adjustment Surface'!Q$3="",-1,1))-'Adjustment Surface'!P$3)+INDEX($AO$4:$BH$23,MATCH(INDEX('Adjustment Surface'!$AN$4:$AN$23,MATCH(('Adjustment Surface'!$O13),'Adjustment Surface'!$AN$4:$AN$23,1)+IF('Adjustment Surface'!$O14="",-1,1)),$AN$4:$AN$23,0),MATCH(INDEX('Adjustment Surface'!$AO$3:$BH$3,1,MATCH(('Adjustment Surface'!P$3),'Adjustment Surface'!$AO$3:$BH$3,1)),$AO$3:$BH$3,0))*('Adjustment Surface'!$O13-INDEX('Adjustment Surface'!$AN$4:$AN$23,MATCH(('Adjustment Surface'!$O13),'Adjustment Surface'!$AN$4:$AN$23,1)))*(INDEX('Adjustment Surface'!$AO$3:$BH$3,1,MATCH(('Adjustment Surface'!P$3),'Adjustment Surface'!$AO$3:$BH$3,1)+IF('Adjustment Surface'!Q$3="",-1,1))-'Adjustment Surface'!P$3)+INDEX($AO$4:$BH$23,MATCH(INDEX('Adjustment Surface'!$AN$4:$AN$23,MATCH(('Adjustment Surface'!$O13),'Adjustment Surface'!$AN$4:$AN$23,1)),$AN$4:$AN$23,0),MATCH(INDEX('Adjustment Surface'!$AO$3:$BH$3,1,MATCH(('Adjustment Surface'!P$3),'Adjustment Surface'!$AO$3:$BH$3,1)+IF('Adjustment Surface'!Q$3="",-1,1)),$AO$3:$BH$3,0))*(INDEX('Adjustment Surface'!$AN$4:$AN$23,MATCH(('Adjustment Surface'!$O13),'Adjustment Surface'!$AN$4:$AN$23,1)+IF('Adjustment Surface'!$O14="",-1,1))-'Adjustment Surface'!$O13)*('Adjustment Surface'!P$3-INDEX('Adjustment Surface'!$AO$3:$BH$3,1,MATCH(('Adjustment Surface'!P$3),'Adjustment Surface'!$AO$3:$BH$3,1)))+INDEX($AO$4:$BH$23,MATCH(INDEX('Adjustment Surface'!$AN$4:$AN$23,MATCH(('Adjustment Surface'!$O13),'Adjustment Surface'!$AN$4:$AN$23,1)+IF('Adjustment Surface'!$O14="",-1,1)),$AN$4:$AN$23,0),MATCH(INDEX('Adjustment Surface'!$AO$3:$BH$3,1,MATCH(('Adjustment Surface'!P$3),'Adjustment Surface'!$AO$3:$BH$3,1)+IF('Adjustment Surface'!Q$3="",-1,1)),$AO$3:$BH$3,0))*('Adjustment Surface'!$O13-INDEX('Adjustment Surface'!$AN$4:$AN$23,MATCH(('Adjustment Surface'!$O13),'Adjustment Surface'!$AN$4:$AN$23,1)))*('Adjustment Surface'!P$3-INDEX('Adjustment Surface'!$AO$3:$BH$3,1,MATCH(('Adjustment Surface'!P$3),'Adjustment Surface'!$AO$3:$BH$3,1)))))</f>
        <v/>
      </c>
      <c r="Q13" s="181" t="str" cm="1">
        <f t="array" ref="Q13">IF(OR(Q$3="",$O13=""),"",1/((INDEX('Adjustment Surface'!$AN$4:$AN$23,MATCH(('Adjustment Surface'!$O13),'Adjustment Surface'!$AN$4:$AN$23,1)+IF('Adjustment Surface'!$O14="",-1,1))-INDEX('Adjustment Surface'!$AN$4:$AN$23,MATCH(('Adjustment Surface'!$O13),'Adjustment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Surface'!$O13),'Adjustment Surface'!$AN$4:$AN$23,1)),$AN$4:$AN$23,0),MATCH(INDEX('Adjustment Surface'!$AO$3:$BH$3,1,MATCH(('Adjustment Surface'!Q$3),'Adjustment Surface'!$AO$3:$BH$3,1)),$AO$3:$BH$3,0))*(INDEX('Adjustment Surface'!$AN$4:$AN$23,MATCH(('Adjustment Surface'!$O13),'Adjustment Surface'!$AN$4:$AN$23,1)+IF('Adjustment Surface'!$O14="",-1,1))-'Adjustment Surface'!$O13)*(INDEX('Adjustment Surface'!$AO$3:$BH$3,1,MATCH(('Adjustment Surface'!Q$3),'Adjustment Surface'!$AO$3:$BH$3,1)+IF('Adjustment Surface'!R$3="",-1,1))-'Adjustment Surface'!Q$3)+INDEX($AO$4:$BH$23,MATCH(INDEX('Adjustment Surface'!$AN$4:$AN$23,MATCH(('Adjustment Surface'!$O13),'Adjustment Surface'!$AN$4:$AN$23,1)+IF('Adjustment Surface'!$O14="",-1,1)),$AN$4:$AN$23,0),MATCH(INDEX('Adjustment Surface'!$AO$3:$BH$3,1,MATCH(('Adjustment Surface'!Q$3),'Adjustment Surface'!$AO$3:$BH$3,1)),$AO$3:$BH$3,0))*('Adjustment Surface'!$O13-INDEX('Adjustment Surface'!$AN$4:$AN$23,MATCH(('Adjustment Surface'!$O13),'Adjustment Surface'!$AN$4:$AN$23,1)))*(INDEX('Adjustment Surface'!$AO$3:$BH$3,1,MATCH(('Adjustment Surface'!Q$3),'Adjustment Surface'!$AO$3:$BH$3,1)+IF('Adjustment Surface'!R$3="",-1,1))-'Adjustment Surface'!Q$3)+INDEX($AO$4:$BH$23,MATCH(INDEX('Adjustment Surface'!$AN$4:$AN$23,MATCH(('Adjustment Surface'!$O13),'Adjustment Surface'!$AN$4:$AN$23,1)),$AN$4:$AN$23,0),MATCH(INDEX('Adjustment Surface'!$AO$3:$BH$3,1,MATCH(('Adjustment Surface'!Q$3),'Adjustment Surface'!$AO$3:$BH$3,1)+IF('Adjustment Surface'!R$3="",-1,1)),$AO$3:$BH$3,0))*(INDEX('Adjustment Surface'!$AN$4:$AN$23,MATCH(('Adjustment Surface'!$O13),'Adjustment Surface'!$AN$4:$AN$23,1)+IF('Adjustment Surface'!$O14="",-1,1))-'Adjustment Surface'!$O13)*('Adjustment Surface'!Q$3-INDEX('Adjustment Surface'!$AO$3:$BH$3,1,MATCH(('Adjustment Surface'!Q$3),'Adjustment Surface'!$AO$3:$BH$3,1)))+INDEX($AO$4:$BH$23,MATCH(INDEX('Adjustment Surface'!$AN$4:$AN$23,MATCH(('Adjustment Surface'!$O13),'Adjustment Surface'!$AN$4:$AN$23,1)+IF('Adjustment Surface'!$O14="",-1,1)),$AN$4:$AN$23,0),MATCH(INDEX('Adjustment Surface'!$AO$3:$BH$3,1,MATCH(('Adjustment Surface'!Q$3),'Adjustment Surface'!$AO$3:$BH$3,1)+IF('Adjustment Surface'!R$3="",-1,1)),$AO$3:$BH$3,0))*('Adjustment Surface'!$O13-INDEX('Adjustment Surface'!$AN$4:$AN$23,MATCH(('Adjustment Surface'!$O13),'Adjustment Surface'!$AN$4:$AN$23,1)))*('Adjustment Surface'!Q$3-INDEX('Adjustment Surface'!$AO$3:$BH$3,1,MATCH(('Adjustment Surface'!Q$3),'Adjustment Surface'!$AO$3:$BH$3,1)))))</f>
        <v/>
      </c>
      <c r="R13" s="181" t="str" cm="1">
        <f t="array" ref="R13">IF(OR(R$3="",$O13=""),"",1/((INDEX('Adjustment Surface'!$AN$4:$AN$23,MATCH(('Adjustment Surface'!$O13),'Adjustment Surface'!$AN$4:$AN$23,1)+IF('Adjustment Surface'!$O14="",-1,1))-INDEX('Adjustment Surface'!$AN$4:$AN$23,MATCH(('Adjustment Surface'!$O13),'Adjustment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Surface'!$O13),'Adjustment Surface'!$AN$4:$AN$23,1)),$AN$4:$AN$23,0),MATCH(INDEX('Adjustment Surface'!$AO$3:$BH$3,1,MATCH(('Adjustment Surface'!R$3),'Adjustment Surface'!$AO$3:$BH$3,1)),$AO$3:$BH$3,0))*(INDEX('Adjustment Surface'!$AN$4:$AN$23,MATCH(('Adjustment Surface'!$O13),'Adjustment Surface'!$AN$4:$AN$23,1)+IF('Adjustment Surface'!$O14="",-1,1))-'Adjustment Surface'!$O13)*(INDEX('Adjustment Surface'!$AO$3:$BH$3,1,MATCH(('Adjustment Surface'!R$3),'Adjustment Surface'!$AO$3:$BH$3,1)+IF('Adjustment Surface'!S$3="",-1,1))-'Adjustment Surface'!R$3)+INDEX($AO$4:$BH$23,MATCH(INDEX('Adjustment Surface'!$AN$4:$AN$23,MATCH(('Adjustment Surface'!$O13),'Adjustment Surface'!$AN$4:$AN$23,1)+IF('Adjustment Surface'!$O14="",-1,1)),$AN$4:$AN$23,0),MATCH(INDEX('Adjustment Surface'!$AO$3:$BH$3,1,MATCH(('Adjustment Surface'!R$3),'Adjustment Surface'!$AO$3:$BH$3,1)),$AO$3:$BH$3,0))*('Adjustment Surface'!$O13-INDEX('Adjustment Surface'!$AN$4:$AN$23,MATCH(('Adjustment Surface'!$O13),'Adjustment Surface'!$AN$4:$AN$23,1)))*(INDEX('Adjustment Surface'!$AO$3:$BH$3,1,MATCH(('Adjustment Surface'!R$3),'Adjustment Surface'!$AO$3:$BH$3,1)+IF('Adjustment Surface'!S$3="",-1,1))-'Adjustment Surface'!R$3)+INDEX($AO$4:$BH$23,MATCH(INDEX('Adjustment Surface'!$AN$4:$AN$23,MATCH(('Adjustment Surface'!$O13),'Adjustment Surface'!$AN$4:$AN$23,1)),$AN$4:$AN$23,0),MATCH(INDEX('Adjustment Surface'!$AO$3:$BH$3,1,MATCH(('Adjustment Surface'!R$3),'Adjustment Surface'!$AO$3:$BH$3,1)+IF('Adjustment Surface'!S$3="",-1,1)),$AO$3:$BH$3,0))*(INDEX('Adjustment Surface'!$AN$4:$AN$23,MATCH(('Adjustment Surface'!$O13),'Adjustment Surface'!$AN$4:$AN$23,1)+IF('Adjustment Surface'!$O14="",-1,1))-'Adjustment Surface'!$O13)*('Adjustment Surface'!R$3-INDEX('Adjustment Surface'!$AO$3:$BH$3,1,MATCH(('Adjustment Surface'!R$3),'Adjustment Surface'!$AO$3:$BH$3,1)))+INDEX($AO$4:$BH$23,MATCH(INDEX('Adjustment Surface'!$AN$4:$AN$23,MATCH(('Adjustment Surface'!$O13),'Adjustment Surface'!$AN$4:$AN$23,1)+IF('Adjustment Surface'!$O14="",-1,1)),$AN$4:$AN$23,0),MATCH(INDEX('Adjustment Surface'!$AO$3:$BH$3,1,MATCH(('Adjustment Surface'!R$3),'Adjustment Surface'!$AO$3:$BH$3,1)+IF('Adjustment Surface'!S$3="",-1,1)),$AO$3:$BH$3,0))*('Adjustment Surface'!$O13-INDEX('Adjustment Surface'!$AN$4:$AN$23,MATCH(('Adjustment Surface'!$O13),'Adjustment Surface'!$AN$4:$AN$23,1)))*('Adjustment Surface'!R$3-INDEX('Adjustment Surface'!$AO$3:$BH$3,1,MATCH(('Adjustment Surface'!R$3),'Adjustment Surface'!$AO$3:$BH$3,1)))))</f>
        <v/>
      </c>
      <c r="S13" s="181" t="str" cm="1">
        <f t="array" ref="S13">IF(OR(S$3="",$O13=""),"",1/((INDEX('Adjustment Surface'!$AN$4:$AN$23,MATCH(('Adjustment Surface'!$O13),'Adjustment Surface'!$AN$4:$AN$23,1)+IF('Adjustment Surface'!$O14="",-1,1))-INDEX('Adjustment Surface'!$AN$4:$AN$23,MATCH(('Adjustment Surface'!$O13),'Adjustment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Surface'!$O13),'Adjustment Surface'!$AN$4:$AN$23,1)),$AN$4:$AN$23,0),MATCH(INDEX('Adjustment Surface'!$AO$3:$BH$3,1,MATCH(('Adjustment Surface'!S$3),'Adjustment Surface'!$AO$3:$BH$3,1)),$AO$3:$BH$3,0))*(INDEX('Adjustment Surface'!$AN$4:$AN$23,MATCH(('Adjustment Surface'!$O13),'Adjustment Surface'!$AN$4:$AN$23,1)+IF('Adjustment Surface'!$O14="",-1,1))-'Adjustment Surface'!$O13)*(INDEX('Adjustment Surface'!$AO$3:$BH$3,1,MATCH(('Adjustment Surface'!S$3),'Adjustment Surface'!$AO$3:$BH$3,1)+IF('Adjustment Surface'!T$3="",-1,1))-'Adjustment Surface'!S$3)+INDEX($AO$4:$BH$23,MATCH(INDEX('Adjustment Surface'!$AN$4:$AN$23,MATCH(('Adjustment Surface'!$O13),'Adjustment Surface'!$AN$4:$AN$23,1)+IF('Adjustment Surface'!$O14="",-1,1)),$AN$4:$AN$23,0),MATCH(INDEX('Adjustment Surface'!$AO$3:$BH$3,1,MATCH(('Adjustment Surface'!S$3),'Adjustment Surface'!$AO$3:$BH$3,1)),$AO$3:$BH$3,0))*('Adjustment Surface'!$O13-INDEX('Adjustment Surface'!$AN$4:$AN$23,MATCH(('Adjustment Surface'!$O13),'Adjustment Surface'!$AN$4:$AN$23,1)))*(INDEX('Adjustment Surface'!$AO$3:$BH$3,1,MATCH(('Adjustment Surface'!S$3),'Adjustment Surface'!$AO$3:$BH$3,1)+IF('Adjustment Surface'!T$3="",-1,1))-'Adjustment Surface'!S$3)+INDEX($AO$4:$BH$23,MATCH(INDEX('Adjustment Surface'!$AN$4:$AN$23,MATCH(('Adjustment Surface'!$O13),'Adjustment Surface'!$AN$4:$AN$23,1)),$AN$4:$AN$23,0),MATCH(INDEX('Adjustment Surface'!$AO$3:$BH$3,1,MATCH(('Adjustment Surface'!S$3),'Adjustment Surface'!$AO$3:$BH$3,1)+IF('Adjustment Surface'!T$3="",-1,1)),$AO$3:$BH$3,0))*(INDEX('Adjustment Surface'!$AN$4:$AN$23,MATCH(('Adjustment Surface'!$O13),'Adjustment Surface'!$AN$4:$AN$23,1)+IF('Adjustment Surface'!$O14="",-1,1))-'Adjustment Surface'!$O13)*('Adjustment Surface'!S$3-INDEX('Adjustment Surface'!$AO$3:$BH$3,1,MATCH(('Adjustment Surface'!S$3),'Adjustment Surface'!$AO$3:$BH$3,1)))+INDEX($AO$4:$BH$23,MATCH(INDEX('Adjustment Surface'!$AN$4:$AN$23,MATCH(('Adjustment Surface'!$O13),'Adjustment Surface'!$AN$4:$AN$23,1)+IF('Adjustment Surface'!$O14="",-1,1)),$AN$4:$AN$23,0),MATCH(INDEX('Adjustment Surface'!$AO$3:$BH$3,1,MATCH(('Adjustment Surface'!S$3),'Adjustment Surface'!$AO$3:$BH$3,1)+IF('Adjustment Surface'!T$3="",-1,1)),$AO$3:$BH$3,0))*('Adjustment Surface'!$O13-INDEX('Adjustment Surface'!$AN$4:$AN$23,MATCH(('Adjustment Surface'!$O13),'Adjustment Surface'!$AN$4:$AN$23,1)))*('Adjustment Surface'!S$3-INDEX('Adjustment Surface'!$AO$3:$BH$3,1,MATCH(('Adjustment Surface'!S$3),'Adjustment Surface'!$AO$3:$BH$3,1)))))</f>
        <v/>
      </c>
      <c r="T13" s="181" t="str" cm="1">
        <f t="array" ref="T13">IF(OR(T$3="",$O13=""),"",1/((INDEX('Adjustment Surface'!$AN$4:$AN$23,MATCH(('Adjustment Surface'!$O13),'Adjustment Surface'!$AN$4:$AN$23,1)+IF('Adjustment Surface'!$O14="",-1,1))-INDEX('Adjustment Surface'!$AN$4:$AN$23,MATCH(('Adjustment Surface'!$O13),'Adjustment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Surface'!$O13),'Adjustment Surface'!$AN$4:$AN$23,1)),$AN$4:$AN$23,0),MATCH(INDEX('Adjustment Surface'!$AO$3:$BH$3,1,MATCH(('Adjustment Surface'!T$3),'Adjustment Surface'!$AO$3:$BH$3,1)),$AO$3:$BH$3,0))*(INDEX('Adjustment Surface'!$AN$4:$AN$23,MATCH(('Adjustment Surface'!$O13),'Adjustment Surface'!$AN$4:$AN$23,1)+IF('Adjustment Surface'!$O14="",-1,1))-'Adjustment Surface'!$O13)*(INDEX('Adjustment Surface'!$AO$3:$BH$3,1,MATCH(('Adjustment Surface'!T$3),'Adjustment Surface'!$AO$3:$BH$3,1)+IF('Adjustment Surface'!U$3="",-1,1))-'Adjustment Surface'!T$3)+INDEX($AO$4:$BH$23,MATCH(INDEX('Adjustment Surface'!$AN$4:$AN$23,MATCH(('Adjustment Surface'!$O13),'Adjustment Surface'!$AN$4:$AN$23,1)+IF('Adjustment Surface'!$O14="",-1,1)),$AN$4:$AN$23,0),MATCH(INDEX('Adjustment Surface'!$AO$3:$BH$3,1,MATCH(('Adjustment Surface'!T$3),'Adjustment Surface'!$AO$3:$BH$3,1)),$AO$3:$BH$3,0))*('Adjustment Surface'!$O13-INDEX('Adjustment Surface'!$AN$4:$AN$23,MATCH(('Adjustment Surface'!$O13),'Adjustment Surface'!$AN$4:$AN$23,1)))*(INDEX('Adjustment Surface'!$AO$3:$BH$3,1,MATCH(('Adjustment Surface'!T$3),'Adjustment Surface'!$AO$3:$BH$3,1)+IF('Adjustment Surface'!U$3="",-1,1))-'Adjustment Surface'!T$3)+INDEX($AO$4:$BH$23,MATCH(INDEX('Adjustment Surface'!$AN$4:$AN$23,MATCH(('Adjustment Surface'!$O13),'Adjustment Surface'!$AN$4:$AN$23,1)),$AN$4:$AN$23,0),MATCH(INDEX('Adjustment Surface'!$AO$3:$BH$3,1,MATCH(('Adjustment Surface'!T$3),'Adjustment Surface'!$AO$3:$BH$3,1)+IF('Adjustment Surface'!U$3="",-1,1)),$AO$3:$BH$3,0))*(INDEX('Adjustment Surface'!$AN$4:$AN$23,MATCH(('Adjustment Surface'!$O13),'Adjustment Surface'!$AN$4:$AN$23,1)+IF('Adjustment Surface'!$O14="",-1,1))-'Adjustment Surface'!$O13)*('Adjustment Surface'!T$3-INDEX('Adjustment Surface'!$AO$3:$BH$3,1,MATCH(('Adjustment Surface'!T$3),'Adjustment Surface'!$AO$3:$BH$3,1)))+INDEX($AO$4:$BH$23,MATCH(INDEX('Adjustment Surface'!$AN$4:$AN$23,MATCH(('Adjustment Surface'!$O13),'Adjustment Surface'!$AN$4:$AN$23,1)+IF('Adjustment Surface'!$O14="",-1,1)),$AN$4:$AN$23,0),MATCH(INDEX('Adjustment Surface'!$AO$3:$BH$3,1,MATCH(('Adjustment Surface'!T$3),'Adjustment Surface'!$AO$3:$BH$3,1)+IF('Adjustment Surface'!U$3="",-1,1)),$AO$3:$BH$3,0))*('Adjustment Surface'!$O13-INDEX('Adjustment Surface'!$AN$4:$AN$23,MATCH(('Adjustment Surface'!$O13),'Adjustment Surface'!$AN$4:$AN$23,1)))*('Adjustment Surface'!T$3-INDEX('Adjustment Surface'!$AO$3:$BH$3,1,MATCH(('Adjustment Surface'!T$3),'Adjustment Surface'!$AO$3:$BH$3,1)))))</f>
        <v/>
      </c>
      <c r="U13" s="181" t="str" cm="1">
        <f t="array" ref="U13">IF(OR(U$3="",$O13=""),"",1/((INDEX('Adjustment Surface'!$AN$4:$AN$23,MATCH(('Adjustment Surface'!$O13),'Adjustment Surface'!$AN$4:$AN$23,1)+IF('Adjustment Surface'!$O14="",-1,1))-INDEX('Adjustment Surface'!$AN$4:$AN$23,MATCH(('Adjustment Surface'!$O13),'Adjustment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Surface'!$O13),'Adjustment Surface'!$AN$4:$AN$23,1)),$AN$4:$AN$23,0),MATCH(INDEX('Adjustment Surface'!$AO$3:$BH$3,1,MATCH(('Adjustment Surface'!U$3),'Adjustment Surface'!$AO$3:$BH$3,1)),$AO$3:$BH$3,0))*(INDEX('Adjustment Surface'!$AN$4:$AN$23,MATCH(('Adjustment Surface'!$O13),'Adjustment Surface'!$AN$4:$AN$23,1)+IF('Adjustment Surface'!$O14="",-1,1))-'Adjustment Surface'!$O13)*(INDEX('Adjustment Surface'!$AO$3:$BH$3,1,MATCH(('Adjustment Surface'!U$3),'Adjustment Surface'!$AO$3:$BH$3,1)+IF('Adjustment Surface'!V$3="",-1,1))-'Adjustment Surface'!U$3)+INDEX($AO$4:$BH$23,MATCH(INDEX('Adjustment Surface'!$AN$4:$AN$23,MATCH(('Adjustment Surface'!$O13),'Adjustment Surface'!$AN$4:$AN$23,1)+IF('Adjustment Surface'!$O14="",-1,1)),$AN$4:$AN$23,0),MATCH(INDEX('Adjustment Surface'!$AO$3:$BH$3,1,MATCH(('Adjustment Surface'!U$3),'Adjustment Surface'!$AO$3:$BH$3,1)),$AO$3:$BH$3,0))*('Adjustment Surface'!$O13-INDEX('Adjustment Surface'!$AN$4:$AN$23,MATCH(('Adjustment Surface'!$O13),'Adjustment Surface'!$AN$4:$AN$23,1)))*(INDEX('Adjustment Surface'!$AO$3:$BH$3,1,MATCH(('Adjustment Surface'!U$3),'Adjustment Surface'!$AO$3:$BH$3,1)+IF('Adjustment Surface'!V$3="",-1,1))-'Adjustment Surface'!U$3)+INDEX($AO$4:$BH$23,MATCH(INDEX('Adjustment Surface'!$AN$4:$AN$23,MATCH(('Adjustment Surface'!$O13),'Adjustment Surface'!$AN$4:$AN$23,1)),$AN$4:$AN$23,0),MATCH(INDEX('Adjustment Surface'!$AO$3:$BH$3,1,MATCH(('Adjustment Surface'!U$3),'Adjustment Surface'!$AO$3:$BH$3,1)+IF('Adjustment Surface'!V$3="",-1,1)),$AO$3:$BH$3,0))*(INDEX('Adjustment Surface'!$AN$4:$AN$23,MATCH(('Adjustment Surface'!$O13),'Adjustment Surface'!$AN$4:$AN$23,1)+IF('Adjustment Surface'!$O14="",-1,1))-'Adjustment Surface'!$O13)*('Adjustment Surface'!U$3-INDEX('Adjustment Surface'!$AO$3:$BH$3,1,MATCH(('Adjustment Surface'!U$3),'Adjustment Surface'!$AO$3:$BH$3,1)))+INDEX($AO$4:$BH$23,MATCH(INDEX('Adjustment Surface'!$AN$4:$AN$23,MATCH(('Adjustment Surface'!$O13),'Adjustment Surface'!$AN$4:$AN$23,1)+IF('Adjustment Surface'!$O14="",-1,1)),$AN$4:$AN$23,0),MATCH(INDEX('Adjustment Surface'!$AO$3:$BH$3,1,MATCH(('Adjustment Surface'!U$3),'Adjustment Surface'!$AO$3:$BH$3,1)+IF('Adjustment Surface'!V$3="",-1,1)),$AO$3:$BH$3,0))*('Adjustment Surface'!$O13-INDEX('Adjustment Surface'!$AN$4:$AN$23,MATCH(('Adjustment Surface'!$O13),'Adjustment Surface'!$AN$4:$AN$23,1)))*('Adjustment Surface'!U$3-INDEX('Adjustment Surface'!$AO$3:$BH$3,1,MATCH(('Adjustment Surface'!U$3),'Adjustment Surface'!$AO$3:$BH$3,1)))))</f>
        <v/>
      </c>
      <c r="V13" s="181" t="str" cm="1">
        <f t="array" ref="V13">IF(OR(V$3="",$O13=""),"",1/((INDEX('Adjustment Surface'!$AN$4:$AN$23,MATCH(('Adjustment Surface'!$O13),'Adjustment Surface'!$AN$4:$AN$23,1)+IF('Adjustment Surface'!$O14="",-1,1))-INDEX('Adjustment Surface'!$AN$4:$AN$23,MATCH(('Adjustment Surface'!$O13),'Adjustment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Surface'!$O13),'Adjustment Surface'!$AN$4:$AN$23,1)),$AN$4:$AN$23,0),MATCH(INDEX('Adjustment Surface'!$AO$3:$BH$3,1,MATCH(('Adjustment Surface'!V$3),'Adjustment Surface'!$AO$3:$BH$3,1)),$AO$3:$BH$3,0))*(INDEX('Adjustment Surface'!$AN$4:$AN$23,MATCH(('Adjustment Surface'!$O13),'Adjustment Surface'!$AN$4:$AN$23,1)+IF('Adjustment Surface'!$O14="",-1,1))-'Adjustment Surface'!$O13)*(INDEX('Adjustment Surface'!$AO$3:$BH$3,1,MATCH(('Adjustment Surface'!V$3),'Adjustment Surface'!$AO$3:$BH$3,1)+IF('Adjustment Surface'!W$3="",-1,1))-'Adjustment Surface'!V$3)+INDEX($AO$4:$BH$23,MATCH(INDEX('Adjustment Surface'!$AN$4:$AN$23,MATCH(('Adjustment Surface'!$O13),'Adjustment Surface'!$AN$4:$AN$23,1)+IF('Adjustment Surface'!$O14="",-1,1)),$AN$4:$AN$23,0),MATCH(INDEX('Adjustment Surface'!$AO$3:$BH$3,1,MATCH(('Adjustment Surface'!V$3),'Adjustment Surface'!$AO$3:$BH$3,1)),$AO$3:$BH$3,0))*('Adjustment Surface'!$O13-INDEX('Adjustment Surface'!$AN$4:$AN$23,MATCH(('Adjustment Surface'!$O13),'Adjustment Surface'!$AN$4:$AN$23,1)))*(INDEX('Adjustment Surface'!$AO$3:$BH$3,1,MATCH(('Adjustment Surface'!V$3),'Adjustment Surface'!$AO$3:$BH$3,1)+IF('Adjustment Surface'!W$3="",-1,1))-'Adjustment Surface'!V$3)+INDEX($AO$4:$BH$23,MATCH(INDEX('Adjustment Surface'!$AN$4:$AN$23,MATCH(('Adjustment Surface'!$O13),'Adjustment Surface'!$AN$4:$AN$23,1)),$AN$4:$AN$23,0),MATCH(INDEX('Adjustment Surface'!$AO$3:$BH$3,1,MATCH(('Adjustment Surface'!V$3),'Adjustment Surface'!$AO$3:$BH$3,1)+IF('Adjustment Surface'!W$3="",-1,1)),$AO$3:$BH$3,0))*(INDEX('Adjustment Surface'!$AN$4:$AN$23,MATCH(('Adjustment Surface'!$O13),'Adjustment Surface'!$AN$4:$AN$23,1)+IF('Adjustment Surface'!$O14="",-1,1))-'Adjustment Surface'!$O13)*('Adjustment Surface'!V$3-INDEX('Adjustment Surface'!$AO$3:$BH$3,1,MATCH(('Adjustment Surface'!V$3),'Adjustment Surface'!$AO$3:$BH$3,1)))+INDEX($AO$4:$BH$23,MATCH(INDEX('Adjustment Surface'!$AN$4:$AN$23,MATCH(('Adjustment Surface'!$O13),'Adjustment Surface'!$AN$4:$AN$23,1)+IF('Adjustment Surface'!$O14="",-1,1)),$AN$4:$AN$23,0),MATCH(INDEX('Adjustment Surface'!$AO$3:$BH$3,1,MATCH(('Adjustment Surface'!V$3),'Adjustment Surface'!$AO$3:$BH$3,1)+IF('Adjustment Surface'!W$3="",-1,1)),$AO$3:$BH$3,0))*('Adjustment Surface'!$O13-INDEX('Adjustment Surface'!$AN$4:$AN$23,MATCH(('Adjustment Surface'!$O13),'Adjustment Surface'!$AN$4:$AN$23,1)))*('Adjustment Surface'!V$3-INDEX('Adjustment Surface'!$AO$3:$BH$3,1,MATCH(('Adjustment Surface'!V$3),'Adjustment Surface'!$AO$3:$BH$3,1)))))</f>
        <v/>
      </c>
      <c r="W13" s="181" t="str" cm="1">
        <f t="array" ref="W13">IF(OR(W$3="",$O13=""),"",1/((INDEX('Adjustment Surface'!$AN$4:$AN$23,MATCH(('Adjustment Surface'!$O13),'Adjustment Surface'!$AN$4:$AN$23,1)+IF('Adjustment Surface'!$O14="",-1,1))-INDEX('Adjustment Surface'!$AN$4:$AN$23,MATCH(('Adjustment Surface'!$O13),'Adjustment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Surface'!$O13),'Adjustment Surface'!$AN$4:$AN$23,1)),$AN$4:$AN$23,0),MATCH(INDEX('Adjustment Surface'!$AO$3:$BH$3,1,MATCH(('Adjustment Surface'!W$3),'Adjustment Surface'!$AO$3:$BH$3,1)),$AO$3:$BH$3,0))*(INDEX('Adjustment Surface'!$AN$4:$AN$23,MATCH(('Adjustment Surface'!$O13),'Adjustment Surface'!$AN$4:$AN$23,1)+IF('Adjustment Surface'!$O14="",-1,1))-'Adjustment Surface'!$O13)*(INDEX('Adjustment Surface'!$AO$3:$BH$3,1,MATCH(('Adjustment Surface'!W$3),'Adjustment Surface'!$AO$3:$BH$3,1)+IF('Adjustment Surface'!X$3="",-1,1))-'Adjustment Surface'!W$3)+INDEX($AO$4:$BH$23,MATCH(INDEX('Adjustment Surface'!$AN$4:$AN$23,MATCH(('Adjustment Surface'!$O13),'Adjustment Surface'!$AN$4:$AN$23,1)+IF('Adjustment Surface'!$O14="",-1,1)),$AN$4:$AN$23,0),MATCH(INDEX('Adjustment Surface'!$AO$3:$BH$3,1,MATCH(('Adjustment Surface'!W$3),'Adjustment Surface'!$AO$3:$BH$3,1)),$AO$3:$BH$3,0))*('Adjustment Surface'!$O13-INDEX('Adjustment Surface'!$AN$4:$AN$23,MATCH(('Adjustment Surface'!$O13),'Adjustment Surface'!$AN$4:$AN$23,1)))*(INDEX('Adjustment Surface'!$AO$3:$BH$3,1,MATCH(('Adjustment Surface'!W$3),'Adjustment Surface'!$AO$3:$BH$3,1)+IF('Adjustment Surface'!X$3="",-1,1))-'Adjustment Surface'!W$3)+INDEX($AO$4:$BH$23,MATCH(INDEX('Adjustment Surface'!$AN$4:$AN$23,MATCH(('Adjustment Surface'!$O13),'Adjustment Surface'!$AN$4:$AN$23,1)),$AN$4:$AN$23,0),MATCH(INDEX('Adjustment Surface'!$AO$3:$BH$3,1,MATCH(('Adjustment Surface'!W$3),'Adjustment Surface'!$AO$3:$BH$3,1)+IF('Adjustment Surface'!X$3="",-1,1)),$AO$3:$BH$3,0))*(INDEX('Adjustment Surface'!$AN$4:$AN$23,MATCH(('Adjustment Surface'!$O13),'Adjustment Surface'!$AN$4:$AN$23,1)+IF('Adjustment Surface'!$O14="",-1,1))-'Adjustment Surface'!$O13)*('Adjustment Surface'!W$3-INDEX('Adjustment Surface'!$AO$3:$BH$3,1,MATCH(('Adjustment Surface'!W$3),'Adjustment Surface'!$AO$3:$BH$3,1)))+INDEX($AO$4:$BH$23,MATCH(INDEX('Adjustment Surface'!$AN$4:$AN$23,MATCH(('Adjustment Surface'!$O13),'Adjustment Surface'!$AN$4:$AN$23,1)+IF('Adjustment Surface'!$O14="",-1,1)),$AN$4:$AN$23,0),MATCH(INDEX('Adjustment Surface'!$AO$3:$BH$3,1,MATCH(('Adjustment Surface'!W$3),'Adjustment Surface'!$AO$3:$BH$3,1)+IF('Adjustment Surface'!X$3="",-1,1)),$AO$3:$BH$3,0))*('Adjustment Surface'!$O13-INDEX('Adjustment Surface'!$AN$4:$AN$23,MATCH(('Adjustment Surface'!$O13),'Adjustment Surface'!$AN$4:$AN$23,1)))*('Adjustment Surface'!W$3-INDEX('Adjustment Surface'!$AO$3:$BH$3,1,MATCH(('Adjustment Surface'!W$3),'Adjustment Surface'!$AO$3:$BH$3,1)))))</f>
        <v/>
      </c>
      <c r="X13" s="181" t="str" cm="1">
        <f t="array" ref="X13">IF(OR(X$3="",$O13=""),"",1/((INDEX('Adjustment Surface'!$AN$4:$AN$23,MATCH(('Adjustment Surface'!$O13),'Adjustment Surface'!$AN$4:$AN$23,1)+IF('Adjustment Surface'!$O14="",-1,1))-INDEX('Adjustment Surface'!$AN$4:$AN$23,MATCH(('Adjustment Surface'!$O13),'Adjustment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Surface'!$O13),'Adjustment Surface'!$AN$4:$AN$23,1)),$AN$4:$AN$23,0),MATCH(INDEX('Adjustment Surface'!$AO$3:$BH$3,1,MATCH(('Adjustment Surface'!X$3),'Adjustment Surface'!$AO$3:$BH$3,1)),$AO$3:$BH$3,0))*(INDEX('Adjustment Surface'!$AN$4:$AN$23,MATCH(('Adjustment Surface'!$O13),'Adjustment Surface'!$AN$4:$AN$23,1)+IF('Adjustment Surface'!$O14="",-1,1))-'Adjustment Surface'!$O13)*(INDEX('Adjustment Surface'!$AO$3:$BH$3,1,MATCH(('Adjustment Surface'!X$3),'Adjustment Surface'!$AO$3:$BH$3,1)+IF('Adjustment Surface'!Y$3="",-1,1))-'Adjustment Surface'!X$3)+INDEX($AO$4:$BH$23,MATCH(INDEX('Adjustment Surface'!$AN$4:$AN$23,MATCH(('Adjustment Surface'!$O13),'Adjustment Surface'!$AN$4:$AN$23,1)+IF('Adjustment Surface'!$O14="",-1,1)),$AN$4:$AN$23,0),MATCH(INDEX('Adjustment Surface'!$AO$3:$BH$3,1,MATCH(('Adjustment Surface'!X$3),'Adjustment Surface'!$AO$3:$BH$3,1)),$AO$3:$BH$3,0))*('Adjustment Surface'!$O13-INDEX('Adjustment Surface'!$AN$4:$AN$23,MATCH(('Adjustment Surface'!$O13),'Adjustment Surface'!$AN$4:$AN$23,1)))*(INDEX('Adjustment Surface'!$AO$3:$BH$3,1,MATCH(('Adjustment Surface'!X$3),'Adjustment Surface'!$AO$3:$BH$3,1)+IF('Adjustment Surface'!Y$3="",-1,1))-'Adjustment Surface'!X$3)+INDEX($AO$4:$BH$23,MATCH(INDEX('Adjustment Surface'!$AN$4:$AN$23,MATCH(('Adjustment Surface'!$O13),'Adjustment Surface'!$AN$4:$AN$23,1)),$AN$4:$AN$23,0),MATCH(INDEX('Adjustment Surface'!$AO$3:$BH$3,1,MATCH(('Adjustment Surface'!X$3),'Adjustment Surface'!$AO$3:$BH$3,1)+IF('Adjustment Surface'!Y$3="",-1,1)),$AO$3:$BH$3,0))*(INDEX('Adjustment Surface'!$AN$4:$AN$23,MATCH(('Adjustment Surface'!$O13),'Adjustment Surface'!$AN$4:$AN$23,1)+IF('Adjustment Surface'!$O14="",-1,1))-'Adjustment Surface'!$O13)*('Adjustment Surface'!X$3-INDEX('Adjustment Surface'!$AO$3:$BH$3,1,MATCH(('Adjustment Surface'!X$3),'Adjustment Surface'!$AO$3:$BH$3,1)))+INDEX($AO$4:$BH$23,MATCH(INDEX('Adjustment Surface'!$AN$4:$AN$23,MATCH(('Adjustment Surface'!$O13),'Adjustment Surface'!$AN$4:$AN$23,1)+IF('Adjustment Surface'!$O14="",-1,1)),$AN$4:$AN$23,0),MATCH(INDEX('Adjustment Surface'!$AO$3:$BH$3,1,MATCH(('Adjustment Surface'!X$3),'Adjustment Surface'!$AO$3:$BH$3,1)+IF('Adjustment Surface'!Y$3="",-1,1)),$AO$3:$BH$3,0))*('Adjustment Surface'!$O13-INDEX('Adjustment Surface'!$AN$4:$AN$23,MATCH(('Adjustment Surface'!$O13),'Adjustment Surface'!$AN$4:$AN$23,1)))*('Adjustment Surface'!X$3-INDEX('Adjustment Surface'!$AO$3:$BH$3,1,MATCH(('Adjustment Surface'!X$3),'Adjustment Surface'!$AO$3:$BH$3,1)))))</f>
        <v/>
      </c>
      <c r="Y13" s="181" t="str" cm="1">
        <f t="array" ref="Y13">IF(OR(Y$3="",$O13=""),"",1/((INDEX('Adjustment Surface'!$AN$4:$AN$23,MATCH(('Adjustment Surface'!$O13),'Adjustment Surface'!$AN$4:$AN$23,1)+IF('Adjustment Surface'!$O14="",-1,1))-INDEX('Adjustment Surface'!$AN$4:$AN$23,MATCH(('Adjustment Surface'!$O13),'Adjustment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Surface'!$O13),'Adjustment Surface'!$AN$4:$AN$23,1)),$AN$4:$AN$23,0),MATCH(INDEX('Adjustment Surface'!$AO$3:$BH$3,1,MATCH(('Adjustment Surface'!Y$3),'Adjustment Surface'!$AO$3:$BH$3,1)),$AO$3:$BH$3,0))*(INDEX('Adjustment Surface'!$AN$4:$AN$23,MATCH(('Adjustment Surface'!$O13),'Adjustment Surface'!$AN$4:$AN$23,1)+IF('Adjustment Surface'!$O14="",-1,1))-'Adjustment Surface'!$O13)*(INDEX('Adjustment Surface'!$AO$3:$BH$3,1,MATCH(('Adjustment Surface'!Y$3),'Adjustment Surface'!$AO$3:$BH$3,1)+IF('Adjustment Surface'!Z$3="",-1,1))-'Adjustment Surface'!Y$3)+INDEX($AO$4:$BH$23,MATCH(INDEX('Adjustment Surface'!$AN$4:$AN$23,MATCH(('Adjustment Surface'!$O13),'Adjustment Surface'!$AN$4:$AN$23,1)+IF('Adjustment Surface'!$O14="",-1,1)),$AN$4:$AN$23,0),MATCH(INDEX('Adjustment Surface'!$AO$3:$BH$3,1,MATCH(('Adjustment Surface'!Y$3),'Adjustment Surface'!$AO$3:$BH$3,1)),$AO$3:$BH$3,0))*('Adjustment Surface'!$O13-INDEX('Adjustment Surface'!$AN$4:$AN$23,MATCH(('Adjustment Surface'!$O13),'Adjustment Surface'!$AN$4:$AN$23,1)))*(INDEX('Adjustment Surface'!$AO$3:$BH$3,1,MATCH(('Adjustment Surface'!Y$3),'Adjustment Surface'!$AO$3:$BH$3,1)+IF('Adjustment Surface'!Z$3="",-1,1))-'Adjustment Surface'!Y$3)+INDEX($AO$4:$BH$23,MATCH(INDEX('Adjustment Surface'!$AN$4:$AN$23,MATCH(('Adjustment Surface'!$O13),'Adjustment Surface'!$AN$4:$AN$23,1)),$AN$4:$AN$23,0),MATCH(INDEX('Adjustment Surface'!$AO$3:$BH$3,1,MATCH(('Adjustment Surface'!Y$3),'Adjustment Surface'!$AO$3:$BH$3,1)+IF('Adjustment Surface'!Z$3="",-1,1)),$AO$3:$BH$3,0))*(INDEX('Adjustment Surface'!$AN$4:$AN$23,MATCH(('Adjustment Surface'!$O13),'Adjustment Surface'!$AN$4:$AN$23,1)+IF('Adjustment Surface'!$O14="",-1,1))-'Adjustment Surface'!$O13)*('Adjustment Surface'!Y$3-INDEX('Adjustment Surface'!$AO$3:$BH$3,1,MATCH(('Adjustment Surface'!Y$3),'Adjustment Surface'!$AO$3:$BH$3,1)))+INDEX($AO$4:$BH$23,MATCH(INDEX('Adjustment Surface'!$AN$4:$AN$23,MATCH(('Adjustment Surface'!$O13),'Adjustment Surface'!$AN$4:$AN$23,1)+IF('Adjustment Surface'!$O14="",-1,1)),$AN$4:$AN$23,0),MATCH(INDEX('Adjustment Surface'!$AO$3:$BH$3,1,MATCH(('Adjustment Surface'!Y$3),'Adjustment Surface'!$AO$3:$BH$3,1)+IF('Adjustment Surface'!Z$3="",-1,1)),$AO$3:$BH$3,0))*('Adjustment Surface'!$O13-INDEX('Adjustment Surface'!$AN$4:$AN$23,MATCH(('Adjustment Surface'!$O13),'Adjustment Surface'!$AN$4:$AN$23,1)))*('Adjustment Surface'!Y$3-INDEX('Adjustment Surface'!$AO$3:$BH$3,1,MATCH(('Adjustment Surface'!Y$3),'Adjustment Surface'!$AO$3:$BH$3,1)))))</f>
        <v/>
      </c>
      <c r="Z13" s="181" t="str" cm="1">
        <f t="array" ref="Z13">IF(OR(Z$3="",$O13=""),"",1/((INDEX('Adjustment Surface'!$AN$4:$AN$23,MATCH(('Adjustment Surface'!$O13),'Adjustment Surface'!$AN$4:$AN$23,1)+IF('Adjustment Surface'!$O14="",-1,1))-INDEX('Adjustment Surface'!$AN$4:$AN$23,MATCH(('Adjustment Surface'!$O13),'Adjustment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Surface'!$O13),'Adjustment Surface'!$AN$4:$AN$23,1)),$AN$4:$AN$23,0),MATCH(INDEX('Adjustment Surface'!$AO$3:$BH$3,1,MATCH(('Adjustment Surface'!Z$3),'Adjustment Surface'!$AO$3:$BH$3,1)),$AO$3:$BH$3,0))*(INDEX('Adjustment Surface'!$AN$4:$AN$23,MATCH(('Adjustment Surface'!$O13),'Adjustment Surface'!$AN$4:$AN$23,1)+IF('Adjustment Surface'!$O14="",-1,1))-'Adjustment Surface'!$O13)*(INDEX('Adjustment Surface'!$AO$3:$BH$3,1,MATCH(('Adjustment Surface'!Z$3),'Adjustment Surface'!$AO$3:$BH$3,1)+IF('Adjustment Surface'!AA$3="",-1,1))-'Adjustment Surface'!Z$3)+INDEX($AO$4:$BH$23,MATCH(INDEX('Adjustment Surface'!$AN$4:$AN$23,MATCH(('Adjustment Surface'!$O13),'Adjustment Surface'!$AN$4:$AN$23,1)+IF('Adjustment Surface'!$O14="",-1,1)),$AN$4:$AN$23,0),MATCH(INDEX('Adjustment Surface'!$AO$3:$BH$3,1,MATCH(('Adjustment Surface'!Z$3),'Adjustment Surface'!$AO$3:$BH$3,1)),$AO$3:$BH$3,0))*('Adjustment Surface'!$O13-INDEX('Adjustment Surface'!$AN$4:$AN$23,MATCH(('Adjustment Surface'!$O13),'Adjustment Surface'!$AN$4:$AN$23,1)))*(INDEX('Adjustment Surface'!$AO$3:$BH$3,1,MATCH(('Adjustment Surface'!Z$3),'Adjustment Surface'!$AO$3:$BH$3,1)+IF('Adjustment Surface'!AA$3="",-1,1))-'Adjustment Surface'!Z$3)+INDEX($AO$4:$BH$23,MATCH(INDEX('Adjustment Surface'!$AN$4:$AN$23,MATCH(('Adjustment Surface'!$O13),'Adjustment Surface'!$AN$4:$AN$23,1)),$AN$4:$AN$23,0),MATCH(INDEX('Adjustment Surface'!$AO$3:$BH$3,1,MATCH(('Adjustment Surface'!Z$3),'Adjustment Surface'!$AO$3:$BH$3,1)+IF('Adjustment Surface'!AA$3="",-1,1)),$AO$3:$BH$3,0))*(INDEX('Adjustment Surface'!$AN$4:$AN$23,MATCH(('Adjustment Surface'!$O13),'Adjustment Surface'!$AN$4:$AN$23,1)+IF('Adjustment Surface'!$O14="",-1,1))-'Adjustment Surface'!$O13)*('Adjustment Surface'!Z$3-INDEX('Adjustment Surface'!$AO$3:$BH$3,1,MATCH(('Adjustment Surface'!Z$3),'Adjustment Surface'!$AO$3:$BH$3,1)))+INDEX($AO$4:$BH$23,MATCH(INDEX('Adjustment Surface'!$AN$4:$AN$23,MATCH(('Adjustment Surface'!$O13),'Adjustment Surface'!$AN$4:$AN$23,1)+IF('Adjustment Surface'!$O14="",-1,1)),$AN$4:$AN$23,0),MATCH(INDEX('Adjustment Surface'!$AO$3:$BH$3,1,MATCH(('Adjustment Surface'!Z$3),'Adjustment Surface'!$AO$3:$BH$3,1)+IF('Adjustment Surface'!AA$3="",-1,1)),$AO$3:$BH$3,0))*('Adjustment Surface'!$O13-INDEX('Adjustment Surface'!$AN$4:$AN$23,MATCH(('Adjustment Surface'!$O13),'Adjustment Surface'!$AN$4:$AN$23,1)))*('Adjustment Surface'!Z$3-INDEX('Adjustment Surface'!$AO$3:$BH$3,1,MATCH(('Adjustment Surface'!Z$3),'Adjustment Surface'!$AO$3:$BH$3,1)))))</f>
        <v/>
      </c>
      <c r="AA13" s="181" t="str" cm="1">
        <f t="array" ref="AA13">IF(OR(AA$3="",$O13=""),"",1/((INDEX('Adjustment Surface'!$AN$4:$AN$23,MATCH(('Adjustment Surface'!$O13),'Adjustment Surface'!$AN$4:$AN$23,1)+IF('Adjustment Surface'!$O14="",-1,1))-INDEX('Adjustment Surface'!$AN$4:$AN$23,MATCH(('Adjustment Surface'!$O13),'Adjustment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Surface'!$O13),'Adjustment Surface'!$AN$4:$AN$23,1)),$AN$4:$AN$23,0),MATCH(INDEX('Adjustment Surface'!$AO$3:$BH$3,1,MATCH(('Adjustment Surface'!AA$3),'Adjustment Surface'!$AO$3:$BH$3,1)),$AO$3:$BH$3,0))*(INDEX('Adjustment Surface'!$AN$4:$AN$23,MATCH(('Adjustment Surface'!$O13),'Adjustment Surface'!$AN$4:$AN$23,1)+IF('Adjustment Surface'!$O14="",-1,1))-'Adjustment Surface'!$O13)*(INDEX('Adjustment Surface'!$AO$3:$BH$3,1,MATCH(('Adjustment Surface'!AA$3),'Adjustment Surface'!$AO$3:$BH$3,1)+IF('Adjustment Surface'!AB$3="",-1,1))-'Adjustment Surface'!AA$3)+INDEX($AO$4:$BH$23,MATCH(INDEX('Adjustment Surface'!$AN$4:$AN$23,MATCH(('Adjustment Surface'!$O13),'Adjustment Surface'!$AN$4:$AN$23,1)+IF('Adjustment Surface'!$O14="",-1,1)),$AN$4:$AN$23,0),MATCH(INDEX('Adjustment Surface'!$AO$3:$BH$3,1,MATCH(('Adjustment Surface'!AA$3),'Adjustment Surface'!$AO$3:$BH$3,1)),$AO$3:$BH$3,0))*('Adjustment Surface'!$O13-INDEX('Adjustment Surface'!$AN$4:$AN$23,MATCH(('Adjustment Surface'!$O13),'Adjustment Surface'!$AN$4:$AN$23,1)))*(INDEX('Adjustment Surface'!$AO$3:$BH$3,1,MATCH(('Adjustment Surface'!AA$3),'Adjustment Surface'!$AO$3:$BH$3,1)+IF('Adjustment Surface'!AB$3="",-1,1))-'Adjustment Surface'!AA$3)+INDEX($AO$4:$BH$23,MATCH(INDEX('Adjustment Surface'!$AN$4:$AN$23,MATCH(('Adjustment Surface'!$O13),'Adjustment Surface'!$AN$4:$AN$23,1)),$AN$4:$AN$23,0),MATCH(INDEX('Adjustment Surface'!$AO$3:$BH$3,1,MATCH(('Adjustment Surface'!AA$3),'Adjustment Surface'!$AO$3:$BH$3,1)+IF('Adjustment Surface'!AB$3="",-1,1)),$AO$3:$BH$3,0))*(INDEX('Adjustment Surface'!$AN$4:$AN$23,MATCH(('Adjustment Surface'!$O13),'Adjustment Surface'!$AN$4:$AN$23,1)+IF('Adjustment Surface'!$O14="",-1,1))-'Adjustment Surface'!$O13)*('Adjustment Surface'!AA$3-INDEX('Adjustment Surface'!$AO$3:$BH$3,1,MATCH(('Adjustment Surface'!AA$3),'Adjustment Surface'!$AO$3:$BH$3,1)))+INDEX($AO$4:$BH$23,MATCH(INDEX('Adjustment Surface'!$AN$4:$AN$23,MATCH(('Adjustment Surface'!$O13),'Adjustment Surface'!$AN$4:$AN$23,1)+IF('Adjustment Surface'!$O14="",-1,1)),$AN$4:$AN$23,0),MATCH(INDEX('Adjustment Surface'!$AO$3:$BH$3,1,MATCH(('Adjustment Surface'!AA$3),'Adjustment Surface'!$AO$3:$BH$3,1)+IF('Adjustment Surface'!AB$3="",-1,1)),$AO$3:$BH$3,0))*('Adjustment Surface'!$O13-INDEX('Adjustment Surface'!$AN$4:$AN$23,MATCH(('Adjustment Surface'!$O13),'Adjustment Surface'!$AN$4:$AN$23,1)))*('Adjustment Surface'!AA$3-INDEX('Adjustment Surface'!$AO$3:$BH$3,1,MATCH(('Adjustment Surface'!AA$3),'Adjustment Surface'!$AO$3:$BH$3,1)))))</f>
        <v/>
      </c>
      <c r="AB13" s="181" t="str" cm="1">
        <f t="array" ref="AB13">IF(OR(AB$3="",$O13=""),"",1/((INDEX('Adjustment Surface'!$AN$4:$AN$23,MATCH(('Adjustment Surface'!$O13),'Adjustment Surface'!$AN$4:$AN$23,1)+IF('Adjustment Surface'!$O14="",-1,1))-INDEX('Adjustment Surface'!$AN$4:$AN$23,MATCH(('Adjustment Surface'!$O13),'Adjustment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Surface'!$O13),'Adjustment Surface'!$AN$4:$AN$23,1)),$AN$4:$AN$23,0),MATCH(INDEX('Adjustment Surface'!$AO$3:$BH$3,1,MATCH(('Adjustment Surface'!AB$3),'Adjustment Surface'!$AO$3:$BH$3,1)),$AO$3:$BH$3,0))*(INDEX('Adjustment Surface'!$AN$4:$AN$23,MATCH(('Adjustment Surface'!$O13),'Adjustment Surface'!$AN$4:$AN$23,1)+IF('Adjustment Surface'!$O14="",-1,1))-'Adjustment Surface'!$O13)*(INDEX('Adjustment Surface'!$AO$3:$BH$3,1,MATCH(('Adjustment Surface'!AB$3),'Adjustment Surface'!$AO$3:$BH$3,1)+IF('Adjustment Surface'!AC$3="",-1,1))-'Adjustment Surface'!AB$3)+INDEX($AO$4:$BH$23,MATCH(INDEX('Adjustment Surface'!$AN$4:$AN$23,MATCH(('Adjustment Surface'!$O13),'Adjustment Surface'!$AN$4:$AN$23,1)+IF('Adjustment Surface'!$O14="",-1,1)),$AN$4:$AN$23,0),MATCH(INDEX('Adjustment Surface'!$AO$3:$BH$3,1,MATCH(('Adjustment Surface'!AB$3),'Adjustment Surface'!$AO$3:$BH$3,1)),$AO$3:$BH$3,0))*('Adjustment Surface'!$O13-INDEX('Adjustment Surface'!$AN$4:$AN$23,MATCH(('Adjustment Surface'!$O13),'Adjustment Surface'!$AN$4:$AN$23,1)))*(INDEX('Adjustment Surface'!$AO$3:$BH$3,1,MATCH(('Adjustment Surface'!AB$3),'Adjustment Surface'!$AO$3:$BH$3,1)+IF('Adjustment Surface'!AC$3="",-1,1))-'Adjustment Surface'!AB$3)+INDEX($AO$4:$BH$23,MATCH(INDEX('Adjustment Surface'!$AN$4:$AN$23,MATCH(('Adjustment Surface'!$O13),'Adjustment Surface'!$AN$4:$AN$23,1)),$AN$4:$AN$23,0),MATCH(INDEX('Adjustment Surface'!$AO$3:$BH$3,1,MATCH(('Adjustment Surface'!AB$3),'Adjustment Surface'!$AO$3:$BH$3,1)+IF('Adjustment Surface'!AC$3="",-1,1)),$AO$3:$BH$3,0))*(INDEX('Adjustment Surface'!$AN$4:$AN$23,MATCH(('Adjustment Surface'!$O13),'Adjustment Surface'!$AN$4:$AN$23,1)+IF('Adjustment Surface'!$O14="",-1,1))-'Adjustment Surface'!$O13)*('Adjustment Surface'!AB$3-INDEX('Adjustment Surface'!$AO$3:$BH$3,1,MATCH(('Adjustment Surface'!AB$3),'Adjustment Surface'!$AO$3:$BH$3,1)))+INDEX($AO$4:$BH$23,MATCH(INDEX('Adjustment Surface'!$AN$4:$AN$23,MATCH(('Adjustment Surface'!$O13),'Adjustment Surface'!$AN$4:$AN$23,1)+IF('Adjustment Surface'!$O14="",-1,1)),$AN$4:$AN$23,0),MATCH(INDEX('Adjustment Surface'!$AO$3:$BH$3,1,MATCH(('Adjustment Surface'!AB$3),'Adjustment Surface'!$AO$3:$BH$3,1)+IF('Adjustment Surface'!AC$3="",-1,1)),$AO$3:$BH$3,0))*('Adjustment Surface'!$O13-INDEX('Adjustment Surface'!$AN$4:$AN$23,MATCH(('Adjustment Surface'!$O13),'Adjustment Surface'!$AN$4:$AN$23,1)))*('Adjustment Surface'!AB$3-INDEX('Adjustment Surface'!$AO$3:$BH$3,1,MATCH(('Adjustment Surface'!AB$3),'Adjustment Surface'!$AO$3:$BH$3,1)))))</f>
        <v/>
      </c>
      <c r="AC13" s="181" t="str" cm="1">
        <f t="array" ref="AC13">IF(OR(AC$3="",$O13=""),"",1/((INDEX('Adjustment Surface'!$AN$4:$AN$23,MATCH(('Adjustment Surface'!$O13),'Adjustment Surface'!$AN$4:$AN$23,1)+IF('Adjustment Surface'!$O14="",-1,1))-INDEX('Adjustment Surface'!$AN$4:$AN$23,MATCH(('Adjustment Surface'!$O13),'Adjustment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Surface'!$O13),'Adjustment Surface'!$AN$4:$AN$23,1)),$AN$4:$AN$23,0),MATCH(INDEX('Adjustment Surface'!$AO$3:$BH$3,1,MATCH(('Adjustment Surface'!AC$3),'Adjustment Surface'!$AO$3:$BH$3,1)),$AO$3:$BH$3,0))*(INDEX('Adjustment Surface'!$AN$4:$AN$23,MATCH(('Adjustment Surface'!$O13),'Adjustment Surface'!$AN$4:$AN$23,1)+IF('Adjustment Surface'!$O14="",-1,1))-'Adjustment Surface'!$O13)*(INDEX('Adjustment Surface'!$AO$3:$BH$3,1,MATCH(('Adjustment Surface'!AC$3),'Adjustment Surface'!$AO$3:$BH$3,1)+IF('Adjustment Surface'!AD$3="",-1,1))-'Adjustment Surface'!AC$3)+INDEX($AO$4:$BH$23,MATCH(INDEX('Adjustment Surface'!$AN$4:$AN$23,MATCH(('Adjustment Surface'!$O13),'Adjustment Surface'!$AN$4:$AN$23,1)+IF('Adjustment Surface'!$O14="",-1,1)),$AN$4:$AN$23,0),MATCH(INDEX('Adjustment Surface'!$AO$3:$BH$3,1,MATCH(('Adjustment Surface'!AC$3),'Adjustment Surface'!$AO$3:$BH$3,1)),$AO$3:$BH$3,0))*('Adjustment Surface'!$O13-INDEX('Adjustment Surface'!$AN$4:$AN$23,MATCH(('Adjustment Surface'!$O13),'Adjustment Surface'!$AN$4:$AN$23,1)))*(INDEX('Adjustment Surface'!$AO$3:$BH$3,1,MATCH(('Adjustment Surface'!AC$3),'Adjustment Surface'!$AO$3:$BH$3,1)+IF('Adjustment Surface'!AD$3="",-1,1))-'Adjustment Surface'!AC$3)+INDEX($AO$4:$BH$23,MATCH(INDEX('Adjustment Surface'!$AN$4:$AN$23,MATCH(('Adjustment Surface'!$O13),'Adjustment Surface'!$AN$4:$AN$23,1)),$AN$4:$AN$23,0),MATCH(INDEX('Adjustment Surface'!$AO$3:$BH$3,1,MATCH(('Adjustment Surface'!AC$3),'Adjustment Surface'!$AO$3:$BH$3,1)+IF('Adjustment Surface'!AD$3="",-1,1)),$AO$3:$BH$3,0))*(INDEX('Adjustment Surface'!$AN$4:$AN$23,MATCH(('Adjustment Surface'!$O13),'Adjustment Surface'!$AN$4:$AN$23,1)+IF('Adjustment Surface'!$O14="",-1,1))-'Adjustment Surface'!$O13)*('Adjustment Surface'!AC$3-INDEX('Adjustment Surface'!$AO$3:$BH$3,1,MATCH(('Adjustment Surface'!AC$3),'Adjustment Surface'!$AO$3:$BH$3,1)))+INDEX($AO$4:$BH$23,MATCH(INDEX('Adjustment Surface'!$AN$4:$AN$23,MATCH(('Adjustment Surface'!$O13),'Adjustment Surface'!$AN$4:$AN$23,1)+IF('Adjustment Surface'!$O14="",-1,1)),$AN$4:$AN$23,0),MATCH(INDEX('Adjustment Surface'!$AO$3:$BH$3,1,MATCH(('Adjustment Surface'!AC$3),'Adjustment Surface'!$AO$3:$BH$3,1)+IF('Adjustment Surface'!AD$3="",-1,1)),$AO$3:$BH$3,0))*('Adjustment Surface'!$O13-INDEX('Adjustment Surface'!$AN$4:$AN$23,MATCH(('Adjustment Surface'!$O13),'Adjustment Surface'!$AN$4:$AN$23,1)))*('Adjustment Surface'!AC$3-INDEX('Adjustment Surface'!$AO$3:$BH$3,1,MATCH(('Adjustment Surface'!AC$3),'Adjustment Surface'!$AO$3:$BH$3,1)))))</f>
        <v/>
      </c>
      <c r="AD13" s="181" t="str" cm="1">
        <f t="array" ref="AD13">IF(OR(AD$3="",$O13=""),"",1/((INDEX('Adjustment Surface'!$AN$4:$AN$23,MATCH(('Adjustment Surface'!$O13),'Adjustment Surface'!$AN$4:$AN$23,1)+IF('Adjustment Surface'!$O14="",-1,1))-INDEX('Adjustment Surface'!$AN$4:$AN$23,MATCH(('Adjustment Surface'!$O13),'Adjustment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Surface'!$O13),'Adjustment Surface'!$AN$4:$AN$23,1)),$AN$4:$AN$23,0),MATCH(INDEX('Adjustment Surface'!$AO$3:$BH$3,1,MATCH(('Adjustment Surface'!AD$3),'Adjustment Surface'!$AO$3:$BH$3,1)),$AO$3:$BH$3,0))*(INDEX('Adjustment Surface'!$AN$4:$AN$23,MATCH(('Adjustment Surface'!$O13),'Adjustment Surface'!$AN$4:$AN$23,1)+IF('Adjustment Surface'!$O14="",-1,1))-'Adjustment Surface'!$O13)*(INDEX('Adjustment Surface'!$AO$3:$BH$3,1,MATCH(('Adjustment Surface'!AD$3),'Adjustment Surface'!$AO$3:$BH$3,1)+IF('Adjustment Surface'!AE$3="",-1,1))-'Adjustment Surface'!AD$3)+INDEX($AO$4:$BH$23,MATCH(INDEX('Adjustment Surface'!$AN$4:$AN$23,MATCH(('Adjustment Surface'!$O13),'Adjustment Surface'!$AN$4:$AN$23,1)+IF('Adjustment Surface'!$O14="",-1,1)),$AN$4:$AN$23,0),MATCH(INDEX('Adjustment Surface'!$AO$3:$BH$3,1,MATCH(('Adjustment Surface'!AD$3),'Adjustment Surface'!$AO$3:$BH$3,1)),$AO$3:$BH$3,0))*('Adjustment Surface'!$O13-INDEX('Adjustment Surface'!$AN$4:$AN$23,MATCH(('Adjustment Surface'!$O13),'Adjustment Surface'!$AN$4:$AN$23,1)))*(INDEX('Adjustment Surface'!$AO$3:$BH$3,1,MATCH(('Adjustment Surface'!AD$3),'Adjustment Surface'!$AO$3:$BH$3,1)+IF('Adjustment Surface'!AE$3="",-1,1))-'Adjustment Surface'!AD$3)+INDEX($AO$4:$BH$23,MATCH(INDEX('Adjustment Surface'!$AN$4:$AN$23,MATCH(('Adjustment Surface'!$O13),'Adjustment Surface'!$AN$4:$AN$23,1)),$AN$4:$AN$23,0),MATCH(INDEX('Adjustment Surface'!$AO$3:$BH$3,1,MATCH(('Adjustment Surface'!AD$3),'Adjustment Surface'!$AO$3:$BH$3,1)+IF('Adjustment Surface'!AE$3="",-1,1)),$AO$3:$BH$3,0))*(INDEX('Adjustment Surface'!$AN$4:$AN$23,MATCH(('Adjustment Surface'!$O13),'Adjustment Surface'!$AN$4:$AN$23,1)+IF('Adjustment Surface'!$O14="",-1,1))-'Adjustment Surface'!$O13)*('Adjustment Surface'!AD$3-INDEX('Adjustment Surface'!$AO$3:$BH$3,1,MATCH(('Adjustment Surface'!AD$3),'Adjustment Surface'!$AO$3:$BH$3,1)))+INDEX($AO$4:$BH$23,MATCH(INDEX('Adjustment Surface'!$AN$4:$AN$23,MATCH(('Adjustment Surface'!$O13),'Adjustment Surface'!$AN$4:$AN$23,1)+IF('Adjustment Surface'!$O14="",-1,1)),$AN$4:$AN$23,0),MATCH(INDEX('Adjustment Surface'!$AO$3:$BH$3,1,MATCH(('Adjustment Surface'!AD$3),'Adjustment Surface'!$AO$3:$BH$3,1)+IF('Adjustment Surface'!AE$3="",-1,1)),$AO$3:$BH$3,0))*('Adjustment Surface'!$O13-INDEX('Adjustment Surface'!$AN$4:$AN$23,MATCH(('Adjustment Surface'!$O13),'Adjustment Surface'!$AN$4:$AN$23,1)))*('Adjustment Surface'!AD$3-INDEX('Adjustment Surface'!$AO$3:$BH$3,1,MATCH(('Adjustment Surface'!AD$3),'Adjustment Surface'!$AO$3:$BH$3,1)))))</f>
        <v/>
      </c>
      <c r="AE13" s="181" t="str" cm="1">
        <f t="array" ref="AE13">IF(OR(AE$3="",$O13=""),"",1/((INDEX('Adjustment Surface'!$AN$4:$AN$23,MATCH(('Adjustment Surface'!$O13),'Adjustment Surface'!$AN$4:$AN$23,1)+IF('Adjustment Surface'!$O14="",-1,1))-INDEX('Adjustment Surface'!$AN$4:$AN$23,MATCH(('Adjustment Surface'!$O13),'Adjustment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Surface'!$O13),'Adjustment Surface'!$AN$4:$AN$23,1)),$AN$4:$AN$23,0),MATCH(INDEX('Adjustment Surface'!$AO$3:$BH$3,1,MATCH(('Adjustment Surface'!AE$3),'Adjustment Surface'!$AO$3:$BH$3,1)),$AO$3:$BH$3,0))*(INDEX('Adjustment Surface'!$AN$4:$AN$23,MATCH(('Adjustment Surface'!$O13),'Adjustment Surface'!$AN$4:$AN$23,1)+IF('Adjustment Surface'!$O14="",-1,1))-'Adjustment Surface'!$O13)*(INDEX('Adjustment Surface'!$AO$3:$BH$3,1,MATCH(('Adjustment Surface'!AE$3),'Adjustment Surface'!$AO$3:$BH$3,1)+IF('Adjustment Surface'!AF$3="",-1,1))-'Adjustment Surface'!AE$3)+INDEX($AO$4:$BH$23,MATCH(INDEX('Adjustment Surface'!$AN$4:$AN$23,MATCH(('Adjustment Surface'!$O13),'Adjustment Surface'!$AN$4:$AN$23,1)+IF('Adjustment Surface'!$O14="",-1,1)),$AN$4:$AN$23,0),MATCH(INDEX('Adjustment Surface'!$AO$3:$BH$3,1,MATCH(('Adjustment Surface'!AE$3),'Adjustment Surface'!$AO$3:$BH$3,1)),$AO$3:$BH$3,0))*('Adjustment Surface'!$O13-INDEX('Adjustment Surface'!$AN$4:$AN$23,MATCH(('Adjustment Surface'!$O13),'Adjustment Surface'!$AN$4:$AN$23,1)))*(INDEX('Adjustment Surface'!$AO$3:$BH$3,1,MATCH(('Adjustment Surface'!AE$3),'Adjustment Surface'!$AO$3:$BH$3,1)+IF('Adjustment Surface'!AF$3="",-1,1))-'Adjustment Surface'!AE$3)+INDEX($AO$4:$BH$23,MATCH(INDEX('Adjustment Surface'!$AN$4:$AN$23,MATCH(('Adjustment Surface'!$O13),'Adjustment Surface'!$AN$4:$AN$23,1)),$AN$4:$AN$23,0),MATCH(INDEX('Adjustment Surface'!$AO$3:$BH$3,1,MATCH(('Adjustment Surface'!AE$3),'Adjustment Surface'!$AO$3:$BH$3,1)+IF('Adjustment Surface'!AF$3="",-1,1)),$AO$3:$BH$3,0))*(INDEX('Adjustment Surface'!$AN$4:$AN$23,MATCH(('Adjustment Surface'!$O13),'Adjustment Surface'!$AN$4:$AN$23,1)+IF('Adjustment Surface'!$O14="",-1,1))-'Adjustment Surface'!$O13)*('Adjustment Surface'!AE$3-INDEX('Adjustment Surface'!$AO$3:$BH$3,1,MATCH(('Adjustment Surface'!AE$3),'Adjustment Surface'!$AO$3:$BH$3,1)))+INDEX($AO$4:$BH$23,MATCH(INDEX('Adjustment Surface'!$AN$4:$AN$23,MATCH(('Adjustment Surface'!$O13),'Adjustment Surface'!$AN$4:$AN$23,1)+IF('Adjustment Surface'!$O14="",-1,1)),$AN$4:$AN$23,0),MATCH(INDEX('Adjustment Surface'!$AO$3:$BH$3,1,MATCH(('Adjustment Surface'!AE$3),'Adjustment Surface'!$AO$3:$BH$3,1)+IF('Adjustment Surface'!AF$3="",-1,1)),$AO$3:$BH$3,0))*('Adjustment Surface'!$O13-INDEX('Adjustment Surface'!$AN$4:$AN$23,MATCH(('Adjustment Surface'!$O13),'Adjustment Surface'!$AN$4:$AN$23,1)))*('Adjustment Surface'!AE$3-INDEX('Adjustment Surface'!$AO$3:$BH$3,1,MATCH(('Adjustment Surface'!AE$3),'Adjustment Surface'!$AO$3:$BH$3,1)))))</f>
        <v/>
      </c>
      <c r="AF13" s="181" t="str" cm="1">
        <f t="array" ref="AF13">IF(OR(AF$3="",$O13=""),"",1/((INDEX('Adjustment Surface'!$AN$4:$AN$23,MATCH(('Adjustment Surface'!$O13),'Adjustment Surface'!$AN$4:$AN$23,1)+IF('Adjustment Surface'!$O14="",-1,1))-INDEX('Adjustment Surface'!$AN$4:$AN$23,MATCH(('Adjustment Surface'!$O13),'Adjustment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Surface'!$O13),'Adjustment Surface'!$AN$4:$AN$23,1)),$AN$4:$AN$23,0),MATCH(INDEX('Adjustment Surface'!$AO$3:$BH$3,1,MATCH(('Adjustment Surface'!AF$3),'Adjustment Surface'!$AO$3:$BH$3,1)),$AO$3:$BH$3,0))*(INDEX('Adjustment Surface'!$AN$4:$AN$23,MATCH(('Adjustment Surface'!$O13),'Adjustment Surface'!$AN$4:$AN$23,1)+IF('Adjustment Surface'!$O14="",-1,1))-'Adjustment Surface'!$O13)*(INDEX('Adjustment Surface'!$AO$3:$BH$3,1,MATCH(('Adjustment Surface'!AF$3),'Adjustment Surface'!$AO$3:$BH$3,1)+IF('Adjustment Surface'!AG$3="",-1,1))-'Adjustment Surface'!AF$3)+INDEX($AO$4:$BH$23,MATCH(INDEX('Adjustment Surface'!$AN$4:$AN$23,MATCH(('Adjustment Surface'!$O13),'Adjustment Surface'!$AN$4:$AN$23,1)+IF('Adjustment Surface'!$O14="",-1,1)),$AN$4:$AN$23,0),MATCH(INDEX('Adjustment Surface'!$AO$3:$BH$3,1,MATCH(('Adjustment Surface'!AF$3),'Adjustment Surface'!$AO$3:$BH$3,1)),$AO$3:$BH$3,0))*('Adjustment Surface'!$O13-INDEX('Adjustment Surface'!$AN$4:$AN$23,MATCH(('Adjustment Surface'!$O13),'Adjustment Surface'!$AN$4:$AN$23,1)))*(INDEX('Adjustment Surface'!$AO$3:$BH$3,1,MATCH(('Adjustment Surface'!AF$3),'Adjustment Surface'!$AO$3:$BH$3,1)+IF('Adjustment Surface'!AG$3="",-1,1))-'Adjustment Surface'!AF$3)+INDEX($AO$4:$BH$23,MATCH(INDEX('Adjustment Surface'!$AN$4:$AN$23,MATCH(('Adjustment Surface'!$O13),'Adjustment Surface'!$AN$4:$AN$23,1)),$AN$4:$AN$23,0),MATCH(INDEX('Adjustment Surface'!$AO$3:$BH$3,1,MATCH(('Adjustment Surface'!AF$3),'Adjustment Surface'!$AO$3:$BH$3,1)+IF('Adjustment Surface'!AG$3="",-1,1)),$AO$3:$BH$3,0))*(INDEX('Adjustment Surface'!$AN$4:$AN$23,MATCH(('Adjustment Surface'!$O13),'Adjustment Surface'!$AN$4:$AN$23,1)+IF('Adjustment Surface'!$O14="",-1,1))-'Adjustment Surface'!$O13)*('Adjustment Surface'!AF$3-INDEX('Adjustment Surface'!$AO$3:$BH$3,1,MATCH(('Adjustment Surface'!AF$3),'Adjustment Surface'!$AO$3:$BH$3,1)))+INDEX($AO$4:$BH$23,MATCH(INDEX('Adjustment Surface'!$AN$4:$AN$23,MATCH(('Adjustment Surface'!$O13),'Adjustment Surface'!$AN$4:$AN$23,1)+IF('Adjustment Surface'!$O14="",-1,1)),$AN$4:$AN$23,0),MATCH(INDEX('Adjustment Surface'!$AO$3:$BH$3,1,MATCH(('Adjustment Surface'!AF$3),'Adjustment Surface'!$AO$3:$BH$3,1)+IF('Adjustment Surface'!AG$3="",-1,1)),$AO$3:$BH$3,0))*('Adjustment Surface'!$O13-INDEX('Adjustment Surface'!$AN$4:$AN$23,MATCH(('Adjustment Surface'!$O13),'Adjustment Surface'!$AN$4:$AN$23,1)))*('Adjustment Surface'!AF$3-INDEX('Adjustment Surface'!$AO$3:$BH$3,1,MATCH(('Adjustment Surface'!AF$3),'Adjustment Surface'!$AO$3:$BH$3,1)))))</f>
        <v/>
      </c>
      <c r="AG13" s="181" t="str" cm="1">
        <f t="array" ref="AG13">IF(OR(AG$3="",$O13=""),"",1/((INDEX('Adjustment Surface'!$AN$4:$AN$23,MATCH(('Adjustment Surface'!$O13),'Adjustment Surface'!$AN$4:$AN$23,1)+IF('Adjustment Surface'!$O14="",-1,1))-INDEX('Adjustment Surface'!$AN$4:$AN$23,MATCH(('Adjustment Surface'!$O13),'Adjustment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Surface'!$O13),'Adjustment Surface'!$AN$4:$AN$23,1)),$AN$4:$AN$23,0),MATCH(INDEX('Adjustment Surface'!$AO$3:$BH$3,1,MATCH(('Adjustment Surface'!AG$3),'Adjustment Surface'!$AO$3:$BH$3,1)),$AO$3:$BH$3,0))*(INDEX('Adjustment Surface'!$AN$4:$AN$23,MATCH(('Adjustment Surface'!$O13),'Adjustment Surface'!$AN$4:$AN$23,1)+IF('Adjustment Surface'!$O14="",-1,1))-'Adjustment Surface'!$O13)*(INDEX('Adjustment Surface'!$AO$3:$BH$3,1,MATCH(('Adjustment Surface'!AG$3),'Adjustment Surface'!$AO$3:$BH$3,1)+IF('Adjustment Surface'!AH$3="",-1,1))-'Adjustment Surface'!AG$3)+INDEX($AO$4:$BH$23,MATCH(INDEX('Adjustment Surface'!$AN$4:$AN$23,MATCH(('Adjustment Surface'!$O13),'Adjustment Surface'!$AN$4:$AN$23,1)+IF('Adjustment Surface'!$O14="",-1,1)),$AN$4:$AN$23,0),MATCH(INDEX('Adjustment Surface'!$AO$3:$BH$3,1,MATCH(('Adjustment Surface'!AG$3),'Adjustment Surface'!$AO$3:$BH$3,1)),$AO$3:$BH$3,0))*('Adjustment Surface'!$O13-INDEX('Adjustment Surface'!$AN$4:$AN$23,MATCH(('Adjustment Surface'!$O13),'Adjustment Surface'!$AN$4:$AN$23,1)))*(INDEX('Adjustment Surface'!$AO$3:$BH$3,1,MATCH(('Adjustment Surface'!AG$3),'Adjustment Surface'!$AO$3:$BH$3,1)+IF('Adjustment Surface'!AH$3="",-1,1))-'Adjustment Surface'!AG$3)+INDEX($AO$4:$BH$23,MATCH(INDEX('Adjustment Surface'!$AN$4:$AN$23,MATCH(('Adjustment Surface'!$O13),'Adjustment Surface'!$AN$4:$AN$23,1)),$AN$4:$AN$23,0),MATCH(INDEX('Adjustment Surface'!$AO$3:$BH$3,1,MATCH(('Adjustment Surface'!AG$3),'Adjustment Surface'!$AO$3:$BH$3,1)+IF('Adjustment Surface'!AH$3="",-1,1)),$AO$3:$BH$3,0))*(INDEX('Adjustment Surface'!$AN$4:$AN$23,MATCH(('Adjustment Surface'!$O13),'Adjustment Surface'!$AN$4:$AN$23,1)+IF('Adjustment Surface'!$O14="",-1,1))-'Adjustment Surface'!$O13)*('Adjustment Surface'!AG$3-INDEX('Adjustment Surface'!$AO$3:$BH$3,1,MATCH(('Adjustment Surface'!AG$3),'Adjustment Surface'!$AO$3:$BH$3,1)))+INDEX($AO$4:$BH$23,MATCH(INDEX('Adjustment Surface'!$AN$4:$AN$23,MATCH(('Adjustment Surface'!$O13),'Adjustment Surface'!$AN$4:$AN$23,1)+IF('Adjustment Surface'!$O14="",-1,1)),$AN$4:$AN$23,0),MATCH(INDEX('Adjustment Surface'!$AO$3:$BH$3,1,MATCH(('Adjustment Surface'!AG$3),'Adjustment Surface'!$AO$3:$BH$3,1)+IF('Adjustment Surface'!AH$3="",-1,1)),$AO$3:$BH$3,0))*('Adjustment Surface'!$O13-INDEX('Adjustment Surface'!$AN$4:$AN$23,MATCH(('Adjustment Surface'!$O13),'Adjustment Surface'!$AN$4:$AN$23,1)))*('Adjustment Surface'!AG$3-INDEX('Adjustment Surface'!$AO$3:$BH$3,1,MATCH(('Adjustment Surface'!AG$3),'Adjustment Surface'!$AO$3:$BH$3,1)))))</f>
        <v/>
      </c>
      <c r="AH13" s="181" t="str" cm="1">
        <f t="array" ref="AH13">IF(OR(AH$3="",$O13=""),"",1/((INDEX('Adjustment Surface'!$AN$4:$AN$23,MATCH(('Adjustment Surface'!$O13),'Adjustment Surface'!$AN$4:$AN$23,1)+IF('Adjustment Surface'!$O14="",-1,1))-INDEX('Adjustment Surface'!$AN$4:$AN$23,MATCH(('Adjustment Surface'!$O13),'Adjustment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Surface'!$O13),'Adjustment Surface'!$AN$4:$AN$23,1)),$AN$4:$AN$23,0),MATCH(INDEX('Adjustment Surface'!$AO$3:$BH$3,1,MATCH(('Adjustment Surface'!AH$3),'Adjustment Surface'!$AO$3:$BH$3,1)),$AO$3:$BH$3,0))*(INDEX('Adjustment Surface'!$AN$4:$AN$23,MATCH(('Adjustment Surface'!$O13),'Adjustment Surface'!$AN$4:$AN$23,1)+IF('Adjustment Surface'!$O14="",-1,1))-'Adjustment Surface'!$O13)*(INDEX('Adjustment Surface'!$AO$3:$BH$3,1,MATCH(('Adjustment Surface'!AH$3),'Adjustment Surface'!$AO$3:$BH$3,1)+IF('Adjustment Surface'!AI$3="",-1,1))-'Adjustment Surface'!AH$3)+INDEX($AO$4:$BH$23,MATCH(INDEX('Adjustment Surface'!$AN$4:$AN$23,MATCH(('Adjustment Surface'!$O13),'Adjustment Surface'!$AN$4:$AN$23,1)+IF('Adjustment Surface'!$O14="",-1,1)),$AN$4:$AN$23,0),MATCH(INDEX('Adjustment Surface'!$AO$3:$BH$3,1,MATCH(('Adjustment Surface'!AH$3),'Adjustment Surface'!$AO$3:$BH$3,1)),$AO$3:$BH$3,0))*('Adjustment Surface'!$O13-INDEX('Adjustment Surface'!$AN$4:$AN$23,MATCH(('Adjustment Surface'!$O13),'Adjustment Surface'!$AN$4:$AN$23,1)))*(INDEX('Adjustment Surface'!$AO$3:$BH$3,1,MATCH(('Adjustment Surface'!AH$3),'Adjustment Surface'!$AO$3:$BH$3,1)+IF('Adjustment Surface'!AI$3="",-1,1))-'Adjustment Surface'!AH$3)+INDEX($AO$4:$BH$23,MATCH(INDEX('Adjustment Surface'!$AN$4:$AN$23,MATCH(('Adjustment Surface'!$O13),'Adjustment Surface'!$AN$4:$AN$23,1)),$AN$4:$AN$23,0),MATCH(INDEX('Adjustment Surface'!$AO$3:$BH$3,1,MATCH(('Adjustment Surface'!AH$3),'Adjustment Surface'!$AO$3:$BH$3,1)+IF('Adjustment Surface'!AI$3="",-1,1)),$AO$3:$BH$3,0))*(INDEX('Adjustment Surface'!$AN$4:$AN$23,MATCH(('Adjustment Surface'!$O13),'Adjustment Surface'!$AN$4:$AN$23,1)+IF('Adjustment Surface'!$O14="",-1,1))-'Adjustment Surface'!$O13)*('Adjustment Surface'!AH$3-INDEX('Adjustment Surface'!$AO$3:$BH$3,1,MATCH(('Adjustment Surface'!AH$3),'Adjustment Surface'!$AO$3:$BH$3,1)))+INDEX($AO$4:$BH$23,MATCH(INDEX('Adjustment Surface'!$AN$4:$AN$23,MATCH(('Adjustment Surface'!$O13),'Adjustment Surface'!$AN$4:$AN$23,1)+IF('Adjustment Surface'!$O14="",-1,1)),$AN$4:$AN$23,0),MATCH(INDEX('Adjustment Surface'!$AO$3:$BH$3,1,MATCH(('Adjustment Surface'!AH$3),'Adjustment Surface'!$AO$3:$BH$3,1)+IF('Adjustment Surface'!AI$3="",-1,1)),$AO$3:$BH$3,0))*('Adjustment Surface'!$O13-INDEX('Adjustment Surface'!$AN$4:$AN$23,MATCH(('Adjustment Surface'!$O13),'Adjustment Surface'!$AN$4:$AN$23,1)))*('Adjustment Surface'!AH$3-INDEX('Adjustment Surface'!$AO$3:$BH$3,1,MATCH(('Adjustment Surface'!AH$3),'Adjustment Surface'!$AO$3:$BH$3,1)))))</f>
        <v/>
      </c>
      <c r="AI13" s="182" t="str" cm="1">
        <f t="array" ref="AI13">IF(OR(AI$3="",$O13=""),"",1/((INDEX('Adjustment Surface'!$AN$4:$AN$23,MATCH(('Adjustment Surface'!$O13),'Adjustment Surface'!$AN$4:$AN$23,1)+IF('Adjustment Surface'!$O14="",-1,1))-INDEX('Adjustment Surface'!$AN$4:$AN$23,MATCH(('Adjustment Surface'!$O13),'Adjustment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Surface'!$O13),'Adjustment Surface'!$AN$4:$AN$23,1)),$AN$4:$AN$23,0),MATCH(INDEX('Adjustment Surface'!$AO$3:$BH$3,1,MATCH(('Adjustment Surface'!AI$3),'Adjustment Surface'!$AO$3:$BH$3,1)),$AO$3:$BH$3,0))*(INDEX('Adjustment Surface'!$AN$4:$AN$23,MATCH(('Adjustment Surface'!$O13),'Adjustment Surface'!$AN$4:$AN$23,1)+IF('Adjustment Surface'!$O14="",-1,1))-'Adjustment Surface'!$O13)*(INDEX('Adjustment Surface'!$AO$3:$BH$3,1,MATCH(('Adjustment Surface'!AI$3),'Adjustment Surface'!$AO$3:$BH$3,1)+IF('Adjustment Surface'!AJ$3="",-1,1))-'Adjustment Surface'!AI$3)+INDEX($AO$4:$BH$23,MATCH(INDEX('Adjustment Surface'!$AN$4:$AN$23,MATCH(('Adjustment Surface'!$O13),'Adjustment Surface'!$AN$4:$AN$23,1)+IF('Adjustment Surface'!$O14="",-1,1)),$AN$4:$AN$23,0),MATCH(INDEX('Adjustment Surface'!$AO$3:$BH$3,1,MATCH(('Adjustment Surface'!AI$3),'Adjustment Surface'!$AO$3:$BH$3,1)),$AO$3:$BH$3,0))*('Adjustment Surface'!$O13-INDEX('Adjustment Surface'!$AN$4:$AN$23,MATCH(('Adjustment Surface'!$O13),'Adjustment Surface'!$AN$4:$AN$23,1)))*(INDEX('Adjustment Surface'!$AO$3:$BH$3,1,MATCH(('Adjustment Surface'!AI$3),'Adjustment Surface'!$AO$3:$BH$3,1)+IF('Adjustment Surface'!AJ$3="",-1,1))-'Adjustment Surface'!AI$3)+INDEX($AO$4:$BH$23,MATCH(INDEX('Adjustment Surface'!$AN$4:$AN$23,MATCH(('Adjustment Surface'!$O13),'Adjustment Surface'!$AN$4:$AN$23,1)),$AN$4:$AN$23,0),MATCH(INDEX('Adjustment Surface'!$AO$3:$BH$3,1,MATCH(('Adjustment Surface'!AI$3),'Adjustment Surface'!$AO$3:$BH$3,1)+IF('Adjustment Surface'!AJ$3="",-1,1)),$AO$3:$BH$3,0))*(INDEX('Adjustment Surface'!$AN$4:$AN$23,MATCH(('Adjustment Surface'!$O13),'Adjustment Surface'!$AN$4:$AN$23,1)+IF('Adjustment Surface'!$O14="",-1,1))-'Adjustment Surface'!$O13)*('Adjustment Surface'!AI$3-INDEX('Adjustment Surface'!$AO$3:$BH$3,1,MATCH(('Adjustment Surface'!AI$3),'Adjustment Surface'!$AO$3:$BH$3,1)))+INDEX($AO$4:$BH$23,MATCH(INDEX('Adjustment Surface'!$AN$4:$AN$23,MATCH(('Adjustment Surface'!$O13),'Adjustment Surface'!$AN$4:$AN$23,1)+IF('Adjustment Surface'!$O14="",-1,1)),$AN$4:$AN$23,0),MATCH(INDEX('Adjustment Surface'!$AO$3:$BH$3,1,MATCH(('Adjustment Surface'!AI$3),'Adjustment Surface'!$AO$3:$BH$3,1)+IF('Adjustment Surface'!AJ$3="",-1,1)),$AO$3:$BH$3,0))*('Adjustment Surface'!$O13-INDEX('Adjustment Surface'!$AN$4:$AN$23,MATCH(('Adjustment Surface'!$O13),'Adjustment Surface'!$AN$4:$AN$23,1)))*('Adjustment Surface'!AI$3-INDEX('Adjustment Surface'!$AO$3:$BH$3,1,MATCH(('Adjustment Surface'!AI$3),'Adjustment Surface'!$AO$3:$BH$3,1)))))</f>
        <v/>
      </c>
      <c r="AK13" s="203" t="str">
        <f>IF(OR(AK12=IF('Adjustment Surface'!$C$2='Data Validation'!$A$2,_xlfn.FLOOR.MATH(MAX('Bank Adjustments'!$C$4:$C$103),0.5%,2),IF('Adjustment Surface'!$C$2='Data Validation'!$A$3,_xlfn.FLOOR.MATH(MAX('Bank Adjustments'!$M$4:$M$103),0.5%,2),"Uknown Option Type")),AK12=""),"",AK12+0.5%)</f>
        <v/>
      </c>
      <c r="AL13" s="204" t="str">
        <f>IF(OR(AL12=IF('Adjustment Surface'!$C$2='Data Validation'!$A$2,IF(EDATE('Rate &amp; Vol Update'!$C$2,_xlfn.FLOOR.MATH(DATEDIF('Rate &amp; Vol Update'!$C$2,MAX('Bank Adjustments'!$E$4:$E$103),"M"),3,2))&gt;MAX('Bank Adjustments'!$E$4:$E$103),EDATE('Rate &amp; Vol Update'!$C$2,_xlfn.FLOOR.MATH(DATEDIF('Rate &amp; Vol Update'!$C$2,MAX('Bank Adjustments'!$E$4:$E$103),"M")-3,3,2)),EDATE('Rate &amp; Vol Update'!$C$2,_xlfn.FLOOR.MATH(DATEDIF('Rate &amp; Vol Update'!$C$2,MAX('Bank Adjustments'!$E$4:$E$103),"M"),3,2))),IF('Adjustment Surface'!$C$2='Data Validation'!$A$3,IF(EDATE('Rate &amp; Vol Update'!$C$2,_xlfn.FLOOR.MATH(DATEDIF('Rate &amp; Vol Update'!$C$2,MAX('Bank Adjustments'!$O$4:$O$103),"M"),3,2))&gt;MAX('Bank Adjustments'!$O$4:$O$103),EDATE('Rate &amp; Vol Update'!$C$2,_xlfn.FLOOR.MATH(DATEDIF('Rate &amp; Vol Update'!$C$2,MAX('Bank Adjustments'!$O$4:$O$103),"M")-3,3,2)),EDATE('Rate &amp; Vol Update'!$C$2,_xlfn.FLOOR.MATH(DATEDIF('Rate &amp; Vol Update'!$C$2,MAX('Bank Adjustments'!$O$4:$O$103),"M"),3,2))),"Unkown Option Type")),AL12=""),"",EDATE(AL12,3))</f>
        <v/>
      </c>
      <c r="AN13" s="176"/>
      <c r="AO13" s="180" t="str" cm="1">
        <f t="array" ref="AO13">IF(OR(AO$3="",$AN13=""),"",INDEX(IF($C$2='Data Validation'!$A$2,'Bank Adjustments'!$H$4:$H$103,IF('Adjustment Surface'!$C$2='Data Validation'!$A$3,'Bank Adjustments'!$R$4:$R$103,"Unknown Option Type")),MATCH(1,($AN13=IF($C$2='Data Validation'!$A$2,'Bank Adjustments'!$C$4:$C$103,IF('Adjustment Surface'!$C$2='Data Validation'!$A$3,'Bank Adjustments'!$M$4:$M$103,"Unknown Option Type")))*(AO$3=IF($C$2='Data Validation'!$A$2,'Bank Adjustments'!$E$4:$E$103,IF('Adjustment Surface'!$C$2='Data Validation'!$A$3,'Bank Adjustments'!$O$4:$O$103,"Unknown Option Type"))),0)))</f>
        <v/>
      </c>
      <c r="AP13" s="181" t="str" cm="1">
        <f t="array" ref="AP13">IF(OR(AP$3="",$AN13=""),"",INDEX(IF($C$2='Data Validation'!$A$2,'Bank Adjustments'!$H$4:$H$103,IF('Adjustment Surface'!$C$2='Data Validation'!$A$3,'Bank Adjustments'!$R$4:$R$103,"Unknown Option Type")),MATCH(1,($AN13=IF($C$2='Data Validation'!$A$2,'Bank Adjustments'!$C$4:$C$103,IF('Adjustment Surface'!$C$2='Data Validation'!$A$3,'Bank Adjustments'!$M$4:$M$103,"Unknown Option Type")))*(AP$3=IF($C$2='Data Validation'!$A$2,'Bank Adjustments'!$E$4:$E$103,IF('Adjustment Surface'!$C$2='Data Validation'!$A$3,'Bank Adjustments'!$O$4:$O$103,"Unknown Option Type"))),0)))</f>
        <v/>
      </c>
      <c r="AQ13" s="181" t="str" cm="1">
        <f t="array" ref="AQ13">IF(OR(AQ$3="",$AN13=""),"",INDEX(IF($C$2='Data Validation'!$A$2,'Bank Adjustments'!$H$4:$H$103,IF('Adjustment Surface'!$C$2='Data Validation'!$A$3,'Bank Adjustments'!$R$4:$R$103,"Unknown Option Type")),MATCH(1,($AN13=IF($C$2='Data Validation'!$A$2,'Bank Adjustments'!$C$4:$C$103,IF('Adjustment Surface'!$C$2='Data Validation'!$A$3,'Bank Adjustments'!$M$4:$M$103,"Unknown Option Type")))*(AQ$3=IF($C$2='Data Validation'!$A$2,'Bank Adjustments'!$E$4:$E$103,IF('Adjustment Surface'!$C$2='Data Validation'!$A$3,'Bank Adjustments'!$O$4:$O$103,"Unknown Option Type"))),0)))</f>
        <v/>
      </c>
      <c r="AR13" s="181" t="str" cm="1">
        <f t="array" ref="AR13">IF(OR(AR$3="",$AN13=""),"",INDEX(IF($C$2='Data Validation'!$A$2,'Bank Adjustments'!$H$4:$H$103,IF('Adjustment Surface'!$C$2='Data Validation'!$A$3,'Bank Adjustments'!$R$4:$R$103,"Unknown Option Type")),MATCH(1,($AN13=IF($C$2='Data Validation'!$A$2,'Bank Adjustments'!$C$4:$C$103,IF('Adjustment Surface'!$C$2='Data Validation'!$A$3,'Bank Adjustments'!$M$4:$M$103,"Unknown Option Type")))*(AR$3=IF($C$2='Data Validation'!$A$2,'Bank Adjustments'!$E$4:$E$103,IF('Adjustment Surface'!$C$2='Data Validation'!$A$3,'Bank Adjustments'!$O$4:$O$103,"Unknown Option Type"))),0)))</f>
        <v/>
      </c>
      <c r="AS13" s="181" t="str" cm="1">
        <f t="array" ref="AS13">IF(OR(AS$3="",$AN13=""),"",INDEX(IF($C$2='Data Validation'!$A$2,'Bank Adjustments'!$H$4:$H$103,IF('Adjustment Surface'!$C$2='Data Validation'!$A$3,'Bank Adjustments'!$R$4:$R$103,"Unknown Option Type")),MATCH(1,($AN13=IF($C$2='Data Validation'!$A$2,'Bank Adjustments'!$C$4:$C$103,IF('Adjustment Surface'!$C$2='Data Validation'!$A$3,'Bank Adjustments'!$M$4:$M$103,"Unknown Option Type")))*(AS$3=IF($C$2='Data Validation'!$A$2,'Bank Adjustments'!$E$4:$E$103,IF('Adjustment Surface'!$C$2='Data Validation'!$A$3,'Bank Adjustments'!$O$4:$O$103,"Unknown Option Type"))),0)))</f>
        <v/>
      </c>
      <c r="AT13" s="181" t="str" cm="1">
        <f t="array" ref="AT13">IF(OR(AT$3="",$AN13=""),"",INDEX(IF($C$2='Data Validation'!$A$2,'Bank Adjustments'!$H$4:$H$103,IF('Adjustment Surface'!$C$2='Data Validation'!$A$3,'Bank Adjustments'!$R$4:$R$103,"Unknown Option Type")),MATCH(1,($AN13=IF($C$2='Data Validation'!$A$2,'Bank Adjustments'!$C$4:$C$103,IF('Adjustment Surface'!$C$2='Data Validation'!$A$3,'Bank Adjustments'!$M$4:$M$103,"Unknown Option Type")))*(AT$3=IF($C$2='Data Validation'!$A$2,'Bank Adjustments'!$E$4:$E$103,IF('Adjustment Surface'!$C$2='Data Validation'!$A$3,'Bank Adjustments'!$O$4:$O$103,"Unknown Option Type"))),0)))</f>
        <v/>
      </c>
      <c r="AU13" s="181" t="str" cm="1">
        <f t="array" ref="AU13">IF(OR(AU$3="",$AN13=""),"",INDEX(IF($C$2='Data Validation'!$A$2,'Bank Adjustments'!$H$4:$H$103,IF('Adjustment Surface'!$C$2='Data Validation'!$A$3,'Bank Adjustments'!$R$4:$R$103,"Unknown Option Type")),MATCH(1,($AN13=IF($C$2='Data Validation'!$A$2,'Bank Adjustments'!$C$4:$C$103,IF('Adjustment Surface'!$C$2='Data Validation'!$A$3,'Bank Adjustments'!$M$4:$M$103,"Unknown Option Type")))*(AU$3=IF($C$2='Data Validation'!$A$2,'Bank Adjustments'!$E$4:$E$103,IF('Adjustment Surface'!$C$2='Data Validation'!$A$3,'Bank Adjustments'!$O$4:$O$103,"Unknown Option Type"))),0)))</f>
        <v/>
      </c>
      <c r="AV13" s="181" t="str" cm="1">
        <f t="array" ref="AV13">IF(OR(AV$3="",$AN13=""),"",INDEX(IF($C$2='Data Validation'!$A$2,'Bank Adjustments'!$H$4:$H$103,IF('Adjustment Surface'!$C$2='Data Validation'!$A$3,'Bank Adjustments'!$R$4:$R$103,"Unknown Option Type")),MATCH(1,($AN13=IF($C$2='Data Validation'!$A$2,'Bank Adjustments'!$C$4:$C$103,IF('Adjustment Surface'!$C$2='Data Validation'!$A$3,'Bank Adjustments'!$M$4:$M$103,"Unknown Option Type")))*(AV$3=IF($C$2='Data Validation'!$A$2,'Bank Adjustments'!$E$4:$E$103,IF('Adjustment Surface'!$C$2='Data Validation'!$A$3,'Bank Adjustments'!$O$4:$O$103,"Unknown Option Type"))),0)))</f>
        <v/>
      </c>
      <c r="AW13" s="181" t="str" cm="1">
        <f t="array" ref="AW13">IF(OR(AW$3="",$AN13=""),"",INDEX(IF($C$2='Data Validation'!$A$2,'Bank Adjustments'!$H$4:$H$103,IF('Adjustment Surface'!$C$2='Data Validation'!$A$3,'Bank Adjustments'!$R$4:$R$103,"Unknown Option Type")),MATCH(1,($AN13=IF($C$2='Data Validation'!$A$2,'Bank Adjustments'!$C$4:$C$103,IF('Adjustment Surface'!$C$2='Data Validation'!$A$3,'Bank Adjustments'!$M$4:$M$103,"Unknown Option Type")))*(AW$3=IF($C$2='Data Validation'!$A$2,'Bank Adjustments'!$E$4:$E$103,IF('Adjustment Surface'!$C$2='Data Validation'!$A$3,'Bank Adjustments'!$O$4:$O$103,"Unknown Option Type"))),0)))</f>
        <v/>
      </c>
      <c r="AX13" s="181" t="str" cm="1">
        <f t="array" ref="AX13">IF(OR(AX$3="",$AN13=""),"",INDEX(IF($C$2='Data Validation'!$A$2,'Bank Adjustments'!$H$4:$H$103,IF('Adjustment Surface'!$C$2='Data Validation'!$A$3,'Bank Adjustments'!$R$4:$R$103,"Unknown Option Type")),MATCH(1,($AN13=IF($C$2='Data Validation'!$A$2,'Bank Adjustments'!$C$4:$C$103,IF('Adjustment Surface'!$C$2='Data Validation'!$A$3,'Bank Adjustments'!$M$4:$M$103,"Unknown Option Type")))*(AX$3=IF($C$2='Data Validation'!$A$2,'Bank Adjustments'!$E$4:$E$103,IF('Adjustment Surface'!$C$2='Data Validation'!$A$3,'Bank Adjustments'!$O$4:$O$103,"Unknown Option Type"))),0)))</f>
        <v/>
      </c>
      <c r="AY13" s="181" t="str" cm="1">
        <f t="array" ref="AY13">IF(OR(AY$3="",$AN13=""),"",INDEX(IF($C$2='Data Validation'!$A$2,'Bank Adjustments'!$H$4:$H$103,IF('Adjustment Surface'!$C$2='Data Validation'!$A$3,'Bank Adjustments'!$R$4:$R$103,"Unknown Option Type")),MATCH(1,($AN13=IF($C$2='Data Validation'!$A$2,'Bank Adjustments'!$C$4:$C$103,IF('Adjustment Surface'!$C$2='Data Validation'!$A$3,'Bank Adjustments'!$M$4:$M$103,"Unknown Option Type")))*(AY$3=IF($C$2='Data Validation'!$A$2,'Bank Adjustments'!$E$4:$E$103,IF('Adjustment Surface'!$C$2='Data Validation'!$A$3,'Bank Adjustments'!$O$4:$O$103,"Unknown Option Type"))),0)))</f>
        <v/>
      </c>
      <c r="AZ13" s="181" t="str" cm="1">
        <f t="array" ref="AZ13">IF(OR(AZ$3="",$AN13=""),"",INDEX(IF($C$2='Data Validation'!$A$2,'Bank Adjustments'!$H$4:$H$103,IF('Adjustment Surface'!$C$2='Data Validation'!$A$3,'Bank Adjustments'!$R$4:$R$103,"Unknown Option Type")),MATCH(1,($AN13=IF($C$2='Data Validation'!$A$2,'Bank Adjustments'!$C$4:$C$103,IF('Adjustment Surface'!$C$2='Data Validation'!$A$3,'Bank Adjustments'!$M$4:$M$103,"Unknown Option Type")))*(AZ$3=IF($C$2='Data Validation'!$A$2,'Bank Adjustments'!$E$4:$E$103,IF('Adjustment Surface'!$C$2='Data Validation'!$A$3,'Bank Adjustments'!$O$4:$O$103,"Unknown Option Type"))),0)))</f>
        <v/>
      </c>
      <c r="BA13" s="181" t="str" cm="1">
        <f t="array" ref="BA13">IF(OR(BA$3="",$AN13=""),"",INDEX(IF($C$2='Data Validation'!$A$2,'Bank Adjustments'!$H$4:$H$103,IF('Adjustment Surface'!$C$2='Data Validation'!$A$3,'Bank Adjustments'!$R$4:$R$103,"Unknown Option Type")),MATCH(1,($AN13=IF($C$2='Data Validation'!$A$2,'Bank Adjustments'!$C$4:$C$103,IF('Adjustment Surface'!$C$2='Data Validation'!$A$3,'Bank Adjustments'!$M$4:$M$103,"Unknown Option Type")))*(BA$3=IF($C$2='Data Validation'!$A$2,'Bank Adjustments'!$E$4:$E$103,IF('Adjustment Surface'!$C$2='Data Validation'!$A$3,'Bank Adjustments'!$O$4:$O$103,"Unknown Option Type"))),0)))</f>
        <v/>
      </c>
      <c r="BB13" s="181" t="str" cm="1">
        <f t="array" ref="BB13">IF(OR(BB$3="",$AN13=""),"",INDEX(IF($C$2='Data Validation'!$A$2,'Bank Adjustments'!$H$4:$H$103,IF('Adjustment Surface'!$C$2='Data Validation'!$A$3,'Bank Adjustments'!$R$4:$R$103,"Unknown Option Type")),MATCH(1,($AN13=IF($C$2='Data Validation'!$A$2,'Bank Adjustments'!$C$4:$C$103,IF('Adjustment Surface'!$C$2='Data Validation'!$A$3,'Bank Adjustments'!$M$4:$M$103,"Unknown Option Type")))*(BB$3=IF($C$2='Data Validation'!$A$2,'Bank Adjustments'!$E$4:$E$103,IF('Adjustment Surface'!$C$2='Data Validation'!$A$3,'Bank Adjustments'!$O$4:$O$103,"Unknown Option Type"))),0)))</f>
        <v/>
      </c>
      <c r="BC13" s="181" t="str" cm="1">
        <f t="array" ref="BC13">IF(OR(BC$3="",$AN13=""),"",INDEX(IF($C$2='Data Validation'!$A$2,'Bank Adjustments'!$H$4:$H$103,IF('Adjustment Surface'!$C$2='Data Validation'!$A$3,'Bank Adjustments'!$R$4:$R$103,"Unknown Option Type")),MATCH(1,($AN13=IF($C$2='Data Validation'!$A$2,'Bank Adjustments'!$C$4:$C$103,IF('Adjustment Surface'!$C$2='Data Validation'!$A$3,'Bank Adjustments'!$M$4:$M$103,"Unknown Option Type")))*(BC$3=IF($C$2='Data Validation'!$A$2,'Bank Adjustments'!$E$4:$E$103,IF('Adjustment Surface'!$C$2='Data Validation'!$A$3,'Bank Adjustments'!$O$4:$O$103,"Unknown Option Type"))),0)))</f>
        <v/>
      </c>
      <c r="BD13" s="181" t="str" cm="1">
        <f t="array" ref="BD13">IF(OR(BD$3="",$AN13=""),"",INDEX(IF($C$2='Data Validation'!$A$2,'Bank Adjustments'!$H$4:$H$103,IF('Adjustment Surface'!$C$2='Data Validation'!$A$3,'Bank Adjustments'!$R$4:$R$103,"Unknown Option Type")),MATCH(1,($AN13=IF($C$2='Data Validation'!$A$2,'Bank Adjustments'!$C$4:$C$103,IF('Adjustment Surface'!$C$2='Data Validation'!$A$3,'Bank Adjustments'!$M$4:$M$103,"Unknown Option Type")))*(BD$3=IF($C$2='Data Validation'!$A$2,'Bank Adjustments'!$E$4:$E$103,IF('Adjustment Surface'!$C$2='Data Validation'!$A$3,'Bank Adjustments'!$O$4:$O$103,"Unknown Option Type"))),0)))</f>
        <v/>
      </c>
      <c r="BE13" s="181" t="str" cm="1">
        <f t="array" ref="BE13">IF(OR(BE$3="",$AN13=""),"",INDEX(IF($C$2='Data Validation'!$A$2,'Bank Adjustments'!$H$4:$H$103,IF('Adjustment Surface'!$C$2='Data Validation'!$A$3,'Bank Adjustments'!$R$4:$R$103,"Unknown Option Type")),MATCH(1,($AN13=IF($C$2='Data Validation'!$A$2,'Bank Adjustments'!$C$4:$C$103,IF('Adjustment Surface'!$C$2='Data Validation'!$A$3,'Bank Adjustments'!$M$4:$M$103,"Unknown Option Type")))*(BE$3=IF($C$2='Data Validation'!$A$2,'Bank Adjustments'!$E$4:$E$103,IF('Adjustment Surface'!$C$2='Data Validation'!$A$3,'Bank Adjustments'!$O$4:$O$103,"Unknown Option Type"))),0)))</f>
        <v/>
      </c>
      <c r="BF13" s="181" t="str" cm="1">
        <f t="array" ref="BF13">IF(OR(BF$3="",$AN13=""),"",INDEX(IF($C$2='Data Validation'!$A$2,'Bank Adjustments'!$H$4:$H$103,IF('Adjustment Surface'!$C$2='Data Validation'!$A$3,'Bank Adjustments'!$R$4:$R$103,"Unknown Option Type")),MATCH(1,($AN13=IF($C$2='Data Validation'!$A$2,'Bank Adjustments'!$C$4:$C$103,IF('Adjustment Surface'!$C$2='Data Validation'!$A$3,'Bank Adjustments'!$M$4:$M$103,"Unknown Option Type")))*(BF$3=IF($C$2='Data Validation'!$A$2,'Bank Adjustments'!$E$4:$E$103,IF('Adjustment Surface'!$C$2='Data Validation'!$A$3,'Bank Adjustments'!$O$4:$O$103,"Unknown Option Type"))),0)))</f>
        <v/>
      </c>
      <c r="BG13" s="181" t="str" cm="1">
        <f t="array" ref="BG13">IF(OR(BG$3="",$AN13=""),"",INDEX(IF($C$2='Data Validation'!$A$2,'Bank Adjustments'!$H$4:$H$103,IF('Adjustment Surface'!$C$2='Data Validation'!$A$3,'Bank Adjustments'!$R$4:$R$103,"Unknown Option Type")),MATCH(1,($AN13=IF($C$2='Data Validation'!$A$2,'Bank Adjustments'!$C$4:$C$103,IF('Adjustment Surface'!$C$2='Data Validation'!$A$3,'Bank Adjustments'!$M$4:$M$103,"Unknown Option Type")))*(BG$3=IF($C$2='Data Validation'!$A$2,'Bank Adjustments'!$E$4:$E$103,IF('Adjustment Surface'!$C$2='Data Validation'!$A$3,'Bank Adjustments'!$O$4:$O$103,"Unknown Option Type"))),0)))</f>
        <v/>
      </c>
      <c r="BH13" s="182" t="str" cm="1">
        <f t="array" ref="BH13">IF(OR(BH$3="",$AN13=""),"",INDEX(IF($C$2='Data Validation'!$A$2,'Bank Adjustments'!$H$4:$H$103,IF('Adjustment Surface'!$C$2='Data Validation'!$A$3,'Bank Adjustments'!$R$4:$R$103,"Unknown Option Type")),MATCH(1,($AN13=IF($C$2='Data Validation'!$A$2,'Bank Adjustments'!$C$4:$C$103,IF('Adjustment Surface'!$C$2='Data Validation'!$A$3,'Bank Adjustments'!$M$4:$M$103,"Unknown Option Type")))*(BH$3=IF($C$2='Data Validation'!$A$2,'Bank Adjustments'!$E$4:$E$103,IF('Adjustment Surface'!$C$2='Data Validation'!$A$3,'Bank Adjustments'!$O$4:$O$103,"Unknown Option Type"))),0)))</f>
        <v/>
      </c>
    </row>
    <row r="14" spans="2:61" x14ac:dyDescent="0.25">
      <c r="B14" s="12" t="s">
        <v>6</v>
      </c>
      <c r="C14" s="74">
        <f>IF('Control Panel'!$C$3='Data Validation'!$J$2,#REF!,'Cap and Floor Pricer'!H17)</f>
        <v>46429</v>
      </c>
      <c r="D14" s="74">
        <f>IF('Control Panel'!$C$3='Data Validation'!$J$2,#REF!,'Cap and Floor Pricer'!I17)</f>
        <v>46794</v>
      </c>
      <c r="E14" s="74">
        <f>IF('Control Panel'!$C$3='Data Validation'!$J$2,#REF!,'Cap and Floor Pricer'!J17)</f>
        <v>47160</v>
      </c>
      <c r="F14" s="74">
        <f>IF('Control Panel'!$C$3='Data Validation'!$J$2,#REF!,'Cap and Floor Pricer'!K17)</f>
        <v>47525</v>
      </c>
      <c r="G14" s="55"/>
      <c r="H14" s="171"/>
      <c r="I14" s="61" t="str">
        <f t="shared" si="1"/>
        <v/>
      </c>
      <c r="J14" s="212" t="str">
        <f t="shared" si="1"/>
        <v/>
      </c>
      <c r="K14" s="212" t="str">
        <f t="shared" si="1"/>
        <v/>
      </c>
      <c r="L14" s="212" t="str">
        <f t="shared" si="1"/>
        <v/>
      </c>
      <c r="M14" s="63" t="str">
        <f t="shared" si="1"/>
        <v/>
      </c>
      <c r="O14" s="176"/>
      <c r="P14" s="180" t="str" cm="1">
        <f t="array" ref="P14">IF(OR(P$3="",$O14=""),"",1/((INDEX('Adjustment Surface'!$AN$4:$AN$23,MATCH(('Adjustment Surface'!$O14),'Adjustment Surface'!$AN$4:$AN$23,1)+IF('Adjustment Surface'!$O15="",-1,1))-INDEX('Adjustment Surface'!$AN$4:$AN$23,MATCH(('Adjustment Surface'!$O14),'Adjustment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Surface'!$O14),'Adjustment Surface'!$AN$4:$AN$23,1)),$AN$4:$AN$23,0),MATCH(INDEX('Adjustment Surface'!$AO$3:$BH$3,1,MATCH(('Adjustment Surface'!P$3),'Adjustment Surface'!$AO$3:$BH$3,1)),$AO$3:$BH$3,0))*(INDEX('Adjustment Surface'!$AN$4:$AN$23,MATCH(('Adjustment Surface'!$O14),'Adjustment Surface'!$AN$4:$AN$23,1)+IF('Adjustment Surface'!$O15="",-1,1))-'Adjustment Surface'!$O14)*(INDEX('Adjustment Surface'!$AO$3:$BH$3,1,MATCH(('Adjustment Surface'!P$3),'Adjustment Surface'!$AO$3:$BH$3,1)+IF('Adjustment Surface'!Q$3="",-1,1))-'Adjustment Surface'!P$3)+INDEX($AO$4:$BH$23,MATCH(INDEX('Adjustment Surface'!$AN$4:$AN$23,MATCH(('Adjustment Surface'!$O14),'Adjustment Surface'!$AN$4:$AN$23,1)+IF('Adjustment Surface'!$O15="",-1,1)),$AN$4:$AN$23,0),MATCH(INDEX('Adjustment Surface'!$AO$3:$BH$3,1,MATCH(('Adjustment Surface'!P$3),'Adjustment Surface'!$AO$3:$BH$3,1)),$AO$3:$BH$3,0))*('Adjustment Surface'!$O14-INDEX('Adjustment Surface'!$AN$4:$AN$23,MATCH(('Adjustment Surface'!$O14),'Adjustment Surface'!$AN$4:$AN$23,1)))*(INDEX('Adjustment Surface'!$AO$3:$BH$3,1,MATCH(('Adjustment Surface'!P$3),'Adjustment Surface'!$AO$3:$BH$3,1)+IF('Adjustment Surface'!Q$3="",-1,1))-'Adjustment Surface'!P$3)+INDEX($AO$4:$BH$23,MATCH(INDEX('Adjustment Surface'!$AN$4:$AN$23,MATCH(('Adjustment Surface'!$O14),'Adjustment Surface'!$AN$4:$AN$23,1)),$AN$4:$AN$23,0),MATCH(INDEX('Adjustment Surface'!$AO$3:$BH$3,1,MATCH(('Adjustment Surface'!P$3),'Adjustment Surface'!$AO$3:$BH$3,1)+IF('Adjustment Surface'!Q$3="",-1,1)),$AO$3:$BH$3,0))*(INDEX('Adjustment Surface'!$AN$4:$AN$23,MATCH(('Adjustment Surface'!$O14),'Adjustment Surface'!$AN$4:$AN$23,1)+IF('Adjustment Surface'!$O15="",-1,1))-'Adjustment Surface'!$O14)*('Adjustment Surface'!P$3-INDEX('Adjustment Surface'!$AO$3:$BH$3,1,MATCH(('Adjustment Surface'!P$3),'Adjustment Surface'!$AO$3:$BH$3,1)))+INDEX($AO$4:$BH$23,MATCH(INDEX('Adjustment Surface'!$AN$4:$AN$23,MATCH(('Adjustment Surface'!$O14),'Adjustment Surface'!$AN$4:$AN$23,1)+IF('Adjustment Surface'!$O15="",-1,1)),$AN$4:$AN$23,0),MATCH(INDEX('Adjustment Surface'!$AO$3:$BH$3,1,MATCH(('Adjustment Surface'!P$3),'Adjustment Surface'!$AO$3:$BH$3,1)+IF('Adjustment Surface'!Q$3="",-1,1)),$AO$3:$BH$3,0))*('Adjustment Surface'!$O14-INDEX('Adjustment Surface'!$AN$4:$AN$23,MATCH(('Adjustment Surface'!$O14),'Adjustment Surface'!$AN$4:$AN$23,1)))*('Adjustment Surface'!P$3-INDEX('Adjustment Surface'!$AO$3:$BH$3,1,MATCH(('Adjustment Surface'!P$3),'Adjustment Surface'!$AO$3:$BH$3,1)))))</f>
        <v/>
      </c>
      <c r="Q14" s="181" t="str" cm="1">
        <f t="array" ref="Q14">IF(OR(Q$3="",$O14=""),"",1/((INDEX('Adjustment Surface'!$AN$4:$AN$23,MATCH(('Adjustment Surface'!$O14),'Adjustment Surface'!$AN$4:$AN$23,1)+IF('Adjustment Surface'!$O15="",-1,1))-INDEX('Adjustment Surface'!$AN$4:$AN$23,MATCH(('Adjustment Surface'!$O14),'Adjustment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Surface'!$O14),'Adjustment Surface'!$AN$4:$AN$23,1)),$AN$4:$AN$23,0),MATCH(INDEX('Adjustment Surface'!$AO$3:$BH$3,1,MATCH(('Adjustment Surface'!Q$3),'Adjustment Surface'!$AO$3:$BH$3,1)),$AO$3:$BH$3,0))*(INDEX('Adjustment Surface'!$AN$4:$AN$23,MATCH(('Adjustment Surface'!$O14),'Adjustment Surface'!$AN$4:$AN$23,1)+IF('Adjustment Surface'!$O15="",-1,1))-'Adjustment Surface'!$O14)*(INDEX('Adjustment Surface'!$AO$3:$BH$3,1,MATCH(('Adjustment Surface'!Q$3),'Adjustment Surface'!$AO$3:$BH$3,1)+IF('Adjustment Surface'!R$3="",-1,1))-'Adjustment Surface'!Q$3)+INDEX($AO$4:$BH$23,MATCH(INDEX('Adjustment Surface'!$AN$4:$AN$23,MATCH(('Adjustment Surface'!$O14),'Adjustment Surface'!$AN$4:$AN$23,1)+IF('Adjustment Surface'!$O15="",-1,1)),$AN$4:$AN$23,0),MATCH(INDEX('Adjustment Surface'!$AO$3:$BH$3,1,MATCH(('Adjustment Surface'!Q$3),'Adjustment Surface'!$AO$3:$BH$3,1)),$AO$3:$BH$3,0))*('Adjustment Surface'!$O14-INDEX('Adjustment Surface'!$AN$4:$AN$23,MATCH(('Adjustment Surface'!$O14),'Adjustment Surface'!$AN$4:$AN$23,1)))*(INDEX('Adjustment Surface'!$AO$3:$BH$3,1,MATCH(('Adjustment Surface'!Q$3),'Adjustment Surface'!$AO$3:$BH$3,1)+IF('Adjustment Surface'!R$3="",-1,1))-'Adjustment Surface'!Q$3)+INDEX($AO$4:$BH$23,MATCH(INDEX('Adjustment Surface'!$AN$4:$AN$23,MATCH(('Adjustment Surface'!$O14),'Adjustment Surface'!$AN$4:$AN$23,1)),$AN$4:$AN$23,0),MATCH(INDEX('Adjustment Surface'!$AO$3:$BH$3,1,MATCH(('Adjustment Surface'!Q$3),'Adjustment Surface'!$AO$3:$BH$3,1)+IF('Adjustment Surface'!R$3="",-1,1)),$AO$3:$BH$3,0))*(INDEX('Adjustment Surface'!$AN$4:$AN$23,MATCH(('Adjustment Surface'!$O14),'Adjustment Surface'!$AN$4:$AN$23,1)+IF('Adjustment Surface'!$O15="",-1,1))-'Adjustment Surface'!$O14)*('Adjustment Surface'!Q$3-INDEX('Adjustment Surface'!$AO$3:$BH$3,1,MATCH(('Adjustment Surface'!Q$3),'Adjustment Surface'!$AO$3:$BH$3,1)))+INDEX($AO$4:$BH$23,MATCH(INDEX('Adjustment Surface'!$AN$4:$AN$23,MATCH(('Adjustment Surface'!$O14),'Adjustment Surface'!$AN$4:$AN$23,1)+IF('Adjustment Surface'!$O15="",-1,1)),$AN$4:$AN$23,0),MATCH(INDEX('Adjustment Surface'!$AO$3:$BH$3,1,MATCH(('Adjustment Surface'!Q$3),'Adjustment Surface'!$AO$3:$BH$3,1)+IF('Adjustment Surface'!R$3="",-1,1)),$AO$3:$BH$3,0))*('Adjustment Surface'!$O14-INDEX('Adjustment Surface'!$AN$4:$AN$23,MATCH(('Adjustment Surface'!$O14),'Adjustment Surface'!$AN$4:$AN$23,1)))*('Adjustment Surface'!Q$3-INDEX('Adjustment Surface'!$AO$3:$BH$3,1,MATCH(('Adjustment Surface'!Q$3),'Adjustment Surface'!$AO$3:$BH$3,1)))))</f>
        <v/>
      </c>
      <c r="R14" s="181" t="str" cm="1">
        <f t="array" ref="R14">IF(OR(R$3="",$O14=""),"",1/((INDEX('Adjustment Surface'!$AN$4:$AN$23,MATCH(('Adjustment Surface'!$O14),'Adjustment Surface'!$AN$4:$AN$23,1)+IF('Adjustment Surface'!$O15="",-1,1))-INDEX('Adjustment Surface'!$AN$4:$AN$23,MATCH(('Adjustment Surface'!$O14),'Adjustment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Surface'!$O14),'Adjustment Surface'!$AN$4:$AN$23,1)),$AN$4:$AN$23,0),MATCH(INDEX('Adjustment Surface'!$AO$3:$BH$3,1,MATCH(('Adjustment Surface'!R$3),'Adjustment Surface'!$AO$3:$BH$3,1)),$AO$3:$BH$3,0))*(INDEX('Adjustment Surface'!$AN$4:$AN$23,MATCH(('Adjustment Surface'!$O14),'Adjustment Surface'!$AN$4:$AN$23,1)+IF('Adjustment Surface'!$O15="",-1,1))-'Adjustment Surface'!$O14)*(INDEX('Adjustment Surface'!$AO$3:$BH$3,1,MATCH(('Adjustment Surface'!R$3),'Adjustment Surface'!$AO$3:$BH$3,1)+IF('Adjustment Surface'!S$3="",-1,1))-'Adjustment Surface'!R$3)+INDEX($AO$4:$BH$23,MATCH(INDEX('Adjustment Surface'!$AN$4:$AN$23,MATCH(('Adjustment Surface'!$O14),'Adjustment Surface'!$AN$4:$AN$23,1)+IF('Adjustment Surface'!$O15="",-1,1)),$AN$4:$AN$23,0),MATCH(INDEX('Adjustment Surface'!$AO$3:$BH$3,1,MATCH(('Adjustment Surface'!R$3),'Adjustment Surface'!$AO$3:$BH$3,1)),$AO$3:$BH$3,0))*('Adjustment Surface'!$O14-INDEX('Adjustment Surface'!$AN$4:$AN$23,MATCH(('Adjustment Surface'!$O14),'Adjustment Surface'!$AN$4:$AN$23,1)))*(INDEX('Adjustment Surface'!$AO$3:$BH$3,1,MATCH(('Adjustment Surface'!R$3),'Adjustment Surface'!$AO$3:$BH$3,1)+IF('Adjustment Surface'!S$3="",-1,1))-'Adjustment Surface'!R$3)+INDEX($AO$4:$BH$23,MATCH(INDEX('Adjustment Surface'!$AN$4:$AN$23,MATCH(('Adjustment Surface'!$O14),'Adjustment Surface'!$AN$4:$AN$23,1)),$AN$4:$AN$23,0),MATCH(INDEX('Adjustment Surface'!$AO$3:$BH$3,1,MATCH(('Adjustment Surface'!R$3),'Adjustment Surface'!$AO$3:$BH$3,1)+IF('Adjustment Surface'!S$3="",-1,1)),$AO$3:$BH$3,0))*(INDEX('Adjustment Surface'!$AN$4:$AN$23,MATCH(('Adjustment Surface'!$O14),'Adjustment Surface'!$AN$4:$AN$23,1)+IF('Adjustment Surface'!$O15="",-1,1))-'Adjustment Surface'!$O14)*('Adjustment Surface'!R$3-INDEX('Adjustment Surface'!$AO$3:$BH$3,1,MATCH(('Adjustment Surface'!R$3),'Adjustment Surface'!$AO$3:$BH$3,1)))+INDEX($AO$4:$BH$23,MATCH(INDEX('Adjustment Surface'!$AN$4:$AN$23,MATCH(('Adjustment Surface'!$O14),'Adjustment Surface'!$AN$4:$AN$23,1)+IF('Adjustment Surface'!$O15="",-1,1)),$AN$4:$AN$23,0),MATCH(INDEX('Adjustment Surface'!$AO$3:$BH$3,1,MATCH(('Adjustment Surface'!R$3),'Adjustment Surface'!$AO$3:$BH$3,1)+IF('Adjustment Surface'!S$3="",-1,1)),$AO$3:$BH$3,0))*('Adjustment Surface'!$O14-INDEX('Adjustment Surface'!$AN$4:$AN$23,MATCH(('Adjustment Surface'!$O14),'Adjustment Surface'!$AN$4:$AN$23,1)))*('Adjustment Surface'!R$3-INDEX('Adjustment Surface'!$AO$3:$BH$3,1,MATCH(('Adjustment Surface'!R$3),'Adjustment Surface'!$AO$3:$BH$3,1)))))</f>
        <v/>
      </c>
      <c r="S14" s="181" t="str" cm="1">
        <f t="array" ref="S14">IF(OR(S$3="",$O14=""),"",1/((INDEX('Adjustment Surface'!$AN$4:$AN$23,MATCH(('Adjustment Surface'!$O14),'Adjustment Surface'!$AN$4:$AN$23,1)+IF('Adjustment Surface'!$O15="",-1,1))-INDEX('Adjustment Surface'!$AN$4:$AN$23,MATCH(('Adjustment Surface'!$O14),'Adjustment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Surface'!$O14),'Adjustment Surface'!$AN$4:$AN$23,1)),$AN$4:$AN$23,0),MATCH(INDEX('Adjustment Surface'!$AO$3:$BH$3,1,MATCH(('Adjustment Surface'!S$3),'Adjustment Surface'!$AO$3:$BH$3,1)),$AO$3:$BH$3,0))*(INDEX('Adjustment Surface'!$AN$4:$AN$23,MATCH(('Adjustment Surface'!$O14),'Adjustment Surface'!$AN$4:$AN$23,1)+IF('Adjustment Surface'!$O15="",-1,1))-'Adjustment Surface'!$O14)*(INDEX('Adjustment Surface'!$AO$3:$BH$3,1,MATCH(('Adjustment Surface'!S$3),'Adjustment Surface'!$AO$3:$BH$3,1)+IF('Adjustment Surface'!T$3="",-1,1))-'Adjustment Surface'!S$3)+INDEX($AO$4:$BH$23,MATCH(INDEX('Adjustment Surface'!$AN$4:$AN$23,MATCH(('Adjustment Surface'!$O14),'Adjustment Surface'!$AN$4:$AN$23,1)+IF('Adjustment Surface'!$O15="",-1,1)),$AN$4:$AN$23,0),MATCH(INDEX('Adjustment Surface'!$AO$3:$BH$3,1,MATCH(('Adjustment Surface'!S$3),'Adjustment Surface'!$AO$3:$BH$3,1)),$AO$3:$BH$3,0))*('Adjustment Surface'!$O14-INDEX('Adjustment Surface'!$AN$4:$AN$23,MATCH(('Adjustment Surface'!$O14),'Adjustment Surface'!$AN$4:$AN$23,1)))*(INDEX('Adjustment Surface'!$AO$3:$BH$3,1,MATCH(('Adjustment Surface'!S$3),'Adjustment Surface'!$AO$3:$BH$3,1)+IF('Adjustment Surface'!T$3="",-1,1))-'Adjustment Surface'!S$3)+INDEX($AO$4:$BH$23,MATCH(INDEX('Adjustment Surface'!$AN$4:$AN$23,MATCH(('Adjustment Surface'!$O14),'Adjustment Surface'!$AN$4:$AN$23,1)),$AN$4:$AN$23,0),MATCH(INDEX('Adjustment Surface'!$AO$3:$BH$3,1,MATCH(('Adjustment Surface'!S$3),'Adjustment Surface'!$AO$3:$BH$3,1)+IF('Adjustment Surface'!T$3="",-1,1)),$AO$3:$BH$3,0))*(INDEX('Adjustment Surface'!$AN$4:$AN$23,MATCH(('Adjustment Surface'!$O14),'Adjustment Surface'!$AN$4:$AN$23,1)+IF('Adjustment Surface'!$O15="",-1,1))-'Adjustment Surface'!$O14)*('Adjustment Surface'!S$3-INDEX('Adjustment Surface'!$AO$3:$BH$3,1,MATCH(('Adjustment Surface'!S$3),'Adjustment Surface'!$AO$3:$BH$3,1)))+INDEX($AO$4:$BH$23,MATCH(INDEX('Adjustment Surface'!$AN$4:$AN$23,MATCH(('Adjustment Surface'!$O14),'Adjustment Surface'!$AN$4:$AN$23,1)+IF('Adjustment Surface'!$O15="",-1,1)),$AN$4:$AN$23,0),MATCH(INDEX('Adjustment Surface'!$AO$3:$BH$3,1,MATCH(('Adjustment Surface'!S$3),'Adjustment Surface'!$AO$3:$BH$3,1)+IF('Adjustment Surface'!T$3="",-1,1)),$AO$3:$BH$3,0))*('Adjustment Surface'!$O14-INDEX('Adjustment Surface'!$AN$4:$AN$23,MATCH(('Adjustment Surface'!$O14),'Adjustment Surface'!$AN$4:$AN$23,1)))*('Adjustment Surface'!S$3-INDEX('Adjustment Surface'!$AO$3:$BH$3,1,MATCH(('Adjustment Surface'!S$3),'Adjustment Surface'!$AO$3:$BH$3,1)))))</f>
        <v/>
      </c>
      <c r="T14" s="181" t="str" cm="1">
        <f t="array" ref="T14">IF(OR(T$3="",$O14=""),"",1/((INDEX('Adjustment Surface'!$AN$4:$AN$23,MATCH(('Adjustment Surface'!$O14),'Adjustment Surface'!$AN$4:$AN$23,1)+IF('Adjustment Surface'!$O15="",-1,1))-INDEX('Adjustment Surface'!$AN$4:$AN$23,MATCH(('Adjustment Surface'!$O14),'Adjustment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Surface'!$O14),'Adjustment Surface'!$AN$4:$AN$23,1)),$AN$4:$AN$23,0),MATCH(INDEX('Adjustment Surface'!$AO$3:$BH$3,1,MATCH(('Adjustment Surface'!T$3),'Adjustment Surface'!$AO$3:$BH$3,1)),$AO$3:$BH$3,0))*(INDEX('Adjustment Surface'!$AN$4:$AN$23,MATCH(('Adjustment Surface'!$O14),'Adjustment Surface'!$AN$4:$AN$23,1)+IF('Adjustment Surface'!$O15="",-1,1))-'Adjustment Surface'!$O14)*(INDEX('Adjustment Surface'!$AO$3:$BH$3,1,MATCH(('Adjustment Surface'!T$3),'Adjustment Surface'!$AO$3:$BH$3,1)+IF('Adjustment Surface'!U$3="",-1,1))-'Adjustment Surface'!T$3)+INDEX($AO$4:$BH$23,MATCH(INDEX('Adjustment Surface'!$AN$4:$AN$23,MATCH(('Adjustment Surface'!$O14),'Adjustment Surface'!$AN$4:$AN$23,1)+IF('Adjustment Surface'!$O15="",-1,1)),$AN$4:$AN$23,0),MATCH(INDEX('Adjustment Surface'!$AO$3:$BH$3,1,MATCH(('Adjustment Surface'!T$3),'Adjustment Surface'!$AO$3:$BH$3,1)),$AO$3:$BH$3,0))*('Adjustment Surface'!$O14-INDEX('Adjustment Surface'!$AN$4:$AN$23,MATCH(('Adjustment Surface'!$O14),'Adjustment Surface'!$AN$4:$AN$23,1)))*(INDEX('Adjustment Surface'!$AO$3:$BH$3,1,MATCH(('Adjustment Surface'!T$3),'Adjustment Surface'!$AO$3:$BH$3,1)+IF('Adjustment Surface'!U$3="",-1,1))-'Adjustment Surface'!T$3)+INDEX($AO$4:$BH$23,MATCH(INDEX('Adjustment Surface'!$AN$4:$AN$23,MATCH(('Adjustment Surface'!$O14),'Adjustment Surface'!$AN$4:$AN$23,1)),$AN$4:$AN$23,0),MATCH(INDEX('Adjustment Surface'!$AO$3:$BH$3,1,MATCH(('Adjustment Surface'!T$3),'Adjustment Surface'!$AO$3:$BH$3,1)+IF('Adjustment Surface'!U$3="",-1,1)),$AO$3:$BH$3,0))*(INDEX('Adjustment Surface'!$AN$4:$AN$23,MATCH(('Adjustment Surface'!$O14),'Adjustment Surface'!$AN$4:$AN$23,1)+IF('Adjustment Surface'!$O15="",-1,1))-'Adjustment Surface'!$O14)*('Adjustment Surface'!T$3-INDEX('Adjustment Surface'!$AO$3:$BH$3,1,MATCH(('Adjustment Surface'!T$3),'Adjustment Surface'!$AO$3:$BH$3,1)))+INDEX($AO$4:$BH$23,MATCH(INDEX('Adjustment Surface'!$AN$4:$AN$23,MATCH(('Adjustment Surface'!$O14),'Adjustment Surface'!$AN$4:$AN$23,1)+IF('Adjustment Surface'!$O15="",-1,1)),$AN$4:$AN$23,0),MATCH(INDEX('Adjustment Surface'!$AO$3:$BH$3,1,MATCH(('Adjustment Surface'!T$3),'Adjustment Surface'!$AO$3:$BH$3,1)+IF('Adjustment Surface'!U$3="",-1,1)),$AO$3:$BH$3,0))*('Adjustment Surface'!$O14-INDEX('Adjustment Surface'!$AN$4:$AN$23,MATCH(('Adjustment Surface'!$O14),'Adjustment Surface'!$AN$4:$AN$23,1)))*('Adjustment Surface'!T$3-INDEX('Adjustment Surface'!$AO$3:$BH$3,1,MATCH(('Adjustment Surface'!T$3),'Adjustment Surface'!$AO$3:$BH$3,1)))))</f>
        <v/>
      </c>
      <c r="U14" s="181" t="str" cm="1">
        <f t="array" ref="U14">IF(OR(U$3="",$O14=""),"",1/((INDEX('Adjustment Surface'!$AN$4:$AN$23,MATCH(('Adjustment Surface'!$O14),'Adjustment Surface'!$AN$4:$AN$23,1)+IF('Adjustment Surface'!$O15="",-1,1))-INDEX('Adjustment Surface'!$AN$4:$AN$23,MATCH(('Adjustment Surface'!$O14),'Adjustment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Surface'!$O14),'Adjustment Surface'!$AN$4:$AN$23,1)),$AN$4:$AN$23,0),MATCH(INDEX('Adjustment Surface'!$AO$3:$BH$3,1,MATCH(('Adjustment Surface'!U$3),'Adjustment Surface'!$AO$3:$BH$3,1)),$AO$3:$BH$3,0))*(INDEX('Adjustment Surface'!$AN$4:$AN$23,MATCH(('Adjustment Surface'!$O14),'Adjustment Surface'!$AN$4:$AN$23,1)+IF('Adjustment Surface'!$O15="",-1,1))-'Adjustment Surface'!$O14)*(INDEX('Adjustment Surface'!$AO$3:$BH$3,1,MATCH(('Adjustment Surface'!U$3),'Adjustment Surface'!$AO$3:$BH$3,1)+IF('Adjustment Surface'!V$3="",-1,1))-'Adjustment Surface'!U$3)+INDEX($AO$4:$BH$23,MATCH(INDEX('Adjustment Surface'!$AN$4:$AN$23,MATCH(('Adjustment Surface'!$O14),'Adjustment Surface'!$AN$4:$AN$23,1)+IF('Adjustment Surface'!$O15="",-1,1)),$AN$4:$AN$23,0),MATCH(INDEX('Adjustment Surface'!$AO$3:$BH$3,1,MATCH(('Adjustment Surface'!U$3),'Adjustment Surface'!$AO$3:$BH$3,1)),$AO$3:$BH$3,0))*('Adjustment Surface'!$O14-INDEX('Adjustment Surface'!$AN$4:$AN$23,MATCH(('Adjustment Surface'!$O14),'Adjustment Surface'!$AN$4:$AN$23,1)))*(INDEX('Adjustment Surface'!$AO$3:$BH$3,1,MATCH(('Adjustment Surface'!U$3),'Adjustment Surface'!$AO$3:$BH$3,1)+IF('Adjustment Surface'!V$3="",-1,1))-'Adjustment Surface'!U$3)+INDEX($AO$4:$BH$23,MATCH(INDEX('Adjustment Surface'!$AN$4:$AN$23,MATCH(('Adjustment Surface'!$O14),'Adjustment Surface'!$AN$4:$AN$23,1)),$AN$4:$AN$23,0),MATCH(INDEX('Adjustment Surface'!$AO$3:$BH$3,1,MATCH(('Adjustment Surface'!U$3),'Adjustment Surface'!$AO$3:$BH$3,1)+IF('Adjustment Surface'!V$3="",-1,1)),$AO$3:$BH$3,0))*(INDEX('Adjustment Surface'!$AN$4:$AN$23,MATCH(('Adjustment Surface'!$O14),'Adjustment Surface'!$AN$4:$AN$23,1)+IF('Adjustment Surface'!$O15="",-1,1))-'Adjustment Surface'!$O14)*('Adjustment Surface'!U$3-INDEX('Adjustment Surface'!$AO$3:$BH$3,1,MATCH(('Adjustment Surface'!U$3),'Adjustment Surface'!$AO$3:$BH$3,1)))+INDEX($AO$4:$BH$23,MATCH(INDEX('Adjustment Surface'!$AN$4:$AN$23,MATCH(('Adjustment Surface'!$O14),'Adjustment Surface'!$AN$4:$AN$23,1)+IF('Adjustment Surface'!$O15="",-1,1)),$AN$4:$AN$23,0),MATCH(INDEX('Adjustment Surface'!$AO$3:$BH$3,1,MATCH(('Adjustment Surface'!U$3),'Adjustment Surface'!$AO$3:$BH$3,1)+IF('Adjustment Surface'!V$3="",-1,1)),$AO$3:$BH$3,0))*('Adjustment Surface'!$O14-INDEX('Adjustment Surface'!$AN$4:$AN$23,MATCH(('Adjustment Surface'!$O14),'Adjustment Surface'!$AN$4:$AN$23,1)))*('Adjustment Surface'!U$3-INDEX('Adjustment Surface'!$AO$3:$BH$3,1,MATCH(('Adjustment Surface'!U$3),'Adjustment Surface'!$AO$3:$BH$3,1)))))</f>
        <v/>
      </c>
      <c r="V14" s="181" t="str" cm="1">
        <f t="array" ref="V14">IF(OR(V$3="",$O14=""),"",1/((INDEX('Adjustment Surface'!$AN$4:$AN$23,MATCH(('Adjustment Surface'!$O14),'Adjustment Surface'!$AN$4:$AN$23,1)+IF('Adjustment Surface'!$O15="",-1,1))-INDEX('Adjustment Surface'!$AN$4:$AN$23,MATCH(('Adjustment Surface'!$O14),'Adjustment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Surface'!$O14),'Adjustment Surface'!$AN$4:$AN$23,1)),$AN$4:$AN$23,0),MATCH(INDEX('Adjustment Surface'!$AO$3:$BH$3,1,MATCH(('Adjustment Surface'!V$3),'Adjustment Surface'!$AO$3:$BH$3,1)),$AO$3:$BH$3,0))*(INDEX('Adjustment Surface'!$AN$4:$AN$23,MATCH(('Adjustment Surface'!$O14),'Adjustment Surface'!$AN$4:$AN$23,1)+IF('Adjustment Surface'!$O15="",-1,1))-'Adjustment Surface'!$O14)*(INDEX('Adjustment Surface'!$AO$3:$BH$3,1,MATCH(('Adjustment Surface'!V$3),'Adjustment Surface'!$AO$3:$BH$3,1)+IF('Adjustment Surface'!W$3="",-1,1))-'Adjustment Surface'!V$3)+INDEX($AO$4:$BH$23,MATCH(INDEX('Adjustment Surface'!$AN$4:$AN$23,MATCH(('Adjustment Surface'!$O14),'Adjustment Surface'!$AN$4:$AN$23,1)+IF('Adjustment Surface'!$O15="",-1,1)),$AN$4:$AN$23,0),MATCH(INDEX('Adjustment Surface'!$AO$3:$BH$3,1,MATCH(('Adjustment Surface'!V$3),'Adjustment Surface'!$AO$3:$BH$3,1)),$AO$3:$BH$3,0))*('Adjustment Surface'!$O14-INDEX('Adjustment Surface'!$AN$4:$AN$23,MATCH(('Adjustment Surface'!$O14),'Adjustment Surface'!$AN$4:$AN$23,1)))*(INDEX('Adjustment Surface'!$AO$3:$BH$3,1,MATCH(('Adjustment Surface'!V$3),'Adjustment Surface'!$AO$3:$BH$3,1)+IF('Adjustment Surface'!W$3="",-1,1))-'Adjustment Surface'!V$3)+INDEX($AO$4:$BH$23,MATCH(INDEX('Adjustment Surface'!$AN$4:$AN$23,MATCH(('Adjustment Surface'!$O14),'Adjustment Surface'!$AN$4:$AN$23,1)),$AN$4:$AN$23,0),MATCH(INDEX('Adjustment Surface'!$AO$3:$BH$3,1,MATCH(('Adjustment Surface'!V$3),'Adjustment Surface'!$AO$3:$BH$3,1)+IF('Adjustment Surface'!W$3="",-1,1)),$AO$3:$BH$3,0))*(INDEX('Adjustment Surface'!$AN$4:$AN$23,MATCH(('Adjustment Surface'!$O14),'Adjustment Surface'!$AN$4:$AN$23,1)+IF('Adjustment Surface'!$O15="",-1,1))-'Adjustment Surface'!$O14)*('Adjustment Surface'!V$3-INDEX('Adjustment Surface'!$AO$3:$BH$3,1,MATCH(('Adjustment Surface'!V$3),'Adjustment Surface'!$AO$3:$BH$3,1)))+INDEX($AO$4:$BH$23,MATCH(INDEX('Adjustment Surface'!$AN$4:$AN$23,MATCH(('Adjustment Surface'!$O14),'Adjustment Surface'!$AN$4:$AN$23,1)+IF('Adjustment Surface'!$O15="",-1,1)),$AN$4:$AN$23,0),MATCH(INDEX('Adjustment Surface'!$AO$3:$BH$3,1,MATCH(('Adjustment Surface'!V$3),'Adjustment Surface'!$AO$3:$BH$3,1)+IF('Adjustment Surface'!W$3="",-1,1)),$AO$3:$BH$3,0))*('Adjustment Surface'!$O14-INDEX('Adjustment Surface'!$AN$4:$AN$23,MATCH(('Adjustment Surface'!$O14),'Adjustment Surface'!$AN$4:$AN$23,1)))*('Adjustment Surface'!V$3-INDEX('Adjustment Surface'!$AO$3:$BH$3,1,MATCH(('Adjustment Surface'!V$3),'Adjustment Surface'!$AO$3:$BH$3,1)))))</f>
        <v/>
      </c>
      <c r="W14" s="181" t="str" cm="1">
        <f t="array" ref="W14">IF(OR(W$3="",$O14=""),"",1/((INDEX('Adjustment Surface'!$AN$4:$AN$23,MATCH(('Adjustment Surface'!$O14),'Adjustment Surface'!$AN$4:$AN$23,1)+IF('Adjustment Surface'!$O15="",-1,1))-INDEX('Adjustment Surface'!$AN$4:$AN$23,MATCH(('Adjustment Surface'!$O14),'Adjustment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Surface'!$O14),'Adjustment Surface'!$AN$4:$AN$23,1)),$AN$4:$AN$23,0),MATCH(INDEX('Adjustment Surface'!$AO$3:$BH$3,1,MATCH(('Adjustment Surface'!W$3),'Adjustment Surface'!$AO$3:$BH$3,1)),$AO$3:$BH$3,0))*(INDEX('Adjustment Surface'!$AN$4:$AN$23,MATCH(('Adjustment Surface'!$O14),'Adjustment Surface'!$AN$4:$AN$23,1)+IF('Adjustment Surface'!$O15="",-1,1))-'Adjustment Surface'!$O14)*(INDEX('Adjustment Surface'!$AO$3:$BH$3,1,MATCH(('Adjustment Surface'!W$3),'Adjustment Surface'!$AO$3:$BH$3,1)+IF('Adjustment Surface'!X$3="",-1,1))-'Adjustment Surface'!W$3)+INDEX($AO$4:$BH$23,MATCH(INDEX('Adjustment Surface'!$AN$4:$AN$23,MATCH(('Adjustment Surface'!$O14),'Adjustment Surface'!$AN$4:$AN$23,1)+IF('Adjustment Surface'!$O15="",-1,1)),$AN$4:$AN$23,0),MATCH(INDEX('Adjustment Surface'!$AO$3:$BH$3,1,MATCH(('Adjustment Surface'!W$3),'Adjustment Surface'!$AO$3:$BH$3,1)),$AO$3:$BH$3,0))*('Adjustment Surface'!$O14-INDEX('Adjustment Surface'!$AN$4:$AN$23,MATCH(('Adjustment Surface'!$O14),'Adjustment Surface'!$AN$4:$AN$23,1)))*(INDEX('Adjustment Surface'!$AO$3:$BH$3,1,MATCH(('Adjustment Surface'!W$3),'Adjustment Surface'!$AO$3:$BH$3,1)+IF('Adjustment Surface'!X$3="",-1,1))-'Adjustment Surface'!W$3)+INDEX($AO$4:$BH$23,MATCH(INDEX('Adjustment Surface'!$AN$4:$AN$23,MATCH(('Adjustment Surface'!$O14),'Adjustment Surface'!$AN$4:$AN$23,1)),$AN$4:$AN$23,0),MATCH(INDEX('Adjustment Surface'!$AO$3:$BH$3,1,MATCH(('Adjustment Surface'!W$3),'Adjustment Surface'!$AO$3:$BH$3,1)+IF('Adjustment Surface'!X$3="",-1,1)),$AO$3:$BH$3,0))*(INDEX('Adjustment Surface'!$AN$4:$AN$23,MATCH(('Adjustment Surface'!$O14),'Adjustment Surface'!$AN$4:$AN$23,1)+IF('Adjustment Surface'!$O15="",-1,1))-'Adjustment Surface'!$O14)*('Adjustment Surface'!W$3-INDEX('Adjustment Surface'!$AO$3:$BH$3,1,MATCH(('Adjustment Surface'!W$3),'Adjustment Surface'!$AO$3:$BH$3,1)))+INDEX($AO$4:$BH$23,MATCH(INDEX('Adjustment Surface'!$AN$4:$AN$23,MATCH(('Adjustment Surface'!$O14),'Adjustment Surface'!$AN$4:$AN$23,1)+IF('Adjustment Surface'!$O15="",-1,1)),$AN$4:$AN$23,0),MATCH(INDEX('Adjustment Surface'!$AO$3:$BH$3,1,MATCH(('Adjustment Surface'!W$3),'Adjustment Surface'!$AO$3:$BH$3,1)+IF('Adjustment Surface'!X$3="",-1,1)),$AO$3:$BH$3,0))*('Adjustment Surface'!$O14-INDEX('Adjustment Surface'!$AN$4:$AN$23,MATCH(('Adjustment Surface'!$O14),'Adjustment Surface'!$AN$4:$AN$23,1)))*('Adjustment Surface'!W$3-INDEX('Adjustment Surface'!$AO$3:$BH$3,1,MATCH(('Adjustment Surface'!W$3),'Adjustment Surface'!$AO$3:$BH$3,1)))))</f>
        <v/>
      </c>
      <c r="X14" s="181" t="str" cm="1">
        <f t="array" ref="X14">IF(OR(X$3="",$O14=""),"",1/((INDEX('Adjustment Surface'!$AN$4:$AN$23,MATCH(('Adjustment Surface'!$O14),'Adjustment Surface'!$AN$4:$AN$23,1)+IF('Adjustment Surface'!$O15="",-1,1))-INDEX('Adjustment Surface'!$AN$4:$AN$23,MATCH(('Adjustment Surface'!$O14),'Adjustment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Surface'!$O14),'Adjustment Surface'!$AN$4:$AN$23,1)),$AN$4:$AN$23,0),MATCH(INDEX('Adjustment Surface'!$AO$3:$BH$3,1,MATCH(('Adjustment Surface'!X$3),'Adjustment Surface'!$AO$3:$BH$3,1)),$AO$3:$BH$3,0))*(INDEX('Adjustment Surface'!$AN$4:$AN$23,MATCH(('Adjustment Surface'!$O14),'Adjustment Surface'!$AN$4:$AN$23,1)+IF('Adjustment Surface'!$O15="",-1,1))-'Adjustment Surface'!$O14)*(INDEX('Adjustment Surface'!$AO$3:$BH$3,1,MATCH(('Adjustment Surface'!X$3),'Adjustment Surface'!$AO$3:$BH$3,1)+IF('Adjustment Surface'!Y$3="",-1,1))-'Adjustment Surface'!X$3)+INDEX($AO$4:$BH$23,MATCH(INDEX('Adjustment Surface'!$AN$4:$AN$23,MATCH(('Adjustment Surface'!$O14),'Adjustment Surface'!$AN$4:$AN$23,1)+IF('Adjustment Surface'!$O15="",-1,1)),$AN$4:$AN$23,0),MATCH(INDEX('Adjustment Surface'!$AO$3:$BH$3,1,MATCH(('Adjustment Surface'!X$3),'Adjustment Surface'!$AO$3:$BH$3,1)),$AO$3:$BH$3,0))*('Adjustment Surface'!$O14-INDEX('Adjustment Surface'!$AN$4:$AN$23,MATCH(('Adjustment Surface'!$O14),'Adjustment Surface'!$AN$4:$AN$23,1)))*(INDEX('Adjustment Surface'!$AO$3:$BH$3,1,MATCH(('Adjustment Surface'!X$3),'Adjustment Surface'!$AO$3:$BH$3,1)+IF('Adjustment Surface'!Y$3="",-1,1))-'Adjustment Surface'!X$3)+INDEX($AO$4:$BH$23,MATCH(INDEX('Adjustment Surface'!$AN$4:$AN$23,MATCH(('Adjustment Surface'!$O14),'Adjustment Surface'!$AN$4:$AN$23,1)),$AN$4:$AN$23,0),MATCH(INDEX('Adjustment Surface'!$AO$3:$BH$3,1,MATCH(('Adjustment Surface'!X$3),'Adjustment Surface'!$AO$3:$BH$3,1)+IF('Adjustment Surface'!Y$3="",-1,1)),$AO$3:$BH$3,0))*(INDEX('Adjustment Surface'!$AN$4:$AN$23,MATCH(('Adjustment Surface'!$O14),'Adjustment Surface'!$AN$4:$AN$23,1)+IF('Adjustment Surface'!$O15="",-1,1))-'Adjustment Surface'!$O14)*('Adjustment Surface'!X$3-INDEX('Adjustment Surface'!$AO$3:$BH$3,1,MATCH(('Adjustment Surface'!X$3),'Adjustment Surface'!$AO$3:$BH$3,1)))+INDEX($AO$4:$BH$23,MATCH(INDEX('Adjustment Surface'!$AN$4:$AN$23,MATCH(('Adjustment Surface'!$O14),'Adjustment Surface'!$AN$4:$AN$23,1)+IF('Adjustment Surface'!$O15="",-1,1)),$AN$4:$AN$23,0),MATCH(INDEX('Adjustment Surface'!$AO$3:$BH$3,1,MATCH(('Adjustment Surface'!X$3),'Adjustment Surface'!$AO$3:$BH$3,1)+IF('Adjustment Surface'!Y$3="",-1,1)),$AO$3:$BH$3,0))*('Adjustment Surface'!$O14-INDEX('Adjustment Surface'!$AN$4:$AN$23,MATCH(('Adjustment Surface'!$O14),'Adjustment Surface'!$AN$4:$AN$23,1)))*('Adjustment Surface'!X$3-INDEX('Adjustment Surface'!$AO$3:$BH$3,1,MATCH(('Adjustment Surface'!X$3),'Adjustment Surface'!$AO$3:$BH$3,1)))))</f>
        <v/>
      </c>
      <c r="Y14" s="181" t="str" cm="1">
        <f t="array" ref="Y14">IF(OR(Y$3="",$O14=""),"",1/((INDEX('Adjustment Surface'!$AN$4:$AN$23,MATCH(('Adjustment Surface'!$O14),'Adjustment Surface'!$AN$4:$AN$23,1)+IF('Adjustment Surface'!$O15="",-1,1))-INDEX('Adjustment Surface'!$AN$4:$AN$23,MATCH(('Adjustment Surface'!$O14),'Adjustment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Surface'!$O14),'Adjustment Surface'!$AN$4:$AN$23,1)),$AN$4:$AN$23,0),MATCH(INDEX('Adjustment Surface'!$AO$3:$BH$3,1,MATCH(('Adjustment Surface'!Y$3),'Adjustment Surface'!$AO$3:$BH$3,1)),$AO$3:$BH$3,0))*(INDEX('Adjustment Surface'!$AN$4:$AN$23,MATCH(('Adjustment Surface'!$O14),'Adjustment Surface'!$AN$4:$AN$23,1)+IF('Adjustment Surface'!$O15="",-1,1))-'Adjustment Surface'!$O14)*(INDEX('Adjustment Surface'!$AO$3:$BH$3,1,MATCH(('Adjustment Surface'!Y$3),'Adjustment Surface'!$AO$3:$BH$3,1)+IF('Adjustment Surface'!Z$3="",-1,1))-'Adjustment Surface'!Y$3)+INDEX($AO$4:$BH$23,MATCH(INDEX('Adjustment Surface'!$AN$4:$AN$23,MATCH(('Adjustment Surface'!$O14),'Adjustment Surface'!$AN$4:$AN$23,1)+IF('Adjustment Surface'!$O15="",-1,1)),$AN$4:$AN$23,0),MATCH(INDEX('Adjustment Surface'!$AO$3:$BH$3,1,MATCH(('Adjustment Surface'!Y$3),'Adjustment Surface'!$AO$3:$BH$3,1)),$AO$3:$BH$3,0))*('Adjustment Surface'!$O14-INDEX('Adjustment Surface'!$AN$4:$AN$23,MATCH(('Adjustment Surface'!$O14),'Adjustment Surface'!$AN$4:$AN$23,1)))*(INDEX('Adjustment Surface'!$AO$3:$BH$3,1,MATCH(('Adjustment Surface'!Y$3),'Adjustment Surface'!$AO$3:$BH$3,1)+IF('Adjustment Surface'!Z$3="",-1,1))-'Adjustment Surface'!Y$3)+INDEX($AO$4:$BH$23,MATCH(INDEX('Adjustment Surface'!$AN$4:$AN$23,MATCH(('Adjustment Surface'!$O14),'Adjustment Surface'!$AN$4:$AN$23,1)),$AN$4:$AN$23,0),MATCH(INDEX('Adjustment Surface'!$AO$3:$BH$3,1,MATCH(('Adjustment Surface'!Y$3),'Adjustment Surface'!$AO$3:$BH$3,1)+IF('Adjustment Surface'!Z$3="",-1,1)),$AO$3:$BH$3,0))*(INDEX('Adjustment Surface'!$AN$4:$AN$23,MATCH(('Adjustment Surface'!$O14),'Adjustment Surface'!$AN$4:$AN$23,1)+IF('Adjustment Surface'!$O15="",-1,1))-'Adjustment Surface'!$O14)*('Adjustment Surface'!Y$3-INDEX('Adjustment Surface'!$AO$3:$BH$3,1,MATCH(('Adjustment Surface'!Y$3),'Adjustment Surface'!$AO$3:$BH$3,1)))+INDEX($AO$4:$BH$23,MATCH(INDEX('Adjustment Surface'!$AN$4:$AN$23,MATCH(('Adjustment Surface'!$O14),'Adjustment Surface'!$AN$4:$AN$23,1)+IF('Adjustment Surface'!$O15="",-1,1)),$AN$4:$AN$23,0),MATCH(INDEX('Adjustment Surface'!$AO$3:$BH$3,1,MATCH(('Adjustment Surface'!Y$3),'Adjustment Surface'!$AO$3:$BH$3,1)+IF('Adjustment Surface'!Z$3="",-1,1)),$AO$3:$BH$3,0))*('Adjustment Surface'!$O14-INDEX('Adjustment Surface'!$AN$4:$AN$23,MATCH(('Adjustment Surface'!$O14),'Adjustment Surface'!$AN$4:$AN$23,1)))*('Adjustment Surface'!Y$3-INDEX('Adjustment Surface'!$AO$3:$BH$3,1,MATCH(('Adjustment Surface'!Y$3),'Adjustment Surface'!$AO$3:$BH$3,1)))))</f>
        <v/>
      </c>
      <c r="Z14" s="181" t="str" cm="1">
        <f t="array" ref="Z14">IF(OR(Z$3="",$O14=""),"",1/((INDEX('Adjustment Surface'!$AN$4:$AN$23,MATCH(('Adjustment Surface'!$O14),'Adjustment Surface'!$AN$4:$AN$23,1)+IF('Adjustment Surface'!$O15="",-1,1))-INDEX('Adjustment Surface'!$AN$4:$AN$23,MATCH(('Adjustment Surface'!$O14),'Adjustment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Surface'!$O14),'Adjustment Surface'!$AN$4:$AN$23,1)),$AN$4:$AN$23,0),MATCH(INDEX('Adjustment Surface'!$AO$3:$BH$3,1,MATCH(('Adjustment Surface'!Z$3),'Adjustment Surface'!$AO$3:$BH$3,1)),$AO$3:$BH$3,0))*(INDEX('Adjustment Surface'!$AN$4:$AN$23,MATCH(('Adjustment Surface'!$O14),'Adjustment Surface'!$AN$4:$AN$23,1)+IF('Adjustment Surface'!$O15="",-1,1))-'Adjustment Surface'!$O14)*(INDEX('Adjustment Surface'!$AO$3:$BH$3,1,MATCH(('Adjustment Surface'!Z$3),'Adjustment Surface'!$AO$3:$BH$3,1)+IF('Adjustment Surface'!AA$3="",-1,1))-'Adjustment Surface'!Z$3)+INDEX($AO$4:$BH$23,MATCH(INDEX('Adjustment Surface'!$AN$4:$AN$23,MATCH(('Adjustment Surface'!$O14),'Adjustment Surface'!$AN$4:$AN$23,1)+IF('Adjustment Surface'!$O15="",-1,1)),$AN$4:$AN$23,0),MATCH(INDEX('Adjustment Surface'!$AO$3:$BH$3,1,MATCH(('Adjustment Surface'!Z$3),'Adjustment Surface'!$AO$3:$BH$3,1)),$AO$3:$BH$3,0))*('Adjustment Surface'!$O14-INDEX('Adjustment Surface'!$AN$4:$AN$23,MATCH(('Adjustment Surface'!$O14),'Adjustment Surface'!$AN$4:$AN$23,1)))*(INDEX('Adjustment Surface'!$AO$3:$BH$3,1,MATCH(('Adjustment Surface'!Z$3),'Adjustment Surface'!$AO$3:$BH$3,1)+IF('Adjustment Surface'!AA$3="",-1,1))-'Adjustment Surface'!Z$3)+INDEX($AO$4:$BH$23,MATCH(INDEX('Adjustment Surface'!$AN$4:$AN$23,MATCH(('Adjustment Surface'!$O14),'Adjustment Surface'!$AN$4:$AN$23,1)),$AN$4:$AN$23,0),MATCH(INDEX('Adjustment Surface'!$AO$3:$BH$3,1,MATCH(('Adjustment Surface'!Z$3),'Adjustment Surface'!$AO$3:$BH$3,1)+IF('Adjustment Surface'!AA$3="",-1,1)),$AO$3:$BH$3,0))*(INDEX('Adjustment Surface'!$AN$4:$AN$23,MATCH(('Adjustment Surface'!$O14),'Adjustment Surface'!$AN$4:$AN$23,1)+IF('Adjustment Surface'!$O15="",-1,1))-'Adjustment Surface'!$O14)*('Adjustment Surface'!Z$3-INDEX('Adjustment Surface'!$AO$3:$BH$3,1,MATCH(('Adjustment Surface'!Z$3),'Adjustment Surface'!$AO$3:$BH$3,1)))+INDEX($AO$4:$BH$23,MATCH(INDEX('Adjustment Surface'!$AN$4:$AN$23,MATCH(('Adjustment Surface'!$O14),'Adjustment Surface'!$AN$4:$AN$23,1)+IF('Adjustment Surface'!$O15="",-1,1)),$AN$4:$AN$23,0),MATCH(INDEX('Adjustment Surface'!$AO$3:$BH$3,1,MATCH(('Adjustment Surface'!Z$3),'Adjustment Surface'!$AO$3:$BH$3,1)+IF('Adjustment Surface'!AA$3="",-1,1)),$AO$3:$BH$3,0))*('Adjustment Surface'!$O14-INDEX('Adjustment Surface'!$AN$4:$AN$23,MATCH(('Adjustment Surface'!$O14),'Adjustment Surface'!$AN$4:$AN$23,1)))*('Adjustment Surface'!Z$3-INDEX('Adjustment Surface'!$AO$3:$BH$3,1,MATCH(('Adjustment Surface'!Z$3),'Adjustment Surface'!$AO$3:$BH$3,1)))))</f>
        <v/>
      </c>
      <c r="AA14" s="181" t="str" cm="1">
        <f t="array" ref="AA14">IF(OR(AA$3="",$O14=""),"",1/((INDEX('Adjustment Surface'!$AN$4:$AN$23,MATCH(('Adjustment Surface'!$O14),'Adjustment Surface'!$AN$4:$AN$23,1)+IF('Adjustment Surface'!$O15="",-1,1))-INDEX('Adjustment Surface'!$AN$4:$AN$23,MATCH(('Adjustment Surface'!$O14),'Adjustment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Surface'!$O14),'Adjustment Surface'!$AN$4:$AN$23,1)),$AN$4:$AN$23,0),MATCH(INDEX('Adjustment Surface'!$AO$3:$BH$3,1,MATCH(('Adjustment Surface'!AA$3),'Adjustment Surface'!$AO$3:$BH$3,1)),$AO$3:$BH$3,0))*(INDEX('Adjustment Surface'!$AN$4:$AN$23,MATCH(('Adjustment Surface'!$O14),'Adjustment Surface'!$AN$4:$AN$23,1)+IF('Adjustment Surface'!$O15="",-1,1))-'Adjustment Surface'!$O14)*(INDEX('Adjustment Surface'!$AO$3:$BH$3,1,MATCH(('Adjustment Surface'!AA$3),'Adjustment Surface'!$AO$3:$BH$3,1)+IF('Adjustment Surface'!AB$3="",-1,1))-'Adjustment Surface'!AA$3)+INDEX($AO$4:$BH$23,MATCH(INDEX('Adjustment Surface'!$AN$4:$AN$23,MATCH(('Adjustment Surface'!$O14),'Adjustment Surface'!$AN$4:$AN$23,1)+IF('Adjustment Surface'!$O15="",-1,1)),$AN$4:$AN$23,0),MATCH(INDEX('Adjustment Surface'!$AO$3:$BH$3,1,MATCH(('Adjustment Surface'!AA$3),'Adjustment Surface'!$AO$3:$BH$3,1)),$AO$3:$BH$3,0))*('Adjustment Surface'!$O14-INDEX('Adjustment Surface'!$AN$4:$AN$23,MATCH(('Adjustment Surface'!$O14),'Adjustment Surface'!$AN$4:$AN$23,1)))*(INDEX('Adjustment Surface'!$AO$3:$BH$3,1,MATCH(('Adjustment Surface'!AA$3),'Adjustment Surface'!$AO$3:$BH$3,1)+IF('Adjustment Surface'!AB$3="",-1,1))-'Adjustment Surface'!AA$3)+INDEX($AO$4:$BH$23,MATCH(INDEX('Adjustment Surface'!$AN$4:$AN$23,MATCH(('Adjustment Surface'!$O14),'Adjustment Surface'!$AN$4:$AN$23,1)),$AN$4:$AN$23,0),MATCH(INDEX('Adjustment Surface'!$AO$3:$BH$3,1,MATCH(('Adjustment Surface'!AA$3),'Adjustment Surface'!$AO$3:$BH$3,1)+IF('Adjustment Surface'!AB$3="",-1,1)),$AO$3:$BH$3,0))*(INDEX('Adjustment Surface'!$AN$4:$AN$23,MATCH(('Adjustment Surface'!$O14),'Adjustment Surface'!$AN$4:$AN$23,1)+IF('Adjustment Surface'!$O15="",-1,1))-'Adjustment Surface'!$O14)*('Adjustment Surface'!AA$3-INDEX('Adjustment Surface'!$AO$3:$BH$3,1,MATCH(('Adjustment Surface'!AA$3),'Adjustment Surface'!$AO$3:$BH$3,1)))+INDEX($AO$4:$BH$23,MATCH(INDEX('Adjustment Surface'!$AN$4:$AN$23,MATCH(('Adjustment Surface'!$O14),'Adjustment Surface'!$AN$4:$AN$23,1)+IF('Adjustment Surface'!$O15="",-1,1)),$AN$4:$AN$23,0),MATCH(INDEX('Adjustment Surface'!$AO$3:$BH$3,1,MATCH(('Adjustment Surface'!AA$3),'Adjustment Surface'!$AO$3:$BH$3,1)+IF('Adjustment Surface'!AB$3="",-1,1)),$AO$3:$BH$3,0))*('Adjustment Surface'!$O14-INDEX('Adjustment Surface'!$AN$4:$AN$23,MATCH(('Adjustment Surface'!$O14),'Adjustment Surface'!$AN$4:$AN$23,1)))*('Adjustment Surface'!AA$3-INDEX('Adjustment Surface'!$AO$3:$BH$3,1,MATCH(('Adjustment Surface'!AA$3),'Adjustment Surface'!$AO$3:$BH$3,1)))))</f>
        <v/>
      </c>
      <c r="AB14" s="181" t="str" cm="1">
        <f t="array" ref="AB14">IF(OR(AB$3="",$O14=""),"",1/((INDEX('Adjustment Surface'!$AN$4:$AN$23,MATCH(('Adjustment Surface'!$O14),'Adjustment Surface'!$AN$4:$AN$23,1)+IF('Adjustment Surface'!$O15="",-1,1))-INDEX('Adjustment Surface'!$AN$4:$AN$23,MATCH(('Adjustment Surface'!$O14),'Adjustment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Surface'!$O14),'Adjustment Surface'!$AN$4:$AN$23,1)),$AN$4:$AN$23,0),MATCH(INDEX('Adjustment Surface'!$AO$3:$BH$3,1,MATCH(('Adjustment Surface'!AB$3),'Adjustment Surface'!$AO$3:$BH$3,1)),$AO$3:$BH$3,0))*(INDEX('Adjustment Surface'!$AN$4:$AN$23,MATCH(('Adjustment Surface'!$O14),'Adjustment Surface'!$AN$4:$AN$23,1)+IF('Adjustment Surface'!$O15="",-1,1))-'Adjustment Surface'!$O14)*(INDEX('Adjustment Surface'!$AO$3:$BH$3,1,MATCH(('Adjustment Surface'!AB$3),'Adjustment Surface'!$AO$3:$BH$3,1)+IF('Adjustment Surface'!AC$3="",-1,1))-'Adjustment Surface'!AB$3)+INDEX($AO$4:$BH$23,MATCH(INDEX('Adjustment Surface'!$AN$4:$AN$23,MATCH(('Adjustment Surface'!$O14),'Adjustment Surface'!$AN$4:$AN$23,1)+IF('Adjustment Surface'!$O15="",-1,1)),$AN$4:$AN$23,0),MATCH(INDEX('Adjustment Surface'!$AO$3:$BH$3,1,MATCH(('Adjustment Surface'!AB$3),'Adjustment Surface'!$AO$3:$BH$3,1)),$AO$3:$BH$3,0))*('Adjustment Surface'!$O14-INDEX('Adjustment Surface'!$AN$4:$AN$23,MATCH(('Adjustment Surface'!$O14),'Adjustment Surface'!$AN$4:$AN$23,1)))*(INDEX('Adjustment Surface'!$AO$3:$BH$3,1,MATCH(('Adjustment Surface'!AB$3),'Adjustment Surface'!$AO$3:$BH$3,1)+IF('Adjustment Surface'!AC$3="",-1,1))-'Adjustment Surface'!AB$3)+INDEX($AO$4:$BH$23,MATCH(INDEX('Adjustment Surface'!$AN$4:$AN$23,MATCH(('Adjustment Surface'!$O14),'Adjustment Surface'!$AN$4:$AN$23,1)),$AN$4:$AN$23,0),MATCH(INDEX('Adjustment Surface'!$AO$3:$BH$3,1,MATCH(('Adjustment Surface'!AB$3),'Adjustment Surface'!$AO$3:$BH$3,1)+IF('Adjustment Surface'!AC$3="",-1,1)),$AO$3:$BH$3,0))*(INDEX('Adjustment Surface'!$AN$4:$AN$23,MATCH(('Adjustment Surface'!$O14),'Adjustment Surface'!$AN$4:$AN$23,1)+IF('Adjustment Surface'!$O15="",-1,1))-'Adjustment Surface'!$O14)*('Adjustment Surface'!AB$3-INDEX('Adjustment Surface'!$AO$3:$BH$3,1,MATCH(('Adjustment Surface'!AB$3),'Adjustment Surface'!$AO$3:$BH$3,1)))+INDEX($AO$4:$BH$23,MATCH(INDEX('Adjustment Surface'!$AN$4:$AN$23,MATCH(('Adjustment Surface'!$O14),'Adjustment Surface'!$AN$4:$AN$23,1)+IF('Adjustment Surface'!$O15="",-1,1)),$AN$4:$AN$23,0),MATCH(INDEX('Adjustment Surface'!$AO$3:$BH$3,1,MATCH(('Adjustment Surface'!AB$3),'Adjustment Surface'!$AO$3:$BH$3,1)+IF('Adjustment Surface'!AC$3="",-1,1)),$AO$3:$BH$3,0))*('Adjustment Surface'!$O14-INDEX('Adjustment Surface'!$AN$4:$AN$23,MATCH(('Adjustment Surface'!$O14),'Adjustment Surface'!$AN$4:$AN$23,1)))*('Adjustment Surface'!AB$3-INDEX('Adjustment Surface'!$AO$3:$BH$3,1,MATCH(('Adjustment Surface'!AB$3),'Adjustment Surface'!$AO$3:$BH$3,1)))))</f>
        <v/>
      </c>
      <c r="AC14" s="181" t="str" cm="1">
        <f t="array" ref="AC14">IF(OR(AC$3="",$O14=""),"",1/((INDEX('Adjustment Surface'!$AN$4:$AN$23,MATCH(('Adjustment Surface'!$O14),'Adjustment Surface'!$AN$4:$AN$23,1)+IF('Adjustment Surface'!$O15="",-1,1))-INDEX('Adjustment Surface'!$AN$4:$AN$23,MATCH(('Adjustment Surface'!$O14),'Adjustment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Surface'!$O14),'Adjustment Surface'!$AN$4:$AN$23,1)),$AN$4:$AN$23,0),MATCH(INDEX('Adjustment Surface'!$AO$3:$BH$3,1,MATCH(('Adjustment Surface'!AC$3),'Adjustment Surface'!$AO$3:$BH$3,1)),$AO$3:$BH$3,0))*(INDEX('Adjustment Surface'!$AN$4:$AN$23,MATCH(('Adjustment Surface'!$O14),'Adjustment Surface'!$AN$4:$AN$23,1)+IF('Adjustment Surface'!$O15="",-1,1))-'Adjustment Surface'!$O14)*(INDEX('Adjustment Surface'!$AO$3:$BH$3,1,MATCH(('Adjustment Surface'!AC$3),'Adjustment Surface'!$AO$3:$BH$3,1)+IF('Adjustment Surface'!AD$3="",-1,1))-'Adjustment Surface'!AC$3)+INDEX($AO$4:$BH$23,MATCH(INDEX('Adjustment Surface'!$AN$4:$AN$23,MATCH(('Adjustment Surface'!$O14),'Adjustment Surface'!$AN$4:$AN$23,1)+IF('Adjustment Surface'!$O15="",-1,1)),$AN$4:$AN$23,0),MATCH(INDEX('Adjustment Surface'!$AO$3:$BH$3,1,MATCH(('Adjustment Surface'!AC$3),'Adjustment Surface'!$AO$3:$BH$3,1)),$AO$3:$BH$3,0))*('Adjustment Surface'!$O14-INDEX('Adjustment Surface'!$AN$4:$AN$23,MATCH(('Adjustment Surface'!$O14),'Adjustment Surface'!$AN$4:$AN$23,1)))*(INDEX('Adjustment Surface'!$AO$3:$BH$3,1,MATCH(('Adjustment Surface'!AC$3),'Adjustment Surface'!$AO$3:$BH$3,1)+IF('Adjustment Surface'!AD$3="",-1,1))-'Adjustment Surface'!AC$3)+INDEX($AO$4:$BH$23,MATCH(INDEX('Adjustment Surface'!$AN$4:$AN$23,MATCH(('Adjustment Surface'!$O14),'Adjustment Surface'!$AN$4:$AN$23,1)),$AN$4:$AN$23,0),MATCH(INDEX('Adjustment Surface'!$AO$3:$BH$3,1,MATCH(('Adjustment Surface'!AC$3),'Adjustment Surface'!$AO$3:$BH$3,1)+IF('Adjustment Surface'!AD$3="",-1,1)),$AO$3:$BH$3,0))*(INDEX('Adjustment Surface'!$AN$4:$AN$23,MATCH(('Adjustment Surface'!$O14),'Adjustment Surface'!$AN$4:$AN$23,1)+IF('Adjustment Surface'!$O15="",-1,1))-'Adjustment Surface'!$O14)*('Adjustment Surface'!AC$3-INDEX('Adjustment Surface'!$AO$3:$BH$3,1,MATCH(('Adjustment Surface'!AC$3),'Adjustment Surface'!$AO$3:$BH$3,1)))+INDEX($AO$4:$BH$23,MATCH(INDEX('Adjustment Surface'!$AN$4:$AN$23,MATCH(('Adjustment Surface'!$O14),'Adjustment Surface'!$AN$4:$AN$23,1)+IF('Adjustment Surface'!$O15="",-1,1)),$AN$4:$AN$23,0),MATCH(INDEX('Adjustment Surface'!$AO$3:$BH$3,1,MATCH(('Adjustment Surface'!AC$3),'Adjustment Surface'!$AO$3:$BH$3,1)+IF('Adjustment Surface'!AD$3="",-1,1)),$AO$3:$BH$3,0))*('Adjustment Surface'!$O14-INDEX('Adjustment Surface'!$AN$4:$AN$23,MATCH(('Adjustment Surface'!$O14),'Adjustment Surface'!$AN$4:$AN$23,1)))*('Adjustment Surface'!AC$3-INDEX('Adjustment Surface'!$AO$3:$BH$3,1,MATCH(('Adjustment Surface'!AC$3),'Adjustment Surface'!$AO$3:$BH$3,1)))))</f>
        <v/>
      </c>
      <c r="AD14" s="181" t="str" cm="1">
        <f t="array" ref="AD14">IF(OR(AD$3="",$O14=""),"",1/((INDEX('Adjustment Surface'!$AN$4:$AN$23,MATCH(('Adjustment Surface'!$O14),'Adjustment Surface'!$AN$4:$AN$23,1)+IF('Adjustment Surface'!$O15="",-1,1))-INDEX('Adjustment Surface'!$AN$4:$AN$23,MATCH(('Adjustment Surface'!$O14),'Adjustment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Surface'!$O14),'Adjustment Surface'!$AN$4:$AN$23,1)),$AN$4:$AN$23,0),MATCH(INDEX('Adjustment Surface'!$AO$3:$BH$3,1,MATCH(('Adjustment Surface'!AD$3),'Adjustment Surface'!$AO$3:$BH$3,1)),$AO$3:$BH$3,0))*(INDEX('Adjustment Surface'!$AN$4:$AN$23,MATCH(('Adjustment Surface'!$O14),'Adjustment Surface'!$AN$4:$AN$23,1)+IF('Adjustment Surface'!$O15="",-1,1))-'Adjustment Surface'!$O14)*(INDEX('Adjustment Surface'!$AO$3:$BH$3,1,MATCH(('Adjustment Surface'!AD$3),'Adjustment Surface'!$AO$3:$BH$3,1)+IF('Adjustment Surface'!AE$3="",-1,1))-'Adjustment Surface'!AD$3)+INDEX($AO$4:$BH$23,MATCH(INDEX('Adjustment Surface'!$AN$4:$AN$23,MATCH(('Adjustment Surface'!$O14),'Adjustment Surface'!$AN$4:$AN$23,1)+IF('Adjustment Surface'!$O15="",-1,1)),$AN$4:$AN$23,0),MATCH(INDEX('Adjustment Surface'!$AO$3:$BH$3,1,MATCH(('Adjustment Surface'!AD$3),'Adjustment Surface'!$AO$3:$BH$3,1)),$AO$3:$BH$3,0))*('Adjustment Surface'!$O14-INDEX('Adjustment Surface'!$AN$4:$AN$23,MATCH(('Adjustment Surface'!$O14),'Adjustment Surface'!$AN$4:$AN$23,1)))*(INDEX('Adjustment Surface'!$AO$3:$BH$3,1,MATCH(('Adjustment Surface'!AD$3),'Adjustment Surface'!$AO$3:$BH$3,1)+IF('Adjustment Surface'!AE$3="",-1,1))-'Adjustment Surface'!AD$3)+INDEX($AO$4:$BH$23,MATCH(INDEX('Adjustment Surface'!$AN$4:$AN$23,MATCH(('Adjustment Surface'!$O14),'Adjustment Surface'!$AN$4:$AN$23,1)),$AN$4:$AN$23,0),MATCH(INDEX('Adjustment Surface'!$AO$3:$BH$3,1,MATCH(('Adjustment Surface'!AD$3),'Adjustment Surface'!$AO$3:$BH$3,1)+IF('Adjustment Surface'!AE$3="",-1,1)),$AO$3:$BH$3,0))*(INDEX('Adjustment Surface'!$AN$4:$AN$23,MATCH(('Adjustment Surface'!$O14),'Adjustment Surface'!$AN$4:$AN$23,1)+IF('Adjustment Surface'!$O15="",-1,1))-'Adjustment Surface'!$O14)*('Adjustment Surface'!AD$3-INDEX('Adjustment Surface'!$AO$3:$BH$3,1,MATCH(('Adjustment Surface'!AD$3),'Adjustment Surface'!$AO$3:$BH$3,1)))+INDEX($AO$4:$BH$23,MATCH(INDEX('Adjustment Surface'!$AN$4:$AN$23,MATCH(('Adjustment Surface'!$O14),'Adjustment Surface'!$AN$4:$AN$23,1)+IF('Adjustment Surface'!$O15="",-1,1)),$AN$4:$AN$23,0),MATCH(INDEX('Adjustment Surface'!$AO$3:$BH$3,1,MATCH(('Adjustment Surface'!AD$3),'Adjustment Surface'!$AO$3:$BH$3,1)+IF('Adjustment Surface'!AE$3="",-1,1)),$AO$3:$BH$3,0))*('Adjustment Surface'!$O14-INDEX('Adjustment Surface'!$AN$4:$AN$23,MATCH(('Adjustment Surface'!$O14),'Adjustment Surface'!$AN$4:$AN$23,1)))*('Adjustment Surface'!AD$3-INDEX('Adjustment Surface'!$AO$3:$BH$3,1,MATCH(('Adjustment Surface'!AD$3),'Adjustment Surface'!$AO$3:$BH$3,1)))))</f>
        <v/>
      </c>
      <c r="AE14" s="181" t="str" cm="1">
        <f t="array" ref="AE14">IF(OR(AE$3="",$O14=""),"",1/((INDEX('Adjustment Surface'!$AN$4:$AN$23,MATCH(('Adjustment Surface'!$O14),'Adjustment Surface'!$AN$4:$AN$23,1)+IF('Adjustment Surface'!$O15="",-1,1))-INDEX('Adjustment Surface'!$AN$4:$AN$23,MATCH(('Adjustment Surface'!$O14),'Adjustment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Surface'!$O14),'Adjustment Surface'!$AN$4:$AN$23,1)),$AN$4:$AN$23,0),MATCH(INDEX('Adjustment Surface'!$AO$3:$BH$3,1,MATCH(('Adjustment Surface'!AE$3),'Adjustment Surface'!$AO$3:$BH$3,1)),$AO$3:$BH$3,0))*(INDEX('Adjustment Surface'!$AN$4:$AN$23,MATCH(('Adjustment Surface'!$O14),'Adjustment Surface'!$AN$4:$AN$23,1)+IF('Adjustment Surface'!$O15="",-1,1))-'Adjustment Surface'!$O14)*(INDEX('Adjustment Surface'!$AO$3:$BH$3,1,MATCH(('Adjustment Surface'!AE$3),'Adjustment Surface'!$AO$3:$BH$3,1)+IF('Adjustment Surface'!AF$3="",-1,1))-'Adjustment Surface'!AE$3)+INDEX($AO$4:$BH$23,MATCH(INDEX('Adjustment Surface'!$AN$4:$AN$23,MATCH(('Adjustment Surface'!$O14),'Adjustment Surface'!$AN$4:$AN$23,1)+IF('Adjustment Surface'!$O15="",-1,1)),$AN$4:$AN$23,0),MATCH(INDEX('Adjustment Surface'!$AO$3:$BH$3,1,MATCH(('Adjustment Surface'!AE$3),'Adjustment Surface'!$AO$3:$BH$3,1)),$AO$3:$BH$3,0))*('Adjustment Surface'!$O14-INDEX('Adjustment Surface'!$AN$4:$AN$23,MATCH(('Adjustment Surface'!$O14),'Adjustment Surface'!$AN$4:$AN$23,1)))*(INDEX('Adjustment Surface'!$AO$3:$BH$3,1,MATCH(('Adjustment Surface'!AE$3),'Adjustment Surface'!$AO$3:$BH$3,1)+IF('Adjustment Surface'!AF$3="",-1,1))-'Adjustment Surface'!AE$3)+INDEX($AO$4:$BH$23,MATCH(INDEX('Adjustment Surface'!$AN$4:$AN$23,MATCH(('Adjustment Surface'!$O14),'Adjustment Surface'!$AN$4:$AN$23,1)),$AN$4:$AN$23,0),MATCH(INDEX('Adjustment Surface'!$AO$3:$BH$3,1,MATCH(('Adjustment Surface'!AE$3),'Adjustment Surface'!$AO$3:$BH$3,1)+IF('Adjustment Surface'!AF$3="",-1,1)),$AO$3:$BH$3,0))*(INDEX('Adjustment Surface'!$AN$4:$AN$23,MATCH(('Adjustment Surface'!$O14),'Adjustment Surface'!$AN$4:$AN$23,1)+IF('Adjustment Surface'!$O15="",-1,1))-'Adjustment Surface'!$O14)*('Adjustment Surface'!AE$3-INDEX('Adjustment Surface'!$AO$3:$BH$3,1,MATCH(('Adjustment Surface'!AE$3),'Adjustment Surface'!$AO$3:$BH$3,1)))+INDEX($AO$4:$BH$23,MATCH(INDEX('Adjustment Surface'!$AN$4:$AN$23,MATCH(('Adjustment Surface'!$O14),'Adjustment Surface'!$AN$4:$AN$23,1)+IF('Adjustment Surface'!$O15="",-1,1)),$AN$4:$AN$23,0),MATCH(INDEX('Adjustment Surface'!$AO$3:$BH$3,1,MATCH(('Adjustment Surface'!AE$3),'Adjustment Surface'!$AO$3:$BH$3,1)+IF('Adjustment Surface'!AF$3="",-1,1)),$AO$3:$BH$3,0))*('Adjustment Surface'!$O14-INDEX('Adjustment Surface'!$AN$4:$AN$23,MATCH(('Adjustment Surface'!$O14),'Adjustment Surface'!$AN$4:$AN$23,1)))*('Adjustment Surface'!AE$3-INDEX('Adjustment Surface'!$AO$3:$BH$3,1,MATCH(('Adjustment Surface'!AE$3),'Adjustment Surface'!$AO$3:$BH$3,1)))))</f>
        <v/>
      </c>
      <c r="AF14" s="181" t="str" cm="1">
        <f t="array" ref="AF14">IF(OR(AF$3="",$O14=""),"",1/((INDEX('Adjustment Surface'!$AN$4:$AN$23,MATCH(('Adjustment Surface'!$O14),'Adjustment Surface'!$AN$4:$AN$23,1)+IF('Adjustment Surface'!$O15="",-1,1))-INDEX('Adjustment Surface'!$AN$4:$AN$23,MATCH(('Adjustment Surface'!$O14),'Adjustment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Surface'!$O14),'Adjustment Surface'!$AN$4:$AN$23,1)),$AN$4:$AN$23,0),MATCH(INDEX('Adjustment Surface'!$AO$3:$BH$3,1,MATCH(('Adjustment Surface'!AF$3),'Adjustment Surface'!$AO$3:$BH$3,1)),$AO$3:$BH$3,0))*(INDEX('Adjustment Surface'!$AN$4:$AN$23,MATCH(('Adjustment Surface'!$O14),'Adjustment Surface'!$AN$4:$AN$23,1)+IF('Adjustment Surface'!$O15="",-1,1))-'Adjustment Surface'!$O14)*(INDEX('Adjustment Surface'!$AO$3:$BH$3,1,MATCH(('Adjustment Surface'!AF$3),'Adjustment Surface'!$AO$3:$BH$3,1)+IF('Adjustment Surface'!AG$3="",-1,1))-'Adjustment Surface'!AF$3)+INDEX($AO$4:$BH$23,MATCH(INDEX('Adjustment Surface'!$AN$4:$AN$23,MATCH(('Adjustment Surface'!$O14),'Adjustment Surface'!$AN$4:$AN$23,1)+IF('Adjustment Surface'!$O15="",-1,1)),$AN$4:$AN$23,0),MATCH(INDEX('Adjustment Surface'!$AO$3:$BH$3,1,MATCH(('Adjustment Surface'!AF$3),'Adjustment Surface'!$AO$3:$BH$3,1)),$AO$3:$BH$3,0))*('Adjustment Surface'!$O14-INDEX('Adjustment Surface'!$AN$4:$AN$23,MATCH(('Adjustment Surface'!$O14),'Adjustment Surface'!$AN$4:$AN$23,1)))*(INDEX('Adjustment Surface'!$AO$3:$BH$3,1,MATCH(('Adjustment Surface'!AF$3),'Adjustment Surface'!$AO$3:$BH$3,1)+IF('Adjustment Surface'!AG$3="",-1,1))-'Adjustment Surface'!AF$3)+INDEX($AO$4:$BH$23,MATCH(INDEX('Adjustment Surface'!$AN$4:$AN$23,MATCH(('Adjustment Surface'!$O14),'Adjustment Surface'!$AN$4:$AN$23,1)),$AN$4:$AN$23,0),MATCH(INDEX('Adjustment Surface'!$AO$3:$BH$3,1,MATCH(('Adjustment Surface'!AF$3),'Adjustment Surface'!$AO$3:$BH$3,1)+IF('Adjustment Surface'!AG$3="",-1,1)),$AO$3:$BH$3,0))*(INDEX('Adjustment Surface'!$AN$4:$AN$23,MATCH(('Adjustment Surface'!$O14),'Adjustment Surface'!$AN$4:$AN$23,1)+IF('Adjustment Surface'!$O15="",-1,1))-'Adjustment Surface'!$O14)*('Adjustment Surface'!AF$3-INDEX('Adjustment Surface'!$AO$3:$BH$3,1,MATCH(('Adjustment Surface'!AF$3),'Adjustment Surface'!$AO$3:$BH$3,1)))+INDEX($AO$4:$BH$23,MATCH(INDEX('Adjustment Surface'!$AN$4:$AN$23,MATCH(('Adjustment Surface'!$O14),'Adjustment Surface'!$AN$4:$AN$23,1)+IF('Adjustment Surface'!$O15="",-1,1)),$AN$4:$AN$23,0),MATCH(INDEX('Adjustment Surface'!$AO$3:$BH$3,1,MATCH(('Adjustment Surface'!AF$3),'Adjustment Surface'!$AO$3:$BH$3,1)+IF('Adjustment Surface'!AG$3="",-1,1)),$AO$3:$BH$3,0))*('Adjustment Surface'!$O14-INDEX('Adjustment Surface'!$AN$4:$AN$23,MATCH(('Adjustment Surface'!$O14),'Adjustment Surface'!$AN$4:$AN$23,1)))*('Adjustment Surface'!AF$3-INDEX('Adjustment Surface'!$AO$3:$BH$3,1,MATCH(('Adjustment Surface'!AF$3),'Adjustment Surface'!$AO$3:$BH$3,1)))))</f>
        <v/>
      </c>
      <c r="AG14" s="181" t="str" cm="1">
        <f t="array" ref="AG14">IF(OR(AG$3="",$O14=""),"",1/((INDEX('Adjustment Surface'!$AN$4:$AN$23,MATCH(('Adjustment Surface'!$O14),'Adjustment Surface'!$AN$4:$AN$23,1)+IF('Adjustment Surface'!$O15="",-1,1))-INDEX('Adjustment Surface'!$AN$4:$AN$23,MATCH(('Adjustment Surface'!$O14),'Adjustment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Surface'!$O14),'Adjustment Surface'!$AN$4:$AN$23,1)),$AN$4:$AN$23,0),MATCH(INDEX('Adjustment Surface'!$AO$3:$BH$3,1,MATCH(('Adjustment Surface'!AG$3),'Adjustment Surface'!$AO$3:$BH$3,1)),$AO$3:$BH$3,0))*(INDEX('Adjustment Surface'!$AN$4:$AN$23,MATCH(('Adjustment Surface'!$O14),'Adjustment Surface'!$AN$4:$AN$23,1)+IF('Adjustment Surface'!$O15="",-1,1))-'Adjustment Surface'!$O14)*(INDEX('Adjustment Surface'!$AO$3:$BH$3,1,MATCH(('Adjustment Surface'!AG$3),'Adjustment Surface'!$AO$3:$BH$3,1)+IF('Adjustment Surface'!AH$3="",-1,1))-'Adjustment Surface'!AG$3)+INDEX($AO$4:$BH$23,MATCH(INDEX('Adjustment Surface'!$AN$4:$AN$23,MATCH(('Adjustment Surface'!$O14),'Adjustment Surface'!$AN$4:$AN$23,1)+IF('Adjustment Surface'!$O15="",-1,1)),$AN$4:$AN$23,0),MATCH(INDEX('Adjustment Surface'!$AO$3:$BH$3,1,MATCH(('Adjustment Surface'!AG$3),'Adjustment Surface'!$AO$3:$BH$3,1)),$AO$3:$BH$3,0))*('Adjustment Surface'!$O14-INDEX('Adjustment Surface'!$AN$4:$AN$23,MATCH(('Adjustment Surface'!$O14),'Adjustment Surface'!$AN$4:$AN$23,1)))*(INDEX('Adjustment Surface'!$AO$3:$BH$3,1,MATCH(('Adjustment Surface'!AG$3),'Adjustment Surface'!$AO$3:$BH$3,1)+IF('Adjustment Surface'!AH$3="",-1,1))-'Adjustment Surface'!AG$3)+INDEX($AO$4:$BH$23,MATCH(INDEX('Adjustment Surface'!$AN$4:$AN$23,MATCH(('Adjustment Surface'!$O14),'Adjustment Surface'!$AN$4:$AN$23,1)),$AN$4:$AN$23,0),MATCH(INDEX('Adjustment Surface'!$AO$3:$BH$3,1,MATCH(('Adjustment Surface'!AG$3),'Adjustment Surface'!$AO$3:$BH$3,1)+IF('Adjustment Surface'!AH$3="",-1,1)),$AO$3:$BH$3,0))*(INDEX('Adjustment Surface'!$AN$4:$AN$23,MATCH(('Adjustment Surface'!$O14),'Adjustment Surface'!$AN$4:$AN$23,1)+IF('Adjustment Surface'!$O15="",-1,1))-'Adjustment Surface'!$O14)*('Adjustment Surface'!AG$3-INDEX('Adjustment Surface'!$AO$3:$BH$3,1,MATCH(('Adjustment Surface'!AG$3),'Adjustment Surface'!$AO$3:$BH$3,1)))+INDEX($AO$4:$BH$23,MATCH(INDEX('Adjustment Surface'!$AN$4:$AN$23,MATCH(('Adjustment Surface'!$O14),'Adjustment Surface'!$AN$4:$AN$23,1)+IF('Adjustment Surface'!$O15="",-1,1)),$AN$4:$AN$23,0),MATCH(INDEX('Adjustment Surface'!$AO$3:$BH$3,1,MATCH(('Adjustment Surface'!AG$3),'Adjustment Surface'!$AO$3:$BH$3,1)+IF('Adjustment Surface'!AH$3="",-1,1)),$AO$3:$BH$3,0))*('Adjustment Surface'!$O14-INDEX('Adjustment Surface'!$AN$4:$AN$23,MATCH(('Adjustment Surface'!$O14),'Adjustment Surface'!$AN$4:$AN$23,1)))*('Adjustment Surface'!AG$3-INDEX('Adjustment Surface'!$AO$3:$BH$3,1,MATCH(('Adjustment Surface'!AG$3),'Adjustment Surface'!$AO$3:$BH$3,1)))))</f>
        <v/>
      </c>
      <c r="AH14" s="181" t="str" cm="1">
        <f t="array" ref="AH14">IF(OR(AH$3="",$O14=""),"",1/((INDEX('Adjustment Surface'!$AN$4:$AN$23,MATCH(('Adjustment Surface'!$O14),'Adjustment Surface'!$AN$4:$AN$23,1)+IF('Adjustment Surface'!$O15="",-1,1))-INDEX('Adjustment Surface'!$AN$4:$AN$23,MATCH(('Adjustment Surface'!$O14),'Adjustment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Surface'!$O14),'Adjustment Surface'!$AN$4:$AN$23,1)),$AN$4:$AN$23,0),MATCH(INDEX('Adjustment Surface'!$AO$3:$BH$3,1,MATCH(('Adjustment Surface'!AH$3),'Adjustment Surface'!$AO$3:$BH$3,1)),$AO$3:$BH$3,0))*(INDEX('Adjustment Surface'!$AN$4:$AN$23,MATCH(('Adjustment Surface'!$O14),'Adjustment Surface'!$AN$4:$AN$23,1)+IF('Adjustment Surface'!$O15="",-1,1))-'Adjustment Surface'!$O14)*(INDEX('Adjustment Surface'!$AO$3:$BH$3,1,MATCH(('Adjustment Surface'!AH$3),'Adjustment Surface'!$AO$3:$BH$3,1)+IF('Adjustment Surface'!AI$3="",-1,1))-'Adjustment Surface'!AH$3)+INDEX($AO$4:$BH$23,MATCH(INDEX('Adjustment Surface'!$AN$4:$AN$23,MATCH(('Adjustment Surface'!$O14),'Adjustment Surface'!$AN$4:$AN$23,1)+IF('Adjustment Surface'!$O15="",-1,1)),$AN$4:$AN$23,0),MATCH(INDEX('Adjustment Surface'!$AO$3:$BH$3,1,MATCH(('Adjustment Surface'!AH$3),'Adjustment Surface'!$AO$3:$BH$3,1)),$AO$3:$BH$3,0))*('Adjustment Surface'!$O14-INDEX('Adjustment Surface'!$AN$4:$AN$23,MATCH(('Adjustment Surface'!$O14),'Adjustment Surface'!$AN$4:$AN$23,1)))*(INDEX('Adjustment Surface'!$AO$3:$BH$3,1,MATCH(('Adjustment Surface'!AH$3),'Adjustment Surface'!$AO$3:$BH$3,1)+IF('Adjustment Surface'!AI$3="",-1,1))-'Adjustment Surface'!AH$3)+INDEX($AO$4:$BH$23,MATCH(INDEX('Adjustment Surface'!$AN$4:$AN$23,MATCH(('Adjustment Surface'!$O14),'Adjustment Surface'!$AN$4:$AN$23,1)),$AN$4:$AN$23,0),MATCH(INDEX('Adjustment Surface'!$AO$3:$BH$3,1,MATCH(('Adjustment Surface'!AH$3),'Adjustment Surface'!$AO$3:$BH$3,1)+IF('Adjustment Surface'!AI$3="",-1,1)),$AO$3:$BH$3,0))*(INDEX('Adjustment Surface'!$AN$4:$AN$23,MATCH(('Adjustment Surface'!$O14),'Adjustment Surface'!$AN$4:$AN$23,1)+IF('Adjustment Surface'!$O15="",-1,1))-'Adjustment Surface'!$O14)*('Adjustment Surface'!AH$3-INDEX('Adjustment Surface'!$AO$3:$BH$3,1,MATCH(('Adjustment Surface'!AH$3),'Adjustment Surface'!$AO$3:$BH$3,1)))+INDEX($AO$4:$BH$23,MATCH(INDEX('Adjustment Surface'!$AN$4:$AN$23,MATCH(('Adjustment Surface'!$O14),'Adjustment Surface'!$AN$4:$AN$23,1)+IF('Adjustment Surface'!$O15="",-1,1)),$AN$4:$AN$23,0),MATCH(INDEX('Adjustment Surface'!$AO$3:$BH$3,1,MATCH(('Adjustment Surface'!AH$3),'Adjustment Surface'!$AO$3:$BH$3,1)+IF('Adjustment Surface'!AI$3="",-1,1)),$AO$3:$BH$3,0))*('Adjustment Surface'!$O14-INDEX('Adjustment Surface'!$AN$4:$AN$23,MATCH(('Adjustment Surface'!$O14),'Adjustment Surface'!$AN$4:$AN$23,1)))*('Adjustment Surface'!AH$3-INDEX('Adjustment Surface'!$AO$3:$BH$3,1,MATCH(('Adjustment Surface'!AH$3),'Adjustment Surface'!$AO$3:$BH$3,1)))))</f>
        <v/>
      </c>
      <c r="AI14" s="182" t="str" cm="1">
        <f t="array" ref="AI14">IF(OR(AI$3="",$O14=""),"",1/((INDEX('Adjustment Surface'!$AN$4:$AN$23,MATCH(('Adjustment Surface'!$O14),'Adjustment Surface'!$AN$4:$AN$23,1)+IF('Adjustment Surface'!$O15="",-1,1))-INDEX('Adjustment Surface'!$AN$4:$AN$23,MATCH(('Adjustment Surface'!$O14),'Adjustment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Surface'!$O14),'Adjustment Surface'!$AN$4:$AN$23,1)),$AN$4:$AN$23,0),MATCH(INDEX('Adjustment Surface'!$AO$3:$BH$3,1,MATCH(('Adjustment Surface'!AI$3),'Adjustment Surface'!$AO$3:$BH$3,1)),$AO$3:$BH$3,0))*(INDEX('Adjustment Surface'!$AN$4:$AN$23,MATCH(('Adjustment Surface'!$O14),'Adjustment Surface'!$AN$4:$AN$23,1)+IF('Adjustment Surface'!$O15="",-1,1))-'Adjustment Surface'!$O14)*(INDEX('Adjustment Surface'!$AO$3:$BH$3,1,MATCH(('Adjustment Surface'!AI$3),'Adjustment Surface'!$AO$3:$BH$3,1)+IF('Adjustment Surface'!AJ$3="",-1,1))-'Adjustment Surface'!AI$3)+INDEX($AO$4:$BH$23,MATCH(INDEX('Adjustment Surface'!$AN$4:$AN$23,MATCH(('Adjustment Surface'!$O14),'Adjustment Surface'!$AN$4:$AN$23,1)+IF('Adjustment Surface'!$O15="",-1,1)),$AN$4:$AN$23,0),MATCH(INDEX('Adjustment Surface'!$AO$3:$BH$3,1,MATCH(('Adjustment Surface'!AI$3),'Adjustment Surface'!$AO$3:$BH$3,1)),$AO$3:$BH$3,0))*('Adjustment Surface'!$O14-INDEX('Adjustment Surface'!$AN$4:$AN$23,MATCH(('Adjustment Surface'!$O14),'Adjustment Surface'!$AN$4:$AN$23,1)))*(INDEX('Adjustment Surface'!$AO$3:$BH$3,1,MATCH(('Adjustment Surface'!AI$3),'Adjustment Surface'!$AO$3:$BH$3,1)+IF('Adjustment Surface'!AJ$3="",-1,1))-'Adjustment Surface'!AI$3)+INDEX($AO$4:$BH$23,MATCH(INDEX('Adjustment Surface'!$AN$4:$AN$23,MATCH(('Adjustment Surface'!$O14),'Adjustment Surface'!$AN$4:$AN$23,1)),$AN$4:$AN$23,0),MATCH(INDEX('Adjustment Surface'!$AO$3:$BH$3,1,MATCH(('Adjustment Surface'!AI$3),'Adjustment Surface'!$AO$3:$BH$3,1)+IF('Adjustment Surface'!AJ$3="",-1,1)),$AO$3:$BH$3,0))*(INDEX('Adjustment Surface'!$AN$4:$AN$23,MATCH(('Adjustment Surface'!$O14),'Adjustment Surface'!$AN$4:$AN$23,1)+IF('Adjustment Surface'!$O15="",-1,1))-'Adjustment Surface'!$O14)*('Adjustment Surface'!AI$3-INDEX('Adjustment Surface'!$AO$3:$BH$3,1,MATCH(('Adjustment Surface'!AI$3),'Adjustment Surface'!$AO$3:$BH$3,1)))+INDEX($AO$4:$BH$23,MATCH(INDEX('Adjustment Surface'!$AN$4:$AN$23,MATCH(('Adjustment Surface'!$O14),'Adjustment Surface'!$AN$4:$AN$23,1)+IF('Adjustment Surface'!$O15="",-1,1)),$AN$4:$AN$23,0),MATCH(INDEX('Adjustment Surface'!$AO$3:$BH$3,1,MATCH(('Adjustment Surface'!AI$3),'Adjustment Surface'!$AO$3:$BH$3,1)+IF('Adjustment Surface'!AJ$3="",-1,1)),$AO$3:$BH$3,0))*('Adjustment Surface'!$O14-INDEX('Adjustment Surface'!$AN$4:$AN$23,MATCH(('Adjustment Surface'!$O14),'Adjustment Surface'!$AN$4:$AN$23,1)))*('Adjustment Surface'!AI$3-INDEX('Adjustment Surface'!$AO$3:$BH$3,1,MATCH(('Adjustment Surface'!AI$3),'Adjustment Surface'!$AO$3:$BH$3,1)))))</f>
        <v/>
      </c>
      <c r="AK14" s="203" t="str">
        <f>IF(OR(AK13=IF('Adjustment Surface'!$C$2='Data Validation'!$A$2,_xlfn.FLOOR.MATH(MAX('Bank Adjustments'!$C$4:$C$103),0.5%,2),IF('Adjustment Surface'!$C$2='Data Validation'!$A$3,_xlfn.FLOOR.MATH(MAX('Bank Adjustments'!$M$4:$M$103),0.5%,2),"Uknown Option Type")),AK13=""),"",AK13+0.5%)</f>
        <v/>
      </c>
      <c r="AL14" s="204" t="str">
        <f>IF(OR(AL13=IF('Adjustment Surface'!$C$2='Data Validation'!$A$2,IF(EDATE('Rate &amp; Vol Update'!$C$2,_xlfn.FLOOR.MATH(DATEDIF('Rate &amp; Vol Update'!$C$2,MAX('Bank Adjustments'!$E$4:$E$103),"M"),3,2))&gt;MAX('Bank Adjustments'!$E$4:$E$103),EDATE('Rate &amp; Vol Update'!$C$2,_xlfn.FLOOR.MATH(DATEDIF('Rate &amp; Vol Update'!$C$2,MAX('Bank Adjustments'!$E$4:$E$103),"M")-3,3,2)),EDATE('Rate &amp; Vol Update'!$C$2,_xlfn.FLOOR.MATH(DATEDIF('Rate &amp; Vol Update'!$C$2,MAX('Bank Adjustments'!$E$4:$E$103),"M"),3,2))),IF('Adjustment Surface'!$C$2='Data Validation'!$A$3,IF(EDATE('Rate &amp; Vol Update'!$C$2,_xlfn.FLOOR.MATH(DATEDIF('Rate &amp; Vol Update'!$C$2,MAX('Bank Adjustments'!$O$4:$O$103),"M"),3,2))&gt;MAX('Bank Adjustments'!$O$4:$O$103),EDATE('Rate &amp; Vol Update'!$C$2,_xlfn.FLOOR.MATH(DATEDIF('Rate &amp; Vol Update'!$C$2,MAX('Bank Adjustments'!$O$4:$O$103),"M")-3,3,2)),EDATE('Rate &amp; Vol Update'!$C$2,_xlfn.FLOOR.MATH(DATEDIF('Rate &amp; Vol Update'!$C$2,MAX('Bank Adjustments'!$O$4:$O$103),"M"),3,2))),"Unkown Option Type")),AL13=""),"",EDATE(AL13,3))</f>
        <v/>
      </c>
      <c r="AN14" s="176"/>
      <c r="AO14" s="180" t="str" cm="1">
        <f t="array" ref="AO14">IF(OR(AO$3="",$AN14=""),"",INDEX(IF($C$2='Data Validation'!$A$2,'Bank Adjustments'!$H$4:$H$103,IF('Adjustment Surface'!$C$2='Data Validation'!$A$3,'Bank Adjustments'!$R$4:$R$103,"Unknown Option Type")),MATCH(1,($AN14=IF($C$2='Data Validation'!$A$2,'Bank Adjustments'!$C$4:$C$103,IF('Adjustment Surface'!$C$2='Data Validation'!$A$3,'Bank Adjustments'!$M$4:$M$103,"Unknown Option Type")))*(AO$3=IF($C$2='Data Validation'!$A$2,'Bank Adjustments'!$E$4:$E$103,IF('Adjustment Surface'!$C$2='Data Validation'!$A$3,'Bank Adjustments'!$O$4:$O$103,"Unknown Option Type"))),0)))</f>
        <v/>
      </c>
      <c r="AP14" s="181" t="str" cm="1">
        <f t="array" ref="AP14">IF(OR(AP$3="",$AN14=""),"",INDEX(IF($C$2='Data Validation'!$A$2,'Bank Adjustments'!$H$4:$H$103,IF('Adjustment Surface'!$C$2='Data Validation'!$A$3,'Bank Adjustments'!$R$4:$R$103,"Unknown Option Type")),MATCH(1,($AN14=IF($C$2='Data Validation'!$A$2,'Bank Adjustments'!$C$4:$C$103,IF('Adjustment Surface'!$C$2='Data Validation'!$A$3,'Bank Adjustments'!$M$4:$M$103,"Unknown Option Type")))*(AP$3=IF($C$2='Data Validation'!$A$2,'Bank Adjustments'!$E$4:$E$103,IF('Adjustment Surface'!$C$2='Data Validation'!$A$3,'Bank Adjustments'!$O$4:$O$103,"Unknown Option Type"))),0)))</f>
        <v/>
      </c>
      <c r="AQ14" s="181" t="str" cm="1">
        <f t="array" ref="AQ14">IF(OR(AQ$3="",$AN14=""),"",INDEX(IF($C$2='Data Validation'!$A$2,'Bank Adjustments'!$H$4:$H$103,IF('Adjustment Surface'!$C$2='Data Validation'!$A$3,'Bank Adjustments'!$R$4:$R$103,"Unknown Option Type")),MATCH(1,($AN14=IF($C$2='Data Validation'!$A$2,'Bank Adjustments'!$C$4:$C$103,IF('Adjustment Surface'!$C$2='Data Validation'!$A$3,'Bank Adjustments'!$M$4:$M$103,"Unknown Option Type")))*(AQ$3=IF($C$2='Data Validation'!$A$2,'Bank Adjustments'!$E$4:$E$103,IF('Adjustment Surface'!$C$2='Data Validation'!$A$3,'Bank Adjustments'!$O$4:$O$103,"Unknown Option Type"))),0)))</f>
        <v/>
      </c>
      <c r="AR14" s="181" t="str" cm="1">
        <f t="array" ref="AR14">IF(OR(AR$3="",$AN14=""),"",INDEX(IF($C$2='Data Validation'!$A$2,'Bank Adjustments'!$H$4:$H$103,IF('Adjustment Surface'!$C$2='Data Validation'!$A$3,'Bank Adjustments'!$R$4:$R$103,"Unknown Option Type")),MATCH(1,($AN14=IF($C$2='Data Validation'!$A$2,'Bank Adjustments'!$C$4:$C$103,IF('Adjustment Surface'!$C$2='Data Validation'!$A$3,'Bank Adjustments'!$M$4:$M$103,"Unknown Option Type")))*(AR$3=IF($C$2='Data Validation'!$A$2,'Bank Adjustments'!$E$4:$E$103,IF('Adjustment Surface'!$C$2='Data Validation'!$A$3,'Bank Adjustments'!$O$4:$O$103,"Unknown Option Type"))),0)))</f>
        <v/>
      </c>
      <c r="AS14" s="181" t="str" cm="1">
        <f t="array" ref="AS14">IF(OR(AS$3="",$AN14=""),"",INDEX(IF($C$2='Data Validation'!$A$2,'Bank Adjustments'!$H$4:$H$103,IF('Adjustment Surface'!$C$2='Data Validation'!$A$3,'Bank Adjustments'!$R$4:$R$103,"Unknown Option Type")),MATCH(1,($AN14=IF($C$2='Data Validation'!$A$2,'Bank Adjustments'!$C$4:$C$103,IF('Adjustment Surface'!$C$2='Data Validation'!$A$3,'Bank Adjustments'!$M$4:$M$103,"Unknown Option Type")))*(AS$3=IF($C$2='Data Validation'!$A$2,'Bank Adjustments'!$E$4:$E$103,IF('Adjustment Surface'!$C$2='Data Validation'!$A$3,'Bank Adjustments'!$O$4:$O$103,"Unknown Option Type"))),0)))</f>
        <v/>
      </c>
      <c r="AT14" s="181" t="str" cm="1">
        <f t="array" ref="AT14">IF(OR(AT$3="",$AN14=""),"",INDEX(IF($C$2='Data Validation'!$A$2,'Bank Adjustments'!$H$4:$H$103,IF('Adjustment Surface'!$C$2='Data Validation'!$A$3,'Bank Adjustments'!$R$4:$R$103,"Unknown Option Type")),MATCH(1,($AN14=IF($C$2='Data Validation'!$A$2,'Bank Adjustments'!$C$4:$C$103,IF('Adjustment Surface'!$C$2='Data Validation'!$A$3,'Bank Adjustments'!$M$4:$M$103,"Unknown Option Type")))*(AT$3=IF($C$2='Data Validation'!$A$2,'Bank Adjustments'!$E$4:$E$103,IF('Adjustment Surface'!$C$2='Data Validation'!$A$3,'Bank Adjustments'!$O$4:$O$103,"Unknown Option Type"))),0)))</f>
        <v/>
      </c>
      <c r="AU14" s="181" t="str" cm="1">
        <f t="array" ref="AU14">IF(OR(AU$3="",$AN14=""),"",INDEX(IF($C$2='Data Validation'!$A$2,'Bank Adjustments'!$H$4:$H$103,IF('Adjustment Surface'!$C$2='Data Validation'!$A$3,'Bank Adjustments'!$R$4:$R$103,"Unknown Option Type")),MATCH(1,($AN14=IF($C$2='Data Validation'!$A$2,'Bank Adjustments'!$C$4:$C$103,IF('Adjustment Surface'!$C$2='Data Validation'!$A$3,'Bank Adjustments'!$M$4:$M$103,"Unknown Option Type")))*(AU$3=IF($C$2='Data Validation'!$A$2,'Bank Adjustments'!$E$4:$E$103,IF('Adjustment Surface'!$C$2='Data Validation'!$A$3,'Bank Adjustments'!$O$4:$O$103,"Unknown Option Type"))),0)))</f>
        <v/>
      </c>
      <c r="AV14" s="181" t="str" cm="1">
        <f t="array" ref="AV14">IF(OR(AV$3="",$AN14=""),"",INDEX(IF($C$2='Data Validation'!$A$2,'Bank Adjustments'!$H$4:$H$103,IF('Adjustment Surface'!$C$2='Data Validation'!$A$3,'Bank Adjustments'!$R$4:$R$103,"Unknown Option Type")),MATCH(1,($AN14=IF($C$2='Data Validation'!$A$2,'Bank Adjustments'!$C$4:$C$103,IF('Adjustment Surface'!$C$2='Data Validation'!$A$3,'Bank Adjustments'!$M$4:$M$103,"Unknown Option Type")))*(AV$3=IF($C$2='Data Validation'!$A$2,'Bank Adjustments'!$E$4:$E$103,IF('Adjustment Surface'!$C$2='Data Validation'!$A$3,'Bank Adjustments'!$O$4:$O$103,"Unknown Option Type"))),0)))</f>
        <v/>
      </c>
      <c r="AW14" s="181" t="str" cm="1">
        <f t="array" ref="AW14">IF(OR(AW$3="",$AN14=""),"",INDEX(IF($C$2='Data Validation'!$A$2,'Bank Adjustments'!$H$4:$H$103,IF('Adjustment Surface'!$C$2='Data Validation'!$A$3,'Bank Adjustments'!$R$4:$R$103,"Unknown Option Type")),MATCH(1,($AN14=IF($C$2='Data Validation'!$A$2,'Bank Adjustments'!$C$4:$C$103,IF('Adjustment Surface'!$C$2='Data Validation'!$A$3,'Bank Adjustments'!$M$4:$M$103,"Unknown Option Type")))*(AW$3=IF($C$2='Data Validation'!$A$2,'Bank Adjustments'!$E$4:$E$103,IF('Adjustment Surface'!$C$2='Data Validation'!$A$3,'Bank Adjustments'!$O$4:$O$103,"Unknown Option Type"))),0)))</f>
        <v/>
      </c>
      <c r="AX14" s="181" t="str" cm="1">
        <f t="array" ref="AX14">IF(OR(AX$3="",$AN14=""),"",INDEX(IF($C$2='Data Validation'!$A$2,'Bank Adjustments'!$H$4:$H$103,IF('Adjustment Surface'!$C$2='Data Validation'!$A$3,'Bank Adjustments'!$R$4:$R$103,"Unknown Option Type")),MATCH(1,($AN14=IF($C$2='Data Validation'!$A$2,'Bank Adjustments'!$C$4:$C$103,IF('Adjustment Surface'!$C$2='Data Validation'!$A$3,'Bank Adjustments'!$M$4:$M$103,"Unknown Option Type")))*(AX$3=IF($C$2='Data Validation'!$A$2,'Bank Adjustments'!$E$4:$E$103,IF('Adjustment Surface'!$C$2='Data Validation'!$A$3,'Bank Adjustments'!$O$4:$O$103,"Unknown Option Type"))),0)))</f>
        <v/>
      </c>
      <c r="AY14" s="181" t="str" cm="1">
        <f t="array" ref="AY14">IF(OR(AY$3="",$AN14=""),"",INDEX(IF($C$2='Data Validation'!$A$2,'Bank Adjustments'!$H$4:$H$103,IF('Adjustment Surface'!$C$2='Data Validation'!$A$3,'Bank Adjustments'!$R$4:$R$103,"Unknown Option Type")),MATCH(1,($AN14=IF($C$2='Data Validation'!$A$2,'Bank Adjustments'!$C$4:$C$103,IF('Adjustment Surface'!$C$2='Data Validation'!$A$3,'Bank Adjustments'!$M$4:$M$103,"Unknown Option Type")))*(AY$3=IF($C$2='Data Validation'!$A$2,'Bank Adjustments'!$E$4:$E$103,IF('Adjustment Surface'!$C$2='Data Validation'!$A$3,'Bank Adjustments'!$O$4:$O$103,"Unknown Option Type"))),0)))</f>
        <v/>
      </c>
      <c r="AZ14" s="181" t="str" cm="1">
        <f t="array" ref="AZ14">IF(OR(AZ$3="",$AN14=""),"",INDEX(IF($C$2='Data Validation'!$A$2,'Bank Adjustments'!$H$4:$H$103,IF('Adjustment Surface'!$C$2='Data Validation'!$A$3,'Bank Adjustments'!$R$4:$R$103,"Unknown Option Type")),MATCH(1,($AN14=IF($C$2='Data Validation'!$A$2,'Bank Adjustments'!$C$4:$C$103,IF('Adjustment Surface'!$C$2='Data Validation'!$A$3,'Bank Adjustments'!$M$4:$M$103,"Unknown Option Type")))*(AZ$3=IF($C$2='Data Validation'!$A$2,'Bank Adjustments'!$E$4:$E$103,IF('Adjustment Surface'!$C$2='Data Validation'!$A$3,'Bank Adjustments'!$O$4:$O$103,"Unknown Option Type"))),0)))</f>
        <v/>
      </c>
      <c r="BA14" s="181" t="str" cm="1">
        <f t="array" ref="BA14">IF(OR(BA$3="",$AN14=""),"",INDEX(IF($C$2='Data Validation'!$A$2,'Bank Adjustments'!$H$4:$H$103,IF('Adjustment Surface'!$C$2='Data Validation'!$A$3,'Bank Adjustments'!$R$4:$R$103,"Unknown Option Type")),MATCH(1,($AN14=IF($C$2='Data Validation'!$A$2,'Bank Adjustments'!$C$4:$C$103,IF('Adjustment Surface'!$C$2='Data Validation'!$A$3,'Bank Adjustments'!$M$4:$M$103,"Unknown Option Type")))*(BA$3=IF($C$2='Data Validation'!$A$2,'Bank Adjustments'!$E$4:$E$103,IF('Adjustment Surface'!$C$2='Data Validation'!$A$3,'Bank Adjustments'!$O$4:$O$103,"Unknown Option Type"))),0)))</f>
        <v/>
      </c>
      <c r="BB14" s="181" t="str" cm="1">
        <f t="array" ref="BB14">IF(OR(BB$3="",$AN14=""),"",INDEX(IF($C$2='Data Validation'!$A$2,'Bank Adjustments'!$H$4:$H$103,IF('Adjustment Surface'!$C$2='Data Validation'!$A$3,'Bank Adjustments'!$R$4:$R$103,"Unknown Option Type")),MATCH(1,($AN14=IF($C$2='Data Validation'!$A$2,'Bank Adjustments'!$C$4:$C$103,IF('Adjustment Surface'!$C$2='Data Validation'!$A$3,'Bank Adjustments'!$M$4:$M$103,"Unknown Option Type")))*(BB$3=IF($C$2='Data Validation'!$A$2,'Bank Adjustments'!$E$4:$E$103,IF('Adjustment Surface'!$C$2='Data Validation'!$A$3,'Bank Adjustments'!$O$4:$O$103,"Unknown Option Type"))),0)))</f>
        <v/>
      </c>
      <c r="BC14" s="181" t="str" cm="1">
        <f t="array" ref="BC14">IF(OR(BC$3="",$AN14=""),"",INDEX(IF($C$2='Data Validation'!$A$2,'Bank Adjustments'!$H$4:$H$103,IF('Adjustment Surface'!$C$2='Data Validation'!$A$3,'Bank Adjustments'!$R$4:$R$103,"Unknown Option Type")),MATCH(1,($AN14=IF($C$2='Data Validation'!$A$2,'Bank Adjustments'!$C$4:$C$103,IF('Adjustment Surface'!$C$2='Data Validation'!$A$3,'Bank Adjustments'!$M$4:$M$103,"Unknown Option Type")))*(BC$3=IF($C$2='Data Validation'!$A$2,'Bank Adjustments'!$E$4:$E$103,IF('Adjustment Surface'!$C$2='Data Validation'!$A$3,'Bank Adjustments'!$O$4:$O$103,"Unknown Option Type"))),0)))</f>
        <v/>
      </c>
      <c r="BD14" s="181" t="str" cm="1">
        <f t="array" ref="BD14">IF(OR(BD$3="",$AN14=""),"",INDEX(IF($C$2='Data Validation'!$A$2,'Bank Adjustments'!$H$4:$H$103,IF('Adjustment Surface'!$C$2='Data Validation'!$A$3,'Bank Adjustments'!$R$4:$R$103,"Unknown Option Type")),MATCH(1,($AN14=IF($C$2='Data Validation'!$A$2,'Bank Adjustments'!$C$4:$C$103,IF('Adjustment Surface'!$C$2='Data Validation'!$A$3,'Bank Adjustments'!$M$4:$M$103,"Unknown Option Type")))*(BD$3=IF($C$2='Data Validation'!$A$2,'Bank Adjustments'!$E$4:$E$103,IF('Adjustment Surface'!$C$2='Data Validation'!$A$3,'Bank Adjustments'!$O$4:$O$103,"Unknown Option Type"))),0)))</f>
        <v/>
      </c>
      <c r="BE14" s="181" t="str" cm="1">
        <f t="array" ref="BE14">IF(OR(BE$3="",$AN14=""),"",INDEX(IF($C$2='Data Validation'!$A$2,'Bank Adjustments'!$H$4:$H$103,IF('Adjustment Surface'!$C$2='Data Validation'!$A$3,'Bank Adjustments'!$R$4:$R$103,"Unknown Option Type")),MATCH(1,($AN14=IF($C$2='Data Validation'!$A$2,'Bank Adjustments'!$C$4:$C$103,IF('Adjustment Surface'!$C$2='Data Validation'!$A$3,'Bank Adjustments'!$M$4:$M$103,"Unknown Option Type")))*(BE$3=IF($C$2='Data Validation'!$A$2,'Bank Adjustments'!$E$4:$E$103,IF('Adjustment Surface'!$C$2='Data Validation'!$A$3,'Bank Adjustments'!$O$4:$O$103,"Unknown Option Type"))),0)))</f>
        <v/>
      </c>
      <c r="BF14" s="181" t="str" cm="1">
        <f t="array" ref="BF14">IF(OR(BF$3="",$AN14=""),"",INDEX(IF($C$2='Data Validation'!$A$2,'Bank Adjustments'!$H$4:$H$103,IF('Adjustment Surface'!$C$2='Data Validation'!$A$3,'Bank Adjustments'!$R$4:$R$103,"Unknown Option Type")),MATCH(1,($AN14=IF($C$2='Data Validation'!$A$2,'Bank Adjustments'!$C$4:$C$103,IF('Adjustment Surface'!$C$2='Data Validation'!$A$3,'Bank Adjustments'!$M$4:$M$103,"Unknown Option Type")))*(BF$3=IF($C$2='Data Validation'!$A$2,'Bank Adjustments'!$E$4:$E$103,IF('Adjustment Surface'!$C$2='Data Validation'!$A$3,'Bank Adjustments'!$O$4:$O$103,"Unknown Option Type"))),0)))</f>
        <v/>
      </c>
      <c r="BG14" s="181" t="str" cm="1">
        <f t="array" ref="BG14">IF(OR(BG$3="",$AN14=""),"",INDEX(IF($C$2='Data Validation'!$A$2,'Bank Adjustments'!$H$4:$H$103,IF('Adjustment Surface'!$C$2='Data Validation'!$A$3,'Bank Adjustments'!$R$4:$R$103,"Unknown Option Type")),MATCH(1,($AN14=IF($C$2='Data Validation'!$A$2,'Bank Adjustments'!$C$4:$C$103,IF('Adjustment Surface'!$C$2='Data Validation'!$A$3,'Bank Adjustments'!$M$4:$M$103,"Unknown Option Type")))*(BG$3=IF($C$2='Data Validation'!$A$2,'Bank Adjustments'!$E$4:$E$103,IF('Adjustment Surface'!$C$2='Data Validation'!$A$3,'Bank Adjustments'!$O$4:$O$103,"Unknown Option Type"))),0)))</f>
        <v/>
      </c>
      <c r="BH14" s="182" t="str" cm="1">
        <f t="array" ref="BH14">IF(OR(BH$3="",$AN14=""),"",INDEX(IF($C$2='Data Validation'!$A$2,'Bank Adjustments'!$H$4:$H$103,IF('Adjustment Surface'!$C$2='Data Validation'!$A$3,'Bank Adjustments'!$R$4:$R$103,"Unknown Option Type")),MATCH(1,($AN14=IF($C$2='Data Validation'!$A$2,'Bank Adjustments'!$C$4:$C$103,IF('Adjustment Surface'!$C$2='Data Validation'!$A$3,'Bank Adjustments'!$M$4:$M$103,"Unknown Option Type")))*(BH$3=IF($C$2='Data Validation'!$A$2,'Bank Adjustments'!$E$4:$E$103,IF('Adjustment Surface'!$C$2='Data Validation'!$A$3,'Bank Adjustments'!$O$4:$O$103,"Unknown Option Type"))),0)))</f>
        <v/>
      </c>
    </row>
    <row r="15" spans="2:61" x14ac:dyDescent="0.25">
      <c r="B15" s="81">
        <f>IF('Control Panel'!$C$3='Data Validation'!$J$2,#REF!,'Cap and Floor Pricer'!G18)</f>
        <v>0.03</v>
      </c>
      <c r="C15" s="14">
        <f>'Bachelier Model'!C4</f>
        <v>124523.8354512543</v>
      </c>
      <c r="D15" s="14">
        <f>'Bachelier Model'!D4</f>
        <v>242922.48032299263</v>
      </c>
      <c r="E15" s="14">
        <f>'Bachelier Model'!E4</f>
        <v>410813.68929045857</v>
      </c>
      <c r="F15" s="14">
        <f>'Bachelier Model'!F4</f>
        <v>615786.65952512412</v>
      </c>
      <c r="H15" s="171"/>
      <c r="I15" s="61" t="str">
        <f t="shared" si="1"/>
        <v/>
      </c>
      <c r="J15" s="212" t="str">
        <f t="shared" si="1"/>
        <v/>
      </c>
      <c r="K15" s="212" t="str">
        <f t="shared" si="1"/>
        <v/>
      </c>
      <c r="L15" s="212" t="str">
        <f t="shared" si="1"/>
        <v/>
      </c>
      <c r="M15" s="63" t="str">
        <f t="shared" si="1"/>
        <v/>
      </c>
      <c r="O15" s="176"/>
      <c r="P15" s="180" t="str" cm="1">
        <f t="array" ref="P15">IF(OR(P$3="",$O15=""),"",1/((INDEX('Adjustment Surface'!$AN$4:$AN$23,MATCH(('Adjustment Surface'!$O15),'Adjustment Surface'!$AN$4:$AN$23,1)+IF('Adjustment Surface'!$O16="",-1,1))-INDEX('Adjustment Surface'!$AN$4:$AN$23,MATCH(('Adjustment Surface'!$O15),'Adjustment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Surface'!$O15),'Adjustment Surface'!$AN$4:$AN$23,1)),$AN$4:$AN$23,0),MATCH(INDEX('Adjustment Surface'!$AO$3:$BH$3,1,MATCH(('Adjustment Surface'!P$3),'Adjustment Surface'!$AO$3:$BH$3,1)),$AO$3:$BH$3,0))*(INDEX('Adjustment Surface'!$AN$4:$AN$23,MATCH(('Adjustment Surface'!$O15),'Adjustment Surface'!$AN$4:$AN$23,1)+IF('Adjustment Surface'!$O16="",-1,1))-'Adjustment Surface'!$O15)*(INDEX('Adjustment Surface'!$AO$3:$BH$3,1,MATCH(('Adjustment Surface'!P$3),'Adjustment Surface'!$AO$3:$BH$3,1)+IF('Adjustment Surface'!Q$3="",-1,1))-'Adjustment Surface'!P$3)+INDEX($AO$4:$BH$23,MATCH(INDEX('Adjustment Surface'!$AN$4:$AN$23,MATCH(('Adjustment Surface'!$O15),'Adjustment Surface'!$AN$4:$AN$23,1)+IF('Adjustment Surface'!$O16="",-1,1)),$AN$4:$AN$23,0),MATCH(INDEX('Adjustment Surface'!$AO$3:$BH$3,1,MATCH(('Adjustment Surface'!P$3),'Adjustment Surface'!$AO$3:$BH$3,1)),$AO$3:$BH$3,0))*('Adjustment Surface'!$O15-INDEX('Adjustment Surface'!$AN$4:$AN$23,MATCH(('Adjustment Surface'!$O15),'Adjustment Surface'!$AN$4:$AN$23,1)))*(INDEX('Adjustment Surface'!$AO$3:$BH$3,1,MATCH(('Adjustment Surface'!P$3),'Adjustment Surface'!$AO$3:$BH$3,1)+IF('Adjustment Surface'!Q$3="",-1,1))-'Adjustment Surface'!P$3)+INDEX($AO$4:$BH$23,MATCH(INDEX('Adjustment Surface'!$AN$4:$AN$23,MATCH(('Adjustment Surface'!$O15),'Adjustment Surface'!$AN$4:$AN$23,1)),$AN$4:$AN$23,0),MATCH(INDEX('Adjustment Surface'!$AO$3:$BH$3,1,MATCH(('Adjustment Surface'!P$3),'Adjustment Surface'!$AO$3:$BH$3,1)+IF('Adjustment Surface'!Q$3="",-1,1)),$AO$3:$BH$3,0))*(INDEX('Adjustment Surface'!$AN$4:$AN$23,MATCH(('Adjustment Surface'!$O15),'Adjustment Surface'!$AN$4:$AN$23,1)+IF('Adjustment Surface'!$O16="",-1,1))-'Adjustment Surface'!$O15)*('Adjustment Surface'!P$3-INDEX('Adjustment Surface'!$AO$3:$BH$3,1,MATCH(('Adjustment Surface'!P$3),'Adjustment Surface'!$AO$3:$BH$3,1)))+INDEX($AO$4:$BH$23,MATCH(INDEX('Adjustment Surface'!$AN$4:$AN$23,MATCH(('Adjustment Surface'!$O15),'Adjustment Surface'!$AN$4:$AN$23,1)+IF('Adjustment Surface'!$O16="",-1,1)),$AN$4:$AN$23,0),MATCH(INDEX('Adjustment Surface'!$AO$3:$BH$3,1,MATCH(('Adjustment Surface'!P$3),'Adjustment Surface'!$AO$3:$BH$3,1)+IF('Adjustment Surface'!Q$3="",-1,1)),$AO$3:$BH$3,0))*('Adjustment Surface'!$O15-INDEX('Adjustment Surface'!$AN$4:$AN$23,MATCH(('Adjustment Surface'!$O15),'Adjustment Surface'!$AN$4:$AN$23,1)))*('Adjustment Surface'!P$3-INDEX('Adjustment Surface'!$AO$3:$BH$3,1,MATCH(('Adjustment Surface'!P$3),'Adjustment Surface'!$AO$3:$BH$3,1)))))</f>
        <v/>
      </c>
      <c r="Q15" s="181" t="str" cm="1">
        <f t="array" ref="Q15">IF(OR(Q$3="",$O15=""),"",1/((INDEX('Adjustment Surface'!$AN$4:$AN$23,MATCH(('Adjustment Surface'!$O15),'Adjustment Surface'!$AN$4:$AN$23,1)+IF('Adjustment Surface'!$O16="",-1,1))-INDEX('Adjustment Surface'!$AN$4:$AN$23,MATCH(('Adjustment Surface'!$O15),'Adjustment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Surface'!$O15),'Adjustment Surface'!$AN$4:$AN$23,1)),$AN$4:$AN$23,0),MATCH(INDEX('Adjustment Surface'!$AO$3:$BH$3,1,MATCH(('Adjustment Surface'!Q$3),'Adjustment Surface'!$AO$3:$BH$3,1)),$AO$3:$BH$3,0))*(INDEX('Adjustment Surface'!$AN$4:$AN$23,MATCH(('Adjustment Surface'!$O15),'Adjustment Surface'!$AN$4:$AN$23,1)+IF('Adjustment Surface'!$O16="",-1,1))-'Adjustment Surface'!$O15)*(INDEX('Adjustment Surface'!$AO$3:$BH$3,1,MATCH(('Adjustment Surface'!Q$3),'Adjustment Surface'!$AO$3:$BH$3,1)+IF('Adjustment Surface'!R$3="",-1,1))-'Adjustment Surface'!Q$3)+INDEX($AO$4:$BH$23,MATCH(INDEX('Adjustment Surface'!$AN$4:$AN$23,MATCH(('Adjustment Surface'!$O15),'Adjustment Surface'!$AN$4:$AN$23,1)+IF('Adjustment Surface'!$O16="",-1,1)),$AN$4:$AN$23,0),MATCH(INDEX('Adjustment Surface'!$AO$3:$BH$3,1,MATCH(('Adjustment Surface'!Q$3),'Adjustment Surface'!$AO$3:$BH$3,1)),$AO$3:$BH$3,0))*('Adjustment Surface'!$O15-INDEX('Adjustment Surface'!$AN$4:$AN$23,MATCH(('Adjustment Surface'!$O15),'Adjustment Surface'!$AN$4:$AN$23,1)))*(INDEX('Adjustment Surface'!$AO$3:$BH$3,1,MATCH(('Adjustment Surface'!Q$3),'Adjustment Surface'!$AO$3:$BH$3,1)+IF('Adjustment Surface'!R$3="",-1,1))-'Adjustment Surface'!Q$3)+INDEX($AO$4:$BH$23,MATCH(INDEX('Adjustment Surface'!$AN$4:$AN$23,MATCH(('Adjustment Surface'!$O15),'Adjustment Surface'!$AN$4:$AN$23,1)),$AN$4:$AN$23,0),MATCH(INDEX('Adjustment Surface'!$AO$3:$BH$3,1,MATCH(('Adjustment Surface'!Q$3),'Adjustment Surface'!$AO$3:$BH$3,1)+IF('Adjustment Surface'!R$3="",-1,1)),$AO$3:$BH$3,0))*(INDEX('Adjustment Surface'!$AN$4:$AN$23,MATCH(('Adjustment Surface'!$O15),'Adjustment Surface'!$AN$4:$AN$23,1)+IF('Adjustment Surface'!$O16="",-1,1))-'Adjustment Surface'!$O15)*('Adjustment Surface'!Q$3-INDEX('Adjustment Surface'!$AO$3:$BH$3,1,MATCH(('Adjustment Surface'!Q$3),'Adjustment Surface'!$AO$3:$BH$3,1)))+INDEX($AO$4:$BH$23,MATCH(INDEX('Adjustment Surface'!$AN$4:$AN$23,MATCH(('Adjustment Surface'!$O15),'Adjustment Surface'!$AN$4:$AN$23,1)+IF('Adjustment Surface'!$O16="",-1,1)),$AN$4:$AN$23,0),MATCH(INDEX('Adjustment Surface'!$AO$3:$BH$3,1,MATCH(('Adjustment Surface'!Q$3),'Adjustment Surface'!$AO$3:$BH$3,1)+IF('Adjustment Surface'!R$3="",-1,1)),$AO$3:$BH$3,0))*('Adjustment Surface'!$O15-INDEX('Adjustment Surface'!$AN$4:$AN$23,MATCH(('Adjustment Surface'!$O15),'Adjustment Surface'!$AN$4:$AN$23,1)))*('Adjustment Surface'!Q$3-INDEX('Adjustment Surface'!$AO$3:$BH$3,1,MATCH(('Adjustment Surface'!Q$3),'Adjustment Surface'!$AO$3:$BH$3,1)))))</f>
        <v/>
      </c>
      <c r="R15" s="181" t="str" cm="1">
        <f t="array" ref="R15">IF(OR(R$3="",$O15=""),"",1/((INDEX('Adjustment Surface'!$AN$4:$AN$23,MATCH(('Adjustment Surface'!$O15),'Adjustment Surface'!$AN$4:$AN$23,1)+IF('Adjustment Surface'!$O16="",-1,1))-INDEX('Adjustment Surface'!$AN$4:$AN$23,MATCH(('Adjustment Surface'!$O15),'Adjustment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Surface'!$O15),'Adjustment Surface'!$AN$4:$AN$23,1)),$AN$4:$AN$23,0),MATCH(INDEX('Adjustment Surface'!$AO$3:$BH$3,1,MATCH(('Adjustment Surface'!R$3),'Adjustment Surface'!$AO$3:$BH$3,1)),$AO$3:$BH$3,0))*(INDEX('Adjustment Surface'!$AN$4:$AN$23,MATCH(('Adjustment Surface'!$O15),'Adjustment Surface'!$AN$4:$AN$23,1)+IF('Adjustment Surface'!$O16="",-1,1))-'Adjustment Surface'!$O15)*(INDEX('Adjustment Surface'!$AO$3:$BH$3,1,MATCH(('Adjustment Surface'!R$3),'Adjustment Surface'!$AO$3:$BH$3,1)+IF('Adjustment Surface'!S$3="",-1,1))-'Adjustment Surface'!R$3)+INDEX($AO$4:$BH$23,MATCH(INDEX('Adjustment Surface'!$AN$4:$AN$23,MATCH(('Adjustment Surface'!$O15),'Adjustment Surface'!$AN$4:$AN$23,1)+IF('Adjustment Surface'!$O16="",-1,1)),$AN$4:$AN$23,0),MATCH(INDEX('Adjustment Surface'!$AO$3:$BH$3,1,MATCH(('Adjustment Surface'!R$3),'Adjustment Surface'!$AO$3:$BH$3,1)),$AO$3:$BH$3,0))*('Adjustment Surface'!$O15-INDEX('Adjustment Surface'!$AN$4:$AN$23,MATCH(('Adjustment Surface'!$O15),'Adjustment Surface'!$AN$4:$AN$23,1)))*(INDEX('Adjustment Surface'!$AO$3:$BH$3,1,MATCH(('Adjustment Surface'!R$3),'Adjustment Surface'!$AO$3:$BH$3,1)+IF('Adjustment Surface'!S$3="",-1,1))-'Adjustment Surface'!R$3)+INDEX($AO$4:$BH$23,MATCH(INDEX('Adjustment Surface'!$AN$4:$AN$23,MATCH(('Adjustment Surface'!$O15),'Adjustment Surface'!$AN$4:$AN$23,1)),$AN$4:$AN$23,0),MATCH(INDEX('Adjustment Surface'!$AO$3:$BH$3,1,MATCH(('Adjustment Surface'!R$3),'Adjustment Surface'!$AO$3:$BH$3,1)+IF('Adjustment Surface'!S$3="",-1,1)),$AO$3:$BH$3,0))*(INDEX('Adjustment Surface'!$AN$4:$AN$23,MATCH(('Adjustment Surface'!$O15),'Adjustment Surface'!$AN$4:$AN$23,1)+IF('Adjustment Surface'!$O16="",-1,1))-'Adjustment Surface'!$O15)*('Adjustment Surface'!R$3-INDEX('Adjustment Surface'!$AO$3:$BH$3,1,MATCH(('Adjustment Surface'!R$3),'Adjustment Surface'!$AO$3:$BH$3,1)))+INDEX($AO$4:$BH$23,MATCH(INDEX('Adjustment Surface'!$AN$4:$AN$23,MATCH(('Adjustment Surface'!$O15),'Adjustment Surface'!$AN$4:$AN$23,1)+IF('Adjustment Surface'!$O16="",-1,1)),$AN$4:$AN$23,0),MATCH(INDEX('Adjustment Surface'!$AO$3:$BH$3,1,MATCH(('Adjustment Surface'!R$3),'Adjustment Surface'!$AO$3:$BH$3,1)+IF('Adjustment Surface'!S$3="",-1,1)),$AO$3:$BH$3,0))*('Adjustment Surface'!$O15-INDEX('Adjustment Surface'!$AN$4:$AN$23,MATCH(('Adjustment Surface'!$O15),'Adjustment Surface'!$AN$4:$AN$23,1)))*('Adjustment Surface'!R$3-INDEX('Adjustment Surface'!$AO$3:$BH$3,1,MATCH(('Adjustment Surface'!R$3),'Adjustment Surface'!$AO$3:$BH$3,1)))))</f>
        <v/>
      </c>
      <c r="S15" s="181" t="str" cm="1">
        <f t="array" ref="S15">IF(OR(S$3="",$O15=""),"",1/((INDEX('Adjustment Surface'!$AN$4:$AN$23,MATCH(('Adjustment Surface'!$O15),'Adjustment Surface'!$AN$4:$AN$23,1)+IF('Adjustment Surface'!$O16="",-1,1))-INDEX('Adjustment Surface'!$AN$4:$AN$23,MATCH(('Adjustment Surface'!$O15),'Adjustment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Surface'!$O15),'Adjustment Surface'!$AN$4:$AN$23,1)),$AN$4:$AN$23,0),MATCH(INDEX('Adjustment Surface'!$AO$3:$BH$3,1,MATCH(('Adjustment Surface'!S$3),'Adjustment Surface'!$AO$3:$BH$3,1)),$AO$3:$BH$3,0))*(INDEX('Adjustment Surface'!$AN$4:$AN$23,MATCH(('Adjustment Surface'!$O15),'Adjustment Surface'!$AN$4:$AN$23,1)+IF('Adjustment Surface'!$O16="",-1,1))-'Adjustment Surface'!$O15)*(INDEX('Adjustment Surface'!$AO$3:$BH$3,1,MATCH(('Adjustment Surface'!S$3),'Adjustment Surface'!$AO$3:$BH$3,1)+IF('Adjustment Surface'!T$3="",-1,1))-'Adjustment Surface'!S$3)+INDEX($AO$4:$BH$23,MATCH(INDEX('Adjustment Surface'!$AN$4:$AN$23,MATCH(('Adjustment Surface'!$O15),'Adjustment Surface'!$AN$4:$AN$23,1)+IF('Adjustment Surface'!$O16="",-1,1)),$AN$4:$AN$23,0),MATCH(INDEX('Adjustment Surface'!$AO$3:$BH$3,1,MATCH(('Adjustment Surface'!S$3),'Adjustment Surface'!$AO$3:$BH$3,1)),$AO$3:$BH$3,0))*('Adjustment Surface'!$O15-INDEX('Adjustment Surface'!$AN$4:$AN$23,MATCH(('Adjustment Surface'!$O15),'Adjustment Surface'!$AN$4:$AN$23,1)))*(INDEX('Adjustment Surface'!$AO$3:$BH$3,1,MATCH(('Adjustment Surface'!S$3),'Adjustment Surface'!$AO$3:$BH$3,1)+IF('Adjustment Surface'!T$3="",-1,1))-'Adjustment Surface'!S$3)+INDEX($AO$4:$BH$23,MATCH(INDEX('Adjustment Surface'!$AN$4:$AN$23,MATCH(('Adjustment Surface'!$O15),'Adjustment Surface'!$AN$4:$AN$23,1)),$AN$4:$AN$23,0),MATCH(INDEX('Adjustment Surface'!$AO$3:$BH$3,1,MATCH(('Adjustment Surface'!S$3),'Adjustment Surface'!$AO$3:$BH$3,1)+IF('Adjustment Surface'!T$3="",-1,1)),$AO$3:$BH$3,0))*(INDEX('Adjustment Surface'!$AN$4:$AN$23,MATCH(('Adjustment Surface'!$O15),'Adjustment Surface'!$AN$4:$AN$23,1)+IF('Adjustment Surface'!$O16="",-1,1))-'Adjustment Surface'!$O15)*('Adjustment Surface'!S$3-INDEX('Adjustment Surface'!$AO$3:$BH$3,1,MATCH(('Adjustment Surface'!S$3),'Adjustment Surface'!$AO$3:$BH$3,1)))+INDEX($AO$4:$BH$23,MATCH(INDEX('Adjustment Surface'!$AN$4:$AN$23,MATCH(('Adjustment Surface'!$O15),'Adjustment Surface'!$AN$4:$AN$23,1)+IF('Adjustment Surface'!$O16="",-1,1)),$AN$4:$AN$23,0),MATCH(INDEX('Adjustment Surface'!$AO$3:$BH$3,1,MATCH(('Adjustment Surface'!S$3),'Adjustment Surface'!$AO$3:$BH$3,1)+IF('Adjustment Surface'!T$3="",-1,1)),$AO$3:$BH$3,0))*('Adjustment Surface'!$O15-INDEX('Adjustment Surface'!$AN$4:$AN$23,MATCH(('Adjustment Surface'!$O15),'Adjustment Surface'!$AN$4:$AN$23,1)))*('Adjustment Surface'!S$3-INDEX('Adjustment Surface'!$AO$3:$BH$3,1,MATCH(('Adjustment Surface'!S$3),'Adjustment Surface'!$AO$3:$BH$3,1)))))</f>
        <v/>
      </c>
      <c r="T15" s="181" t="str" cm="1">
        <f t="array" ref="T15">IF(OR(T$3="",$O15=""),"",1/((INDEX('Adjustment Surface'!$AN$4:$AN$23,MATCH(('Adjustment Surface'!$O15),'Adjustment Surface'!$AN$4:$AN$23,1)+IF('Adjustment Surface'!$O16="",-1,1))-INDEX('Adjustment Surface'!$AN$4:$AN$23,MATCH(('Adjustment Surface'!$O15),'Adjustment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Surface'!$O15),'Adjustment Surface'!$AN$4:$AN$23,1)),$AN$4:$AN$23,0),MATCH(INDEX('Adjustment Surface'!$AO$3:$BH$3,1,MATCH(('Adjustment Surface'!T$3),'Adjustment Surface'!$AO$3:$BH$3,1)),$AO$3:$BH$3,0))*(INDEX('Adjustment Surface'!$AN$4:$AN$23,MATCH(('Adjustment Surface'!$O15),'Adjustment Surface'!$AN$4:$AN$23,1)+IF('Adjustment Surface'!$O16="",-1,1))-'Adjustment Surface'!$O15)*(INDEX('Adjustment Surface'!$AO$3:$BH$3,1,MATCH(('Adjustment Surface'!T$3),'Adjustment Surface'!$AO$3:$BH$3,1)+IF('Adjustment Surface'!U$3="",-1,1))-'Adjustment Surface'!T$3)+INDEX($AO$4:$BH$23,MATCH(INDEX('Adjustment Surface'!$AN$4:$AN$23,MATCH(('Adjustment Surface'!$O15),'Adjustment Surface'!$AN$4:$AN$23,1)+IF('Adjustment Surface'!$O16="",-1,1)),$AN$4:$AN$23,0),MATCH(INDEX('Adjustment Surface'!$AO$3:$BH$3,1,MATCH(('Adjustment Surface'!T$3),'Adjustment Surface'!$AO$3:$BH$3,1)),$AO$3:$BH$3,0))*('Adjustment Surface'!$O15-INDEX('Adjustment Surface'!$AN$4:$AN$23,MATCH(('Adjustment Surface'!$O15),'Adjustment Surface'!$AN$4:$AN$23,1)))*(INDEX('Adjustment Surface'!$AO$3:$BH$3,1,MATCH(('Adjustment Surface'!T$3),'Adjustment Surface'!$AO$3:$BH$3,1)+IF('Adjustment Surface'!U$3="",-1,1))-'Adjustment Surface'!T$3)+INDEX($AO$4:$BH$23,MATCH(INDEX('Adjustment Surface'!$AN$4:$AN$23,MATCH(('Adjustment Surface'!$O15),'Adjustment Surface'!$AN$4:$AN$23,1)),$AN$4:$AN$23,0),MATCH(INDEX('Adjustment Surface'!$AO$3:$BH$3,1,MATCH(('Adjustment Surface'!T$3),'Adjustment Surface'!$AO$3:$BH$3,1)+IF('Adjustment Surface'!U$3="",-1,1)),$AO$3:$BH$3,0))*(INDEX('Adjustment Surface'!$AN$4:$AN$23,MATCH(('Adjustment Surface'!$O15),'Adjustment Surface'!$AN$4:$AN$23,1)+IF('Adjustment Surface'!$O16="",-1,1))-'Adjustment Surface'!$O15)*('Adjustment Surface'!T$3-INDEX('Adjustment Surface'!$AO$3:$BH$3,1,MATCH(('Adjustment Surface'!T$3),'Adjustment Surface'!$AO$3:$BH$3,1)))+INDEX($AO$4:$BH$23,MATCH(INDEX('Adjustment Surface'!$AN$4:$AN$23,MATCH(('Adjustment Surface'!$O15),'Adjustment Surface'!$AN$4:$AN$23,1)+IF('Adjustment Surface'!$O16="",-1,1)),$AN$4:$AN$23,0),MATCH(INDEX('Adjustment Surface'!$AO$3:$BH$3,1,MATCH(('Adjustment Surface'!T$3),'Adjustment Surface'!$AO$3:$BH$3,1)+IF('Adjustment Surface'!U$3="",-1,1)),$AO$3:$BH$3,0))*('Adjustment Surface'!$O15-INDEX('Adjustment Surface'!$AN$4:$AN$23,MATCH(('Adjustment Surface'!$O15),'Adjustment Surface'!$AN$4:$AN$23,1)))*('Adjustment Surface'!T$3-INDEX('Adjustment Surface'!$AO$3:$BH$3,1,MATCH(('Adjustment Surface'!T$3),'Adjustment Surface'!$AO$3:$BH$3,1)))))</f>
        <v/>
      </c>
      <c r="U15" s="181" t="str" cm="1">
        <f t="array" ref="U15">IF(OR(U$3="",$O15=""),"",1/((INDEX('Adjustment Surface'!$AN$4:$AN$23,MATCH(('Adjustment Surface'!$O15),'Adjustment Surface'!$AN$4:$AN$23,1)+IF('Adjustment Surface'!$O16="",-1,1))-INDEX('Adjustment Surface'!$AN$4:$AN$23,MATCH(('Adjustment Surface'!$O15),'Adjustment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Surface'!$O15),'Adjustment Surface'!$AN$4:$AN$23,1)),$AN$4:$AN$23,0),MATCH(INDEX('Adjustment Surface'!$AO$3:$BH$3,1,MATCH(('Adjustment Surface'!U$3),'Adjustment Surface'!$AO$3:$BH$3,1)),$AO$3:$BH$3,0))*(INDEX('Adjustment Surface'!$AN$4:$AN$23,MATCH(('Adjustment Surface'!$O15),'Adjustment Surface'!$AN$4:$AN$23,1)+IF('Adjustment Surface'!$O16="",-1,1))-'Adjustment Surface'!$O15)*(INDEX('Adjustment Surface'!$AO$3:$BH$3,1,MATCH(('Adjustment Surface'!U$3),'Adjustment Surface'!$AO$3:$BH$3,1)+IF('Adjustment Surface'!V$3="",-1,1))-'Adjustment Surface'!U$3)+INDEX($AO$4:$BH$23,MATCH(INDEX('Adjustment Surface'!$AN$4:$AN$23,MATCH(('Adjustment Surface'!$O15),'Adjustment Surface'!$AN$4:$AN$23,1)+IF('Adjustment Surface'!$O16="",-1,1)),$AN$4:$AN$23,0),MATCH(INDEX('Adjustment Surface'!$AO$3:$BH$3,1,MATCH(('Adjustment Surface'!U$3),'Adjustment Surface'!$AO$3:$BH$3,1)),$AO$3:$BH$3,0))*('Adjustment Surface'!$O15-INDEX('Adjustment Surface'!$AN$4:$AN$23,MATCH(('Adjustment Surface'!$O15),'Adjustment Surface'!$AN$4:$AN$23,1)))*(INDEX('Adjustment Surface'!$AO$3:$BH$3,1,MATCH(('Adjustment Surface'!U$3),'Adjustment Surface'!$AO$3:$BH$3,1)+IF('Adjustment Surface'!V$3="",-1,1))-'Adjustment Surface'!U$3)+INDEX($AO$4:$BH$23,MATCH(INDEX('Adjustment Surface'!$AN$4:$AN$23,MATCH(('Adjustment Surface'!$O15),'Adjustment Surface'!$AN$4:$AN$23,1)),$AN$4:$AN$23,0),MATCH(INDEX('Adjustment Surface'!$AO$3:$BH$3,1,MATCH(('Adjustment Surface'!U$3),'Adjustment Surface'!$AO$3:$BH$3,1)+IF('Adjustment Surface'!V$3="",-1,1)),$AO$3:$BH$3,0))*(INDEX('Adjustment Surface'!$AN$4:$AN$23,MATCH(('Adjustment Surface'!$O15),'Adjustment Surface'!$AN$4:$AN$23,1)+IF('Adjustment Surface'!$O16="",-1,1))-'Adjustment Surface'!$O15)*('Adjustment Surface'!U$3-INDEX('Adjustment Surface'!$AO$3:$BH$3,1,MATCH(('Adjustment Surface'!U$3),'Adjustment Surface'!$AO$3:$BH$3,1)))+INDEX($AO$4:$BH$23,MATCH(INDEX('Adjustment Surface'!$AN$4:$AN$23,MATCH(('Adjustment Surface'!$O15),'Adjustment Surface'!$AN$4:$AN$23,1)+IF('Adjustment Surface'!$O16="",-1,1)),$AN$4:$AN$23,0),MATCH(INDEX('Adjustment Surface'!$AO$3:$BH$3,1,MATCH(('Adjustment Surface'!U$3),'Adjustment Surface'!$AO$3:$BH$3,1)+IF('Adjustment Surface'!V$3="",-1,1)),$AO$3:$BH$3,0))*('Adjustment Surface'!$O15-INDEX('Adjustment Surface'!$AN$4:$AN$23,MATCH(('Adjustment Surface'!$O15),'Adjustment Surface'!$AN$4:$AN$23,1)))*('Adjustment Surface'!U$3-INDEX('Adjustment Surface'!$AO$3:$BH$3,1,MATCH(('Adjustment Surface'!U$3),'Adjustment Surface'!$AO$3:$BH$3,1)))))</f>
        <v/>
      </c>
      <c r="V15" s="181" t="str" cm="1">
        <f t="array" ref="V15">IF(OR(V$3="",$O15=""),"",1/((INDEX('Adjustment Surface'!$AN$4:$AN$23,MATCH(('Adjustment Surface'!$O15),'Adjustment Surface'!$AN$4:$AN$23,1)+IF('Adjustment Surface'!$O16="",-1,1))-INDEX('Adjustment Surface'!$AN$4:$AN$23,MATCH(('Adjustment Surface'!$O15),'Adjustment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Surface'!$O15),'Adjustment Surface'!$AN$4:$AN$23,1)),$AN$4:$AN$23,0),MATCH(INDEX('Adjustment Surface'!$AO$3:$BH$3,1,MATCH(('Adjustment Surface'!V$3),'Adjustment Surface'!$AO$3:$BH$3,1)),$AO$3:$BH$3,0))*(INDEX('Adjustment Surface'!$AN$4:$AN$23,MATCH(('Adjustment Surface'!$O15),'Adjustment Surface'!$AN$4:$AN$23,1)+IF('Adjustment Surface'!$O16="",-1,1))-'Adjustment Surface'!$O15)*(INDEX('Adjustment Surface'!$AO$3:$BH$3,1,MATCH(('Adjustment Surface'!V$3),'Adjustment Surface'!$AO$3:$BH$3,1)+IF('Adjustment Surface'!W$3="",-1,1))-'Adjustment Surface'!V$3)+INDEX($AO$4:$BH$23,MATCH(INDEX('Adjustment Surface'!$AN$4:$AN$23,MATCH(('Adjustment Surface'!$O15),'Adjustment Surface'!$AN$4:$AN$23,1)+IF('Adjustment Surface'!$O16="",-1,1)),$AN$4:$AN$23,0),MATCH(INDEX('Adjustment Surface'!$AO$3:$BH$3,1,MATCH(('Adjustment Surface'!V$3),'Adjustment Surface'!$AO$3:$BH$3,1)),$AO$3:$BH$3,0))*('Adjustment Surface'!$O15-INDEX('Adjustment Surface'!$AN$4:$AN$23,MATCH(('Adjustment Surface'!$O15),'Adjustment Surface'!$AN$4:$AN$23,1)))*(INDEX('Adjustment Surface'!$AO$3:$BH$3,1,MATCH(('Adjustment Surface'!V$3),'Adjustment Surface'!$AO$3:$BH$3,1)+IF('Adjustment Surface'!W$3="",-1,1))-'Adjustment Surface'!V$3)+INDEX($AO$4:$BH$23,MATCH(INDEX('Adjustment Surface'!$AN$4:$AN$23,MATCH(('Adjustment Surface'!$O15),'Adjustment Surface'!$AN$4:$AN$23,1)),$AN$4:$AN$23,0),MATCH(INDEX('Adjustment Surface'!$AO$3:$BH$3,1,MATCH(('Adjustment Surface'!V$3),'Adjustment Surface'!$AO$3:$BH$3,1)+IF('Adjustment Surface'!W$3="",-1,1)),$AO$3:$BH$3,0))*(INDEX('Adjustment Surface'!$AN$4:$AN$23,MATCH(('Adjustment Surface'!$O15),'Adjustment Surface'!$AN$4:$AN$23,1)+IF('Adjustment Surface'!$O16="",-1,1))-'Adjustment Surface'!$O15)*('Adjustment Surface'!V$3-INDEX('Adjustment Surface'!$AO$3:$BH$3,1,MATCH(('Adjustment Surface'!V$3),'Adjustment Surface'!$AO$3:$BH$3,1)))+INDEX($AO$4:$BH$23,MATCH(INDEX('Adjustment Surface'!$AN$4:$AN$23,MATCH(('Adjustment Surface'!$O15),'Adjustment Surface'!$AN$4:$AN$23,1)+IF('Adjustment Surface'!$O16="",-1,1)),$AN$4:$AN$23,0),MATCH(INDEX('Adjustment Surface'!$AO$3:$BH$3,1,MATCH(('Adjustment Surface'!V$3),'Adjustment Surface'!$AO$3:$BH$3,1)+IF('Adjustment Surface'!W$3="",-1,1)),$AO$3:$BH$3,0))*('Adjustment Surface'!$O15-INDEX('Adjustment Surface'!$AN$4:$AN$23,MATCH(('Adjustment Surface'!$O15),'Adjustment Surface'!$AN$4:$AN$23,1)))*('Adjustment Surface'!V$3-INDEX('Adjustment Surface'!$AO$3:$BH$3,1,MATCH(('Adjustment Surface'!V$3),'Adjustment Surface'!$AO$3:$BH$3,1)))))</f>
        <v/>
      </c>
      <c r="W15" s="181" t="str" cm="1">
        <f t="array" ref="W15">IF(OR(W$3="",$O15=""),"",1/((INDEX('Adjustment Surface'!$AN$4:$AN$23,MATCH(('Adjustment Surface'!$O15),'Adjustment Surface'!$AN$4:$AN$23,1)+IF('Adjustment Surface'!$O16="",-1,1))-INDEX('Adjustment Surface'!$AN$4:$AN$23,MATCH(('Adjustment Surface'!$O15),'Adjustment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Surface'!$O15),'Adjustment Surface'!$AN$4:$AN$23,1)),$AN$4:$AN$23,0),MATCH(INDEX('Adjustment Surface'!$AO$3:$BH$3,1,MATCH(('Adjustment Surface'!W$3),'Adjustment Surface'!$AO$3:$BH$3,1)),$AO$3:$BH$3,0))*(INDEX('Adjustment Surface'!$AN$4:$AN$23,MATCH(('Adjustment Surface'!$O15),'Adjustment Surface'!$AN$4:$AN$23,1)+IF('Adjustment Surface'!$O16="",-1,1))-'Adjustment Surface'!$O15)*(INDEX('Adjustment Surface'!$AO$3:$BH$3,1,MATCH(('Adjustment Surface'!W$3),'Adjustment Surface'!$AO$3:$BH$3,1)+IF('Adjustment Surface'!X$3="",-1,1))-'Adjustment Surface'!W$3)+INDEX($AO$4:$BH$23,MATCH(INDEX('Adjustment Surface'!$AN$4:$AN$23,MATCH(('Adjustment Surface'!$O15),'Adjustment Surface'!$AN$4:$AN$23,1)+IF('Adjustment Surface'!$O16="",-1,1)),$AN$4:$AN$23,0),MATCH(INDEX('Adjustment Surface'!$AO$3:$BH$3,1,MATCH(('Adjustment Surface'!W$3),'Adjustment Surface'!$AO$3:$BH$3,1)),$AO$3:$BH$3,0))*('Adjustment Surface'!$O15-INDEX('Adjustment Surface'!$AN$4:$AN$23,MATCH(('Adjustment Surface'!$O15),'Adjustment Surface'!$AN$4:$AN$23,1)))*(INDEX('Adjustment Surface'!$AO$3:$BH$3,1,MATCH(('Adjustment Surface'!W$3),'Adjustment Surface'!$AO$3:$BH$3,1)+IF('Adjustment Surface'!X$3="",-1,1))-'Adjustment Surface'!W$3)+INDEX($AO$4:$BH$23,MATCH(INDEX('Adjustment Surface'!$AN$4:$AN$23,MATCH(('Adjustment Surface'!$O15),'Adjustment Surface'!$AN$4:$AN$23,1)),$AN$4:$AN$23,0),MATCH(INDEX('Adjustment Surface'!$AO$3:$BH$3,1,MATCH(('Adjustment Surface'!W$3),'Adjustment Surface'!$AO$3:$BH$3,1)+IF('Adjustment Surface'!X$3="",-1,1)),$AO$3:$BH$3,0))*(INDEX('Adjustment Surface'!$AN$4:$AN$23,MATCH(('Adjustment Surface'!$O15),'Adjustment Surface'!$AN$4:$AN$23,1)+IF('Adjustment Surface'!$O16="",-1,1))-'Adjustment Surface'!$O15)*('Adjustment Surface'!W$3-INDEX('Adjustment Surface'!$AO$3:$BH$3,1,MATCH(('Adjustment Surface'!W$3),'Adjustment Surface'!$AO$3:$BH$3,1)))+INDEX($AO$4:$BH$23,MATCH(INDEX('Adjustment Surface'!$AN$4:$AN$23,MATCH(('Adjustment Surface'!$O15),'Adjustment Surface'!$AN$4:$AN$23,1)+IF('Adjustment Surface'!$O16="",-1,1)),$AN$4:$AN$23,0),MATCH(INDEX('Adjustment Surface'!$AO$3:$BH$3,1,MATCH(('Adjustment Surface'!W$3),'Adjustment Surface'!$AO$3:$BH$3,1)+IF('Adjustment Surface'!X$3="",-1,1)),$AO$3:$BH$3,0))*('Adjustment Surface'!$O15-INDEX('Adjustment Surface'!$AN$4:$AN$23,MATCH(('Adjustment Surface'!$O15),'Adjustment Surface'!$AN$4:$AN$23,1)))*('Adjustment Surface'!W$3-INDEX('Adjustment Surface'!$AO$3:$BH$3,1,MATCH(('Adjustment Surface'!W$3),'Adjustment Surface'!$AO$3:$BH$3,1)))))</f>
        <v/>
      </c>
      <c r="X15" s="181" t="str" cm="1">
        <f t="array" ref="X15">IF(OR(X$3="",$O15=""),"",1/((INDEX('Adjustment Surface'!$AN$4:$AN$23,MATCH(('Adjustment Surface'!$O15),'Adjustment Surface'!$AN$4:$AN$23,1)+IF('Adjustment Surface'!$O16="",-1,1))-INDEX('Adjustment Surface'!$AN$4:$AN$23,MATCH(('Adjustment Surface'!$O15),'Adjustment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Surface'!$O15),'Adjustment Surface'!$AN$4:$AN$23,1)),$AN$4:$AN$23,0),MATCH(INDEX('Adjustment Surface'!$AO$3:$BH$3,1,MATCH(('Adjustment Surface'!X$3),'Adjustment Surface'!$AO$3:$BH$3,1)),$AO$3:$BH$3,0))*(INDEX('Adjustment Surface'!$AN$4:$AN$23,MATCH(('Adjustment Surface'!$O15),'Adjustment Surface'!$AN$4:$AN$23,1)+IF('Adjustment Surface'!$O16="",-1,1))-'Adjustment Surface'!$O15)*(INDEX('Adjustment Surface'!$AO$3:$BH$3,1,MATCH(('Adjustment Surface'!X$3),'Adjustment Surface'!$AO$3:$BH$3,1)+IF('Adjustment Surface'!Y$3="",-1,1))-'Adjustment Surface'!X$3)+INDEX($AO$4:$BH$23,MATCH(INDEX('Adjustment Surface'!$AN$4:$AN$23,MATCH(('Adjustment Surface'!$O15),'Adjustment Surface'!$AN$4:$AN$23,1)+IF('Adjustment Surface'!$O16="",-1,1)),$AN$4:$AN$23,0),MATCH(INDEX('Adjustment Surface'!$AO$3:$BH$3,1,MATCH(('Adjustment Surface'!X$3),'Adjustment Surface'!$AO$3:$BH$3,1)),$AO$3:$BH$3,0))*('Adjustment Surface'!$O15-INDEX('Adjustment Surface'!$AN$4:$AN$23,MATCH(('Adjustment Surface'!$O15),'Adjustment Surface'!$AN$4:$AN$23,1)))*(INDEX('Adjustment Surface'!$AO$3:$BH$3,1,MATCH(('Adjustment Surface'!X$3),'Adjustment Surface'!$AO$3:$BH$3,1)+IF('Adjustment Surface'!Y$3="",-1,1))-'Adjustment Surface'!X$3)+INDEX($AO$4:$BH$23,MATCH(INDEX('Adjustment Surface'!$AN$4:$AN$23,MATCH(('Adjustment Surface'!$O15),'Adjustment Surface'!$AN$4:$AN$23,1)),$AN$4:$AN$23,0),MATCH(INDEX('Adjustment Surface'!$AO$3:$BH$3,1,MATCH(('Adjustment Surface'!X$3),'Adjustment Surface'!$AO$3:$BH$3,1)+IF('Adjustment Surface'!Y$3="",-1,1)),$AO$3:$BH$3,0))*(INDEX('Adjustment Surface'!$AN$4:$AN$23,MATCH(('Adjustment Surface'!$O15),'Adjustment Surface'!$AN$4:$AN$23,1)+IF('Adjustment Surface'!$O16="",-1,1))-'Adjustment Surface'!$O15)*('Adjustment Surface'!X$3-INDEX('Adjustment Surface'!$AO$3:$BH$3,1,MATCH(('Adjustment Surface'!X$3),'Adjustment Surface'!$AO$3:$BH$3,1)))+INDEX($AO$4:$BH$23,MATCH(INDEX('Adjustment Surface'!$AN$4:$AN$23,MATCH(('Adjustment Surface'!$O15),'Adjustment Surface'!$AN$4:$AN$23,1)+IF('Adjustment Surface'!$O16="",-1,1)),$AN$4:$AN$23,0),MATCH(INDEX('Adjustment Surface'!$AO$3:$BH$3,1,MATCH(('Adjustment Surface'!X$3),'Adjustment Surface'!$AO$3:$BH$3,1)+IF('Adjustment Surface'!Y$3="",-1,1)),$AO$3:$BH$3,0))*('Adjustment Surface'!$O15-INDEX('Adjustment Surface'!$AN$4:$AN$23,MATCH(('Adjustment Surface'!$O15),'Adjustment Surface'!$AN$4:$AN$23,1)))*('Adjustment Surface'!X$3-INDEX('Adjustment Surface'!$AO$3:$BH$3,1,MATCH(('Adjustment Surface'!X$3),'Adjustment Surface'!$AO$3:$BH$3,1)))))</f>
        <v/>
      </c>
      <c r="Y15" s="181" t="str" cm="1">
        <f t="array" ref="Y15">IF(OR(Y$3="",$O15=""),"",1/((INDEX('Adjustment Surface'!$AN$4:$AN$23,MATCH(('Adjustment Surface'!$O15),'Adjustment Surface'!$AN$4:$AN$23,1)+IF('Adjustment Surface'!$O16="",-1,1))-INDEX('Adjustment Surface'!$AN$4:$AN$23,MATCH(('Adjustment Surface'!$O15),'Adjustment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Surface'!$O15),'Adjustment Surface'!$AN$4:$AN$23,1)),$AN$4:$AN$23,0),MATCH(INDEX('Adjustment Surface'!$AO$3:$BH$3,1,MATCH(('Adjustment Surface'!Y$3),'Adjustment Surface'!$AO$3:$BH$3,1)),$AO$3:$BH$3,0))*(INDEX('Adjustment Surface'!$AN$4:$AN$23,MATCH(('Adjustment Surface'!$O15),'Adjustment Surface'!$AN$4:$AN$23,1)+IF('Adjustment Surface'!$O16="",-1,1))-'Adjustment Surface'!$O15)*(INDEX('Adjustment Surface'!$AO$3:$BH$3,1,MATCH(('Adjustment Surface'!Y$3),'Adjustment Surface'!$AO$3:$BH$3,1)+IF('Adjustment Surface'!Z$3="",-1,1))-'Adjustment Surface'!Y$3)+INDEX($AO$4:$BH$23,MATCH(INDEX('Adjustment Surface'!$AN$4:$AN$23,MATCH(('Adjustment Surface'!$O15),'Adjustment Surface'!$AN$4:$AN$23,1)+IF('Adjustment Surface'!$O16="",-1,1)),$AN$4:$AN$23,0),MATCH(INDEX('Adjustment Surface'!$AO$3:$BH$3,1,MATCH(('Adjustment Surface'!Y$3),'Adjustment Surface'!$AO$3:$BH$3,1)),$AO$3:$BH$3,0))*('Adjustment Surface'!$O15-INDEX('Adjustment Surface'!$AN$4:$AN$23,MATCH(('Adjustment Surface'!$O15),'Adjustment Surface'!$AN$4:$AN$23,1)))*(INDEX('Adjustment Surface'!$AO$3:$BH$3,1,MATCH(('Adjustment Surface'!Y$3),'Adjustment Surface'!$AO$3:$BH$3,1)+IF('Adjustment Surface'!Z$3="",-1,1))-'Adjustment Surface'!Y$3)+INDEX($AO$4:$BH$23,MATCH(INDEX('Adjustment Surface'!$AN$4:$AN$23,MATCH(('Adjustment Surface'!$O15),'Adjustment Surface'!$AN$4:$AN$23,1)),$AN$4:$AN$23,0),MATCH(INDEX('Adjustment Surface'!$AO$3:$BH$3,1,MATCH(('Adjustment Surface'!Y$3),'Adjustment Surface'!$AO$3:$BH$3,1)+IF('Adjustment Surface'!Z$3="",-1,1)),$AO$3:$BH$3,0))*(INDEX('Adjustment Surface'!$AN$4:$AN$23,MATCH(('Adjustment Surface'!$O15),'Adjustment Surface'!$AN$4:$AN$23,1)+IF('Adjustment Surface'!$O16="",-1,1))-'Adjustment Surface'!$O15)*('Adjustment Surface'!Y$3-INDEX('Adjustment Surface'!$AO$3:$BH$3,1,MATCH(('Adjustment Surface'!Y$3),'Adjustment Surface'!$AO$3:$BH$3,1)))+INDEX($AO$4:$BH$23,MATCH(INDEX('Adjustment Surface'!$AN$4:$AN$23,MATCH(('Adjustment Surface'!$O15),'Adjustment Surface'!$AN$4:$AN$23,1)+IF('Adjustment Surface'!$O16="",-1,1)),$AN$4:$AN$23,0),MATCH(INDEX('Adjustment Surface'!$AO$3:$BH$3,1,MATCH(('Adjustment Surface'!Y$3),'Adjustment Surface'!$AO$3:$BH$3,1)+IF('Adjustment Surface'!Z$3="",-1,1)),$AO$3:$BH$3,0))*('Adjustment Surface'!$O15-INDEX('Adjustment Surface'!$AN$4:$AN$23,MATCH(('Adjustment Surface'!$O15),'Adjustment Surface'!$AN$4:$AN$23,1)))*('Adjustment Surface'!Y$3-INDEX('Adjustment Surface'!$AO$3:$BH$3,1,MATCH(('Adjustment Surface'!Y$3),'Adjustment Surface'!$AO$3:$BH$3,1)))))</f>
        <v/>
      </c>
      <c r="Z15" s="181" t="str" cm="1">
        <f t="array" ref="Z15">IF(OR(Z$3="",$O15=""),"",1/((INDEX('Adjustment Surface'!$AN$4:$AN$23,MATCH(('Adjustment Surface'!$O15),'Adjustment Surface'!$AN$4:$AN$23,1)+IF('Adjustment Surface'!$O16="",-1,1))-INDEX('Adjustment Surface'!$AN$4:$AN$23,MATCH(('Adjustment Surface'!$O15),'Adjustment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Surface'!$O15),'Adjustment Surface'!$AN$4:$AN$23,1)),$AN$4:$AN$23,0),MATCH(INDEX('Adjustment Surface'!$AO$3:$BH$3,1,MATCH(('Adjustment Surface'!Z$3),'Adjustment Surface'!$AO$3:$BH$3,1)),$AO$3:$BH$3,0))*(INDEX('Adjustment Surface'!$AN$4:$AN$23,MATCH(('Adjustment Surface'!$O15),'Adjustment Surface'!$AN$4:$AN$23,1)+IF('Adjustment Surface'!$O16="",-1,1))-'Adjustment Surface'!$O15)*(INDEX('Adjustment Surface'!$AO$3:$BH$3,1,MATCH(('Adjustment Surface'!Z$3),'Adjustment Surface'!$AO$3:$BH$3,1)+IF('Adjustment Surface'!AA$3="",-1,1))-'Adjustment Surface'!Z$3)+INDEX($AO$4:$BH$23,MATCH(INDEX('Adjustment Surface'!$AN$4:$AN$23,MATCH(('Adjustment Surface'!$O15),'Adjustment Surface'!$AN$4:$AN$23,1)+IF('Adjustment Surface'!$O16="",-1,1)),$AN$4:$AN$23,0),MATCH(INDEX('Adjustment Surface'!$AO$3:$BH$3,1,MATCH(('Adjustment Surface'!Z$3),'Adjustment Surface'!$AO$3:$BH$3,1)),$AO$3:$BH$3,0))*('Adjustment Surface'!$O15-INDEX('Adjustment Surface'!$AN$4:$AN$23,MATCH(('Adjustment Surface'!$O15),'Adjustment Surface'!$AN$4:$AN$23,1)))*(INDEX('Adjustment Surface'!$AO$3:$BH$3,1,MATCH(('Adjustment Surface'!Z$3),'Adjustment Surface'!$AO$3:$BH$3,1)+IF('Adjustment Surface'!AA$3="",-1,1))-'Adjustment Surface'!Z$3)+INDEX($AO$4:$BH$23,MATCH(INDEX('Adjustment Surface'!$AN$4:$AN$23,MATCH(('Adjustment Surface'!$O15),'Adjustment Surface'!$AN$4:$AN$23,1)),$AN$4:$AN$23,0),MATCH(INDEX('Adjustment Surface'!$AO$3:$BH$3,1,MATCH(('Adjustment Surface'!Z$3),'Adjustment Surface'!$AO$3:$BH$3,1)+IF('Adjustment Surface'!AA$3="",-1,1)),$AO$3:$BH$3,0))*(INDEX('Adjustment Surface'!$AN$4:$AN$23,MATCH(('Adjustment Surface'!$O15),'Adjustment Surface'!$AN$4:$AN$23,1)+IF('Adjustment Surface'!$O16="",-1,1))-'Adjustment Surface'!$O15)*('Adjustment Surface'!Z$3-INDEX('Adjustment Surface'!$AO$3:$BH$3,1,MATCH(('Adjustment Surface'!Z$3),'Adjustment Surface'!$AO$3:$BH$3,1)))+INDEX($AO$4:$BH$23,MATCH(INDEX('Adjustment Surface'!$AN$4:$AN$23,MATCH(('Adjustment Surface'!$O15),'Adjustment Surface'!$AN$4:$AN$23,1)+IF('Adjustment Surface'!$O16="",-1,1)),$AN$4:$AN$23,0),MATCH(INDEX('Adjustment Surface'!$AO$3:$BH$3,1,MATCH(('Adjustment Surface'!Z$3),'Adjustment Surface'!$AO$3:$BH$3,1)+IF('Adjustment Surface'!AA$3="",-1,1)),$AO$3:$BH$3,0))*('Adjustment Surface'!$O15-INDEX('Adjustment Surface'!$AN$4:$AN$23,MATCH(('Adjustment Surface'!$O15),'Adjustment Surface'!$AN$4:$AN$23,1)))*('Adjustment Surface'!Z$3-INDEX('Adjustment Surface'!$AO$3:$BH$3,1,MATCH(('Adjustment Surface'!Z$3),'Adjustment Surface'!$AO$3:$BH$3,1)))))</f>
        <v/>
      </c>
      <c r="AA15" s="181" t="str" cm="1">
        <f t="array" ref="AA15">IF(OR(AA$3="",$O15=""),"",1/((INDEX('Adjustment Surface'!$AN$4:$AN$23,MATCH(('Adjustment Surface'!$O15),'Adjustment Surface'!$AN$4:$AN$23,1)+IF('Adjustment Surface'!$O16="",-1,1))-INDEX('Adjustment Surface'!$AN$4:$AN$23,MATCH(('Adjustment Surface'!$O15),'Adjustment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Surface'!$O15),'Adjustment Surface'!$AN$4:$AN$23,1)),$AN$4:$AN$23,0),MATCH(INDEX('Adjustment Surface'!$AO$3:$BH$3,1,MATCH(('Adjustment Surface'!AA$3),'Adjustment Surface'!$AO$3:$BH$3,1)),$AO$3:$BH$3,0))*(INDEX('Adjustment Surface'!$AN$4:$AN$23,MATCH(('Adjustment Surface'!$O15),'Adjustment Surface'!$AN$4:$AN$23,1)+IF('Adjustment Surface'!$O16="",-1,1))-'Adjustment Surface'!$O15)*(INDEX('Adjustment Surface'!$AO$3:$BH$3,1,MATCH(('Adjustment Surface'!AA$3),'Adjustment Surface'!$AO$3:$BH$3,1)+IF('Adjustment Surface'!AB$3="",-1,1))-'Adjustment Surface'!AA$3)+INDEX($AO$4:$BH$23,MATCH(INDEX('Adjustment Surface'!$AN$4:$AN$23,MATCH(('Adjustment Surface'!$O15),'Adjustment Surface'!$AN$4:$AN$23,1)+IF('Adjustment Surface'!$O16="",-1,1)),$AN$4:$AN$23,0),MATCH(INDEX('Adjustment Surface'!$AO$3:$BH$3,1,MATCH(('Adjustment Surface'!AA$3),'Adjustment Surface'!$AO$3:$BH$3,1)),$AO$3:$BH$3,0))*('Adjustment Surface'!$O15-INDEX('Adjustment Surface'!$AN$4:$AN$23,MATCH(('Adjustment Surface'!$O15),'Adjustment Surface'!$AN$4:$AN$23,1)))*(INDEX('Adjustment Surface'!$AO$3:$BH$3,1,MATCH(('Adjustment Surface'!AA$3),'Adjustment Surface'!$AO$3:$BH$3,1)+IF('Adjustment Surface'!AB$3="",-1,1))-'Adjustment Surface'!AA$3)+INDEX($AO$4:$BH$23,MATCH(INDEX('Adjustment Surface'!$AN$4:$AN$23,MATCH(('Adjustment Surface'!$O15),'Adjustment Surface'!$AN$4:$AN$23,1)),$AN$4:$AN$23,0),MATCH(INDEX('Adjustment Surface'!$AO$3:$BH$3,1,MATCH(('Adjustment Surface'!AA$3),'Adjustment Surface'!$AO$3:$BH$3,1)+IF('Adjustment Surface'!AB$3="",-1,1)),$AO$3:$BH$3,0))*(INDEX('Adjustment Surface'!$AN$4:$AN$23,MATCH(('Adjustment Surface'!$O15),'Adjustment Surface'!$AN$4:$AN$23,1)+IF('Adjustment Surface'!$O16="",-1,1))-'Adjustment Surface'!$O15)*('Adjustment Surface'!AA$3-INDEX('Adjustment Surface'!$AO$3:$BH$3,1,MATCH(('Adjustment Surface'!AA$3),'Adjustment Surface'!$AO$3:$BH$3,1)))+INDEX($AO$4:$BH$23,MATCH(INDEX('Adjustment Surface'!$AN$4:$AN$23,MATCH(('Adjustment Surface'!$O15),'Adjustment Surface'!$AN$4:$AN$23,1)+IF('Adjustment Surface'!$O16="",-1,1)),$AN$4:$AN$23,0),MATCH(INDEX('Adjustment Surface'!$AO$3:$BH$3,1,MATCH(('Adjustment Surface'!AA$3),'Adjustment Surface'!$AO$3:$BH$3,1)+IF('Adjustment Surface'!AB$3="",-1,1)),$AO$3:$BH$3,0))*('Adjustment Surface'!$O15-INDEX('Adjustment Surface'!$AN$4:$AN$23,MATCH(('Adjustment Surface'!$O15),'Adjustment Surface'!$AN$4:$AN$23,1)))*('Adjustment Surface'!AA$3-INDEX('Adjustment Surface'!$AO$3:$BH$3,1,MATCH(('Adjustment Surface'!AA$3),'Adjustment Surface'!$AO$3:$BH$3,1)))))</f>
        <v/>
      </c>
      <c r="AB15" s="181" t="str" cm="1">
        <f t="array" ref="AB15">IF(OR(AB$3="",$O15=""),"",1/((INDEX('Adjustment Surface'!$AN$4:$AN$23,MATCH(('Adjustment Surface'!$O15),'Adjustment Surface'!$AN$4:$AN$23,1)+IF('Adjustment Surface'!$O16="",-1,1))-INDEX('Adjustment Surface'!$AN$4:$AN$23,MATCH(('Adjustment Surface'!$O15),'Adjustment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Surface'!$O15),'Adjustment Surface'!$AN$4:$AN$23,1)),$AN$4:$AN$23,0),MATCH(INDEX('Adjustment Surface'!$AO$3:$BH$3,1,MATCH(('Adjustment Surface'!AB$3),'Adjustment Surface'!$AO$3:$BH$3,1)),$AO$3:$BH$3,0))*(INDEX('Adjustment Surface'!$AN$4:$AN$23,MATCH(('Adjustment Surface'!$O15),'Adjustment Surface'!$AN$4:$AN$23,1)+IF('Adjustment Surface'!$O16="",-1,1))-'Adjustment Surface'!$O15)*(INDEX('Adjustment Surface'!$AO$3:$BH$3,1,MATCH(('Adjustment Surface'!AB$3),'Adjustment Surface'!$AO$3:$BH$3,1)+IF('Adjustment Surface'!AC$3="",-1,1))-'Adjustment Surface'!AB$3)+INDEX($AO$4:$BH$23,MATCH(INDEX('Adjustment Surface'!$AN$4:$AN$23,MATCH(('Adjustment Surface'!$O15),'Adjustment Surface'!$AN$4:$AN$23,1)+IF('Adjustment Surface'!$O16="",-1,1)),$AN$4:$AN$23,0),MATCH(INDEX('Adjustment Surface'!$AO$3:$BH$3,1,MATCH(('Adjustment Surface'!AB$3),'Adjustment Surface'!$AO$3:$BH$3,1)),$AO$3:$BH$3,0))*('Adjustment Surface'!$O15-INDEX('Adjustment Surface'!$AN$4:$AN$23,MATCH(('Adjustment Surface'!$O15),'Adjustment Surface'!$AN$4:$AN$23,1)))*(INDEX('Adjustment Surface'!$AO$3:$BH$3,1,MATCH(('Adjustment Surface'!AB$3),'Adjustment Surface'!$AO$3:$BH$3,1)+IF('Adjustment Surface'!AC$3="",-1,1))-'Adjustment Surface'!AB$3)+INDEX($AO$4:$BH$23,MATCH(INDEX('Adjustment Surface'!$AN$4:$AN$23,MATCH(('Adjustment Surface'!$O15),'Adjustment Surface'!$AN$4:$AN$23,1)),$AN$4:$AN$23,0),MATCH(INDEX('Adjustment Surface'!$AO$3:$BH$3,1,MATCH(('Adjustment Surface'!AB$3),'Adjustment Surface'!$AO$3:$BH$3,1)+IF('Adjustment Surface'!AC$3="",-1,1)),$AO$3:$BH$3,0))*(INDEX('Adjustment Surface'!$AN$4:$AN$23,MATCH(('Adjustment Surface'!$O15),'Adjustment Surface'!$AN$4:$AN$23,1)+IF('Adjustment Surface'!$O16="",-1,1))-'Adjustment Surface'!$O15)*('Adjustment Surface'!AB$3-INDEX('Adjustment Surface'!$AO$3:$BH$3,1,MATCH(('Adjustment Surface'!AB$3),'Adjustment Surface'!$AO$3:$BH$3,1)))+INDEX($AO$4:$BH$23,MATCH(INDEX('Adjustment Surface'!$AN$4:$AN$23,MATCH(('Adjustment Surface'!$O15),'Adjustment Surface'!$AN$4:$AN$23,1)+IF('Adjustment Surface'!$O16="",-1,1)),$AN$4:$AN$23,0),MATCH(INDEX('Adjustment Surface'!$AO$3:$BH$3,1,MATCH(('Adjustment Surface'!AB$3),'Adjustment Surface'!$AO$3:$BH$3,1)+IF('Adjustment Surface'!AC$3="",-1,1)),$AO$3:$BH$3,0))*('Adjustment Surface'!$O15-INDEX('Adjustment Surface'!$AN$4:$AN$23,MATCH(('Adjustment Surface'!$O15),'Adjustment Surface'!$AN$4:$AN$23,1)))*('Adjustment Surface'!AB$3-INDEX('Adjustment Surface'!$AO$3:$BH$3,1,MATCH(('Adjustment Surface'!AB$3),'Adjustment Surface'!$AO$3:$BH$3,1)))))</f>
        <v/>
      </c>
      <c r="AC15" s="181" t="str" cm="1">
        <f t="array" ref="AC15">IF(OR(AC$3="",$O15=""),"",1/((INDEX('Adjustment Surface'!$AN$4:$AN$23,MATCH(('Adjustment Surface'!$O15),'Adjustment Surface'!$AN$4:$AN$23,1)+IF('Adjustment Surface'!$O16="",-1,1))-INDEX('Adjustment Surface'!$AN$4:$AN$23,MATCH(('Adjustment Surface'!$O15),'Adjustment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Surface'!$O15),'Adjustment Surface'!$AN$4:$AN$23,1)),$AN$4:$AN$23,0),MATCH(INDEX('Adjustment Surface'!$AO$3:$BH$3,1,MATCH(('Adjustment Surface'!AC$3),'Adjustment Surface'!$AO$3:$BH$3,1)),$AO$3:$BH$3,0))*(INDEX('Adjustment Surface'!$AN$4:$AN$23,MATCH(('Adjustment Surface'!$O15),'Adjustment Surface'!$AN$4:$AN$23,1)+IF('Adjustment Surface'!$O16="",-1,1))-'Adjustment Surface'!$O15)*(INDEX('Adjustment Surface'!$AO$3:$BH$3,1,MATCH(('Adjustment Surface'!AC$3),'Adjustment Surface'!$AO$3:$BH$3,1)+IF('Adjustment Surface'!AD$3="",-1,1))-'Adjustment Surface'!AC$3)+INDEX($AO$4:$BH$23,MATCH(INDEX('Adjustment Surface'!$AN$4:$AN$23,MATCH(('Adjustment Surface'!$O15),'Adjustment Surface'!$AN$4:$AN$23,1)+IF('Adjustment Surface'!$O16="",-1,1)),$AN$4:$AN$23,0),MATCH(INDEX('Adjustment Surface'!$AO$3:$BH$3,1,MATCH(('Adjustment Surface'!AC$3),'Adjustment Surface'!$AO$3:$BH$3,1)),$AO$3:$BH$3,0))*('Adjustment Surface'!$O15-INDEX('Adjustment Surface'!$AN$4:$AN$23,MATCH(('Adjustment Surface'!$O15),'Adjustment Surface'!$AN$4:$AN$23,1)))*(INDEX('Adjustment Surface'!$AO$3:$BH$3,1,MATCH(('Adjustment Surface'!AC$3),'Adjustment Surface'!$AO$3:$BH$3,1)+IF('Adjustment Surface'!AD$3="",-1,1))-'Adjustment Surface'!AC$3)+INDEX($AO$4:$BH$23,MATCH(INDEX('Adjustment Surface'!$AN$4:$AN$23,MATCH(('Adjustment Surface'!$O15),'Adjustment Surface'!$AN$4:$AN$23,1)),$AN$4:$AN$23,0),MATCH(INDEX('Adjustment Surface'!$AO$3:$BH$3,1,MATCH(('Adjustment Surface'!AC$3),'Adjustment Surface'!$AO$3:$BH$3,1)+IF('Adjustment Surface'!AD$3="",-1,1)),$AO$3:$BH$3,0))*(INDEX('Adjustment Surface'!$AN$4:$AN$23,MATCH(('Adjustment Surface'!$O15),'Adjustment Surface'!$AN$4:$AN$23,1)+IF('Adjustment Surface'!$O16="",-1,1))-'Adjustment Surface'!$O15)*('Adjustment Surface'!AC$3-INDEX('Adjustment Surface'!$AO$3:$BH$3,1,MATCH(('Adjustment Surface'!AC$3),'Adjustment Surface'!$AO$3:$BH$3,1)))+INDEX($AO$4:$BH$23,MATCH(INDEX('Adjustment Surface'!$AN$4:$AN$23,MATCH(('Adjustment Surface'!$O15),'Adjustment Surface'!$AN$4:$AN$23,1)+IF('Adjustment Surface'!$O16="",-1,1)),$AN$4:$AN$23,0),MATCH(INDEX('Adjustment Surface'!$AO$3:$BH$3,1,MATCH(('Adjustment Surface'!AC$3),'Adjustment Surface'!$AO$3:$BH$3,1)+IF('Adjustment Surface'!AD$3="",-1,1)),$AO$3:$BH$3,0))*('Adjustment Surface'!$O15-INDEX('Adjustment Surface'!$AN$4:$AN$23,MATCH(('Adjustment Surface'!$O15),'Adjustment Surface'!$AN$4:$AN$23,1)))*('Adjustment Surface'!AC$3-INDEX('Adjustment Surface'!$AO$3:$BH$3,1,MATCH(('Adjustment Surface'!AC$3),'Adjustment Surface'!$AO$3:$BH$3,1)))))</f>
        <v/>
      </c>
      <c r="AD15" s="181" t="str" cm="1">
        <f t="array" ref="AD15">IF(OR(AD$3="",$O15=""),"",1/((INDEX('Adjustment Surface'!$AN$4:$AN$23,MATCH(('Adjustment Surface'!$O15),'Adjustment Surface'!$AN$4:$AN$23,1)+IF('Adjustment Surface'!$O16="",-1,1))-INDEX('Adjustment Surface'!$AN$4:$AN$23,MATCH(('Adjustment Surface'!$O15),'Adjustment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Surface'!$O15),'Adjustment Surface'!$AN$4:$AN$23,1)),$AN$4:$AN$23,0),MATCH(INDEX('Adjustment Surface'!$AO$3:$BH$3,1,MATCH(('Adjustment Surface'!AD$3),'Adjustment Surface'!$AO$3:$BH$3,1)),$AO$3:$BH$3,0))*(INDEX('Adjustment Surface'!$AN$4:$AN$23,MATCH(('Adjustment Surface'!$O15),'Adjustment Surface'!$AN$4:$AN$23,1)+IF('Adjustment Surface'!$O16="",-1,1))-'Adjustment Surface'!$O15)*(INDEX('Adjustment Surface'!$AO$3:$BH$3,1,MATCH(('Adjustment Surface'!AD$3),'Adjustment Surface'!$AO$3:$BH$3,1)+IF('Adjustment Surface'!AE$3="",-1,1))-'Adjustment Surface'!AD$3)+INDEX($AO$4:$BH$23,MATCH(INDEX('Adjustment Surface'!$AN$4:$AN$23,MATCH(('Adjustment Surface'!$O15),'Adjustment Surface'!$AN$4:$AN$23,1)+IF('Adjustment Surface'!$O16="",-1,1)),$AN$4:$AN$23,0),MATCH(INDEX('Adjustment Surface'!$AO$3:$BH$3,1,MATCH(('Adjustment Surface'!AD$3),'Adjustment Surface'!$AO$3:$BH$3,1)),$AO$3:$BH$3,0))*('Adjustment Surface'!$O15-INDEX('Adjustment Surface'!$AN$4:$AN$23,MATCH(('Adjustment Surface'!$O15),'Adjustment Surface'!$AN$4:$AN$23,1)))*(INDEX('Adjustment Surface'!$AO$3:$BH$3,1,MATCH(('Adjustment Surface'!AD$3),'Adjustment Surface'!$AO$3:$BH$3,1)+IF('Adjustment Surface'!AE$3="",-1,1))-'Adjustment Surface'!AD$3)+INDEX($AO$4:$BH$23,MATCH(INDEX('Adjustment Surface'!$AN$4:$AN$23,MATCH(('Adjustment Surface'!$O15),'Adjustment Surface'!$AN$4:$AN$23,1)),$AN$4:$AN$23,0),MATCH(INDEX('Adjustment Surface'!$AO$3:$BH$3,1,MATCH(('Adjustment Surface'!AD$3),'Adjustment Surface'!$AO$3:$BH$3,1)+IF('Adjustment Surface'!AE$3="",-1,1)),$AO$3:$BH$3,0))*(INDEX('Adjustment Surface'!$AN$4:$AN$23,MATCH(('Adjustment Surface'!$O15),'Adjustment Surface'!$AN$4:$AN$23,1)+IF('Adjustment Surface'!$O16="",-1,1))-'Adjustment Surface'!$O15)*('Adjustment Surface'!AD$3-INDEX('Adjustment Surface'!$AO$3:$BH$3,1,MATCH(('Adjustment Surface'!AD$3),'Adjustment Surface'!$AO$3:$BH$3,1)))+INDEX($AO$4:$BH$23,MATCH(INDEX('Adjustment Surface'!$AN$4:$AN$23,MATCH(('Adjustment Surface'!$O15),'Adjustment Surface'!$AN$4:$AN$23,1)+IF('Adjustment Surface'!$O16="",-1,1)),$AN$4:$AN$23,0),MATCH(INDEX('Adjustment Surface'!$AO$3:$BH$3,1,MATCH(('Adjustment Surface'!AD$3),'Adjustment Surface'!$AO$3:$BH$3,1)+IF('Adjustment Surface'!AE$3="",-1,1)),$AO$3:$BH$3,0))*('Adjustment Surface'!$O15-INDEX('Adjustment Surface'!$AN$4:$AN$23,MATCH(('Adjustment Surface'!$O15),'Adjustment Surface'!$AN$4:$AN$23,1)))*('Adjustment Surface'!AD$3-INDEX('Adjustment Surface'!$AO$3:$BH$3,1,MATCH(('Adjustment Surface'!AD$3),'Adjustment Surface'!$AO$3:$BH$3,1)))))</f>
        <v/>
      </c>
      <c r="AE15" s="181" t="str" cm="1">
        <f t="array" ref="AE15">IF(OR(AE$3="",$O15=""),"",1/((INDEX('Adjustment Surface'!$AN$4:$AN$23,MATCH(('Adjustment Surface'!$O15),'Adjustment Surface'!$AN$4:$AN$23,1)+IF('Adjustment Surface'!$O16="",-1,1))-INDEX('Adjustment Surface'!$AN$4:$AN$23,MATCH(('Adjustment Surface'!$O15),'Adjustment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Surface'!$O15),'Adjustment Surface'!$AN$4:$AN$23,1)),$AN$4:$AN$23,0),MATCH(INDEX('Adjustment Surface'!$AO$3:$BH$3,1,MATCH(('Adjustment Surface'!AE$3),'Adjustment Surface'!$AO$3:$BH$3,1)),$AO$3:$BH$3,0))*(INDEX('Adjustment Surface'!$AN$4:$AN$23,MATCH(('Adjustment Surface'!$O15),'Adjustment Surface'!$AN$4:$AN$23,1)+IF('Adjustment Surface'!$O16="",-1,1))-'Adjustment Surface'!$O15)*(INDEX('Adjustment Surface'!$AO$3:$BH$3,1,MATCH(('Adjustment Surface'!AE$3),'Adjustment Surface'!$AO$3:$BH$3,1)+IF('Adjustment Surface'!AF$3="",-1,1))-'Adjustment Surface'!AE$3)+INDEX($AO$4:$BH$23,MATCH(INDEX('Adjustment Surface'!$AN$4:$AN$23,MATCH(('Adjustment Surface'!$O15),'Adjustment Surface'!$AN$4:$AN$23,1)+IF('Adjustment Surface'!$O16="",-1,1)),$AN$4:$AN$23,0),MATCH(INDEX('Adjustment Surface'!$AO$3:$BH$3,1,MATCH(('Adjustment Surface'!AE$3),'Adjustment Surface'!$AO$3:$BH$3,1)),$AO$3:$BH$3,0))*('Adjustment Surface'!$O15-INDEX('Adjustment Surface'!$AN$4:$AN$23,MATCH(('Adjustment Surface'!$O15),'Adjustment Surface'!$AN$4:$AN$23,1)))*(INDEX('Adjustment Surface'!$AO$3:$BH$3,1,MATCH(('Adjustment Surface'!AE$3),'Adjustment Surface'!$AO$3:$BH$3,1)+IF('Adjustment Surface'!AF$3="",-1,1))-'Adjustment Surface'!AE$3)+INDEX($AO$4:$BH$23,MATCH(INDEX('Adjustment Surface'!$AN$4:$AN$23,MATCH(('Adjustment Surface'!$O15),'Adjustment Surface'!$AN$4:$AN$23,1)),$AN$4:$AN$23,0),MATCH(INDEX('Adjustment Surface'!$AO$3:$BH$3,1,MATCH(('Adjustment Surface'!AE$3),'Adjustment Surface'!$AO$3:$BH$3,1)+IF('Adjustment Surface'!AF$3="",-1,1)),$AO$3:$BH$3,0))*(INDEX('Adjustment Surface'!$AN$4:$AN$23,MATCH(('Adjustment Surface'!$O15),'Adjustment Surface'!$AN$4:$AN$23,1)+IF('Adjustment Surface'!$O16="",-1,1))-'Adjustment Surface'!$O15)*('Adjustment Surface'!AE$3-INDEX('Adjustment Surface'!$AO$3:$BH$3,1,MATCH(('Adjustment Surface'!AE$3),'Adjustment Surface'!$AO$3:$BH$3,1)))+INDEX($AO$4:$BH$23,MATCH(INDEX('Adjustment Surface'!$AN$4:$AN$23,MATCH(('Adjustment Surface'!$O15),'Adjustment Surface'!$AN$4:$AN$23,1)+IF('Adjustment Surface'!$O16="",-1,1)),$AN$4:$AN$23,0),MATCH(INDEX('Adjustment Surface'!$AO$3:$BH$3,1,MATCH(('Adjustment Surface'!AE$3),'Adjustment Surface'!$AO$3:$BH$3,1)+IF('Adjustment Surface'!AF$3="",-1,1)),$AO$3:$BH$3,0))*('Adjustment Surface'!$O15-INDEX('Adjustment Surface'!$AN$4:$AN$23,MATCH(('Adjustment Surface'!$O15),'Adjustment Surface'!$AN$4:$AN$23,1)))*('Adjustment Surface'!AE$3-INDEX('Adjustment Surface'!$AO$3:$BH$3,1,MATCH(('Adjustment Surface'!AE$3),'Adjustment Surface'!$AO$3:$BH$3,1)))))</f>
        <v/>
      </c>
      <c r="AF15" s="181" t="str" cm="1">
        <f t="array" ref="AF15">IF(OR(AF$3="",$O15=""),"",1/((INDEX('Adjustment Surface'!$AN$4:$AN$23,MATCH(('Adjustment Surface'!$O15),'Adjustment Surface'!$AN$4:$AN$23,1)+IF('Adjustment Surface'!$O16="",-1,1))-INDEX('Adjustment Surface'!$AN$4:$AN$23,MATCH(('Adjustment Surface'!$O15),'Adjustment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Surface'!$O15),'Adjustment Surface'!$AN$4:$AN$23,1)),$AN$4:$AN$23,0),MATCH(INDEX('Adjustment Surface'!$AO$3:$BH$3,1,MATCH(('Adjustment Surface'!AF$3),'Adjustment Surface'!$AO$3:$BH$3,1)),$AO$3:$BH$3,0))*(INDEX('Adjustment Surface'!$AN$4:$AN$23,MATCH(('Adjustment Surface'!$O15),'Adjustment Surface'!$AN$4:$AN$23,1)+IF('Adjustment Surface'!$O16="",-1,1))-'Adjustment Surface'!$O15)*(INDEX('Adjustment Surface'!$AO$3:$BH$3,1,MATCH(('Adjustment Surface'!AF$3),'Adjustment Surface'!$AO$3:$BH$3,1)+IF('Adjustment Surface'!AG$3="",-1,1))-'Adjustment Surface'!AF$3)+INDEX($AO$4:$BH$23,MATCH(INDEX('Adjustment Surface'!$AN$4:$AN$23,MATCH(('Adjustment Surface'!$O15),'Adjustment Surface'!$AN$4:$AN$23,1)+IF('Adjustment Surface'!$O16="",-1,1)),$AN$4:$AN$23,0),MATCH(INDEX('Adjustment Surface'!$AO$3:$BH$3,1,MATCH(('Adjustment Surface'!AF$3),'Adjustment Surface'!$AO$3:$BH$3,1)),$AO$3:$BH$3,0))*('Adjustment Surface'!$O15-INDEX('Adjustment Surface'!$AN$4:$AN$23,MATCH(('Adjustment Surface'!$O15),'Adjustment Surface'!$AN$4:$AN$23,1)))*(INDEX('Adjustment Surface'!$AO$3:$BH$3,1,MATCH(('Adjustment Surface'!AF$3),'Adjustment Surface'!$AO$3:$BH$3,1)+IF('Adjustment Surface'!AG$3="",-1,1))-'Adjustment Surface'!AF$3)+INDEX($AO$4:$BH$23,MATCH(INDEX('Adjustment Surface'!$AN$4:$AN$23,MATCH(('Adjustment Surface'!$O15),'Adjustment Surface'!$AN$4:$AN$23,1)),$AN$4:$AN$23,0),MATCH(INDEX('Adjustment Surface'!$AO$3:$BH$3,1,MATCH(('Adjustment Surface'!AF$3),'Adjustment Surface'!$AO$3:$BH$3,1)+IF('Adjustment Surface'!AG$3="",-1,1)),$AO$3:$BH$3,0))*(INDEX('Adjustment Surface'!$AN$4:$AN$23,MATCH(('Adjustment Surface'!$O15),'Adjustment Surface'!$AN$4:$AN$23,1)+IF('Adjustment Surface'!$O16="",-1,1))-'Adjustment Surface'!$O15)*('Adjustment Surface'!AF$3-INDEX('Adjustment Surface'!$AO$3:$BH$3,1,MATCH(('Adjustment Surface'!AF$3),'Adjustment Surface'!$AO$3:$BH$3,1)))+INDEX($AO$4:$BH$23,MATCH(INDEX('Adjustment Surface'!$AN$4:$AN$23,MATCH(('Adjustment Surface'!$O15),'Adjustment Surface'!$AN$4:$AN$23,1)+IF('Adjustment Surface'!$O16="",-1,1)),$AN$4:$AN$23,0),MATCH(INDEX('Adjustment Surface'!$AO$3:$BH$3,1,MATCH(('Adjustment Surface'!AF$3),'Adjustment Surface'!$AO$3:$BH$3,1)+IF('Adjustment Surface'!AG$3="",-1,1)),$AO$3:$BH$3,0))*('Adjustment Surface'!$O15-INDEX('Adjustment Surface'!$AN$4:$AN$23,MATCH(('Adjustment Surface'!$O15),'Adjustment Surface'!$AN$4:$AN$23,1)))*('Adjustment Surface'!AF$3-INDEX('Adjustment Surface'!$AO$3:$BH$3,1,MATCH(('Adjustment Surface'!AF$3),'Adjustment Surface'!$AO$3:$BH$3,1)))))</f>
        <v/>
      </c>
      <c r="AG15" s="181" t="str" cm="1">
        <f t="array" ref="AG15">IF(OR(AG$3="",$O15=""),"",1/((INDEX('Adjustment Surface'!$AN$4:$AN$23,MATCH(('Adjustment Surface'!$O15),'Adjustment Surface'!$AN$4:$AN$23,1)+IF('Adjustment Surface'!$O16="",-1,1))-INDEX('Adjustment Surface'!$AN$4:$AN$23,MATCH(('Adjustment Surface'!$O15),'Adjustment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Surface'!$O15),'Adjustment Surface'!$AN$4:$AN$23,1)),$AN$4:$AN$23,0),MATCH(INDEX('Adjustment Surface'!$AO$3:$BH$3,1,MATCH(('Adjustment Surface'!AG$3),'Adjustment Surface'!$AO$3:$BH$3,1)),$AO$3:$BH$3,0))*(INDEX('Adjustment Surface'!$AN$4:$AN$23,MATCH(('Adjustment Surface'!$O15),'Adjustment Surface'!$AN$4:$AN$23,1)+IF('Adjustment Surface'!$O16="",-1,1))-'Adjustment Surface'!$O15)*(INDEX('Adjustment Surface'!$AO$3:$BH$3,1,MATCH(('Adjustment Surface'!AG$3),'Adjustment Surface'!$AO$3:$BH$3,1)+IF('Adjustment Surface'!AH$3="",-1,1))-'Adjustment Surface'!AG$3)+INDEX($AO$4:$BH$23,MATCH(INDEX('Adjustment Surface'!$AN$4:$AN$23,MATCH(('Adjustment Surface'!$O15),'Adjustment Surface'!$AN$4:$AN$23,1)+IF('Adjustment Surface'!$O16="",-1,1)),$AN$4:$AN$23,0),MATCH(INDEX('Adjustment Surface'!$AO$3:$BH$3,1,MATCH(('Adjustment Surface'!AG$3),'Adjustment Surface'!$AO$3:$BH$3,1)),$AO$3:$BH$3,0))*('Adjustment Surface'!$O15-INDEX('Adjustment Surface'!$AN$4:$AN$23,MATCH(('Adjustment Surface'!$O15),'Adjustment Surface'!$AN$4:$AN$23,1)))*(INDEX('Adjustment Surface'!$AO$3:$BH$3,1,MATCH(('Adjustment Surface'!AG$3),'Adjustment Surface'!$AO$3:$BH$3,1)+IF('Adjustment Surface'!AH$3="",-1,1))-'Adjustment Surface'!AG$3)+INDEX($AO$4:$BH$23,MATCH(INDEX('Adjustment Surface'!$AN$4:$AN$23,MATCH(('Adjustment Surface'!$O15),'Adjustment Surface'!$AN$4:$AN$23,1)),$AN$4:$AN$23,0),MATCH(INDEX('Adjustment Surface'!$AO$3:$BH$3,1,MATCH(('Adjustment Surface'!AG$3),'Adjustment Surface'!$AO$3:$BH$3,1)+IF('Adjustment Surface'!AH$3="",-1,1)),$AO$3:$BH$3,0))*(INDEX('Adjustment Surface'!$AN$4:$AN$23,MATCH(('Adjustment Surface'!$O15),'Adjustment Surface'!$AN$4:$AN$23,1)+IF('Adjustment Surface'!$O16="",-1,1))-'Adjustment Surface'!$O15)*('Adjustment Surface'!AG$3-INDEX('Adjustment Surface'!$AO$3:$BH$3,1,MATCH(('Adjustment Surface'!AG$3),'Adjustment Surface'!$AO$3:$BH$3,1)))+INDEX($AO$4:$BH$23,MATCH(INDEX('Adjustment Surface'!$AN$4:$AN$23,MATCH(('Adjustment Surface'!$O15),'Adjustment Surface'!$AN$4:$AN$23,1)+IF('Adjustment Surface'!$O16="",-1,1)),$AN$4:$AN$23,0),MATCH(INDEX('Adjustment Surface'!$AO$3:$BH$3,1,MATCH(('Adjustment Surface'!AG$3),'Adjustment Surface'!$AO$3:$BH$3,1)+IF('Adjustment Surface'!AH$3="",-1,1)),$AO$3:$BH$3,0))*('Adjustment Surface'!$O15-INDEX('Adjustment Surface'!$AN$4:$AN$23,MATCH(('Adjustment Surface'!$O15),'Adjustment Surface'!$AN$4:$AN$23,1)))*('Adjustment Surface'!AG$3-INDEX('Adjustment Surface'!$AO$3:$BH$3,1,MATCH(('Adjustment Surface'!AG$3),'Adjustment Surface'!$AO$3:$BH$3,1)))))</f>
        <v/>
      </c>
      <c r="AH15" s="181" t="str" cm="1">
        <f t="array" ref="AH15">IF(OR(AH$3="",$O15=""),"",1/((INDEX('Adjustment Surface'!$AN$4:$AN$23,MATCH(('Adjustment Surface'!$O15),'Adjustment Surface'!$AN$4:$AN$23,1)+IF('Adjustment Surface'!$O16="",-1,1))-INDEX('Adjustment Surface'!$AN$4:$AN$23,MATCH(('Adjustment Surface'!$O15),'Adjustment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Surface'!$O15),'Adjustment Surface'!$AN$4:$AN$23,1)),$AN$4:$AN$23,0),MATCH(INDEX('Adjustment Surface'!$AO$3:$BH$3,1,MATCH(('Adjustment Surface'!AH$3),'Adjustment Surface'!$AO$3:$BH$3,1)),$AO$3:$BH$3,0))*(INDEX('Adjustment Surface'!$AN$4:$AN$23,MATCH(('Adjustment Surface'!$O15),'Adjustment Surface'!$AN$4:$AN$23,1)+IF('Adjustment Surface'!$O16="",-1,1))-'Adjustment Surface'!$O15)*(INDEX('Adjustment Surface'!$AO$3:$BH$3,1,MATCH(('Adjustment Surface'!AH$3),'Adjustment Surface'!$AO$3:$BH$3,1)+IF('Adjustment Surface'!AI$3="",-1,1))-'Adjustment Surface'!AH$3)+INDEX($AO$4:$BH$23,MATCH(INDEX('Adjustment Surface'!$AN$4:$AN$23,MATCH(('Adjustment Surface'!$O15),'Adjustment Surface'!$AN$4:$AN$23,1)+IF('Adjustment Surface'!$O16="",-1,1)),$AN$4:$AN$23,0),MATCH(INDEX('Adjustment Surface'!$AO$3:$BH$3,1,MATCH(('Adjustment Surface'!AH$3),'Adjustment Surface'!$AO$3:$BH$3,1)),$AO$3:$BH$3,0))*('Adjustment Surface'!$O15-INDEX('Adjustment Surface'!$AN$4:$AN$23,MATCH(('Adjustment Surface'!$O15),'Adjustment Surface'!$AN$4:$AN$23,1)))*(INDEX('Adjustment Surface'!$AO$3:$BH$3,1,MATCH(('Adjustment Surface'!AH$3),'Adjustment Surface'!$AO$3:$BH$3,1)+IF('Adjustment Surface'!AI$3="",-1,1))-'Adjustment Surface'!AH$3)+INDEX($AO$4:$BH$23,MATCH(INDEX('Adjustment Surface'!$AN$4:$AN$23,MATCH(('Adjustment Surface'!$O15),'Adjustment Surface'!$AN$4:$AN$23,1)),$AN$4:$AN$23,0),MATCH(INDEX('Adjustment Surface'!$AO$3:$BH$3,1,MATCH(('Adjustment Surface'!AH$3),'Adjustment Surface'!$AO$3:$BH$3,1)+IF('Adjustment Surface'!AI$3="",-1,1)),$AO$3:$BH$3,0))*(INDEX('Adjustment Surface'!$AN$4:$AN$23,MATCH(('Adjustment Surface'!$O15),'Adjustment Surface'!$AN$4:$AN$23,1)+IF('Adjustment Surface'!$O16="",-1,1))-'Adjustment Surface'!$O15)*('Adjustment Surface'!AH$3-INDEX('Adjustment Surface'!$AO$3:$BH$3,1,MATCH(('Adjustment Surface'!AH$3),'Adjustment Surface'!$AO$3:$BH$3,1)))+INDEX($AO$4:$BH$23,MATCH(INDEX('Adjustment Surface'!$AN$4:$AN$23,MATCH(('Adjustment Surface'!$O15),'Adjustment Surface'!$AN$4:$AN$23,1)+IF('Adjustment Surface'!$O16="",-1,1)),$AN$4:$AN$23,0),MATCH(INDEX('Adjustment Surface'!$AO$3:$BH$3,1,MATCH(('Adjustment Surface'!AH$3),'Adjustment Surface'!$AO$3:$BH$3,1)+IF('Adjustment Surface'!AI$3="",-1,1)),$AO$3:$BH$3,0))*('Adjustment Surface'!$O15-INDEX('Adjustment Surface'!$AN$4:$AN$23,MATCH(('Adjustment Surface'!$O15),'Adjustment Surface'!$AN$4:$AN$23,1)))*('Adjustment Surface'!AH$3-INDEX('Adjustment Surface'!$AO$3:$BH$3,1,MATCH(('Adjustment Surface'!AH$3),'Adjustment Surface'!$AO$3:$BH$3,1)))))</f>
        <v/>
      </c>
      <c r="AI15" s="182" t="str" cm="1">
        <f t="array" ref="AI15">IF(OR(AI$3="",$O15=""),"",1/((INDEX('Adjustment Surface'!$AN$4:$AN$23,MATCH(('Adjustment Surface'!$O15),'Adjustment Surface'!$AN$4:$AN$23,1)+IF('Adjustment Surface'!$O16="",-1,1))-INDEX('Adjustment Surface'!$AN$4:$AN$23,MATCH(('Adjustment Surface'!$O15),'Adjustment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Surface'!$O15),'Adjustment Surface'!$AN$4:$AN$23,1)),$AN$4:$AN$23,0),MATCH(INDEX('Adjustment Surface'!$AO$3:$BH$3,1,MATCH(('Adjustment Surface'!AI$3),'Adjustment Surface'!$AO$3:$BH$3,1)),$AO$3:$BH$3,0))*(INDEX('Adjustment Surface'!$AN$4:$AN$23,MATCH(('Adjustment Surface'!$O15),'Adjustment Surface'!$AN$4:$AN$23,1)+IF('Adjustment Surface'!$O16="",-1,1))-'Adjustment Surface'!$O15)*(INDEX('Adjustment Surface'!$AO$3:$BH$3,1,MATCH(('Adjustment Surface'!AI$3),'Adjustment Surface'!$AO$3:$BH$3,1)+IF('Adjustment Surface'!AJ$3="",-1,1))-'Adjustment Surface'!AI$3)+INDEX($AO$4:$BH$23,MATCH(INDEX('Adjustment Surface'!$AN$4:$AN$23,MATCH(('Adjustment Surface'!$O15),'Adjustment Surface'!$AN$4:$AN$23,1)+IF('Adjustment Surface'!$O16="",-1,1)),$AN$4:$AN$23,0),MATCH(INDEX('Adjustment Surface'!$AO$3:$BH$3,1,MATCH(('Adjustment Surface'!AI$3),'Adjustment Surface'!$AO$3:$BH$3,1)),$AO$3:$BH$3,0))*('Adjustment Surface'!$O15-INDEX('Adjustment Surface'!$AN$4:$AN$23,MATCH(('Adjustment Surface'!$O15),'Adjustment Surface'!$AN$4:$AN$23,1)))*(INDEX('Adjustment Surface'!$AO$3:$BH$3,1,MATCH(('Adjustment Surface'!AI$3),'Adjustment Surface'!$AO$3:$BH$3,1)+IF('Adjustment Surface'!AJ$3="",-1,1))-'Adjustment Surface'!AI$3)+INDEX($AO$4:$BH$23,MATCH(INDEX('Adjustment Surface'!$AN$4:$AN$23,MATCH(('Adjustment Surface'!$O15),'Adjustment Surface'!$AN$4:$AN$23,1)),$AN$4:$AN$23,0),MATCH(INDEX('Adjustment Surface'!$AO$3:$BH$3,1,MATCH(('Adjustment Surface'!AI$3),'Adjustment Surface'!$AO$3:$BH$3,1)+IF('Adjustment Surface'!AJ$3="",-1,1)),$AO$3:$BH$3,0))*(INDEX('Adjustment Surface'!$AN$4:$AN$23,MATCH(('Adjustment Surface'!$O15),'Adjustment Surface'!$AN$4:$AN$23,1)+IF('Adjustment Surface'!$O16="",-1,1))-'Adjustment Surface'!$O15)*('Adjustment Surface'!AI$3-INDEX('Adjustment Surface'!$AO$3:$BH$3,1,MATCH(('Adjustment Surface'!AI$3),'Adjustment Surface'!$AO$3:$BH$3,1)))+INDEX($AO$4:$BH$23,MATCH(INDEX('Adjustment Surface'!$AN$4:$AN$23,MATCH(('Adjustment Surface'!$O15),'Adjustment Surface'!$AN$4:$AN$23,1)+IF('Adjustment Surface'!$O16="",-1,1)),$AN$4:$AN$23,0),MATCH(INDEX('Adjustment Surface'!$AO$3:$BH$3,1,MATCH(('Adjustment Surface'!AI$3),'Adjustment Surface'!$AO$3:$BH$3,1)+IF('Adjustment Surface'!AJ$3="",-1,1)),$AO$3:$BH$3,0))*('Adjustment Surface'!$O15-INDEX('Adjustment Surface'!$AN$4:$AN$23,MATCH(('Adjustment Surface'!$O15),'Adjustment Surface'!$AN$4:$AN$23,1)))*('Adjustment Surface'!AI$3-INDEX('Adjustment Surface'!$AO$3:$BH$3,1,MATCH(('Adjustment Surface'!AI$3),'Adjustment Surface'!$AO$3:$BH$3,1)))))</f>
        <v/>
      </c>
      <c r="AK15" s="203" t="str">
        <f>IF(OR(AK14=IF('Adjustment Surface'!$C$2='Data Validation'!$A$2,_xlfn.FLOOR.MATH(MAX('Bank Adjustments'!$C$4:$C$103),0.5%,2),IF('Adjustment Surface'!$C$2='Data Validation'!$A$3,_xlfn.FLOOR.MATH(MAX('Bank Adjustments'!$M$4:$M$103),0.5%,2),"Uknown Option Type")),AK14=""),"",AK14+0.5%)</f>
        <v/>
      </c>
      <c r="AL15" s="204" t="str">
        <f>IF(OR(AL14=IF('Adjustment Surface'!$C$2='Data Validation'!$A$2,IF(EDATE('Rate &amp; Vol Update'!$C$2,_xlfn.FLOOR.MATH(DATEDIF('Rate &amp; Vol Update'!$C$2,MAX('Bank Adjustments'!$E$4:$E$103),"M"),3,2))&gt;MAX('Bank Adjustments'!$E$4:$E$103),EDATE('Rate &amp; Vol Update'!$C$2,_xlfn.FLOOR.MATH(DATEDIF('Rate &amp; Vol Update'!$C$2,MAX('Bank Adjustments'!$E$4:$E$103),"M")-3,3,2)),EDATE('Rate &amp; Vol Update'!$C$2,_xlfn.FLOOR.MATH(DATEDIF('Rate &amp; Vol Update'!$C$2,MAX('Bank Adjustments'!$E$4:$E$103),"M"),3,2))),IF('Adjustment Surface'!$C$2='Data Validation'!$A$3,IF(EDATE('Rate &amp; Vol Update'!$C$2,_xlfn.FLOOR.MATH(DATEDIF('Rate &amp; Vol Update'!$C$2,MAX('Bank Adjustments'!$O$4:$O$103),"M"),3,2))&gt;MAX('Bank Adjustments'!$O$4:$O$103),EDATE('Rate &amp; Vol Update'!$C$2,_xlfn.FLOOR.MATH(DATEDIF('Rate &amp; Vol Update'!$C$2,MAX('Bank Adjustments'!$O$4:$O$103),"M")-3,3,2)),EDATE('Rate &amp; Vol Update'!$C$2,_xlfn.FLOOR.MATH(DATEDIF('Rate &amp; Vol Update'!$C$2,MAX('Bank Adjustments'!$O$4:$O$103),"M"),3,2))),"Unkown Option Type")),AL14=""),"",EDATE(AL14,3))</f>
        <v/>
      </c>
      <c r="AN15" s="176"/>
      <c r="AO15" s="180" t="str" cm="1">
        <f t="array" ref="AO15">IF(OR(AO$3="",$AN15=""),"",INDEX(IF($C$2='Data Validation'!$A$2,'Bank Adjustments'!$H$4:$H$103,IF('Adjustment Surface'!$C$2='Data Validation'!$A$3,'Bank Adjustments'!$R$4:$R$103,"Unknown Option Type")),MATCH(1,($AN15=IF($C$2='Data Validation'!$A$2,'Bank Adjustments'!$C$4:$C$103,IF('Adjustment Surface'!$C$2='Data Validation'!$A$3,'Bank Adjustments'!$M$4:$M$103,"Unknown Option Type")))*(AO$3=IF($C$2='Data Validation'!$A$2,'Bank Adjustments'!$E$4:$E$103,IF('Adjustment Surface'!$C$2='Data Validation'!$A$3,'Bank Adjustments'!$O$4:$O$103,"Unknown Option Type"))),0)))</f>
        <v/>
      </c>
      <c r="AP15" s="181" t="str" cm="1">
        <f t="array" ref="AP15">IF(OR(AP$3="",$AN15=""),"",INDEX(IF($C$2='Data Validation'!$A$2,'Bank Adjustments'!$H$4:$H$103,IF('Adjustment Surface'!$C$2='Data Validation'!$A$3,'Bank Adjustments'!$R$4:$R$103,"Unknown Option Type")),MATCH(1,($AN15=IF($C$2='Data Validation'!$A$2,'Bank Adjustments'!$C$4:$C$103,IF('Adjustment Surface'!$C$2='Data Validation'!$A$3,'Bank Adjustments'!$M$4:$M$103,"Unknown Option Type")))*(AP$3=IF($C$2='Data Validation'!$A$2,'Bank Adjustments'!$E$4:$E$103,IF('Adjustment Surface'!$C$2='Data Validation'!$A$3,'Bank Adjustments'!$O$4:$O$103,"Unknown Option Type"))),0)))</f>
        <v/>
      </c>
      <c r="AQ15" s="181" t="str" cm="1">
        <f t="array" ref="AQ15">IF(OR(AQ$3="",$AN15=""),"",INDEX(IF($C$2='Data Validation'!$A$2,'Bank Adjustments'!$H$4:$H$103,IF('Adjustment Surface'!$C$2='Data Validation'!$A$3,'Bank Adjustments'!$R$4:$R$103,"Unknown Option Type")),MATCH(1,($AN15=IF($C$2='Data Validation'!$A$2,'Bank Adjustments'!$C$4:$C$103,IF('Adjustment Surface'!$C$2='Data Validation'!$A$3,'Bank Adjustments'!$M$4:$M$103,"Unknown Option Type")))*(AQ$3=IF($C$2='Data Validation'!$A$2,'Bank Adjustments'!$E$4:$E$103,IF('Adjustment Surface'!$C$2='Data Validation'!$A$3,'Bank Adjustments'!$O$4:$O$103,"Unknown Option Type"))),0)))</f>
        <v/>
      </c>
      <c r="AR15" s="181" t="str" cm="1">
        <f t="array" ref="AR15">IF(OR(AR$3="",$AN15=""),"",INDEX(IF($C$2='Data Validation'!$A$2,'Bank Adjustments'!$H$4:$H$103,IF('Adjustment Surface'!$C$2='Data Validation'!$A$3,'Bank Adjustments'!$R$4:$R$103,"Unknown Option Type")),MATCH(1,($AN15=IF($C$2='Data Validation'!$A$2,'Bank Adjustments'!$C$4:$C$103,IF('Adjustment Surface'!$C$2='Data Validation'!$A$3,'Bank Adjustments'!$M$4:$M$103,"Unknown Option Type")))*(AR$3=IF($C$2='Data Validation'!$A$2,'Bank Adjustments'!$E$4:$E$103,IF('Adjustment Surface'!$C$2='Data Validation'!$A$3,'Bank Adjustments'!$O$4:$O$103,"Unknown Option Type"))),0)))</f>
        <v/>
      </c>
      <c r="AS15" s="181" t="str" cm="1">
        <f t="array" ref="AS15">IF(OR(AS$3="",$AN15=""),"",INDEX(IF($C$2='Data Validation'!$A$2,'Bank Adjustments'!$H$4:$H$103,IF('Adjustment Surface'!$C$2='Data Validation'!$A$3,'Bank Adjustments'!$R$4:$R$103,"Unknown Option Type")),MATCH(1,($AN15=IF($C$2='Data Validation'!$A$2,'Bank Adjustments'!$C$4:$C$103,IF('Adjustment Surface'!$C$2='Data Validation'!$A$3,'Bank Adjustments'!$M$4:$M$103,"Unknown Option Type")))*(AS$3=IF($C$2='Data Validation'!$A$2,'Bank Adjustments'!$E$4:$E$103,IF('Adjustment Surface'!$C$2='Data Validation'!$A$3,'Bank Adjustments'!$O$4:$O$103,"Unknown Option Type"))),0)))</f>
        <v/>
      </c>
      <c r="AT15" s="181" t="str" cm="1">
        <f t="array" ref="AT15">IF(OR(AT$3="",$AN15=""),"",INDEX(IF($C$2='Data Validation'!$A$2,'Bank Adjustments'!$H$4:$H$103,IF('Adjustment Surface'!$C$2='Data Validation'!$A$3,'Bank Adjustments'!$R$4:$R$103,"Unknown Option Type")),MATCH(1,($AN15=IF($C$2='Data Validation'!$A$2,'Bank Adjustments'!$C$4:$C$103,IF('Adjustment Surface'!$C$2='Data Validation'!$A$3,'Bank Adjustments'!$M$4:$M$103,"Unknown Option Type")))*(AT$3=IF($C$2='Data Validation'!$A$2,'Bank Adjustments'!$E$4:$E$103,IF('Adjustment Surface'!$C$2='Data Validation'!$A$3,'Bank Adjustments'!$O$4:$O$103,"Unknown Option Type"))),0)))</f>
        <v/>
      </c>
      <c r="AU15" s="181" t="str" cm="1">
        <f t="array" ref="AU15">IF(OR(AU$3="",$AN15=""),"",INDEX(IF($C$2='Data Validation'!$A$2,'Bank Adjustments'!$H$4:$H$103,IF('Adjustment Surface'!$C$2='Data Validation'!$A$3,'Bank Adjustments'!$R$4:$R$103,"Unknown Option Type")),MATCH(1,($AN15=IF($C$2='Data Validation'!$A$2,'Bank Adjustments'!$C$4:$C$103,IF('Adjustment Surface'!$C$2='Data Validation'!$A$3,'Bank Adjustments'!$M$4:$M$103,"Unknown Option Type")))*(AU$3=IF($C$2='Data Validation'!$A$2,'Bank Adjustments'!$E$4:$E$103,IF('Adjustment Surface'!$C$2='Data Validation'!$A$3,'Bank Adjustments'!$O$4:$O$103,"Unknown Option Type"))),0)))</f>
        <v/>
      </c>
      <c r="AV15" s="181" t="str" cm="1">
        <f t="array" ref="AV15">IF(OR(AV$3="",$AN15=""),"",INDEX(IF($C$2='Data Validation'!$A$2,'Bank Adjustments'!$H$4:$H$103,IF('Adjustment Surface'!$C$2='Data Validation'!$A$3,'Bank Adjustments'!$R$4:$R$103,"Unknown Option Type")),MATCH(1,($AN15=IF($C$2='Data Validation'!$A$2,'Bank Adjustments'!$C$4:$C$103,IF('Adjustment Surface'!$C$2='Data Validation'!$A$3,'Bank Adjustments'!$M$4:$M$103,"Unknown Option Type")))*(AV$3=IF($C$2='Data Validation'!$A$2,'Bank Adjustments'!$E$4:$E$103,IF('Adjustment Surface'!$C$2='Data Validation'!$A$3,'Bank Adjustments'!$O$4:$O$103,"Unknown Option Type"))),0)))</f>
        <v/>
      </c>
      <c r="AW15" s="181" t="str" cm="1">
        <f t="array" ref="AW15">IF(OR(AW$3="",$AN15=""),"",INDEX(IF($C$2='Data Validation'!$A$2,'Bank Adjustments'!$H$4:$H$103,IF('Adjustment Surface'!$C$2='Data Validation'!$A$3,'Bank Adjustments'!$R$4:$R$103,"Unknown Option Type")),MATCH(1,($AN15=IF($C$2='Data Validation'!$A$2,'Bank Adjustments'!$C$4:$C$103,IF('Adjustment Surface'!$C$2='Data Validation'!$A$3,'Bank Adjustments'!$M$4:$M$103,"Unknown Option Type")))*(AW$3=IF($C$2='Data Validation'!$A$2,'Bank Adjustments'!$E$4:$E$103,IF('Adjustment Surface'!$C$2='Data Validation'!$A$3,'Bank Adjustments'!$O$4:$O$103,"Unknown Option Type"))),0)))</f>
        <v/>
      </c>
      <c r="AX15" s="181" t="str" cm="1">
        <f t="array" ref="AX15">IF(OR(AX$3="",$AN15=""),"",INDEX(IF($C$2='Data Validation'!$A$2,'Bank Adjustments'!$H$4:$H$103,IF('Adjustment Surface'!$C$2='Data Validation'!$A$3,'Bank Adjustments'!$R$4:$R$103,"Unknown Option Type")),MATCH(1,($AN15=IF($C$2='Data Validation'!$A$2,'Bank Adjustments'!$C$4:$C$103,IF('Adjustment Surface'!$C$2='Data Validation'!$A$3,'Bank Adjustments'!$M$4:$M$103,"Unknown Option Type")))*(AX$3=IF($C$2='Data Validation'!$A$2,'Bank Adjustments'!$E$4:$E$103,IF('Adjustment Surface'!$C$2='Data Validation'!$A$3,'Bank Adjustments'!$O$4:$O$103,"Unknown Option Type"))),0)))</f>
        <v/>
      </c>
      <c r="AY15" s="181" t="str" cm="1">
        <f t="array" ref="AY15">IF(OR(AY$3="",$AN15=""),"",INDEX(IF($C$2='Data Validation'!$A$2,'Bank Adjustments'!$H$4:$H$103,IF('Adjustment Surface'!$C$2='Data Validation'!$A$3,'Bank Adjustments'!$R$4:$R$103,"Unknown Option Type")),MATCH(1,($AN15=IF($C$2='Data Validation'!$A$2,'Bank Adjustments'!$C$4:$C$103,IF('Adjustment Surface'!$C$2='Data Validation'!$A$3,'Bank Adjustments'!$M$4:$M$103,"Unknown Option Type")))*(AY$3=IF($C$2='Data Validation'!$A$2,'Bank Adjustments'!$E$4:$E$103,IF('Adjustment Surface'!$C$2='Data Validation'!$A$3,'Bank Adjustments'!$O$4:$O$103,"Unknown Option Type"))),0)))</f>
        <v/>
      </c>
      <c r="AZ15" s="181" t="str" cm="1">
        <f t="array" ref="AZ15">IF(OR(AZ$3="",$AN15=""),"",INDEX(IF($C$2='Data Validation'!$A$2,'Bank Adjustments'!$H$4:$H$103,IF('Adjustment Surface'!$C$2='Data Validation'!$A$3,'Bank Adjustments'!$R$4:$R$103,"Unknown Option Type")),MATCH(1,($AN15=IF($C$2='Data Validation'!$A$2,'Bank Adjustments'!$C$4:$C$103,IF('Adjustment Surface'!$C$2='Data Validation'!$A$3,'Bank Adjustments'!$M$4:$M$103,"Unknown Option Type")))*(AZ$3=IF($C$2='Data Validation'!$A$2,'Bank Adjustments'!$E$4:$E$103,IF('Adjustment Surface'!$C$2='Data Validation'!$A$3,'Bank Adjustments'!$O$4:$O$103,"Unknown Option Type"))),0)))</f>
        <v/>
      </c>
      <c r="BA15" s="181" t="str" cm="1">
        <f t="array" ref="BA15">IF(OR(BA$3="",$AN15=""),"",INDEX(IF($C$2='Data Validation'!$A$2,'Bank Adjustments'!$H$4:$H$103,IF('Adjustment Surface'!$C$2='Data Validation'!$A$3,'Bank Adjustments'!$R$4:$R$103,"Unknown Option Type")),MATCH(1,($AN15=IF($C$2='Data Validation'!$A$2,'Bank Adjustments'!$C$4:$C$103,IF('Adjustment Surface'!$C$2='Data Validation'!$A$3,'Bank Adjustments'!$M$4:$M$103,"Unknown Option Type")))*(BA$3=IF($C$2='Data Validation'!$A$2,'Bank Adjustments'!$E$4:$E$103,IF('Adjustment Surface'!$C$2='Data Validation'!$A$3,'Bank Adjustments'!$O$4:$O$103,"Unknown Option Type"))),0)))</f>
        <v/>
      </c>
      <c r="BB15" s="181" t="str" cm="1">
        <f t="array" ref="BB15">IF(OR(BB$3="",$AN15=""),"",INDEX(IF($C$2='Data Validation'!$A$2,'Bank Adjustments'!$H$4:$H$103,IF('Adjustment Surface'!$C$2='Data Validation'!$A$3,'Bank Adjustments'!$R$4:$R$103,"Unknown Option Type")),MATCH(1,($AN15=IF($C$2='Data Validation'!$A$2,'Bank Adjustments'!$C$4:$C$103,IF('Adjustment Surface'!$C$2='Data Validation'!$A$3,'Bank Adjustments'!$M$4:$M$103,"Unknown Option Type")))*(BB$3=IF($C$2='Data Validation'!$A$2,'Bank Adjustments'!$E$4:$E$103,IF('Adjustment Surface'!$C$2='Data Validation'!$A$3,'Bank Adjustments'!$O$4:$O$103,"Unknown Option Type"))),0)))</f>
        <v/>
      </c>
      <c r="BC15" s="181" t="str" cm="1">
        <f t="array" ref="BC15">IF(OR(BC$3="",$AN15=""),"",INDEX(IF($C$2='Data Validation'!$A$2,'Bank Adjustments'!$H$4:$H$103,IF('Adjustment Surface'!$C$2='Data Validation'!$A$3,'Bank Adjustments'!$R$4:$R$103,"Unknown Option Type")),MATCH(1,($AN15=IF($C$2='Data Validation'!$A$2,'Bank Adjustments'!$C$4:$C$103,IF('Adjustment Surface'!$C$2='Data Validation'!$A$3,'Bank Adjustments'!$M$4:$M$103,"Unknown Option Type")))*(BC$3=IF($C$2='Data Validation'!$A$2,'Bank Adjustments'!$E$4:$E$103,IF('Adjustment Surface'!$C$2='Data Validation'!$A$3,'Bank Adjustments'!$O$4:$O$103,"Unknown Option Type"))),0)))</f>
        <v/>
      </c>
      <c r="BD15" s="181" t="str" cm="1">
        <f t="array" ref="BD15">IF(OR(BD$3="",$AN15=""),"",INDEX(IF($C$2='Data Validation'!$A$2,'Bank Adjustments'!$H$4:$H$103,IF('Adjustment Surface'!$C$2='Data Validation'!$A$3,'Bank Adjustments'!$R$4:$R$103,"Unknown Option Type")),MATCH(1,($AN15=IF($C$2='Data Validation'!$A$2,'Bank Adjustments'!$C$4:$C$103,IF('Adjustment Surface'!$C$2='Data Validation'!$A$3,'Bank Adjustments'!$M$4:$M$103,"Unknown Option Type")))*(BD$3=IF($C$2='Data Validation'!$A$2,'Bank Adjustments'!$E$4:$E$103,IF('Adjustment Surface'!$C$2='Data Validation'!$A$3,'Bank Adjustments'!$O$4:$O$103,"Unknown Option Type"))),0)))</f>
        <v/>
      </c>
      <c r="BE15" s="181" t="str" cm="1">
        <f t="array" ref="BE15">IF(OR(BE$3="",$AN15=""),"",INDEX(IF($C$2='Data Validation'!$A$2,'Bank Adjustments'!$H$4:$H$103,IF('Adjustment Surface'!$C$2='Data Validation'!$A$3,'Bank Adjustments'!$R$4:$R$103,"Unknown Option Type")),MATCH(1,($AN15=IF($C$2='Data Validation'!$A$2,'Bank Adjustments'!$C$4:$C$103,IF('Adjustment Surface'!$C$2='Data Validation'!$A$3,'Bank Adjustments'!$M$4:$M$103,"Unknown Option Type")))*(BE$3=IF($C$2='Data Validation'!$A$2,'Bank Adjustments'!$E$4:$E$103,IF('Adjustment Surface'!$C$2='Data Validation'!$A$3,'Bank Adjustments'!$O$4:$O$103,"Unknown Option Type"))),0)))</f>
        <v/>
      </c>
      <c r="BF15" s="181" t="str" cm="1">
        <f t="array" ref="BF15">IF(OR(BF$3="",$AN15=""),"",INDEX(IF($C$2='Data Validation'!$A$2,'Bank Adjustments'!$H$4:$H$103,IF('Adjustment Surface'!$C$2='Data Validation'!$A$3,'Bank Adjustments'!$R$4:$R$103,"Unknown Option Type")),MATCH(1,($AN15=IF($C$2='Data Validation'!$A$2,'Bank Adjustments'!$C$4:$C$103,IF('Adjustment Surface'!$C$2='Data Validation'!$A$3,'Bank Adjustments'!$M$4:$M$103,"Unknown Option Type")))*(BF$3=IF($C$2='Data Validation'!$A$2,'Bank Adjustments'!$E$4:$E$103,IF('Adjustment Surface'!$C$2='Data Validation'!$A$3,'Bank Adjustments'!$O$4:$O$103,"Unknown Option Type"))),0)))</f>
        <v/>
      </c>
      <c r="BG15" s="181" t="str" cm="1">
        <f t="array" ref="BG15">IF(OR(BG$3="",$AN15=""),"",INDEX(IF($C$2='Data Validation'!$A$2,'Bank Adjustments'!$H$4:$H$103,IF('Adjustment Surface'!$C$2='Data Validation'!$A$3,'Bank Adjustments'!$R$4:$R$103,"Unknown Option Type")),MATCH(1,($AN15=IF($C$2='Data Validation'!$A$2,'Bank Adjustments'!$C$4:$C$103,IF('Adjustment Surface'!$C$2='Data Validation'!$A$3,'Bank Adjustments'!$M$4:$M$103,"Unknown Option Type")))*(BG$3=IF($C$2='Data Validation'!$A$2,'Bank Adjustments'!$E$4:$E$103,IF('Adjustment Surface'!$C$2='Data Validation'!$A$3,'Bank Adjustments'!$O$4:$O$103,"Unknown Option Type"))),0)))</f>
        <v/>
      </c>
      <c r="BH15" s="182" t="str" cm="1">
        <f t="array" ref="BH15">IF(OR(BH$3="",$AN15=""),"",INDEX(IF($C$2='Data Validation'!$A$2,'Bank Adjustments'!$H$4:$H$103,IF('Adjustment Surface'!$C$2='Data Validation'!$A$3,'Bank Adjustments'!$R$4:$R$103,"Unknown Option Type")),MATCH(1,($AN15=IF($C$2='Data Validation'!$A$2,'Bank Adjustments'!$C$4:$C$103,IF('Adjustment Surface'!$C$2='Data Validation'!$A$3,'Bank Adjustments'!$M$4:$M$103,"Unknown Option Type")))*(BH$3=IF($C$2='Data Validation'!$A$2,'Bank Adjustments'!$E$4:$E$103,IF('Adjustment Surface'!$C$2='Data Validation'!$A$3,'Bank Adjustments'!$O$4:$O$103,"Unknown Option Type"))),0)))</f>
        <v/>
      </c>
    </row>
    <row r="16" spans="2:61" x14ac:dyDescent="0.25">
      <c r="B16" s="81">
        <f>IF('Control Panel'!$C$3='Data Validation'!$J$2,#REF!,'Cap and Floor Pricer'!G19)</f>
        <v>0.04</v>
      </c>
      <c r="C16" s="14">
        <f>'Bachelier Model'!C5</f>
        <v>5325.380319487309</v>
      </c>
      <c r="D16" s="14">
        <f>'Bachelier Model'!D5</f>
        <v>30522.906748097321</v>
      </c>
      <c r="E16" s="14">
        <f>'Bachelier Model'!E5</f>
        <v>94346.051621764578</v>
      </c>
      <c r="F16" s="14">
        <f>'Bachelier Model'!F5</f>
        <v>193375.26671352843</v>
      </c>
      <c r="G16" s="64"/>
      <c r="H16" s="171"/>
      <c r="I16" s="61" t="str">
        <f t="shared" si="1"/>
        <v/>
      </c>
      <c r="J16" s="212" t="str">
        <f t="shared" si="1"/>
        <v/>
      </c>
      <c r="K16" s="212" t="str">
        <f t="shared" si="1"/>
        <v/>
      </c>
      <c r="L16" s="212" t="str">
        <f t="shared" si="1"/>
        <v/>
      </c>
      <c r="M16" s="63" t="str">
        <f t="shared" si="1"/>
        <v/>
      </c>
      <c r="O16" s="176"/>
      <c r="P16" s="180" t="str" cm="1">
        <f t="array" ref="P16">IF(OR(P$3="",$O16=""),"",1/((INDEX('Adjustment Surface'!$AN$4:$AN$23,MATCH(('Adjustment Surface'!$O16),'Adjustment Surface'!$AN$4:$AN$23,1)+IF('Adjustment Surface'!$O17="",-1,1))-INDEX('Adjustment Surface'!$AN$4:$AN$23,MATCH(('Adjustment Surface'!$O16),'Adjustment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Surface'!$O16),'Adjustment Surface'!$AN$4:$AN$23,1)),$AN$4:$AN$23,0),MATCH(INDEX('Adjustment Surface'!$AO$3:$BH$3,1,MATCH(('Adjustment Surface'!P$3),'Adjustment Surface'!$AO$3:$BH$3,1)),$AO$3:$BH$3,0))*(INDEX('Adjustment Surface'!$AN$4:$AN$23,MATCH(('Adjustment Surface'!$O16),'Adjustment Surface'!$AN$4:$AN$23,1)+IF('Adjustment Surface'!$O17="",-1,1))-'Adjustment Surface'!$O16)*(INDEX('Adjustment Surface'!$AO$3:$BH$3,1,MATCH(('Adjustment Surface'!P$3),'Adjustment Surface'!$AO$3:$BH$3,1)+IF('Adjustment Surface'!Q$3="",-1,1))-'Adjustment Surface'!P$3)+INDEX($AO$4:$BH$23,MATCH(INDEX('Adjustment Surface'!$AN$4:$AN$23,MATCH(('Adjustment Surface'!$O16),'Adjustment Surface'!$AN$4:$AN$23,1)+IF('Adjustment Surface'!$O17="",-1,1)),$AN$4:$AN$23,0),MATCH(INDEX('Adjustment Surface'!$AO$3:$BH$3,1,MATCH(('Adjustment Surface'!P$3),'Adjustment Surface'!$AO$3:$BH$3,1)),$AO$3:$BH$3,0))*('Adjustment Surface'!$O16-INDEX('Adjustment Surface'!$AN$4:$AN$23,MATCH(('Adjustment Surface'!$O16),'Adjustment Surface'!$AN$4:$AN$23,1)))*(INDEX('Adjustment Surface'!$AO$3:$BH$3,1,MATCH(('Adjustment Surface'!P$3),'Adjustment Surface'!$AO$3:$BH$3,1)+IF('Adjustment Surface'!Q$3="",-1,1))-'Adjustment Surface'!P$3)+INDEX($AO$4:$BH$23,MATCH(INDEX('Adjustment Surface'!$AN$4:$AN$23,MATCH(('Adjustment Surface'!$O16),'Adjustment Surface'!$AN$4:$AN$23,1)),$AN$4:$AN$23,0),MATCH(INDEX('Adjustment Surface'!$AO$3:$BH$3,1,MATCH(('Adjustment Surface'!P$3),'Adjustment Surface'!$AO$3:$BH$3,1)+IF('Adjustment Surface'!Q$3="",-1,1)),$AO$3:$BH$3,0))*(INDEX('Adjustment Surface'!$AN$4:$AN$23,MATCH(('Adjustment Surface'!$O16),'Adjustment Surface'!$AN$4:$AN$23,1)+IF('Adjustment Surface'!$O17="",-1,1))-'Adjustment Surface'!$O16)*('Adjustment Surface'!P$3-INDEX('Adjustment Surface'!$AO$3:$BH$3,1,MATCH(('Adjustment Surface'!P$3),'Adjustment Surface'!$AO$3:$BH$3,1)))+INDEX($AO$4:$BH$23,MATCH(INDEX('Adjustment Surface'!$AN$4:$AN$23,MATCH(('Adjustment Surface'!$O16),'Adjustment Surface'!$AN$4:$AN$23,1)+IF('Adjustment Surface'!$O17="",-1,1)),$AN$4:$AN$23,0),MATCH(INDEX('Adjustment Surface'!$AO$3:$BH$3,1,MATCH(('Adjustment Surface'!P$3),'Adjustment Surface'!$AO$3:$BH$3,1)+IF('Adjustment Surface'!Q$3="",-1,1)),$AO$3:$BH$3,0))*('Adjustment Surface'!$O16-INDEX('Adjustment Surface'!$AN$4:$AN$23,MATCH(('Adjustment Surface'!$O16),'Adjustment Surface'!$AN$4:$AN$23,1)))*('Adjustment Surface'!P$3-INDEX('Adjustment Surface'!$AO$3:$BH$3,1,MATCH(('Adjustment Surface'!P$3),'Adjustment Surface'!$AO$3:$BH$3,1)))))</f>
        <v/>
      </c>
      <c r="Q16" s="181" t="str" cm="1">
        <f t="array" ref="Q16">IF(OR(Q$3="",$O16=""),"",1/((INDEX('Adjustment Surface'!$AN$4:$AN$23,MATCH(('Adjustment Surface'!$O16),'Adjustment Surface'!$AN$4:$AN$23,1)+IF('Adjustment Surface'!$O17="",-1,1))-INDEX('Adjustment Surface'!$AN$4:$AN$23,MATCH(('Adjustment Surface'!$O16),'Adjustment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Surface'!$O16),'Adjustment Surface'!$AN$4:$AN$23,1)),$AN$4:$AN$23,0),MATCH(INDEX('Adjustment Surface'!$AO$3:$BH$3,1,MATCH(('Adjustment Surface'!Q$3),'Adjustment Surface'!$AO$3:$BH$3,1)),$AO$3:$BH$3,0))*(INDEX('Adjustment Surface'!$AN$4:$AN$23,MATCH(('Adjustment Surface'!$O16),'Adjustment Surface'!$AN$4:$AN$23,1)+IF('Adjustment Surface'!$O17="",-1,1))-'Adjustment Surface'!$O16)*(INDEX('Adjustment Surface'!$AO$3:$BH$3,1,MATCH(('Adjustment Surface'!Q$3),'Adjustment Surface'!$AO$3:$BH$3,1)+IF('Adjustment Surface'!R$3="",-1,1))-'Adjustment Surface'!Q$3)+INDEX($AO$4:$BH$23,MATCH(INDEX('Adjustment Surface'!$AN$4:$AN$23,MATCH(('Adjustment Surface'!$O16),'Adjustment Surface'!$AN$4:$AN$23,1)+IF('Adjustment Surface'!$O17="",-1,1)),$AN$4:$AN$23,0),MATCH(INDEX('Adjustment Surface'!$AO$3:$BH$3,1,MATCH(('Adjustment Surface'!Q$3),'Adjustment Surface'!$AO$3:$BH$3,1)),$AO$3:$BH$3,0))*('Adjustment Surface'!$O16-INDEX('Adjustment Surface'!$AN$4:$AN$23,MATCH(('Adjustment Surface'!$O16),'Adjustment Surface'!$AN$4:$AN$23,1)))*(INDEX('Adjustment Surface'!$AO$3:$BH$3,1,MATCH(('Adjustment Surface'!Q$3),'Adjustment Surface'!$AO$3:$BH$3,1)+IF('Adjustment Surface'!R$3="",-1,1))-'Adjustment Surface'!Q$3)+INDEX($AO$4:$BH$23,MATCH(INDEX('Adjustment Surface'!$AN$4:$AN$23,MATCH(('Adjustment Surface'!$O16),'Adjustment Surface'!$AN$4:$AN$23,1)),$AN$4:$AN$23,0),MATCH(INDEX('Adjustment Surface'!$AO$3:$BH$3,1,MATCH(('Adjustment Surface'!Q$3),'Adjustment Surface'!$AO$3:$BH$3,1)+IF('Adjustment Surface'!R$3="",-1,1)),$AO$3:$BH$3,0))*(INDEX('Adjustment Surface'!$AN$4:$AN$23,MATCH(('Adjustment Surface'!$O16),'Adjustment Surface'!$AN$4:$AN$23,1)+IF('Adjustment Surface'!$O17="",-1,1))-'Adjustment Surface'!$O16)*('Adjustment Surface'!Q$3-INDEX('Adjustment Surface'!$AO$3:$BH$3,1,MATCH(('Adjustment Surface'!Q$3),'Adjustment Surface'!$AO$3:$BH$3,1)))+INDEX($AO$4:$BH$23,MATCH(INDEX('Adjustment Surface'!$AN$4:$AN$23,MATCH(('Adjustment Surface'!$O16),'Adjustment Surface'!$AN$4:$AN$23,1)+IF('Adjustment Surface'!$O17="",-1,1)),$AN$4:$AN$23,0),MATCH(INDEX('Adjustment Surface'!$AO$3:$BH$3,1,MATCH(('Adjustment Surface'!Q$3),'Adjustment Surface'!$AO$3:$BH$3,1)+IF('Adjustment Surface'!R$3="",-1,1)),$AO$3:$BH$3,0))*('Adjustment Surface'!$O16-INDEX('Adjustment Surface'!$AN$4:$AN$23,MATCH(('Adjustment Surface'!$O16),'Adjustment Surface'!$AN$4:$AN$23,1)))*('Adjustment Surface'!Q$3-INDEX('Adjustment Surface'!$AO$3:$BH$3,1,MATCH(('Adjustment Surface'!Q$3),'Adjustment Surface'!$AO$3:$BH$3,1)))))</f>
        <v/>
      </c>
      <c r="R16" s="181" t="str" cm="1">
        <f t="array" ref="R16">IF(OR(R$3="",$O16=""),"",1/((INDEX('Adjustment Surface'!$AN$4:$AN$23,MATCH(('Adjustment Surface'!$O16),'Adjustment Surface'!$AN$4:$AN$23,1)+IF('Adjustment Surface'!$O17="",-1,1))-INDEX('Adjustment Surface'!$AN$4:$AN$23,MATCH(('Adjustment Surface'!$O16),'Adjustment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Surface'!$O16),'Adjustment Surface'!$AN$4:$AN$23,1)),$AN$4:$AN$23,0),MATCH(INDEX('Adjustment Surface'!$AO$3:$BH$3,1,MATCH(('Adjustment Surface'!R$3),'Adjustment Surface'!$AO$3:$BH$3,1)),$AO$3:$BH$3,0))*(INDEX('Adjustment Surface'!$AN$4:$AN$23,MATCH(('Adjustment Surface'!$O16),'Adjustment Surface'!$AN$4:$AN$23,1)+IF('Adjustment Surface'!$O17="",-1,1))-'Adjustment Surface'!$O16)*(INDEX('Adjustment Surface'!$AO$3:$BH$3,1,MATCH(('Adjustment Surface'!R$3),'Adjustment Surface'!$AO$3:$BH$3,1)+IF('Adjustment Surface'!S$3="",-1,1))-'Adjustment Surface'!R$3)+INDEX($AO$4:$BH$23,MATCH(INDEX('Adjustment Surface'!$AN$4:$AN$23,MATCH(('Adjustment Surface'!$O16),'Adjustment Surface'!$AN$4:$AN$23,1)+IF('Adjustment Surface'!$O17="",-1,1)),$AN$4:$AN$23,0),MATCH(INDEX('Adjustment Surface'!$AO$3:$BH$3,1,MATCH(('Adjustment Surface'!R$3),'Adjustment Surface'!$AO$3:$BH$3,1)),$AO$3:$BH$3,0))*('Adjustment Surface'!$O16-INDEX('Adjustment Surface'!$AN$4:$AN$23,MATCH(('Adjustment Surface'!$O16),'Adjustment Surface'!$AN$4:$AN$23,1)))*(INDEX('Adjustment Surface'!$AO$3:$BH$3,1,MATCH(('Adjustment Surface'!R$3),'Adjustment Surface'!$AO$3:$BH$3,1)+IF('Adjustment Surface'!S$3="",-1,1))-'Adjustment Surface'!R$3)+INDEX($AO$4:$BH$23,MATCH(INDEX('Adjustment Surface'!$AN$4:$AN$23,MATCH(('Adjustment Surface'!$O16),'Adjustment Surface'!$AN$4:$AN$23,1)),$AN$4:$AN$23,0),MATCH(INDEX('Adjustment Surface'!$AO$3:$BH$3,1,MATCH(('Adjustment Surface'!R$3),'Adjustment Surface'!$AO$3:$BH$3,1)+IF('Adjustment Surface'!S$3="",-1,1)),$AO$3:$BH$3,0))*(INDEX('Adjustment Surface'!$AN$4:$AN$23,MATCH(('Adjustment Surface'!$O16),'Adjustment Surface'!$AN$4:$AN$23,1)+IF('Adjustment Surface'!$O17="",-1,1))-'Adjustment Surface'!$O16)*('Adjustment Surface'!R$3-INDEX('Adjustment Surface'!$AO$3:$BH$3,1,MATCH(('Adjustment Surface'!R$3),'Adjustment Surface'!$AO$3:$BH$3,1)))+INDEX($AO$4:$BH$23,MATCH(INDEX('Adjustment Surface'!$AN$4:$AN$23,MATCH(('Adjustment Surface'!$O16),'Adjustment Surface'!$AN$4:$AN$23,1)+IF('Adjustment Surface'!$O17="",-1,1)),$AN$4:$AN$23,0),MATCH(INDEX('Adjustment Surface'!$AO$3:$BH$3,1,MATCH(('Adjustment Surface'!R$3),'Adjustment Surface'!$AO$3:$BH$3,1)+IF('Adjustment Surface'!S$3="",-1,1)),$AO$3:$BH$3,0))*('Adjustment Surface'!$O16-INDEX('Adjustment Surface'!$AN$4:$AN$23,MATCH(('Adjustment Surface'!$O16),'Adjustment Surface'!$AN$4:$AN$23,1)))*('Adjustment Surface'!R$3-INDEX('Adjustment Surface'!$AO$3:$BH$3,1,MATCH(('Adjustment Surface'!R$3),'Adjustment Surface'!$AO$3:$BH$3,1)))))</f>
        <v/>
      </c>
      <c r="S16" s="181" t="str" cm="1">
        <f t="array" ref="S16">IF(OR(S$3="",$O16=""),"",1/((INDEX('Adjustment Surface'!$AN$4:$AN$23,MATCH(('Adjustment Surface'!$O16),'Adjustment Surface'!$AN$4:$AN$23,1)+IF('Adjustment Surface'!$O17="",-1,1))-INDEX('Adjustment Surface'!$AN$4:$AN$23,MATCH(('Adjustment Surface'!$O16),'Adjustment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Surface'!$O16),'Adjustment Surface'!$AN$4:$AN$23,1)),$AN$4:$AN$23,0),MATCH(INDEX('Adjustment Surface'!$AO$3:$BH$3,1,MATCH(('Adjustment Surface'!S$3),'Adjustment Surface'!$AO$3:$BH$3,1)),$AO$3:$BH$3,0))*(INDEX('Adjustment Surface'!$AN$4:$AN$23,MATCH(('Adjustment Surface'!$O16),'Adjustment Surface'!$AN$4:$AN$23,1)+IF('Adjustment Surface'!$O17="",-1,1))-'Adjustment Surface'!$O16)*(INDEX('Adjustment Surface'!$AO$3:$BH$3,1,MATCH(('Adjustment Surface'!S$3),'Adjustment Surface'!$AO$3:$BH$3,1)+IF('Adjustment Surface'!T$3="",-1,1))-'Adjustment Surface'!S$3)+INDEX($AO$4:$BH$23,MATCH(INDEX('Adjustment Surface'!$AN$4:$AN$23,MATCH(('Adjustment Surface'!$O16),'Adjustment Surface'!$AN$4:$AN$23,1)+IF('Adjustment Surface'!$O17="",-1,1)),$AN$4:$AN$23,0),MATCH(INDEX('Adjustment Surface'!$AO$3:$BH$3,1,MATCH(('Adjustment Surface'!S$3),'Adjustment Surface'!$AO$3:$BH$3,1)),$AO$3:$BH$3,0))*('Adjustment Surface'!$O16-INDEX('Adjustment Surface'!$AN$4:$AN$23,MATCH(('Adjustment Surface'!$O16),'Adjustment Surface'!$AN$4:$AN$23,1)))*(INDEX('Adjustment Surface'!$AO$3:$BH$3,1,MATCH(('Adjustment Surface'!S$3),'Adjustment Surface'!$AO$3:$BH$3,1)+IF('Adjustment Surface'!T$3="",-1,1))-'Adjustment Surface'!S$3)+INDEX($AO$4:$BH$23,MATCH(INDEX('Adjustment Surface'!$AN$4:$AN$23,MATCH(('Adjustment Surface'!$O16),'Adjustment Surface'!$AN$4:$AN$23,1)),$AN$4:$AN$23,0),MATCH(INDEX('Adjustment Surface'!$AO$3:$BH$3,1,MATCH(('Adjustment Surface'!S$3),'Adjustment Surface'!$AO$3:$BH$3,1)+IF('Adjustment Surface'!T$3="",-1,1)),$AO$3:$BH$3,0))*(INDEX('Adjustment Surface'!$AN$4:$AN$23,MATCH(('Adjustment Surface'!$O16),'Adjustment Surface'!$AN$4:$AN$23,1)+IF('Adjustment Surface'!$O17="",-1,1))-'Adjustment Surface'!$O16)*('Adjustment Surface'!S$3-INDEX('Adjustment Surface'!$AO$3:$BH$3,1,MATCH(('Adjustment Surface'!S$3),'Adjustment Surface'!$AO$3:$BH$3,1)))+INDEX($AO$4:$BH$23,MATCH(INDEX('Adjustment Surface'!$AN$4:$AN$23,MATCH(('Adjustment Surface'!$O16),'Adjustment Surface'!$AN$4:$AN$23,1)+IF('Adjustment Surface'!$O17="",-1,1)),$AN$4:$AN$23,0),MATCH(INDEX('Adjustment Surface'!$AO$3:$BH$3,1,MATCH(('Adjustment Surface'!S$3),'Adjustment Surface'!$AO$3:$BH$3,1)+IF('Adjustment Surface'!T$3="",-1,1)),$AO$3:$BH$3,0))*('Adjustment Surface'!$O16-INDEX('Adjustment Surface'!$AN$4:$AN$23,MATCH(('Adjustment Surface'!$O16),'Adjustment Surface'!$AN$4:$AN$23,1)))*('Adjustment Surface'!S$3-INDEX('Adjustment Surface'!$AO$3:$BH$3,1,MATCH(('Adjustment Surface'!S$3),'Adjustment Surface'!$AO$3:$BH$3,1)))))</f>
        <v/>
      </c>
      <c r="T16" s="181" t="str" cm="1">
        <f t="array" ref="T16">IF(OR(T$3="",$O16=""),"",1/((INDEX('Adjustment Surface'!$AN$4:$AN$23,MATCH(('Adjustment Surface'!$O16),'Adjustment Surface'!$AN$4:$AN$23,1)+IF('Adjustment Surface'!$O17="",-1,1))-INDEX('Adjustment Surface'!$AN$4:$AN$23,MATCH(('Adjustment Surface'!$O16),'Adjustment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Surface'!$O16),'Adjustment Surface'!$AN$4:$AN$23,1)),$AN$4:$AN$23,0),MATCH(INDEX('Adjustment Surface'!$AO$3:$BH$3,1,MATCH(('Adjustment Surface'!T$3),'Adjustment Surface'!$AO$3:$BH$3,1)),$AO$3:$BH$3,0))*(INDEX('Adjustment Surface'!$AN$4:$AN$23,MATCH(('Adjustment Surface'!$O16),'Adjustment Surface'!$AN$4:$AN$23,1)+IF('Adjustment Surface'!$O17="",-1,1))-'Adjustment Surface'!$O16)*(INDEX('Adjustment Surface'!$AO$3:$BH$3,1,MATCH(('Adjustment Surface'!T$3),'Adjustment Surface'!$AO$3:$BH$3,1)+IF('Adjustment Surface'!U$3="",-1,1))-'Adjustment Surface'!T$3)+INDEX($AO$4:$BH$23,MATCH(INDEX('Adjustment Surface'!$AN$4:$AN$23,MATCH(('Adjustment Surface'!$O16),'Adjustment Surface'!$AN$4:$AN$23,1)+IF('Adjustment Surface'!$O17="",-1,1)),$AN$4:$AN$23,0),MATCH(INDEX('Adjustment Surface'!$AO$3:$BH$3,1,MATCH(('Adjustment Surface'!T$3),'Adjustment Surface'!$AO$3:$BH$3,1)),$AO$3:$BH$3,0))*('Adjustment Surface'!$O16-INDEX('Adjustment Surface'!$AN$4:$AN$23,MATCH(('Adjustment Surface'!$O16),'Adjustment Surface'!$AN$4:$AN$23,1)))*(INDEX('Adjustment Surface'!$AO$3:$BH$3,1,MATCH(('Adjustment Surface'!T$3),'Adjustment Surface'!$AO$3:$BH$3,1)+IF('Adjustment Surface'!U$3="",-1,1))-'Adjustment Surface'!T$3)+INDEX($AO$4:$BH$23,MATCH(INDEX('Adjustment Surface'!$AN$4:$AN$23,MATCH(('Adjustment Surface'!$O16),'Adjustment Surface'!$AN$4:$AN$23,1)),$AN$4:$AN$23,0),MATCH(INDEX('Adjustment Surface'!$AO$3:$BH$3,1,MATCH(('Adjustment Surface'!T$3),'Adjustment Surface'!$AO$3:$BH$3,1)+IF('Adjustment Surface'!U$3="",-1,1)),$AO$3:$BH$3,0))*(INDEX('Adjustment Surface'!$AN$4:$AN$23,MATCH(('Adjustment Surface'!$O16),'Adjustment Surface'!$AN$4:$AN$23,1)+IF('Adjustment Surface'!$O17="",-1,1))-'Adjustment Surface'!$O16)*('Adjustment Surface'!T$3-INDEX('Adjustment Surface'!$AO$3:$BH$3,1,MATCH(('Adjustment Surface'!T$3),'Adjustment Surface'!$AO$3:$BH$3,1)))+INDEX($AO$4:$BH$23,MATCH(INDEX('Adjustment Surface'!$AN$4:$AN$23,MATCH(('Adjustment Surface'!$O16),'Adjustment Surface'!$AN$4:$AN$23,1)+IF('Adjustment Surface'!$O17="",-1,1)),$AN$4:$AN$23,0),MATCH(INDEX('Adjustment Surface'!$AO$3:$BH$3,1,MATCH(('Adjustment Surface'!T$3),'Adjustment Surface'!$AO$3:$BH$3,1)+IF('Adjustment Surface'!U$3="",-1,1)),$AO$3:$BH$3,0))*('Adjustment Surface'!$O16-INDEX('Adjustment Surface'!$AN$4:$AN$23,MATCH(('Adjustment Surface'!$O16),'Adjustment Surface'!$AN$4:$AN$23,1)))*('Adjustment Surface'!T$3-INDEX('Adjustment Surface'!$AO$3:$BH$3,1,MATCH(('Adjustment Surface'!T$3),'Adjustment Surface'!$AO$3:$BH$3,1)))))</f>
        <v/>
      </c>
      <c r="U16" s="181" t="str" cm="1">
        <f t="array" ref="U16">IF(OR(U$3="",$O16=""),"",1/((INDEX('Adjustment Surface'!$AN$4:$AN$23,MATCH(('Adjustment Surface'!$O16),'Adjustment Surface'!$AN$4:$AN$23,1)+IF('Adjustment Surface'!$O17="",-1,1))-INDEX('Adjustment Surface'!$AN$4:$AN$23,MATCH(('Adjustment Surface'!$O16),'Adjustment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Surface'!$O16),'Adjustment Surface'!$AN$4:$AN$23,1)),$AN$4:$AN$23,0),MATCH(INDEX('Adjustment Surface'!$AO$3:$BH$3,1,MATCH(('Adjustment Surface'!U$3),'Adjustment Surface'!$AO$3:$BH$3,1)),$AO$3:$BH$3,0))*(INDEX('Adjustment Surface'!$AN$4:$AN$23,MATCH(('Adjustment Surface'!$O16),'Adjustment Surface'!$AN$4:$AN$23,1)+IF('Adjustment Surface'!$O17="",-1,1))-'Adjustment Surface'!$O16)*(INDEX('Adjustment Surface'!$AO$3:$BH$3,1,MATCH(('Adjustment Surface'!U$3),'Adjustment Surface'!$AO$3:$BH$3,1)+IF('Adjustment Surface'!V$3="",-1,1))-'Adjustment Surface'!U$3)+INDEX($AO$4:$BH$23,MATCH(INDEX('Adjustment Surface'!$AN$4:$AN$23,MATCH(('Adjustment Surface'!$O16),'Adjustment Surface'!$AN$4:$AN$23,1)+IF('Adjustment Surface'!$O17="",-1,1)),$AN$4:$AN$23,0),MATCH(INDEX('Adjustment Surface'!$AO$3:$BH$3,1,MATCH(('Adjustment Surface'!U$3),'Adjustment Surface'!$AO$3:$BH$3,1)),$AO$3:$BH$3,0))*('Adjustment Surface'!$O16-INDEX('Adjustment Surface'!$AN$4:$AN$23,MATCH(('Adjustment Surface'!$O16),'Adjustment Surface'!$AN$4:$AN$23,1)))*(INDEX('Adjustment Surface'!$AO$3:$BH$3,1,MATCH(('Adjustment Surface'!U$3),'Adjustment Surface'!$AO$3:$BH$3,1)+IF('Adjustment Surface'!V$3="",-1,1))-'Adjustment Surface'!U$3)+INDEX($AO$4:$BH$23,MATCH(INDEX('Adjustment Surface'!$AN$4:$AN$23,MATCH(('Adjustment Surface'!$O16),'Adjustment Surface'!$AN$4:$AN$23,1)),$AN$4:$AN$23,0),MATCH(INDEX('Adjustment Surface'!$AO$3:$BH$3,1,MATCH(('Adjustment Surface'!U$3),'Adjustment Surface'!$AO$3:$BH$3,1)+IF('Adjustment Surface'!V$3="",-1,1)),$AO$3:$BH$3,0))*(INDEX('Adjustment Surface'!$AN$4:$AN$23,MATCH(('Adjustment Surface'!$O16),'Adjustment Surface'!$AN$4:$AN$23,1)+IF('Adjustment Surface'!$O17="",-1,1))-'Adjustment Surface'!$O16)*('Adjustment Surface'!U$3-INDEX('Adjustment Surface'!$AO$3:$BH$3,1,MATCH(('Adjustment Surface'!U$3),'Adjustment Surface'!$AO$3:$BH$3,1)))+INDEX($AO$4:$BH$23,MATCH(INDEX('Adjustment Surface'!$AN$4:$AN$23,MATCH(('Adjustment Surface'!$O16),'Adjustment Surface'!$AN$4:$AN$23,1)+IF('Adjustment Surface'!$O17="",-1,1)),$AN$4:$AN$23,0),MATCH(INDEX('Adjustment Surface'!$AO$3:$BH$3,1,MATCH(('Adjustment Surface'!U$3),'Adjustment Surface'!$AO$3:$BH$3,1)+IF('Adjustment Surface'!V$3="",-1,1)),$AO$3:$BH$3,0))*('Adjustment Surface'!$O16-INDEX('Adjustment Surface'!$AN$4:$AN$23,MATCH(('Adjustment Surface'!$O16),'Adjustment Surface'!$AN$4:$AN$23,1)))*('Adjustment Surface'!U$3-INDEX('Adjustment Surface'!$AO$3:$BH$3,1,MATCH(('Adjustment Surface'!U$3),'Adjustment Surface'!$AO$3:$BH$3,1)))))</f>
        <v/>
      </c>
      <c r="V16" s="181" t="str" cm="1">
        <f t="array" ref="V16">IF(OR(V$3="",$O16=""),"",1/((INDEX('Adjustment Surface'!$AN$4:$AN$23,MATCH(('Adjustment Surface'!$O16),'Adjustment Surface'!$AN$4:$AN$23,1)+IF('Adjustment Surface'!$O17="",-1,1))-INDEX('Adjustment Surface'!$AN$4:$AN$23,MATCH(('Adjustment Surface'!$O16),'Adjustment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Surface'!$O16),'Adjustment Surface'!$AN$4:$AN$23,1)),$AN$4:$AN$23,0),MATCH(INDEX('Adjustment Surface'!$AO$3:$BH$3,1,MATCH(('Adjustment Surface'!V$3),'Adjustment Surface'!$AO$3:$BH$3,1)),$AO$3:$BH$3,0))*(INDEX('Adjustment Surface'!$AN$4:$AN$23,MATCH(('Adjustment Surface'!$O16),'Adjustment Surface'!$AN$4:$AN$23,1)+IF('Adjustment Surface'!$O17="",-1,1))-'Adjustment Surface'!$O16)*(INDEX('Adjustment Surface'!$AO$3:$BH$3,1,MATCH(('Adjustment Surface'!V$3),'Adjustment Surface'!$AO$3:$BH$3,1)+IF('Adjustment Surface'!W$3="",-1,1))-'Adjustment Surface'!V$3)+INDEX($AO$4:$BH$23,MATCH(INDEX('Adjustment Surface'!$AN$4:$AN$23,MATCH(('Adjustment Surface'!$O16),'Adjustment Surface'!$AN$4:$AN$23,1)+IF('Adjustment Surface'!$O17="",-1,1)),$AN$4:$AN$23,0),MATCH(INDEX('Adjustment Surface'!$AO$3:$BH$3,1,MATCH(('Adjustment Surface'!V$3),'Adjustment Surface'!$AO$3:$BH$3,1)),$AO$3:$BH$3,0))*('Adjustment Surface'!$O16-INDEX('Adjustment Surface'!$AN$4:$AN$23,MATCH(('Adjustment Surface'!$O16),'Adjustment Surface'!$AN$4:$AN$23,1)))*(INDEX('Adjustment Surface'!$AO$3:$BH$3,1,MATCH(('Adjustment Surface'!V$3),'Adjustment Surface'!$AO$3:$BH$3,1)+IF('Adjustment Surface'!W$3="",-1,1))-'Adjustment Surface'!V$3)+INDEX($AO$4:$BH$23,MATCH(INDEX('Adjustment Surface'!$AN$4:$AN$23,MATCH(('Adjustment Surface'!$O16),'Adjustment Surface'!$AN$4:$AN$23,1)),$AN$4:$AN$23,0),MATCH(INDEX('Adjustment Surface'!$AO$3:$BH$3,1,MATCH(('Adjustment Surface'!V$3),'Adjustment Surface'!$AO$3:$BH$3,1)+IF('Adjustment Surface'!W$3="",-1,1)),$AO$3:$BH$3,0))*(INDEX('Adjustment Surface'!$AN$4:$AN$23,MATCH(('Adjustment Surface'!$O16),'Adjustment Surface'!$AN$4:$AN$23,1)+IF('Adjustment Surface'!$O17="",-1,1))-'Adjustment Surface'!$O16)*('Adjustment Surface'!V$3-INDEX('Adjustment Surface'!$AO$3:$BH$3,1,MATCH(('Adjustment Surface'!V$3),'Adjustment Surface'!$AO$3:$BH$3,1)))+INDEX($AO$4:$BH$23,MATCH(INDEX('Adjustment Surface'!$AN$4:$AN$23,MATCH(('Adjustment Surface'!$O16),'Adjustment Surface'!$AN$4:$AN$23,1)+IF('Adjustment Surface'!$O17="",-1,1)),$AN$4:$AN$23,0),MATCH(INDEX('Adjustment Surface'!$AO$3:$BH$3,1,MATCH(('Adjustment Surface'!V$3),'Adjustment Surface'!$AO$3:$BH$3,1)+IF('Adjustment Surface'!W$3="",-1,1)),$AO$3:$BH$3,0))*('Adjustment Surface'!$O16-INDEX('Adjustment Surface'!$AN$4:$AN$23,MATCH(('Adjustment Surface'!$O16),'Adjustment Surface'!$AN$4:$AN$23,1)))*('Adjustment Surface'!V$3-INDEX('Adjustment Surface'!$AO$3:$BH$3,1,MATCH(('Adjustment Surface'!V$3),'Adjustment Surface'!$AO$3:$BH$3,1)))))</f>
        <v/>
      </c>
      <c r="W16" s="181" t="str" cm="1">
        <f t="array" ref="W16">IF(OR(W$3="",$O16=""),"",1/((INDEX('Adjustment Surface'!$AN$4:$AN$23,MATCH(('Adjustment Surface'!$O16),'Adjustment Surface'!$AN$4:$AN$23,1)+IF('Adjustment Surface'!$O17="",-1,1))-INDEX('Adjustment Surface'!$AN$4:$AN$23,MATCH(('Adjustment Surface'!$O16),'Adjustment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Surface'!$O16),'Adjustment Surface'!$AN$4:$AN$23,1)),$AN$4:$AN$23,0),MATCH(INDEX('Adjustment Surface'!$AO$3:$BH$3,1,MATCH(('Adjustment Surface'!W$3),'Adjustment Surface'!$AO$3:$BH$3,1)),$AO$3:$BH$3,0))*(INDEX('Adjustment Surface'!$AN$4:$AN$23,MATCH(('Adjustment Surface'!$O16),'Adjustment Surface'!$AN$4:$AN$23,1)+IF('Adjustment Surface'!$O17="",-1,1))-'Adjustment Surface'!$O16)*(INDEX('Adjustment Surface'!$AO$3:$BH$3,1,MATCH(('Adjustment Surface'!W$3),'Adjustment Surface'!$AO$3:$BH$3,1)+IF('Adjustment Surface'!X$3="",-1,1))-'Adjustment Surface'!W$3)+INDEX($AO$4:$BH$23,MATCH(INDEX('Adjustment Surface'!$AN$4:$AN$23,MATCH(('Adjustment Surface'!$O16),'Adjustment Surface'!$AN$4:$AN$23,1)+IF('Adjustment Surface'!$O17="",-1,1)),$AN$4:$AN$23,0),MATCH(INDEX('Adjustment Surface'!$AO$3:$BH$3,1,MATCH(('Adjustment Surface'!W$3),'Adjustment Surface'!$AO$3:$BH$3,1)),$AO$3:$BH$3,0))*('Adjustment Surface'!$O16-INDEX('Adjustment Surface'!$AN$4:$AN$23,MATCH(('Adjustment Surface'!$O16),'Adjustment Surface'!$AN$4:$AN$23,1)))*(INDEX('Adjustment Surface'!$AO$3:$BH$3,1,MATCH(('Adjustment Surface'!W$3),'Adjustment Surface'!$AO$3:$BH$3,1)+IF('Adjustment Surface'!X$3="",-1,1))-'Adjustment Surface'!W$3)+INDEX($AO$4:$BH$23,MATCH(INDEX('Adjustment Surface'!$AN$4:$AN$23,MATCH(('Adjustment Surface'!$O16),'Adjustment Surface'!$AN$4:$AN$23,1)),$AN$4:$AN$23,0),MATCH(INDEX('Adjustment Surface'!$AO$3:$BH$3,1,MATCH(('Adjustment Surface'!W$3),'Adjustment Surface'!$AO$3:$BH$3,1)+IF('Adjustment Surface'!X$3="",-1,1)),$AO$3:$BH$3,0))*(INDEX('Adjustment Surface'!$AN$4:$AN$23,MATCH(('Adjustment Surface'!$O16),'Adjustment Surface'!$AN$4:$AN$23,1)+IF('Adjustment Surface'!$O17="",-1,1))-'Adjustment Surface'!$O16)*('Adjustment Surface'!W$3-INDEX('Adjustment Surface'!$AO$3:$BH$3,1,MATCH(('Adjustment Surface'!W$3),'Adjustment Surface'!$AO$3:$BH$3,1)))+INDEX($AO$4:$BH$23,MATCH(INDEX('Adjustment Surface'!$AN$4:$AN$23,MATCH(('Adjustment Surface'!$O16),'Adjustment Surface'!$AN$4:$AN$23,1)+IF('Adjustment Surface'!$O17="",-1,1)),$AN$4:$AN$23,0),MATCH(INDEX('Adjustment Surface'!$AO$3:$BH$3,1,MATCH(('Adjustment Surface'!W$3),'Adjustment Surface'!$AO$3:$BH$3,1)+IF('Adjustment Surface'!X$3="",-1,1)),$AO$3:$BH$3,0))*('Adjustment Surface'!$O16-INDEX('Adjustment Surface'!$AN$4:$AN$23,MATCH(('Adjustment Surface'!$O16),'Adjustment Surface'!$AN$4:$AN$23,1)))*('Adjustment Surface'!W$3-INDEX('Adjustment Surface'!$AO$3:$BH$3,1,MATCH(('Adjustment Surface'!W$3),'Adjustment Surface'!$AO$3:$BH$3,1)))))</f>
        <v/>
      </c>
      <c r="X16" s="181" t="str" cm="1">
        <f t="array" ref="X16">IF(OR(X$3="",$O16=""),"",1/((INDEX('Adjustment Surface'!$AN$4:$AN$23,MATCH(('Adjustment Surface'!$O16),'Adjustment Surface'!$AN$4:$AN$23,1)+IF('Adjustment Surface'!$O17="",-1,1))-INDEX('Adjustment Surface'!$AN$4:$AN$23,MATCH(('Adjustment Surface'!$O16),'Adjustment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Surface'!$O16),'Adjustment Surface'!$AN$4:$AN$23,1)),$AN$4:$AN$23,0),MATCH(INDEX('Adjustment Surface'!$AO$3:$BH$3,1,MATCH(('Adjustment Surface'!X$3),'Adjustment Surface'!$AO$3:$BH$3,1)),$AO$3:$BH$3,0))*(INDEX('Adjustment Surface'!$AN$4:$AN$23,MATCH(('Adjustment Surface'!$O16),'Adjustment Surface'!$AN$4:$AN$23,1)+IF('Adjustment Surface'!$O17="",-1,1))-'Adjustment Surface'!$O16)*(INDEX('Adjustment Surface'!$AO$3:$BH$3,1,MATCH(('Adjustment Surface'!X$3),'Adjustment Surface'!$AO$3:$BH$3,1)+IF('Adjustment Surface'!Y$3="",-1,1))-'Adjustment Surface'!X$3)+INDEX($AO$4:$BH$23,MATCH(INDEX('Adjustment Surface'!$AN$4:$AN$23,MATCH(('Adjustment Surface'!$O16),'Adjustment Surface'!$AN$4:$AN$23,1)+IF('Adjustment Surface'!$O17="",-1,1)),$AN$4:$AN$23,0),MATCH(INDEX('Adjustment Surface'!$AO$3:$BH$3,1,MATCH(('Adjustment Surface'!X$3),'Adjustment Surface'!$AO$3:$BH$3,1)),$AO$3:$BH$3,0))*('Adjustment Surface'!$O16-INDEX('Adjustment Surface'!$AN$4:$AN$23,MATCH(('Adjustment Surface'!$O16),'Adjustment Surface'!$AN$4:$AN$23,1)))*(INDEX('Adjustment Surface'!$AO$3:$BH$3,1,MATCH(('Adjustment Surface'!X$3),'Adjustment Surface'!$AO$3:$BH$3,1)+IF('Adjustment Surface'!Y$3="",-1,1))-'Adjustment Surface'!X$3)+INDEX($AO$4:$BH$23,MATCH(INDEX('Adjustment Surface'!$AN$4:$AN$23,MATCH(('Adjustment Surface'!$O16),'Adjustment Surface'!$AN$4:$AN$23,1)),$AN$4:$AN$23,0),MATCH(INDEX('Adjustment Surface'!$AO$3:$BH$3,1,MATCH(('Adjustment Surface'!X$3),'Adjustment Surface'!$AO$3:$BH$3,1)+IF('Adjustment Surface'!Y$3="",-1,1)),$AO$3:$BH$3,0))*(INDEX('Adjustment Surface'!$AN$4:$AN$23,MATCH(('Adjustment Surface'!$O16),'Adjustment Surface'!$AN$4:$AN$23,1)+IF('Adjustment Surface'!$O17="",-1,1))-'Adjustment Surface'!$O16)*('Adjustment Surface'!X$3-INDEX('Adjustment Surface'!$AO$3:$BH$3,1,MATCH(('Adjustment Surface'!X$3),'Adjustment Surface'!$AO$3:$BH$3,1)))+INDEX($AO$4:$BH$23,MATCH(INDEX('Adjustment Surface'!$AN$4:$AN$23,MATCH(('Adjustment Surface'!$O16),'Adjustment Surface'!$AN$4:$AN$23,1)+IF('Adjustment Surface'!$O17="",-1,1)),$AN$4:$AN$23,0),MATCH(INDEX('Adjustment Surface'!$AO$3:$BH$3,1,MATCH(('Adjustment Surface'!X$3),'Adjustment Surface'!$AO$3:$BH$3,1)+IF('Adjustment Surface'!Y$3="",-1,1)),$AO$3:$BH$3,0))*('Adjustment Surface'!$O16-INDEX('Adjustment Surface'!$AN$4:$AN$23,MATCH(('Adjustment Surface'!$O16),'Adjustment Surface'!$AN$4:$AN$23,1)))*('Adjustment Surface'!X$3-INDEX('Adjustment Surface'!$AO$3:$BH$3,1,MATCH(('Adjustment Surface'!X$3),'Adjustment Surface'!$AO$3:$BH$3,1)))))</f>
        <v/>
      </c>
      <c r="Y16" s="181" t="str" cm="1">
        <f t="array" ref="Y16">IF(OR(Y$3="",$O16=""),"",1/((INDEX('Adjustment Surface'!$AN$4:$AN$23,MATCH(('Adjustment Surface'!$O16),'Adjustment Surface'!$AN$4:$AN$23,1)+IF('Adjustment Surface'!$O17="",-1,1))-INDEX('Adjustment Surface'!$AN$4:$AN$23,MATCH(('Adjustment Surface'!$O16),'Adjustment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Surface'!$O16),'Adjustment Surface'!$AN$4:$AN$23,1)),$AN$4:$AN$23,0),MATCH(INDEX('Adjustment Surface'!$AO$3:$BH$3,1,MATCH(('Adjustment Surface'!Y$3),'Adjustment Surface'!$AO$3:$BH$3,1)),$AO$3:$BH$3,0))*(INDEX('Adjustment Surface'!$AN$4:$AN$23,MATCH(('Adjustment Surface'!$O16),'Adjustment Surface'!$AN$4:$AN$23,1)+IF('Adjustment Surface'!$O17="",-1,1))-'Adjustment Surface'!$O16)*(INDEX('Adjustment Surface'!$AO$3:$BH$3,1,MATCH(('Adjustment Surface'!Y$3),'Adjustment Surface'!$AO$3:$BH$3,1)+IF('Adjustment Surface'!Z$3="",-1,1))-'Adjustment Surface'!Y$3)+INDEX($AO$4:$BH$23,MATCH(INDEX('Adjustment Surface'!$AN$4:$AN$23,MATCH(('Adjustment Surface'!$O16),'Adjustment Surface'!$AN$4:$AN$23,1)+IF('Adjustment Surface'!$O17="",-1,1)),$AN$4:$AN$23,0),MATCH(INDEX('Adjustment Surface'!$AO$3:$BH$3,1,MATCH(('Adjustment Surface'!Y$3),'Adjustment Surface'!$AO$3:$BH$3,1)),$AO$3:$BH$3,0))*('Adjustment Surface'!$O16-INDEX('Adjustment Surface'!$AN$4:$AN$23,MATCH(('Adjustment Surface'!$O16),'Adjustment Surface'!$AN$4:$AN$23,1)))*(INDEX('Adjustment Surface'!$AO$3:$BH$3,1,MATCH(('Adjustment Surface'!Y$3),'Adjustment Surface'!$AO$3:$BH$3,1)+IF('Adjustment Surface'!Z$3="",-1,1))-'Adjustment Surface'!Y$3)+INDEX($AO$4:$BH$23,MATCH(INDEX('Adjustment Surface'!$AN$4:$AN$23,MATCH(('Adjustment Surface'!$O16),'Adjustment Surface'!$AN$4:$AN$23,1)),$AN$4:$AN$23,0),MATCH(INDEX('Adjustment Surface'!$AO$3:$BH$3,1,MATCH(('Adjustment Surface'!Y$3),'Adjustment Surface'!$AO$3:$BH$3,1)+IF('Adjustment Surface'!Z$3="",-1,1)),$AO$3:$BH$3,0))*(INDEX('Adjustment Surface'!$AN$4:$AN$23,MATCH(('Adjustment Surface'!$O16),'Adjustment Surface'!$AN$4:$AN$23,1)+IF('Adjustment Surface'!$O17="",-1,1))-'Adjustment Surface'!$O16)*('Adjustment Surface'!Y$3-INDEX('Adjustment Surface'!$AO$3:$BH$3,1,MATCH(('Adjustment Surface'!Y$3),'Adjustment Surface'!$AO$3:$BH$3,1)))+INDEX($AO$4:$BH$23,MATCH(INDEX('Adjustment Surface'!$AN$4:$AN$23,MATCH(('Adjustment Surface'!$O16),'Adjustment Surface'!$AN$4:$AN$23,1)+IF('Adjustment Surface'!$O17="",-1,1)),$AN$4:$AN$23,0),MATCH(INDEX('Adjustment Surface'!$AO$3:$BH$3,1,MATCH(('Adjustment Surface'!Y$3),'Adjustment Surface'!$AO$3:$BH$3,1)+IF('Adjustment Surface'!Z$3="",-1,1)),$AO$3:$BH$3,0))*('Adjustment Surface'!$O16-INDEX('Adjustment Surface'!$AN$4:$AN$23,MATCH(('Adjustment Surface'!$O16),'Adjustment Surface'!$AN$4:$AN$23,1)))*('Adjustment Surface'!Y$3-INDEX('Adjustment Surface'!$AO$3:$BH$3,1,MATCH(('Adjustment Surface'!Y$3),'Adjustment Surface'!$AO$3:$BH$3,1)))))</f>
        <v/>
      </c>
      <c r="Z16" s="181" t="str" cm="1">
        <f t="array" ref="Z16">IF(OR(Z$3="",$O16=""),"",1/((INDEX('Adjustment Surface'!$AN$4:$AN$23,MATCH(('Adjustment Surface'!$O16),'Adjustment Surface'!$AN$4:$AN$23,1)+IF('Adjustment Surface'!$O17="",-1,1))-INDEX('Adjustment Surface'!$AN$4:$AN$23,MATCH(('Adjustment Surface'!$O16),'Adjustment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Surface'!$O16),'Adjustment Surface'!$AN$4:$AN$23,1)),$AN$4:$AN$23,0),MATCH(INDEX('Adjustment Surface'!$AO$3:$BH$3,1,MATCH(('Adjustment Surface'!Z$3),'Adjustment Surface'!$AO$3:$BH$3,1)),$AO$3:$BH$3,0))*(INDEX('Adjustment Surface'!$AN$4:$AN$23,MATCH(('Adjustment Surface'!$O16),'Adjustment Surface'!$AN$4:$AN$23,1)+IF('Adjustment Surface'!$O17="",-1,1))-'Adjustment Surface'!$O16)*(INDEX('Adjustment Surface'!$AO$3:$BH$3,1,MATCH(('Adjustment Surface'!Z$3),'Adjustment Surface'!$AO$3:$BH$3,1)+IF('Adjustment Surface'!AA$3="",-1,1))-'Adjustment Surface'!Z$3)+INDEX($AO$4:$BH$23,MATCH(INDEX('Adjustment Surface'!$AN$4:$AN$23,MATCH(('Adjustment Surface'!$O16),'Adjustment Surface'!$AN$4:$AN$23,1)+IF('Adjustment Surface'!$O17="",-1,1)),$AN$4:$AN$23,0),MATCH(INDEX('Adjustment Surface'!$AO$3:$BH$3,1,MATCH(('Adjustment Surface'!Z$3),'Adjustment Surface'!$AO$3:$BH$3,1)),$AO$3:$BH$3,0))*('Adjustment Surface'!$O16-INDEX('Adjustment Surface'!$AN$4:$AN$23,MATCH(('Adjustment Surface'!$O16),'Adjustment Surface'!$AN$4:$AN$23,1)))*(INDEX('Adjustment Surface'!$AO$3:$BH$3,1,MATCH(('Adjustment Surface'!Z$3),'Adjustment Surface'!$AO$3:$BH$3,1)+IF('Adjustment Surface'!AA$3="",-1,1))-'Adjustment Surface'!Z$3)+INDEX($AO$4:$BH$23,MATCH(INDEX('Adjustment Surface'!$AN$4:$AN$23,MATCH(('Adjustment Surface'!$O16),'Adjustment Surface'!$AN$4:$AN$23,1)),$AN$4:$AN$23,0),MATCH(INDEX('Adjustment Surface'!$AO$3:$BH$3,1,MATCH(('Adjustment Surface'!Z$3),'Adjustment Surface'!$AO$3:$BH$3,1)+IF('Adjustment Surface'!AA$3="",-1,1)),$AO$3:$BH$3,0))*(INDEX('Adjustment Surface'!$AN$4:$AN$23,MATCH(('Adjustment Surface'!$O16),'Adjustment Surface'!$AN$4:$AN$23,1)+IF('Adjustment Surface'!$O17="",-1,1))-'Adjustment Surface'!$O16)*('Adjustment Surface'!Z$3-INDEX('Adjustment Surface'!$AO$3:$BH$3,1,MATCH(('Adjustment Surface'!Z$3),'Adjustment Surface'!$AO$3:$BH$3,1)))+INDEX($AO$4:$BH$23,MATCH(INDEX('Adjustment Surface'!$AN$4:$AN$23,MATCH(('Adjustment Surface'!$O16),'Adjustment Surface'!$AN$4:$AN$23,1)+IF('Adjustment Surface'!$O17="",-1,1)),$AN$4:$AN$23,0),MATCH(INDEX('Adjustment Surface'!$AO$3:$BH$3,1,MATCH(('Adjustment Surface'!Z$3),'Adjustment Surface'!$AO$3:$BH$3,1)+IF('Adjustment Surface'!AA$3="",-1,1)),$AO$3:$BH$3,0))*('Adjustment Surface'!$O16-INDEX('Adjustment Surface'!$AN$4:$AN$23,MATCH(('Adjustment Surface'!$O16),'Adjustment Surface'!$AN$4:$AN$23,1)))*('Adjustment Surface'!Z$3-INDEX('Adjustment Surface'!$AO$3:$BH$3,1,MATCH(('Adjustment Surface'!Z$3),'Adjustment Surface'!$AO$3:$BH$3,1)))))</f>
        <v/>
      </c>
      <c r="AA16" s="181" t="str" cm="1">
        <f t="array" ref="AA16">IF(OR(AA$3="",$O16=""),"",1/((INDEX('Adjustment Surface'!$AN$4:$AN$23,MATCH(('Adjustment Surface'!$O16),'Adjustment Surface'!$AN$4:$AN$23,1)+IF('Adjustment Surface'!$O17="",-1,1))-INDEX('Adjustment Surface'!$AN$4:$AN$23,MATCH(('Adjustment Surface'!$O16),'Adjustment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Surface'!$O16),'Adjustment Surface'!$AN$4:$AN$23,1)),$AN$4:$AN$23,0),MATCH(INDEX('Adjustment Surface'!$AO$3:$BH$3,1,MATCH(('Adjustment Surface'!AA$3),'Adjustment Surface'!$AO$3:$BH$3,1)),$AO$3:$BH$3,0))*(INDEX('Adjustment Surface'!$AN$4:$AN$23,MATCH(('Adjustment Surface'!$O16),'Adjustment Surface'!$AN$4:$AN$23,1)+IF('Adjustment Surface'!$O17="",-1,1))-'Adjustment Surface'!$O16)*(INDEX('Adjustment Surface'!$AO$3:$BH$3,1,MATCH(('Adjustment Surface'!AA$3),'Adjustment Surface'!$AO$3:$BH$3,1)+IF('Adjustment Surface'!AB$3="",-1,1))-'Adjustment Surface'!AA$3)+INDEX($AO$4:$BH$23,MATCH(INDEX('Adjustment Surface'!$AN$4:$AN$23,MATCH(('Adjustment Surface'!$O16),'Adjustment Surface'!$AN$4:$AN$23,1)+IF('Adjustment Surface'!$O17="",-1,1)),$AN$4:$AN$23,0),MATCH(INDEX('Adjustment Surface'!$AO$3:$BH$3,1,MATCH(('Adjustment Surface'!AA$3),'Adjustment Surface'!$AO$3:$BH$3,1)),$AO$3:$BH$3,0))*('Adjustment Surface'!$O16-INDEX('Adjustment Surface'!$AN$4:$AN$23,MATCH(('Adjustment Surface'!$O16),'Adjustment Surface'!$AN$4:$AN$23,1)))*(INDEX('Adjustment Surface'!$AO$3:$BH$3,1,MATCH(('Adjustment Surface'!AA$3),'Adjustment Surface'!$AO$3:$BH$3,1)+IF('Adjustment Surface'!AB$3="",-1,1))-'Adjustment Surface'!AA$3)+INDEX($AO$4:$BH$23,MATCH(INDEX('Adjustment Surface'!$AN$4:$AN$23,MATCH(('Adjustment Surface'!$O16),'Adjustment Surface'!$AN$4:$AN$23,1)),$AN$4:$AN$23,0),MATCH(INDEX('Adjustment Surface'!$AO$3:$BH$3,1,MATCH(('Adjustment Surface'!AA$3),'Adjustment Surface'!$AO$3:$BH$3,1)+IF('Adjustment Surface'!AB$3="",-1,1)),$AO$3:$BH$3,0))*(INDEX('Adjustment Surface'!$AN$4:$AN$23,MATCH(('Adjustment Surface'!$O16),'Adjustment Surface'!$AN$4:$AN$23,1)+IF('Adjustment Surface'!$O17="",-1,1))-'Adjustment Surface'!$O16)*('Adjustment Surface'!AA$3-INDEX('Adjustment Surface'!$AO$3:$BH$3,1,MATCH(('Adjustment Surface'!AA$3),'Adjustment Surface'!$AO$3:$BH$3,1)))+INDEX($AO$4:$BH$23,MATCH(INDEX('Adjustment Surface'!$AN$4:$AN$23,MATCH(('Adjustment Surface'!$O16),'Adjustment Surface'!$AN$4:$AN$23,1)+IF('Adjustment Surface'!$O17="",-1,1)),$AN$4:$AN$23,0),MATCH(INDEX('Adjustment Surface'!$AO$3:$BH$3,1,MATCH(('Adjustment Surface'!AA$3),'Adjustment Surface'!$AO$3:$BH$3,1)+IF('Adjustment Surface'!AB$3="",-1,1)),$AO$3:$BH$3,0))*('Adjustment Surface'!$O16-INDEX('Adjustment Surface'!$AN$4:$AN$23,MATCH(('Adjustment Surface'!$O16),'Adjustment Surface'!$AN$4:$AN$23,1)))*('Adjustment Surface'!AA$3-INDEX('Adjustment Surface'!$AO$3:$BH$3,1,MATCH(('Adjustment Surface'!AA$3),'Adjustment Surface'!$AO$3:$BH$3,1)))))</f>
        <v/>
      </c>
      <c r="AB16" s="181" t="str" cm="1">
        <f t="array" ref="AB16">IF(OR(AB$3="",$O16=""),"",1/((INDEX('Adjustment Surface'!$AN$4:$AN$23,MATCH(('Adjustment Surface'!$O16),'Adjustment Surface'!$AN$4:$AN$23,1)+IF('Adjustment Surface'!$O17="",-1,1))-INDEX('Adjustment Surface'!$AN$4:$AN$23,MATCH(('Adjustment Surface'!$O16),'Adjustment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Surface'!$O16),'Adjustment Surface'!$AN$4:$AN$23,1)),$AN$4:$AN$23,0),MATCH(INDEX('Adjustment Surface'!$AO$3:$BH$3,1,MATCH(('Adjustment Surface'!AB$3),'Adjustment Surface'!$AO$3:$BH$3,1)),$AO$3:$BH$3,0))*(INDEX('Adjustment Surface'!$AN$4:$AN$23,MATCH(('Adjustment Surface'!$O16),'Adjustment Surface'!$AN$4:$AN$23,1)+IF('Adjustment Surface'!$O17="",-1,1))-'Adjustment Surface'!$O16)*(INDEX('Adjustment Surface'!$AO$3:$BH$3,1,MATCH(('Adjustment Surface'!AB$3),'Adjustment Surface'!$AO$3:$BH$3,1)+IF('Adjustment Surface'!AC$3="",-1,1))-'Adjustment Surface'!AB$3)+INDEX($AO$4:$BH$23,MATCH(INDEX('Adjustment Surface'!$AN$4:$AN$23,MATCH(('Adjustment Surface'!$O16),'Adjustment Surface'!$AN$4:$AN$23,1)+IF('Adjustment Surface'!$O17="",-1,1)),$AN$4:$AN$23,0),MATCH(INDEX('Adjustment Surface'!$AO$3:$BH$3,1,MATCH(('Adjustment Surface'!AB$3),'Adjustment Surface'!$AO$3:$BH$3,1)),$AO$3:$BH$3,0))*('Adjustment Surface'!$O16-INDEX('Adjustment Surface'!$AN$4:$AN$23,MATCH(('Adjustment Surface'!$O16),'Adjustment Surface'!$AN$4:$AN$23,1)))*(INDEX('Adjustment Surface'!$AO$3:$BH$3,1,MATCH(('Adjustment Surface'!AB$3),'Adjustment Surface'!$AO$3:$BH$3,1)+IF('Adjustment Surface'!AC$3="",-1,1))-'Adjustment Surface'!AB$3)+INDEX($AO$4:$BH$23,MATCH(INDEX('Adjustment Surface'!$AN$4:$AN$23,MATCH(('Adjustment Surface'!$O16),'Adjustment Surface'!$AN$4:$AN$23,1)),$AN$4:$AN$23,0),MATCH(INDEX('Adjustment Surface'!$AO$3:$BH$3,1,MATCH(('Adjustment Surface'!AB$3),'Adjustment Surface'!$AO$3:$BH$3,1)+IF('Adjustment Surface'!AC$3="",-1,1)),$AO$3:$BH$3,0))*(INDEX('Adjustment Surface'!$AN$4:$AN$23,MATCH(('Adjustment Surface'!$O16),'Adjustment Surface'!$AN$4:$AN$23,1)+IF('Adjustment Surface'!$O17="",-1,1))-'Adjustment Surface'!$O16)*('Adjustment Surface'!AB$3-INDEX('Adjustment Surface'!$AO$3:$BH$3,1,MATCH(('Adjustment Surface'!AB$3),'Adjustment Surface'!$AO$3:$BH$3,1)))+INDEX($AO$4:$BH$23,MATCH(INDEX('Adjustment Surface'!$AN$4:$AN$23,MATCH(('Adjustment Surface'!$O16),'Adjustment Surface'!$AN$4:$AN$23,1)+IF('Adjustment Surface'!$O17="",-1,1)),$AN$4:$AN$23,0),MATCH(INDEX('Adjustment Surface'!$AO$3:$BH$3,1,MATCH(('Adjustment Surface'!AB$3),'Adjustment Surface'!$AO$3:$BH$3,1)+IF('Adjustment Surface'!AC$3="",-1,1)),$AO$3:$BH$3,0))*('Adjustment Surface'!$O16-INDEX('Adjustment Surface'!$AN$4:$AN$23,MATCH(('Adjustment Surface'!$O16),'Adjustment Surface'!$AN$4:$AN$23,1)))*('Adjustment Surface'!AB$3-INDEX('Adjustment Surface'!$AO$3:$BH$3,1,MATCH(('Adjustment Surface'!AB$3),'Adjustment Surface'!$AO$3:$BH$3,1)))))</f>
        <v/>
      </c>
      <c r="AC16" s="181" t="str" cm="1">
        <f t="array" ref="AC16">IF(OR(AC$3="",$O16=""),"",1/((INDEX('Adjustment Surface'!$AN$4:$AN$23,MATCH(('Adjustment Surface'!$O16),'Adjustment Surface'!$AN$4:$AN$23,1)+IF('Adjustment Surface'!$O17="",-1,1))-INDEX('Adjustment Surface'!$AN$4:$AN$23,MATCH(('Adjustment Surface'!$O16),'Adjustment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Surface'!$O16),'Adjustment Surface'!$AN$4:$AN$23,1)),$AN$4:$AN$23,0),MATCH(INDEX('Adjustment Surface'!$AO$3:$BH$3,1,MATCH(('Adjustment Surface'!AC$3),'Adjustment Surface'!$AO$3:$BH$3,1)),$AO$3:$BH$3,0))*(INDEX('Adjustment Surface'!$AN$4:$AN$23,MATCH(('Adjustment Surface'!$O16),'Adjustment Surface'!$AN$4:$AN$23,1)+IF('Adjustment Surface'!$O17="",-1,1))-'Adjustment Surface'!$O16)*(INDEX('Adjustment Surface'!$AO$3:$BH$3,1,MATCH(('Adjustment Surface'!AC$3),'Adjustment Surface'!$AO$3:$BH$3,1)+IF('Adjustment Surface'!AD$3="",-1,1))-'Adjustment Surface'!AC$3)+INDEX($AO$4:$BH$23,MATCH(INDEX('Adjustment Surface'!$AN$4:$AN$23,MATCH(('Adjustment Surface'!$O16),'Adjustment Surface'!$AN$4:$AN$23,1)+IF('Adjustment Surface'!$O17="",-1,1)),$AN$4:$AN$23,0),MATCH(INDEX('Adjustment Surface'!$AO$3:$BH$3,1,MATCH(('Adjustment Surface'!AC$3),'Adjustment Surface'!$AO$3:$BH$3,1)),$AO$3:$BH$3,0))*('Adjustment Surface'!$O16-INDEX('Adjustment Surface'!$AN$4:$AN$23,MATCH(('Adjustment Surface'!$O16),'Adjustment Surface'!$AN$4:$AN$23,1)))*(INDEX('Adjustment Surface'!$AO$3:$BH$3,1,MATCH(('Adjustment Surface'!AC$3),'Adjustment Surface'!$AO$3:$BH$3,1)+IF('Adjustment Surface'!AD$3="",-1,1))-'Adjustment Surface'!AC$3)+INDEX($AO$4:$BH$23,MATCH(INDEX('Adjustment Surface'!$AN$4:$AN$23,MATCH(('Adjustment Surface'!$O16),'Adjustment Surface'!$AN$4:$AN$23,1)),$AN$4:$AN$23,0),MATCH(INDEX('Adjustment Surface'!$AO$3:$BH$3,1,MATCH(('Adjustment Surface'!AC$3),'Adjustment Surface'!$AO$3:$BH$3,1)+IF('Adjustment Surface'!AD$3="",-1,1)),$AO$3:$BH$3,0))*(INDEX('Adjustment Surface'!$AN$4:$AN$23,MATCH(('Adjustment Surface'!$O16),'Adjustment Surface'!$AN$4:$AN$23,1)+IF('Adjustment Surface'!$O17="",-1,1))-'Adjustment Surface'!$O16)*('Adjustment Surface'!AC$3-INDEX('Adjustment Surface'!$AO$3:$BH$3,1,MATCH(('Adjustment Surface'!AC$3),'Adjustment Surface'!$AO$3:$BH$3,1)))+INDEX($AO$4:$BH$23,MATCH(INDEX('Adjustment Surface'!$AN$4:$AN$23,MATCH(('Adjustment Surface'!$O16),'Adjustment Surface'!$AN$4:$AN$23,1)+IF('Adjustment Surface'!$O17="",-1,1)),$AN$4:$AN$23,0),MATCH(INDEX('Adjustment Surface'!$AO$3:$BH$3,1,MATCH(('Adjustment Surface'!AC$3),'Adjustment Surface'!$AO$3:$BH$3,1)+IF('Adjustment Surface'!AD$3="",-1,1)),$AO$3:$BH$3,0))*('Adjustment Surface'!$O16-INDEX('Adjustment Surface'!$AN$4:$AN$23,MATCH(('Adjustment Surface'!$O16),'Adjustment Surface'!$AN$4:$AN$23,1)))*('Adjustment Surface'!AC$3-INDEX('Adjustment Surface'!$AO$3:$BH$3,1,MATCH(('Adjustment Surface'!AC$3),'Adjustment Surface'!$AO$3:$BH$3,1)))))</f>
        <v/>
      </c>
      <c r="AD16" s="181" t="str" cm="1">
        <f t="array" ref="AD16">IF(OR(AD$3="",$O16=""),"",1/((INDEX('Adjustment Surface'!$AN$4:$AN$23,MATCH(('Adjustment Surface'!$O16),'Adjustment Surface'!$AN$4:$AN$23,1)+IF('Adjustment Surface'!$O17="",-1,1))-INDEX('Adjustment Surface'!$AN$4:$AN$23,MATCH(('Adjustment Surface'!$O16),'Adjustment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Surface'!$O16),'Adjustment Surface'!$AN$4:$AN$23,1)),$AN$4:$AN$23,0),MATCH(INDEX('Adjustment Surface'!$AO$3:$BH$3,1,MATCH(('Adjustment Surface'!AD$3),'Adjustment Surface'!$AO$3:$BH$3,1)),$AO$3:$BH$3,0))*(INDEX('Adjustment Surface'!$AN$4:$AN$23,MATCH(('Adjustment Surface'!$O16),'Adjustment Surface'!$AN$4:$AN$23,1)+IF('Adjustment Surface'!$O17="",-1,1))-'Adjustment Surface'!$O16)*(INDEX('Adjustment Surface'!$AO$3:$BH$3,1,MATCH(('Adjustment Surface'!AD$3),'Adjustment Surface'!$AO$3:$BH$3,1)+IF('Adjustment Surface'!AE$3="",-1,1))-'Adjustment Surface'!AD$3)+INDEX($AO$4:$BH$23,MATCH(INDEX('Adjustment Surface'!$AN$4:$AN$23,MATCH(('Adjustment Surface'!$O16),'Adjustment Surface'!$AN$4:$AN$23,1)+IF('Adjustment Surface'!$O17="",-1,1)),$AN$4:$AN$23,0),MATCH(INDEX('Adjustment Surface'!$AO$3:$BH$3,1,MATCH(('Adjustment Surface'!AD$3),'Adjustment Surface'!$AO$3:$BH$3,1)),$AO$3:$BH$3,0))*('Adjustment Surface'!$O16-INDEX('Adjustment Surface'!$AN$4:$AN$23,MATCH(('Adjustment Surface'!$O16),'Adjustment Surface'!$AN$4:$AN$23,1)))*(INDEX('Adjustment Surface'!$AO$3:$BH$3,1,MATCH(('Adjustment Surface'!AD$3),'Adjustment Surface'!$AO$3:$BH$3,1)+IF('Adjustment Surface'!AE$3="",-1,1))-'Adjustment Surface'!AD$3)+INDEX($AO$4:$BH$23,MATCH(INDEX('Adjustment Surface'!$AN$4:$AN$23,MATCH(('Adjustment Surface'!$O16),'Adjustment Surface'!$AN$4:$AN$23,1)),$AN$4:$AN$23,0),MATCH(INDEX('Adjustment Surface'!$AO$3:$BH$3,1,MATCH(('Adjustment Surface'!AD$3),'Adjustment Surface'!$AO$3:$BH$3,1)+IF('Adjustment Surface'!AE$3="",-1,1)),$AO$3:$BH$3,0))*(INDEX('Adjustment Surface'!$AN$4:$AN$23,MATCH(('Adjustment Surface'!$O16),'Adjustment Surface'!$AN$4:$AN$23,1)+IF('Adjustment Surface'!$O17="",-1,1))-'Adjustment Surface'!$O16)*('Adjustment Surface'!AD$3-INDEX('Adjustment Surface'!$AO$3:$BH$3,1,MATCH(('Adjustment Surface'!AD$3),'Adjustment Surface'!$AO$3:$BH$3,1)))+INDEX($AO$4:$BH$23,MATCH(INDEX('Adjustment Surface'!$AN$4:$AN$23,MATCH(('Adjustment Surface'!$O16),'Adjustment Surface'!$AN$4:$AN$23,1)+IF('Adjustment Surface'!$O17="",-1,1)),$AN$4:$AN$23,0),MATCH(INDEX('Adjustment Surface'!$AO$3:$BH$3,1,MATCH(('Adjustment Surface'!AD$3),'Adjustment Surface'!$AO$3:$BH$3,1)+IF('Adjustment Surface'!AE$3="",-1,1)),$AO$3:$BH$3,0))*('Adjustment Surface'!$O16-INDEX('Adjustment Surface'!$AN$4:$AN$23,MATCH(('Adjustment Surface'!$O16),'Adjustment Surface'!$AN$4:$AN$23,1)))*('Adjustment Surface'!AD$3-INDEX('Adjustment Surface'!$AO$3:$BH$3,1,MATCH(('Adjustment Surface'!AD$3),'Adjustment Surface'!$AO$3:$BH$3,1)))))</f>
        <v/>
      </c>
      <c r="AE16" s="181" t="str" cm="1">
        <f t="array" ref="AE16">IF(OR(AE$3="",$O16=""),"",1/((INDEX('Adjustment Surface'!$AN$4:$AN$23,MATCH(('Adjustment Surface'!$O16),'Adjustment Surface'!$AN$4:$AN$23,1)+IF('Adjustment Surface'!$O17="",-1,1))-INDEX('Adjustment Surface'!$AN$4:$AN$23,MATCH(('Adjustment Surface'!$O16),'Adjustment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Surface'!$O16),'Adjustment Surface'!$AN$4:$AN$23,1)),$AN$4:$AN$23,0),MATCH(INDEX('Adjustment Surface'!$AO$3:$BH$3,1,MATCH(('Adjustment Surface'!AE$3),'Adjustment Surface'!$AO$3:$BH$3,1)),$AO$3:$BH$3,0))*(INDEX('Adjustment Surface'!$AN$4:$AN$23,MATCH(('Adjustment Surface'!$O16),'Adjustment Surface'!$AN$4:$AN$23,1)+IF('Adjustment Surface'!$O17="",-1,1))-'Adjustment Surface'!$O16)*(INDEX('Adjustment Surface'!$AO$3:$BH$3,1,MATCH(('Adjustment Surface'!AE$3),'Adjustment Surface'!$AO$3:$BH$3,1)+IF('Adjustment Surface'!AF$3="",-1,1))-'Adjustment Surface'!AE$3)+INDEX($AO$4:$BH$23,MATCH(INDEX('Adjustment Surface'!$AN$4:$AN$23,MATCH(('Adjustment Surface'!$O16),'Adjustment Surface'!$AN$4:$AN$23,1)+IF('Adjustment Surface'!$O17="",-1,1)),$AN$4:$AN$23,0),MATCH(INDEX('Adjustment Surface'!$AO$3:$BH$3,1,MATCH(('Adjustment Surface'!AE$3),'Adjustment Surface'!$AO$3:$BH$3,1)),$AO$3:$BH$3,0))*('Adjustment Surface'!$O16-INDEX('Adjustment Surface'!$AN$4:$AN$23,MATCH(('Adjustment Surface'!$O16),'Adjustment Surface'!$AN$4:$AN$23,1)))*(INDEX('Adjustment Surface'!$AO$3:$BH$3,1,MATCH(('Adjustment Surface'!AE$3),'Adjustment Surface'!$AO$3:$BH$3,1)+IF('Adjustment Surface'!AF$3="",-1,1))-'Adjustment Surface'!AE$3)+INDEX($AO$4:$BH$23,MATCH(INDEX('Adjustment Surface'!$AN$4:$AN$23,MATCH(('Adjustment Surface'!$O16),'Adjustment Surface'!$AN$4:$AN$23,1)),$AN$4:$AN$23,0),MATCH(INDEX('Adjustment Surface'!$AO$3:$BH$3,1,MATCH(('Adjustment Surface'!AE$3),'Adjustment Surface'!$AO$3:$BH$3,1)+IF('Adjustment Surface'!AF$3="",-1,1)),$AO$3:$BH$3,0))*(INDEX('Adjustment Surface'!$AN$4:$AN$23,MATCH(('Adjustment Surface'!$O16),'Adjustment Surface'!$AN$4:$AN$23,1)+IF('Adjustment Surface'!$O17="",-1,1))-'Adjustment Surface'!$O16)*('Adjustment Surface'!AE$3-INDEX('Adjustment Surface'!$AO$3:$BH$3,1,MATCH(('Adjustment Surface'!AE$3),'Adjustment Surface'!$AO$3:$BH$3,1)))+INDEX($AO$4:$BH$23,MATCH(INDEX('Adjustment Surface'!$AN$4:$AN$23,MATCH(('Adjustment Surface'!$O16),'Adjustment Surface'!$AN$4:$AN$23,1)+IF('Adjustment Surface'!$O17="",-1,1)),$AN$4:$AN$23,0),MATCH(INDEX('Adjustment Surface'!$AO$3:$BH$3,1,MATCH(('Adjustment Surface'!AE$3),'Adjustment Surface'!$AO$3:$BH$3,1)+IF('Adjustment Surface'!AF$3="",-1,1)),$AO$3:$BH$3,0))*('Adjustment Surface'!$O16-INDEX('Adjustment Surface'!$AN$4:$AN$23,MATCH(('Adjustment Surface'!$O16),'Adjustment Surface'!$AN$4:$AN$23,1)))*('Adjustment Surface'!AE$3-INDEX('Adjustment Surface'!$AO$3:$BH$3,1,MATCH(('Adjustment Surface'!AE$3),'Adjustment Surface'!$AO$3:$BH$3,1)))))</f>
        <v/>
      </c>
      <c r="AF16" s="181" t="str" cm="1">
        <f t="array" ref="AF16">IF(OR(AF$3="",$O16=""),"",1/((INDEX('Adjustment Surface'!$AN$4:$AN$23,MATCH(('Adjustment Surface'!$O16),'Adjustment Surface'!$AN$4:$AN$23,1)+IF('Adjustment Surface'!$O17="",-1,1))-INDEX('Adjustment Surface'!$AN$4:$AN$23,MATCH(('Adjustment Surface'!$O16),'Adjustment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Surface'!$O16),'Adjustment Surface'!$AN$4:$AN$23,1)),$AN$4:$AN$23,0),MATCH(INDEX('Adjustment Surface'!$AO$3:$BH$3,1,MATCH(('Adjustment Surface'!AF$3),'Adjustment Surface'!$AO$3:$BH$3,1)),$AO$3:$BH$3,0))*(INDEX('Adjustment Surface'!$AN$4:$AN$23,MATCH(('Adjustment Surface'!$O16),'Adjustment Surface'!$AN$4:$AN$23,1)+IF('Adjustment Surface'!$O17="",-1,1))-'Adjustment Surface'!$O16)*(INDEX('Adjustment Surface'!$AO$3:$BH$3,1,MATCH(('Adjustment Surface'!AF$3),'Adjustment Surface'!$AO$3:$BH$3,1)+IF('Adjustment Surface'!AG$3="",-1,1))-'Adjustment Surface'!AF$3)+INDEX($AO$4:$BH$23,MATCH(INDEX('Adjustment Surface'!$AN$4:$AN$23,MATCH(('Adjustment Surface'!$O16),'Adjustment Surface'!$AN$4:$AN$23,1)+IF('Adjustment Surface'!$O17="",-1,1)),$AN$4:$AN$23,0),MATCH(INDEX('Adjustment Surface'!$AO$3:$BH$3,1,MATCH(('Adjustment Surface'!AF$3),'Adjustment Surface'!$AO$3:$BH$3,1)),$AO$3:$BH$3,0))*('Adjustment Surface'!$O16-INDEX('Adjustment Surface'!$AN$4:$AN$23,MATCH(('Adjustment Surface'!$O16),'Adjustment Surface'!$AN$4:$AN$23,1)))*(INDEX('Adjustment Surface'!$AO$3:$BH$3,1,MATCH(('Adjustment Surface'!AF$3),'Adjustment Surface'!$AO$3:$BH$3,1)+IF('Adjustment Surface'!AG$3="",-1,1))-'Adjustment Surface'!AF$3)+INDEX($AO$4:$BH$23,MATCH(INDEX('Adjustment Surface'!$AN$4:$AN$23,MATCH(('Adjustment Surface'!$O16),'Adjustment Surface'!$AN$4:$AN$23,1)),$AN$4:$AN$23,0),MATCH(INDEX('Adjustment Surface'!$AO$3:$BH$3,1,MATCH(('Adjustment Surface'!AF$3),'Adjustment Surface'!$AO$3:$BH$3,1)+IF('Adjustment Surface'!AG$3="",-1,1)),$AO$3:$BH$3,0))*(INDEX('Adjustment Surface'!$AN$4:$AN$23,MATCH(('Adjustment Surface'!$O16),'Adjustment Surface'!$AN$4:$AN$23,1)+IF('Adjustment Surface'!$O17="",-1,1))-'Adjustment Surface'!$O16)*('Adjustment Surface'!AF$3-INDEX('Adjustment Surface'!$AO$3:$BH$3,1,MATCH(('Adjustment Surface'!AF$3),'Adjustment Surface'!$AO$3:$BH$3,1)))+INDEX($AO$4:$BH$23,MATCH(INDEX('Adjustment Surface'!$AN$4:$AN$23,MATCH(('Adjustment Surface'!$O16),'Adjustment Surface'!$AN$4:$AN$23,1)+IF('Adjustment Surface'!$O17="",-1,1)),$AN$4:$AN$23,0),MATCH(INDEX('Adjustment Surface'!$AO$3:$BH$3,1,MATCH(('Adjustment Surface'!AF$3),'Adjustment Surface'!$AO$3:$BH$3,1)+IF('Adjustment Surface'!AG$3="",-1,1)),$AO$3:$BH$3,0))*('Adjustment Surface'!$O16-INDEX('Adjustment Surface'!$AN$4:$AN$23,MATCH(('Adjustment Surface'!$O16),'Adjustment Surface'!$AN$4:$AN$23,1)))*('Adjustment Surface'!AF$3-INDEX('Adjustment Surface'!$AO$3:$BH$3,1,MATCH(('Adjustment Surface'!AF$3),'Adjustment Surface'!$AO$3:$BH$3,1)))))</f>
        <v/>
      </c>
      <c r="AG16" s="181" t="str" cm="1">
        <f t="array" ref="AG16">IF(OR(AG$3="",$O16=""),"",1/((INDEX('Adjustment Surface'!$AN$4:$AN$23,MATCH(('Adjustment Surface'!$O16),'Adjustment Surface'!$AN$4:$AN$23,1)+IF('Adjustment Surface'!$O17="",-1,1))-INDEX('Adjustment Surface'!$AN$4:$AN$23,MATCH(('Adjustment Surface'!$O16),'Adjustment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Surface'!$O16),'Adjustment Surface'!$AN$4:$AN$23,1)),$AN$4:$AN$23,0),MATCH(INDEX('Adjustment Surface'!$AO$3:$BH$3,1,MATCH(('Adjustment Surface'!AG$3),'Adjustment Surface'!$AO$3:$BH$3,1)),$AO$3:$BH$3,0))*(INDEX('Adjustment Surface'!$AN$4:$AN$23,MATCH(('Adjustment Surface'!$O16),'Adjustment Surface'!$AN$4:$AN$23,1)+IF('Adjustment Surface'!$O17="",-1,1))-'Adjustment Surface'!$O16)*(INDEX('Adjustment Surface'!$AO$3:$BH$3,1,MATCH(('Adjustment Surface'!AG$3),'Adjustment Surface'!$AO$3:$BH$3,1)+IF('Adjustment Surface'!AH$3="",-1,1))-'Adjustment Surface'!AG$3)+INDEX($AO$4:$BH$23,MATCH(INDEX('Adjustment Surface'!$AN$4:$AN$23,MATCH(('Adjustment Surface'!$O16),'Adjustment Surface'!$AN$4:$AN$23,1)+IF('Adjustment Surface'!$O17="",-1,1)),$AN$4:$AN$23,0),MATCH(INDEX('Adjustment Surface'!$AO$3:$BH$3,1,MATCH(('Adjustment Surface'!AG$3),'Adjustment Surface'!$AO$3:$BH$3,1)),$AO$3:$BH$3,0))*('Adjustment Surface'!$O16-INDEX('Adjustment Surface'!$AN$4:$AN$23,MATCH(('Adjustment Surface'!$O16),'Adjustment Surface'!$AN$4:$AN$23,1)))*(INDEX('Adjustment Surface'!$AO$3:$BH$3,1,MATCH(('Adjustment Surface'!AG$3),'Adjustment Surface'!$AO$3:$BH$3,1)+IF('Adjustment Surface'!AH$3="",-1,1))-'Adjustment Surface'!AG$3)+INDEX($AO$4:$BH$23,MATCH(INDEX('Adjustment Surface'!$AN$4:$AN$23,MATCH(('Adjustment Surface'!$O16),'Adjustment Surface'!$AN$4:$AN$23,1)),$AN$4:$AN$23,0),MATCH(INDEX('Adjustment Surface'!$AO$3:$BH$3,1,MATCH(('Adjustment Surface'!AG$3),'Adjustment Surface'!$AO$3:$BH$3,1)+IF('Adjustment Surface'!AH$3="",-1,1)),$AO$3:$BH$3,0))*(INDEX('Adjustment Surface'!$AN$4:$AN$23,MATCH(('Adjustment Surface'!$O16),'Adjustment Surface'!$AN$4:$AN$23,1)+IF('Adjustment Surface'!$O17="",-1,1))-'Adjustment Surface'!$O16)*('Adjustment Surface'!AG$3-INDEX('Adjustment Surface'!$AO$3:$BH$3,1,MATCH(('Adjustment Surface'!AG$3),'Adjustment Surface'!$AO$3:$BH$3,1)))+INDEX($AO$4:$BH$23,MATCH(INDEX('Adjustment Surface'!$AN$4:$AN$23,MATCH(('Adjustment Surface'!$O16),'Adjustment Surface'!$AN$4:$AN$23,1)+IF('Adjustment Surface'!$O17="",-1,1)),$AN$4:$AN$23,0),MATCH(INDEX('Adjustment Surface'!$AO$3:$BH$3,1,MATCH(('Adjustment Surface'!AG$3),'Adjustment Surface'!$AO$3:$BH$3,1)+IF('Adjustment Surface'!AH$3="",-1,1)),$AO$3:$BH$3,0))*('Adjustment Surface'!$O16-INDEX('Adjustment Surface'!$AN$4:$AN$23,MATCH(('Adjustment Surface'!$O16),'Adjustment Surface'!$AN$4:$AN$23,1)))*('Adjustment Surface'!AG$3-INDEX('Adjustment Surface'!$AO$3:$BH$3,1,MATCH(('Adjustment Surface'!AG$3),'Adjustment Surface'!$AO$3:$BH$3,1)))))</f>
        <v/>
      </c>
      <c r="AH16" s="181" t="str" cm="1">
        <f t="array" ref="AH16">IF(OR(AH$3="",$O16=""),"",1/((INDEX('Adjustment Surface'!$AN$4:$AN$23,MATCH(('Adjustment Surface'!$O16),'Adjustment Surface'!$AN$4:$AN$23,1)+IF('Adjustment Surface'!$O17="",-1,1))-INDEX('Adjustment Surface'!$AN$4:$AN$23,MATCH(('Adjustment Surface'!$O16),'Adjustment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Surface'!$O16),'Adjustment Surface'!$AN$4:$AN$23,1)),$AN$4:$AN$23,0),MATCH(INDEX('Adjustment Surface'!$AO$3:$BH$3,1,MATCH(('Adjustment Surface'!AH$3),'Adjustment Surface'!$AO$3:$BH$3,1)),$AO$3:$BH$3,0))*(INDEX('Adjustment Surface'!$AN$4:$AN$23,MATCH(('Adjustment Surface'!$O16),'Adjustment Surface'!$AN$4:$AN$23,1)+IF('Adjustment Surface'!$O17="",-1,1))-'Adjustment Surface'!$O16)*(INDEX('Adjustment Surface'!$AO$3:$BH$3,1,MATCH(('Adjustment Surface'!AH$3),'Adjustment Surface'!$AO$3:$BH$3,1)+IF('Adjustment Surface'!AI$3="",-1,1))-'Adjustment Surface'!AH$3)+INDEX($AO$4:$BH$23,MATCH(INDEX('Adjustment Surface'!$AN$4:$AN$23,MATCH(('Adjustment Surface'!$O16),'Adjustment Surface'!$AN$4:$AN$23,1)+IF('Adjustment Surface'!$O17="",-1,1)),$AN$4:$AN$23,0),MATCH(INDEX('Adjustment Surface'!$AO$3:$BH$3,1,MATCH(('Adjustment Surface'!AH$3),'Adjustment Surface'!$AO$3:$BH$3,1)),$AO$3:$BH$3,0))*('Adjustment Surface'!$O16-INDEX('Adjustment Surface'!$AN$4:$AN$23,MATCH(('Adjustment Surface'!$O16),'Adjustment Surface'!$AN$4:$AN$23,1)))*(INDEX('Adjustment Surface'!$AO$3:$BH$3,1,MATCH(('Adjustment Surface'!AH$3),'Adjustment Surface'!$AO$3:$BH$3,1)+IF('Adjustment Surface'!AI$3="",-1,1))-'Adjustment Surface'!AH$3)+INDEX($AO$4:$BH$23,MATCH(INDEX('Adjustment Surface'!$AN$4:$AN$23,MATCH(('Adjustment Surface'!$O16),'Adjustment Surface'!$AN$4:$AN$23,1)),$AN$4:$AN$23,0),MATCH(INDEX('Adjustment Surface'!$AO$3:$BH$3,1,MATCH(('Adjustment Surface'!AH$3),'Adjustment Surface'!$AO$3:$BH$3,1)+IF('Adjustment Surface'!AI$3="",-1,1)),$AO$3:$BH$3,0))*(INDEX('Adjustment Surface'!$AN$4:$AN$23,MATCH(('Adjustment Surface'!$O16),'Adjustment Surface'!$AN$4:$AN$23,1)+IF('Adjustment Surface'!$O17="",-1,1))-'Adjustment Surface'!$O16)*('Adjustment Surface'!AH$3-INDEX('Adjustment Surface'!$AO$3:$BH$3,1,MATCH(('Adjustment Surface'!AH$3),'Adjustment Surface'!$AO$3:$BH$3,1)))+INDEX($AO$4:$BH$23,MATCH(INDEX('Adjustment Surface'!$AN$4:$AN$23,MATCH(('Adjustment Surface'!$O16),'Adjustment Surface'!$AN$4:$AN$23,1)+IF('Adjustment Surface'!$O17="",-1,1)),$AN$4:$AN$23,0),MATCH(INDEX('Adjustment Surface'!$AO$3:$BH$3,1,MATCH(('Adjustment Surface'!AH$3),'Adjustment Surface'!$AO$3:$BH$3,1)+IF('Adjustment Surface'!AI$3="",-1,1)),$AO$3:$BH$3,0))*('Adjustment Surface'!$O16-INDEX('Adjustment Surface'!$AN$4:$AN$23,MATCH(('Adjustment Surface'!$O16),'Adjustment Surface'!$AN$4:$AN$23,1)))*('Adjustment Surface'!AH$3-INDEX('Adjustment Surface'!$AO$3:$BH$3,1,MATCH(('Adjustment Surface'!AH$3),'Adjustment Surface'!$AO$3:$BH$3,1)))))</f>
        <v/>
      </c>
      <c r="AI16" s="182" t="str" cm="1">
        <f t="array" ref="AI16">IF(OR(AI$3="",$O16=""),"",1/((INDEX('Adjustment Surface'!$AN$4:$AN$23,MATCH(('Adjustment Surface'!$O16),'Adjustment Surface'!$AN$4:$AN$23,1)+IF('Adjustment Surface'!$O17="",-1,1))-INDEX('Adjustment Surface'!$AN$4:$AN$23,MATCH(('Adjustment Surface'!$O16),'Adjustment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Surface'!$O16),'Adjustment Surface'!$AN$4:$AN$23,1)),$AN$4:$AN$23,0),MATCH(INDEX('Adjustment Surface'!$AO$3:$BH$3,1,MATCH(('Adjustment Surface'!AI$3),'Adjustment Surface'!$AO$3:$BH$3,1)),$AO$3:$BH$3,0))*(INDEX('Adjustment Surface'!$AN$4:$AN$23,MATCH(('Adjustment Surface'!$O16),'Adjustment Surface'!$AN$4:$AN$23,1)+IF('Adjustment Surface'!$O17="",-1,1))-'Adjustment Surface'!$O16)*(INDEX('Adjustment Surface'!$AO$3:$BH$3,1,MATCH(('Adjustment Surface'!AI$3),'Adjustment Surface'!$AO$3:$BH$3,1)+IF('Adjustment Surface'!AJ$3="",-1,1))-'Adjustment Surface'!AI$3)+INDEX($AO$4:$BH$23,MATCH(INDEX('Adjustment Surface'!$AN$4:$AN$23,MATCH(('Adjustment Surface'!$O16),'Adjustment Surface'!$AN$4:$AN$23,1)+IF('Adjustment Surface'!$O17="",-1,1)),$AN$4:$AN$23,0),MATCH(INDEX('Adjustment Surface'!$AO$3:$BH$3,1,MATCH(('Adjustment Surface'!AI$3),'Adjustment Surface'!$AO$3:$BH$3,1)),$AO$3:$BH$3,0))*('Adjustment Surface'!$O16-INDEX('Adjustment Surface'!$AN$4:$AN$23,MATCH(('Adjustment Surface'!$O16),'Adjustment Surface'!$AN$4:$AN$23,1)))*(INDEX('Adjustment Surface'!$AO$3:$BH$3,1,MATCH(('Adjustment Surface'!AI$3),'Adjustment Surface'!$AO$3:$BH$3,1)+IF('Adjustment Surface'!AJ$3="",-1,1))-'Adjustment Surface'!AI$3)+INDEX($AO$4:$BH$23,MATCH(INDEX('Adjustment Surface'!$AN$4:$AN$23,MATCH(('Adjustment Surface'!$O16),'Adjustment Surface'!$AN$4:$AN$23,1)),$AN$4:$AN$23,0),MATCH(INDEX('Adjustment Surface'!$AO$3:$BH$3,1,MATCH(('Adjustment Surface'!AI$3),'Adjustment Surface'!$AO$3:$BH$3,1)+IF('Adjustment Surface'!AJ$3="",-1,1)),$AO$3:$BH$3,0))*(INDEX('Adjustment Surface'!$AN$4:$AN$23,MATCH(('Adjustment Surface'!$O16),'Adjustment Surface'!$AN$4:$AN$23,1)+IF('Adjustment Surface'!$O17="",-1,1))-'Adjustment Surface'!$O16)*('Adjustment Surface'!AI$3-INDEX('Adjustment Surface'!$AO$3:$BH$3,1,MATCH(('Adjustment Surface'!AI$3),'Adjustment Surface'!$AO$3:$BH$3,1)))+INDEX($AO$4:$BH$23,MATCH(INDEX('Adjustment Surface'!$AN$4:$AN$23,MATCH(('Adjustment Surface'!$O16),'Adjustment Surface'!$AN$4:$AN$23,1)+IF('Adjustment Surface'!$O17="",-1,1)),$AN$4:$AN$23,0),MATCH(INDEX('Adjustment Surface'!$AO$3:$BH$3,1,MATCH(('Adjustment Surface'!AI$3),'Adjustment Surface'!$AO$3:$BH$3,1)+IF('Adjustment Surface'!AJ$3="",-1,1)),$AO$3:$BH$3,0))*('Adjustment Surface'!$O16-INDEX('Adjustment Surface'!$AN$4:$AN$23,MATCH(('Adjustment Surface'!$O16),'Adjustment Surface'!$AN$4:$AN$23,1)))*('Adjustment Surface'!AI$3-INDEX('Adjustment Surface'!$AO$3:$BH$3,1,MATCH(('Adjustment Surface'!AI$3),'Adjustment Surface'!$AO$3:$BH$3,1)))))</f>
        <v/>
      </c>
      <c r="AK16" s="203" t="str">
        <f>IF(OR(AK15=IF('Adjustment Surface'!$C$2='Data Validation'!$A$2,_xlfn.FLOOR.MATH(MAX('Bank Adjustments'!$C$4:$C$103),0.5%,2),IF('Adjustment Surface'!$C$2='Data Validation'!$A$3,_xlfn.FLOOR.MATH(MAX('Bank Adjustments'!$M$4:$M$103),0.5%,2),"Uknown Option Type")),AK15=""),"",AK15+0.5%)</f>
        <v/>
      </c>
      <c r="AL16" s="204" t="str">
        <f>IF(OR(AL15=IF('Adjustment Surface'!$C$2='Data Validation'!$A$2,IF(EDATE('Rate &amp; Vol Update'!$C$2,_xlfn.FLOOR.MATH(DATEDIF('Rate &amp; Vol Update'!$C$2,MAX('Bank Adjustments'!$E$4:$E$103),"M"),3,2))&gt;MAX('Bank Adjustments'!$E$4:$E$103),EDATE('Rate &amp; Vol Update'!$C$2,_xlfn.FLOOR.MATH(DATEDIF('Rate &amp; Vol Update'!$C$2,MAX('Bank Adjustments'!$E$4:$E$103),"M")-3,3,2)),EDATE('Rate &amp; Vol Update'!$C$2,_xlfn.FLOOR.MATH(DATEDIF('Rate &amp; Vol Update'!$C$2,MAX('Bank Adjustments'!$E$4:$E$103),"M"),3,2))),IF('Adjustment Surface'!$C$2='Data Validation'!$A$3,IF(EDATE('Rate &amp; Vol Update'!$C$2,_xlfn.FLOOR.MATH(DATEDIF('Rate &amp; Vol Update'!$C$2,MAX('Bank Adjustments'!$O$4:$O$103),"M"),3,2))&gt;MAX('Bank Adjustments'!$O$4:$O$103),EDATE('Rate &amp; Vol Update'!$C$2,_xlfn.FLOOR.MATH(DATEDIF('Rate &amp; Vol Update'!$C$2,MAX('Bank Adjustments'!$O$4:$O$103),"M")-3,3,2)),EDATE('Rate &amp; Vol Update'!$C$2,_xlfn.FLOOR.MATH(DATEDIF('Rate &amp; Vol Update'!$C$2,MAX('Bank Adjustments'!$O$4:$O$103),"M"),3,2))),"Unkown Option Type")),AL15=""),"",EDATE(AL15,3))</f>
        <v/>
      </c>
      <c r="AN16" s="176"/>
      <c r="AO16" s="180" t="str" cm="1">
        <f t="array" ref="AO16">IF(OR(AO$3="",$AN16=""),"",INDEX(IF($C$2='Data Validation'!$A$2,'Bank Adjustments'!$H$4:$H$103,IF('Adjustment Surface'!$C$2='Data Validation'!$A$3,'Bank Adjustments'!$R$4:$R$103,"Unknown Option Type")),MATCH(1,($AN16=IF($C$2='Data Validation'!$A$2,'Bank Adjustments'!$C$4:$C$103,IF('Adjustment Surface'!$C$2='Data Validation'!$A$3,'Bank Adjustments'!$M$4:$M$103,"Unknown Option Type")))*(AO$3=IF($C$2='Data Validation'!$A$2,'Bank Adjustments'!$E$4:$E$103,IF('Adjustment Surface'!$C$2='Data Validation'!$A$3,'Bank Adjustments'!$O$4:$O$103,"Unknown Option Type"))),0)))</f>
        <v/>
      </c>
      <c r="AP16" s="181" t="str" cm="1">
        <f t="array" ref="AP16">IF(OR(AP$3="",$AN16=""),"",INDEX(IF($C$2='Data Validation'!$A$2,'Bank Adjustments'!$H$4:$H$103,IF('Adjustment Surface'!$C$2='Data Validation'!$A$3,'Bank Adjustments'!$R$4:$R$103,"Unknown Option Type")),MATCH(1,($AN16=IF($C$2='Data Validation'!$A$2,'Bank Adjustments'!$C$4:$C$103,IF('Adjustment Surface'!$C$2='Data Validation'!$A$3,'Bank Adjustments'!$M$4:$M$103,"Unknown Option Type")))*(AP$3=IF($C$2='Data Validation'!$A$2,'Bank Adjustments'!$E$4:$E$103,IF('Adjustment Surface'!$C$2='Data Validation'!$A$3,'Bank Adjustments'!$O$4:$O$103,"Unknown Option Type"))),0)))</f>
        <v/>
      </c>
      <c r="AQ16" s="181" t="str" cm="1">
        <f t="array" ref="AQ16">IF(OR(AQ$3="",$AN16=""),"",INDEX(IF($C$2='Data Validation'!$A$2,'Bank Adjustments'!$H$4:$H$103,IF('Adjustment Surface'!$C$2='Data Validation'!$A$3,'Bank Adjustments'!$R$4:$R$103,"Unknown Option Type")),MATCH(1,($AN16=IF($C$2='Data Validation'!$A$2,'Bank Adjustments'!$C$4:$C$103,IF('Adjustment Surface'!$C$2='Data Validation'!$A$3,'Bank Adjustments'!$M$4:$M$103,"Unknown Option Type")))*(AQ$3=IF($C$2='Data Validation'!$A$2,'Bank Adjustments'!$E$4:$E$103,IF('Adjustment Surface'!$C$2='Data Validation'!$A$3,'Bank Adjustments'!$O$4:$O$103,"Unknown Option Type"))),0)))</f>
        <v/>
      </c>
      <c r="AR16" s="181" t="str" cm="1">
        <f t="array" ref="AR16">IF(OR(AR$3="",$AN16=""),"",INDEX(IF($C$2='Data Validation'!$A$2,'Bank Adjustments'!$H$4:$H$103,IF('Adjustment Surface'!$C$2='Data Validation'!$A$3,'Bank Adjustments'!$R$4:$R$103,"Unknown Option Type")),MATCH(1,($AN16=IF($C$2='Data Validation'!$A$2,'Bank Adjustments'!$C$4:$C$103,IF('Adjustment Surface'!$C$2='Data Validation'!$A$3,'Bank Adjustments'!$M$4:$M$103,"Unknown Option Type")))*(AR$3=IF($C$2='Data Validation'!$A$2,'Bank Adjustments'!$E$4:$E$103,IF('Adjustment Surface'!$C$2='Data Validation'!$A$3,'Bank Adjustments'!$O$4:$O$103,"Unknown Option Type"))),0)))</f>
        <v/>
      </c>
      <c r="AS16" s="181" t="str" cm="1">
        <f t="array" ref="AS16">IF(OR(AS$3="",$AN16=""),"",INDEX(IF($C$2='Data Validation'!$A$2,'Bank Adjustments'!$H$4:$H$103,IF('Adjustment Surface'!$C$2='Data Validation'!$A$3,'Bank Adjustments'!$R$4:$R$103,"Unknown Option Type")),MATCH(1,($AN16=IF($C$2='Data Validation'!$A$2,'Bank Adjustments'!$C$4:$C$103,IF('Adjustment Surface'!$C$2='Data Validation'!$A$3,'Bank Adjustments'!$M$4:$M$103,"Unknown Option Type")))*(AS$3=IF($C$2='Data Validation'!$A$2,'Bank Adjustments'!$E$4:$E$103,IF('Adjustment Surface'!$C$2='Data Validation'!$A$3,'Bank Adjustments'!$O$4:$O$103,"Unknown Option Type"))),0)))</f>
        <v/>
      </c>
      <c r="AT16" s="181" t="str" cm="1">
        <f t="array" ref="AT16">IF(OR(AT$3="",$AN16=""),"",INDEX(IF($C$2='Data Validation'!$A$2,'Bank Adjustments'!$H$4:$H$103,IF('Adjustment Surface'!$C$2='Data Validation'!$A$3,'Bank Adjustments'!$R$4:$R$103,"Unknown Option Type")),MATCH(1,($AN16=IF($C$2='Data Validation'!$A$2,'Bank Adjustments'!$C$4:$C$103,IF('Adjustment Surface'!$C$2='Data Validation'!$A$3,'Bank Adjustments'!$M$4:$M$103,"Unknown Option Type")))*(AT$3=IF($C$2='Data Validation'!$A$2,'Bank Adjustments'!$E$4:$E$103,IF('Adjustment Surface'!$C$2='Data Validation'!$A$3,'Bank Adjustments'!$O$4:$O$103,"Unknown Option Type"))),0)))</f>
        <v/>
      </c>
      <c r="AU16" s="181" t="str" cm="1">
        <f t="array" ref="AU16">IF(OR(AU$3="",$AN16=""),"",INDEX(IF($C$2='Data Validation'!$A$2,'Bank Adjustments'!$H$4:$H$103,IF('Adjustment Surface'!$C$2='Data Validation'!$A$3,'Bank Adjustments'!$R$4:$R$103,"Unknown Option Type")),MATCH(1,($AN16=IF($C$2='Data Validation'!$A$2,'Bank Adjustments'!$C$4:$C$103,IF('Adjustment Surface'!$C$2='Data Validation'!$A$3,'Bank Adjustments'!$M$4:$M$103,"Unknown Option Type")))*(AU$3=IF($C$2='Data Validation'!$A$2,'Bank Adjustments'!$E$4:$E$103,IF('Adjustment Surface'!$C$2='Data Validation'!$A$3,'Bank Adjustments'!$O$4:$O$103,"Unknown Option Type"))),0)))</f>
        <v/>
      </c>
      <c r="AV16" s="181" t="str" cm="1">
        <f t="array" ref="AV16">IF(OR(AV$3="",$AN16=""),"",INDEX(IF($C$2='Data Validation'!$A$2,'Bank Adjustments'!$H$4:$H$103,IF('Adjustment Surface'!$C$2='Data Validation'!$A$3,'Bank Adjustments'!$R$4:$R$103,"Unknown Option Type")),MATCH(1,($AN16=IF($C$2='Data Validation'!$A$2,'Bank Adjustments'!$C$4:$C$103,IF('Adjustment Surface'!$C$2='Data Validation'!$A$3,'Bank Adjustments'!$M$4:$M$103,"Unknown Option Type")))*(AV$3=IF($C$2='Data Validation'!$A$2,'Bank Adjustments'!$E$4:$E$103,IF('Adjustment Surface'!$C$2='Data Validation'!$A$3,'Bank Adjustments'!$O$4:$O$103,"Unknown Option Type"))),0)))</f>
        <v/>
      </c>
      <c r="AW16" s="181" t="str" cm="1">
        <f t="array" ref="AW16">IF(OR(AW$3="",$AN16=""),"",INDEX(IF($C$2='Data Validation'!$A$2,'Bank Adjustments'!$H$4:$H$103,IF('Adjustment Surface'!$C$2='Data Validation'!$A$3,'Bank Adjustments'!$R$4:$R$103,"Unknown Option Type")),MATCH(1,($AN16=IF($C$2='Data Validation'!$A$2,'Bank Adjustments'!$C$4:$C$103,IF('Adjustment Surface'!$C$2='Data Validation'!$A$3,'Bank Adjustments'!$M$4:$M$103,"Unknown Option Type")))*(AW$3=IF($C$2='Data Validation'!$A$2,'Bank Adjustments'!$E$4:$E$103,IF('Adjustment Surface'!$C$2='Data Validation'!$A$3,'Bank Adjustments'!$O$4:$O$103,"Unknown Option Type"))),0)))</f>
        <v/>
      </c>
      <c r="AX16" s="181" t="str" cm="1">
        <f t="array" ref="AX16">IF(OR(AX$3="",$AN16=""),"",INDEX(IF($C$2='Data Validation'!$A$2,'Bank Adjustments'!$H$4:$H$103,IF('Adjustment Surface'!$C$2='Data Validation'!$A$3,'Bank Adjustments'!$R$4:$R$103,"Unknown Option Type")),MATCH(1,($AN16=IF($C$2='Data Validation'!$A$2,'Bank Adjustments'!$C$4:$C$103,IF('Adjustment Surface'!$C$2='Data Validation'!$A$3,'Bank Adjustments'!$M$4:$M$103,"Unknown Option Type")))*(AX$3=IF($C$2='Data Validation'!$A$2,'Bank Adjustments'!$E$4:$E$103,IF('Adjustment Surface'!$C$2='Data Validation'!$A$3,'Bank Adjustments'!$O$4:$O$103,"Unknown Option Type"))),0)))</f>
        <v/>
      </c>
      <c r="AY16" s="181" t="str" cm="1">
        <f t="array" ref="AY16">IF(OR(AY$3="",$AN16=""),"",INDEX(IF($C$2='Data Validation'!$A$2,'Bank Adjustments'!$H$4:$H$103,IF('Adjustment Surface'!$C$2='Data Validation'!$A$3,'Bank Adjustments'!$R$4:$R$103,"Unknown Option Type")),MATCH(1,($AN16=IF($C$2='Data Validation'!$A$2,'Bank Adjustments'!$C$4:$C$103,IF('Adjustment Surface'!$C$2='Data Validation'!$A$3,'Bank Adjustments'!$M$4:$M$103,"Unknown Option Type")))*(AY$3=IF($C$2='Data Validation'!$A$2,'Bank Adjustments'!$E$4:$E$103,IF('Adjustment Surface'!$C$2='Data Validation'!$A$3,'Bank Adjustments'!$O$4:$O$103,"Unknown Option Type"))),0)))</f>
        <v/>
      </c>
      <c r="AZ16" s="181" t="str" cm="1">
        <f t="array" ref="AZ16">IF(OR(AZ$3="",$AN16=""),"",INDEX(IF($C$2='Data Validation'!$A$2,'Bank Adjustments'!$H$4:$H$103,IF('Adjustment Surface'!$C$2='Data Validation'!$A$3,'Bank Adjustments'!$R$4:$R$103,"Unknown Option Type")),MATCH(1,($AN16=IF($C$2='Data Validation'!$A$2,'Bank Adjustments'!$C$4:$C$103,IF('Adjustment Surface'!$C$2='Data Validation'!$A$3,'Bank Adjustments'!$M$4:$M$103,"Unknown Option Type")))*(AZ$3=IF($C$2='Data Validation'!$A$2,'Bank Adjustments'!$E$4:$E$103,IF('Adjustment Surface'!$C$2='Data Validation'!$A$3,'Bank Adjustments'!$O$4:$O$103,"Unknown Option Type"))),0)))</f>
        <v/>
      </c>
      <c r="BA16" s="181" t="str" cm="1">
        <f t="array" ref="BA16">IF(OR(BA$3="",$AN16=""),"",INDEX(IF($C$2='Data Validation'!$A$2,'Bank Adjustments'!$H$4:$H$103,IF('Adjustment Surface'!$C$2='Data Validation'!$A$3,'Bank Adjustments'!$R$4:$R$103,"Unknown Option Type")),MATCH(1,($AN16=IF($C$2='Data Validation'!$A$2,'Bank Adjustments'!$C$4:$C$103,IF('Adjustment Surface'!$C$2='Data Validation'!$A$3,'Bank Adjustments'!$M$4:$M$103,"Unknown Option Type")))*(BA$3=IF($C$2='Data Validation'!$A$2,'Bank Adjustments'!$E$4:$E$103,IF('Adjustment Surface'!$C$2='Data Validation'!$A$3,'Bank Adjustments'!$O$4:$O$103,"Unknown Option Type"))),0)))</f>
        <v/>
      </c>
      <c r="BB16" s="181" t="str" cm="1">
        <f t="array" ref="BB16">IF(OR(BB$3="",$AN16=""),"",INDEX(IF($C$2='Data Validation'!$A$2,'Bank Adjustments'!$H$4:$H$103,IF('Adjustment Surface'!$C$2='Data Validation'!$A$3,'Bank Adjustments'!$R$4:$R$103,"Unknown Option Type")),MATCH(1,($AN16=IF($C$2='Data Validation'!$A$2,'Bank Adjustments'!$C$4:$C$103,IF('Adjustment Surface'!$C$2='Data Validation'!$A$3,'Bank Adjustments'!$M$4:$M$103,"Unknown Option Type")))*(BB$3=IF($C$2='Data Validation'!$A$2,'Bank Adjustments'!$E$4:$E$103,IF('Adjustment Surface'!$C$2='Data Validation'!$A$3,'Bank Adjustments'!$O$4:$O$103,"Unknown Option Type"))),0)))</f>
        <v/>
      </c>
      <c r="BC16" s="181" t="str" cm="1">
        <f t="array" ref="BC16">IF(OR(BC$3="",$AN16=""),"",INDEX(IF($C$2='Data Validation'!$A$2,'Bank Adjustments'!$H$4:$H$103,IF('Adjustment Surface'!$C$2='Data Validation'!$A$3,'Bank Adjustments'!$R$4:$R$103,"Unknown Option Type")),MATCH(1,($AN16=IF($C$2='Data Validation'!$A$2,'Bank Adjustments'!$C$4:$C$103,IF('Adjustment Surface'!$C$2='Data Validation'!$A$3,'Bank Adjustments'!$M$4:$M$103,"Unknown Option Type")))*(BC$3=IF($C$2='Data Validation'!$A$2,'Bank Adjustments'!$E$4:$E$103,IF('Adjustment Surface'!$C$2='Data Validation'!$A$3,'Bank Adjustments'!$O$4:$O$103,"Unknown Option Type"))),0)))</f>
        <v/>
      </c>
      <c r="BD16" s="181" t="str" cm="1">
        <f t="array" ref="BD16">IF(OR(BD$3="",$AN16=""),"",INDEX(IF($C$2='Data Validation'!$A$2,'Bank Adjustments'!$H$4:$H$103,IF('Adjustment Surface'!$C$2='Data Validation'!$A$3,'Bank Adjustments'!$R$4:$R$103,"Unknown Option Type")),MATCH(1,($AN16=IF($C$2='Data Validation'!$A$2,'Bank Adjustments'!$C$4:$C$103,IF('Adjustment Surface'!$C$2='Data Validation'!$A$3,'Bank Adjustments'!$M$4:$M$103,"Unknown Option Type")))*(BD$3=IF($C$2='Data Validation'!$A$2,'Bank Adjustments'!$E$4:$E$103,IF('Adjustment Surface'!$C$2='Data Validation'!$A$3,'Bank Adjustments'!$O$4:$O$103,"Unknown Option Type"))),0)))</f>
        <v/>
      </c>
      <c r="BE16" s="181" t="str" cm="1">
        <f t="array" ref="BE16">IF(OR(BE$3="",$AN16=""),"",INDEX(IF($C$2='Data Validation'!$A$2,'Bank Adjustments'!$H$4:$H$103,IF('Adjustment Surface'!$C$2='Data Validation'!$A$3,'Bank Adjustments'!$R$4:$R$103,"Unknown Option Type")),MATCH(1,($AN16=IF($C$2='Data Validation'!$A$2,'Bank Adjustments'!$C$4:$C$103,IF('Adjustment Surface'!$C$2='Data Validation'!$A$3,'Bank Adjustments'!$M$4:$M$103,"Unknown Option Type")))*(BE$3=IF($C$2='Data Validation'!$A$2,'Bank Adjustments'!$E$4:$E$103,IF('Adjustment Surface'!$C$2='Data Validation'!$A$3,'Bank Adjustments'!$O$4:$O$103,"Unknown Option Type"))),0)))</f>
        <v/>
      </c>
      <c r="BF16" s="181" t="str" cm="1">
        <f t="array" ref="BF16">IF(OR(BF$3="",$AN16=""),"",INDEX(IF($C$2='Data Validation'!$A$2,'Bank Adjustments'!$H$4:$H$103,IF('Adjustment Surface'!$C$2='Data Validation'!$A$3,'Bank Adjustments'!$R$4:$R$103,"Unknown Option Type")),MATCH(1,($AN16=IF($C$2='Data Validation'!$A$2,'Bank Adjustments'!$C$4:$C$103,IF('Adjustment Surface'!$C$2='Data Validation'!$A$3,'Bank Adjustments'!$M$4:$M$103,"Unknown Option Type")))*(BF$3=IF($C$2='Data Validation'!$A$2,'Bank Adjustments'!$E$4:$E$103,IF('Adjustment Surface'!$C$2='Data Validation'!$A$3,'Bank Adjustments'!$O$4:$O$103,"Unknown Option Type"))),0)))</f>
        <v/>
      </c>
      <c r="BG16" s="181" t="str" cm="1">
        <f t="array" ref="BG16">IF(OR(BG$3="",$AN16=""),"",INDEX(IF($C$2='Data Validation'!$A$2,'Bank Adjustments'!$H$4:$H$103,IF('Adjustment Surface'!$C$2='Data Validation'!$A$3,'Bank Adjustments'!$R$4:$R$103,"Unknown Option Type")),MATCH(1,($AN16=IF($C$2='Data Validation'!$A$2,'Bank Adjustments'!$C$4:$C$103,IF('Adjustment Surface'!$C$2='Data Validation'!$A$3,'Bank Adjustments'!$M$4:$M$103,"Unknown Option Type")))*(BG$3=IF($C$2='Data Validation'!$A$2,'Bank Adjustments'!$E$4:$E$103,IF('Adjustment Surface'!$C$2='Data Validation'!$A$3,'Bank Adjustments'!$O$4:$O$103,"Unknown Option Type"))),0)))</f>
        <v/>
      </c>
      <c r="BH16" s="182" t="str" cm="1">
        <f t="array" ref="BH16">IF(OR(BH$3="",$AN16=""),"",INDEX(IF($C$2='Data Validation'!$A$2,'Bank Adjustments'!$H$4:$H$103,IF('Adjustment Surface'!$C$2='Data Validation'!$A$3,'Bank Adjustments'!$R$4:$R$103,"Unknown Option Type")),MATCH(1,($AN16=IF($C$2='Data Validation'!$A$2,'Bank Adjustments'!$C$4:$C$103,IF('Adjustment Surface'!$C$2='Data Validation'!$A$3,'Bank Adjustments'!$M$4:$M$103,"Unknown Option Type")))*(BH$3=IF($C$2='Data Validation'!$A$2,'Bank Adjustments'!$E$4:$E$103,IF('Adjustment Surface'!$C$2='Data Validation'!$A$3,'Bank Adjustments'!$O$4:$O$103,"Unknown Option Type"))),0)))</f>
        <v/>
      </c>
    </row>
    <row r="17" spans="2:60" x14ac:dyDescent="0.25">
      <c r="B17" s="81">
        <f>IF('Control Panel'!$C$3='Data Validation'!$J$2,#REF!,'Cap and Floor Pricer'!G20)</f>
        <v>0.05</v>
      </c>
      <c r="C17" s="14">
        <f>'Bachelier Model'!C6</f>
        <v>315.7569833764743</v>
      </c>
      <c r="D17" s="14">
        <f>'Bachelier Model'!D6</f>
        <v>7278.4330329248241</v>
      </c>
      <c r="E17" s="14">
        <f>'Bachelier Model'!E6</f>
        <v>33681.566525456517</v>
      </c>
      <c r="F17" s="14">
        <f>'Bachelier Model'!F6</f>
        <v>83081.921859264447</v>
      </c>
      <c r="G17" s="55"/>
      <c r="H17" s="171"/>
      <c r="I17" s="61" t="str">
        <f t="shared" si="1"/>
        <v/>
      </c>
      <c r="J17" s="212" t="str">
        <f t="shared" si="1"/>
        <v/>
      </c>
      <c r="K17" s="212" t="str">
        <f t="shared" si="1"/>
        <v/>
      </c>
      <c r="L17" s="212" t="str">
        <f t="shared" si="1"/>
        <v/>
      </c>
      <c r="M17" s="63" t="str">
        <f t="shared" si="1"/>
        <v/>
      </c>
      <c r="O17" s="176"/>
      <c r="P17" s="180" t="str" cm="1">
        <f t="array" ref="P17">IF(OR(P$3="",$O17=""),"",1/((INDEX('Adjustment Surface'!$AN$4:$AN$23,MATCH(('Adjustment Surface'!$O17),'Adjustment Surface'!$AN$4:$AN$23,1)+IF('Adjustment Surface'!$O18="",-1,1))-INDEX('Adjustment Surface'!$AN$4:$AN$23,MATCH(('Adjustment Surface'!$O17),'Adjustment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Surface'!$O17),'Adjustment Surface'!$AN$4:$AN$23,1)),$AN$4:$AN$23,0),MATCH(INDEX('Adjustment Surface'!$AO$3:$BH$3,1,MATCH(('Adjustment Surface'!P$3),'Adjustment Surface'!$AO$3:$BH$3,1)),$AO$3:$BH$3,0))*(INDEX('Adjustment Surface'!$AN$4:$AN$23,MATCH(('Adjustment Surface'!$O17),'Adjustment Surface'!$AN$4:$AN$23,1)+IF('Adjustment Surface'!$O18="",-1,1))-'Adjustment Surface'!$O17)*(INDEX('Adjustment Surface'!$AO$3:$BH$3,1,MATCH(('Adjustment Surface'!P$3),'Adjustment Surface'!$AO$3:$BH$3,1)+IF('Adjustment Surface'!Q$3="",-1,1))-'Adjustment Surface'!P$3)+INDEX($AO$4:$BH$23,MATCH(INDEX('Adjustment Surface'!$AN$4:$AN$23,MATCH(('Adjustment Surface'!$O17),'Adjustment Surface'!$AN$4:$AN$23,1)+IF('Adjustment Surface'!$O18="",-1,1)),$AN$4:$AN$23,0),MATCH(INDEX('Adjustment Surface'!$AO$3:$BH$3,1,MATCH(('Adjustment Surface'!P$3),'Adjustment Surface'!$AO$3:$BH$3,1)),$AO$3:$BH$3,0))*('Adjustment Surface'!$O17-INDEX('Adjustment Surface'!$AN$4:$AN$23,MATCH(('Adjustment Surface'!$O17),'Adjustment Surface'!$AN$4:$AN$23,1)))*(INDEX('Adjustment Surface'!$AO$3:$BH$3,1,MATCH(('Adjustment Surface'!P$3),'Adjustment Surface'!$AO$3:$BH$3,1)+IF('Adjustment Surface'!Q$3="",-1,1))-'Adjustment Surface'!P$3)+INDEX($AO$4:$BH$23,MATCH(INDEX('Adjustment Surface'!$AN$4:$AN$23,MATCH(('Adjustment Surface'!$O17),'Adjustment Surface'!$AN$4:$AN$23,1)),$AN$4:$AN$23,0),MATCH(INDEX('Adjustment Surface'!$AO$3:$BH$3,1,MATCH(('Adjustment Surface'!P$3),'Adjustment Surface'!$AO$3:$BH$3,1)+IF('Adjustment Surface'!Q$3="",-1,1)),$AO$3:$BH$3,0))*(INDEX('Adjustment Surface'!$AN$4:$AN$23,MATCH(('Adjustment Surface'!$O17),'Adjustment Surface'!$AN$4:$AN$23,1)+IF('Adjustment Surface'!$O18="",-1,1))-'Adjustment Surface'!$O17)*('Adjustment Surface'!P$3-INDEX('Adjustment Surface'!$AO$3:$BH$3,1,MATCH(('Adjustment Surface'!P$3),'Adjustment Surface'!$AO$3:$BH$3,1)))+INDEX($AO$4:$BH$23,MATCH(INDEX('Adjustment Surface'!$AN$4:$AN$23,MATCH(('Adjustment Surface'!$O17),'Adjustment Surface'!$AN$4:$AN$23,1)+IF('Adjustment Surface'!$O18="",-1,1)),$AN$4:$AN$23,0),MATCH(INDEX('Adjustment Surface'!$AO$3:$BH$3,1,MATCH(('Adjustment Surface'!P$3),'Adjustment Surface'!$AO$3:$BH$3,1)+IF('Adjustment Surface'!Q$3="",-1,1)),$AO$3:$BH$3,0))*('Adjustment Surface'!$O17-INDEX('Adjustment Surface'!$AN$4:$AN$23,MATCH(('Adjustment Surface'!$O17),'Adjustment Surface'!$AN$4:$AN$23,1)))*('Adjustment Surface'!P$3-INDEX('Adjustment Surface'!$AO$3:$BH$3,1,MATCH(('Adjustment Surface'!P$3),'Adjustment Surface'!$AO$3:$BH$3,1)))))</f>
        <v/>
      </c>
      <c r="Q17" s="181" t="str" cm="1">
        <f t="array" ref="Q17">IF(OR(Q$3="",$O17=""),"",1/((INDEX('Adjustment Surface'!$AN$4:$AN$23,MATCH(('Adjustment Surface'!$O17),'Adjustment Surface'!$AN$4:$AN$23,1)+IF('Adjustment Surface'!$O18="",-1,1))-INDEX('Adjustment Surface'!$AN$4:$AN$23,MATCH(('Adjustment Surface'!$O17),'Adjustment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Surface'!$O17),'Adjustment Surface'!$AN$4:$AN$23,1)),$AN$4:$AN$23,0),MATCH(INDEX('Adjustment Surface'!$AO$3:$BH$3,1,MATCH(('Adjustment Surface'!Q$3),'Adjustment Surface'!$AO$3:$BH$3,1)),$AO$3:$BH$3,0))*(INDEX('Adjustment Surface'!$AN$4:$AN$23,MATCH(('Adjustment Surface'!$O17),'Adjustment Surface'!$AN$4:$AN$23,1)+IF('Adjustment Surface'!$O18="",-1,1))-'Adjustment Surface'!$O17)*(INDEX('Adjustment Surface'!$AO$3:$BH$3,1,MATCH(('Adjustment Surface'!Q$3),'Adjustment Surface'!$AO$3:$BH$3,1)+IF('Adjustment Surface'!R$3="",-1,1))-'Adjustment Surface'!Q$3)+INDEX($AO$4:$BH$23,MATCH(INDEX('Adjustment Surface'!$AN$4:$AN$23,MATCH(('Adjustment Surface'!$O17),'Adjustment Surface'!$AN$4:$AN$23,1)+IF('Adjustment Surface'!$O18="",-1,1)),$AN$4:$AN$23,0),MATCH(INDEX('Adjustment Surface'!$AO$3:$BH$3,1,MATCH(('Adjustment Surface'!Q$3),'Adjustment Surface'!$AO$3:$BH$3,1)),$AO$3:$BH$3,0))*('Adjustment Surface'!$O17-INDEX('Adjustment Surface'!$AN$4:$AN$23,MATCH(('Adjustment Surface'!$O17),'Adjustment Surface'!$AN$4:$AN$23,1)))*(INDEX('Adjustment Surface'!$AO$3:$BH$3,1,MATCH(('Adjustment Surface'!Q$3),'Adjustment Surface'!$AO$3:$BH$3,1)+IF('Adjustment Surface'!R$3="",-1,1))-'Adjustment Surface'!Q$3)+INDEX($AO$4:$BH$23,MATCH(INDEX('Adjustment Surface'!$AN$4:$AN$23,MATCH(('Adjustment Surface'!$O17),'Adjustment Surface'!$AN$4:$AN$23,1)),$AN$4:$AN$23,0),MATCH(INDEX('Adjustment Surface'!$AO$3:$BH$3,1,MATCH(('Adjustment Surface'!Q$3),'Adjustment Surface'!$AO$3:$BH$3,1)+IF('Adjustment Surface'!R$3="",-1,1)),$AO$3:$BH$3,0))*(INDEX('Adjustment Surface'!$AN$4:$AN$23,MATCH(('Adjustment Surface'!$O17),'Adjustment Surface'!$AN$4:$AN$23,1)+IF('Adjustment Surface'!$O18="",-1,1))-'Adjustment Surface'!$O17)*('Adjustment Surface'!Q$3-INDEX('Adjustment Surface'!$AO$3:$BH$3,1,MATCH(('Adjustment Surface'!Q$3),'Adjustment Surface'!$AO$3:$BH$3,1)))+INDEX($AO$4:$BH$23,MATCH(INDEX('Adjustment Surface'!$AN$4:$AN$23,MATCH(('Adjustment Surface'!$O17),'Adjustment Surface'!$AN$4:$AN$23,1)+IF('Adjustment Surface'!$O18="",-1,1)),$AN$4:$AN$23,0),MATCH(INDEX('Adjustment Surface'!$AO$3:$BH$3,1,MATCH(('Adjustment Surface'!Q$3),'Adjustment Surface'!$AO$3:$BH$3,1)+IF('Adjustment Surface'!R$3="",-1,1)),$AO$3:$BH$3,0))*('Adjustment Surface'!$O17-INDEX('Adjustment Surface'!$AN$4:$AN$23,MATCH(('Adjustment Surface'!$O17),'Adjustment Surface'!$AN$4:$AN$23,1)))*('Adjustment Surface'!Q$3-INDEX('Adjustment Surface'!$AO$3:$BH$3,1,MATCH(('Adjustment Surface'!Q$3),'Adjustment Surface'!$AO$3:$BH$3,1)))))</f>
        <v/>
      </c>
      <c r="R17" s="181" t="str" cm="1">
        <f t="array" ref="R17">IF(OR(R$3="",$O17=""),"",1/((INDEX('Adjustment Surface'!$AN$4:$AN$23,MATCH(('Adjustment Surface'!$O17),'Adjustment Surface'!$AN$4:$AN$23,1)+IF('Adjustment Surface'!$O18="",-1,1))-INDEX('Adjustment Surface'!$AN$4:$AN$23,MATCH(('Adjustment Surface'!$O17),'Adjustment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Surface'!$O17),'Adjustment Surface'!$AN$4:$AN$23,1)),$AN$4:$AN$23,0),MATCH(INDEX('Adjustment Surface'!$AO$3:$BH$3,1,MATCH(('Adjustment Surface'!R$3),'Adjustment Surface'!$AO$3:$BH$3,1)),$AO$3:$BH$3,0))*(INDEX('Adjustment Surface'!$AN$4:$AN$23,MATCH(('Adjustment Surface'!$O17),'Adjustment Surface'!$AN$4:$AN$23,1)+IF('Adjustment Surface'!$O18="",-1,1))-'Adjustment Surface'!$O17)*(INDEX('Adjustment Surface'!$AO$3:$BH$3,1,MATCH(('Adjustment Surface'!R$3),'Adjustment Surface'!$AO$3:$BH$3,1)+IF('Adjustment Surface'!S$3="",-1,1))-'Adjustment Surface'!R$3)+INDEX($AO$4:$BH$23,MATCH(INDEX('Adjustment Surface'!$AN$4:$AN$23,MATCH(('Adjustment Surface'!$O17),'Adjustment Surface'!$AN$4:$AN$23,1)+IF('Adjustment Surface'!$O18="",-1,1)),$AN$4:$AN$23,0),MATCH(INDEX('Adjustment Surface'!$AO$3:$BH$3,1,MATCH(('Adjustment Surface'!R$3),'Adjustment Surface'!$AO$3:$BH$3,1)),$AO$3:$BH$3,0))*('Adjustment Surface'!$O17-INDEX('Adjustment Surface'!$AN$4:$AN$23,MATCH(('Adjustment Surface'!$O17),'Adjustment Surface'!$AN$4:$AN$23,1)))*(INDEX('Adjustment Surface'!$AO$3:$BH$3,1,MATCH(('Adjustment Surface'!R$3),'Adjustment Surface'!$AO$3:$BH$3,1)+IF('Adjustment Surface'!S$3="",-1,1))-'Adjustment Surface'!R$3)+INDEX($AO$4:$BH$23,MATCH(INDEX('Adjustment Surface'!$AN$4:$AN$23,MATCH(('Adjustment Surface'!$O17),'Adjustment Surface'!$AN$4:$AN$23,1)),$AN$4:$AN$23,0),MATCH(INDEX('Adjustment Surface'!$AO$3:$BH$3,1,MATCH(('Adjustment Surface'!R$3),'Adjustment Surface'!$AO$3:$BH$3,1)+IF('Adjustment Surface'!S$3="",-1,1)),$AO$3:$BH$3,0))*(INDEX('Adjustment Surface'!$AN$4:$AN$23,MATCH(('Adjustment Surface'!$O17),'Adjustment Surface'!$AN$4:$AN$23,1)+IF('Adjustment Surface'!$O18="",-1,1))-'Adjustment Surface'!$O17)*('Adjustment Surface'!R$3-INDEX('Adjustment Surface'!$AO$3:$BH$3,1,MATCH(('Adjustment Surface'!R$3),'Adjustment Surface'!$AO$3:$BH$3,1)))+INDEX($AO$4:$BH$23,MATCH(INDEX('Adjustment Surface'!$AN$4:$AN$23,MATCH(('Adjustment Surface'!$O17),'Adjustment Surface'!$AN$4:$AN$23,1)+IF('Adjustment Surface'!$O18="",-1,1)),$AN$4:$AN$23,0),MATCH(INDEX('Adjustment Surface'!$AO$3:$BH$3,1,MATCH(('Adjustment Surface'!R$3),'Adjustment Surface'!$AO$3:$BH$3,1)+IF('Adjustment Surface'!S$3="",-1,1)),$AO$3:$BH$3,0))*('Adjustment Surface'!$O17-INDEX('Adjustment Surface'!$AN$4:$AN$23,MATCH(('Adjustment Surface'!$O17),'Adjustment Surface'!$AN$4:$AN$23,1)))*('Adjustment Surface'!R$3-INDEX('Adjustment Surface'!$AO$3:$BH$3,1,MATCH(('Adjustment Surface'!R$3),'Adjustment Surface'!$AO$3:$BH$3,1)))))</f>
        <v/>
      </c>
      <c r="S17" s="181" t="str" cm="1">
        <f t="array" ref="S17">IF(OR(S$3="",$O17=""),"",1/((INDEX('Adjustment Surface'!$AN$4:$AN$23,MATCH(('Adjustment Surface'!$O17),'Adjustment Surface'!$AN$4:$AN$23,1)+IF('Adjustment Surface'!$O18="",-1,1))-INDEX('Adjustment Surface'!$AN$4:$AN$23,MATCH(('Adjustment Surface'!$O17),'Adjustment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Surface'!$O17),'Adjustment Surface'!$AN$4:$AN$23,1)),$AN$4:$AN$23,0),MATCH(INDEX('Adjustment Surface'!$AO$3:$BH$3,1,MATCH(('Adjustment Surface'!S$3),'Adjustment Surface'!$AO$3:$BH$3,1)),$AO$3:$BH$3,0))*(INDEX('Adjustment Surface'!$AN$4:$AN$23,MATCH(('Adjustment Surface'!$O17),'Adjustment Surface'!$AN$4:$AN$23,1)+IF('Adjustment Surface'!$O18="",-1,1))-'Adjustment Surface'!$O17)*(INDEX('Adjustment Surface'!$AO$3:$BH$3,1,MATCH(('Adjustment Surface'!S$3),'Adjustment Surface'!$AO$3:$BH$3,1)+IF('Adjustment Surface'!T$3="",-1,1))-'Adjustment Surface'!S$3)+INDEX($AO$4:$BH$23,MATCH(INDEX('Adjustment Surface'!$AN$4:$AN$23,MATCH(('Adjustment Surface'!$O17),'Adjustment Surface'!$AN$4:$AN$23,1)+IF('Adjustment Surface'!$O18="",-1,1)),$AN$4:$AN$23,0),MATCH(INDEX('Adjustment Surface'!$AO$3:$BH$3,1,MATCH(('Adjustment Surface'!S$3),'Adjustment Surface'!$AO$3:$BH$3,1)),$AO$3:$BH$3,0))*('Adjustment Surface'!$O17-INDEX('Adjustment Surface'!$AN$4:$AN$23,MATCH(('Adjustment Surface'!$O17),'Adjustment Surface'!$AN$4:$AN$23,1)))*(INDEX('Adjustment Surface'!$AO$3:$BH$3,1,MATCH(('Adjustment Surface'!S$3),'Adjustment Surface'!$AO$3:$BH$3,1)+IF('Adjustment Surface'!T$3="",-1,1))-'Adjustment Surface'!S$3)+INDEX($AO$4:$BH$23,MATCH(INDEX('Adjustment Surface'!$AN$4:$AN$23,MATCH(('Adjustment Surface'!$O17),'Adjustment Surface'!$AN$4:$AN$23,1)),$AN$4:$AN$23,0),MATCH(INDEX('Adjustment Surface'!$AO$3:$BH$3,1,MATCH(('Adjustment Surface'!S$3),'Adjustment Surface'!$AO$3:$BH$3,1)+IF('Adjustment Surface'!T$3="",-1,1)),$AO$3:$BH$3,0))*(INDEX('Adjustment Surface'!$AN$4:$AN$23,MATCH(('Adjustment Surface'!$O17),'Adjustment Surface'!$AN$4:$AN$23,1)+IF('Adjustment Surface'!$O18="",-1,1))-'Adjustment Surface'!$O17)*('Adjustment Surface'!S$3-INDEX('Adjustment Surface'!$AO$3:$BH$3,1,MATCH(('Adjustment Surface'!S$3),'Adjustment Surface'!$AO$3:$BH$3,1)))+INDEX($AO$4:$BH$23,MATCH(INDEX('Adjustment Surface'!$AN$4:$AN$23,MATCH(('Adjustment Surface'!$O17),'Adjustment Surface'!$AN$4:$AN$23,1)+IF('Adjustment Surface'!$O18="",-1,1)),$AN$4:$AN$23,0),MATCH(INDEX('Adjustment Surface'!$AO$3:$BH$3,1,MATCH(('Adjustment Surface'!S$3),'Adjustment Surface'!$AO$3:$BH$3,1)+IF('Adjustment Surface'!T$3="",-1,1)),$AO$3:$BH$3,0))*('Adjustment Surface'!$O17-INDEX('Adjustment Surface'!$AN$4:$AN$23,MATCH(('Adjustment Surface'!$O17),'Adjustment Surface'!$AN$4:$AN$23,1)))*('Adjustment Surface'!S$3-INDEX('Adjustment Surface'!$AO$3:$BH$3,1,MATCH(('Adjustment Surface'!S$3),'Adjustment Surface'!$AO$3:$BH$3,1)))))</f>
        <v/>
      </c>
      <c r="T17" s="181" t="str" cm="1">
        <f t="array" ref="T17">IF(OR(T$3="",$O17=""),"",1/((INDEX('Adjustment Surface'!$AN$4:$AN$23,MATCH(('Adjustment Surface'!$O17),'Adjustment Surface'!$AN$4:$AN$23,1)+IF('Adjustment Surface'!$O18="",-1,1))-INDEX('Adjustment Surface'!$AN$4:$AN$23,MATCH(('Adjustment Surface'!$O17),'Adjustment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Surface'!$O17),'Adjustment Surface'!$AN$4:$AN$23,1)),$AN$4:$AN$23,0),MATCH(INDEX('Adjustment Surface'!$AO$3:$BH$3,1,MATCH(('Adjustment Surface'!T$3),'Adjustment Surface'!$AO$3:$BH$3,1)),$AO$3:$BH$3,0))*(INDEX('Adjustment Surface'!$AN$4:$AN$23,MATCH(('Adjustment Surface'!$O17),'Adjustment Surface'!$AN$4:$AN$23,1)+IF('Adjustment Surface'!$O18="",-1,1))-'Adjustment Surface'!$O17)*(INDEX('Adjustment Surface'!$AO$3:$BH$3,1,MATCH(('Adjustment Surface'!T$3),'Adjustment Surface'!$AO$3:$BH$3,1)+IF('Adjustment Surface'!U$3="",-1,1))-'Adjustment Surface'!T$3)+INDEX($AO$4:$BH$23,MATCH(INDEX('Adjustment Surface'!$AN$4:$AN$23,MATCH(('Adjustment Surface'!$O17),'Adjustment Surface'!$AN$4:$AN$23,1)+IF('Adjustment Surface'!$O18="",-1,1)),$AN$4:$AN$23,0),MATCH(INDEX('Adjustment Surface'!$AO$3:$BH$3,1,MATCH(('Adjustment Surface'!T$3),'Adjustment Surface'!$AO$3:$BH$3,1)),$AO$3:$BH$3,0))*('Adjustment Surface'!$O17-INDEX('Adjustment Surface'!$AN$4:$AN$23,MATCH(('Adjustment Surface'!$O17),'Adjustment Surface'!$AN$4:$AN$23,1)))*(INDEX('Adjustment Surface'!$AO$3:$BH$3,1,MATCH(('Adjustment Surface'!T$3),'Adjustment Surface'!$AO$3:$BH$3,1)+IF('Adjustment Surface'!U$3="",-1,1))-'Adjustment Surface'!T$3)+INDEX($AO$4:$BH$23,MATCH(INDEX('Adjustment Surface'!$AN$4:$AN$23,MATCH(('Adjustment Surface'!$O17),'Adjustment Surface'!$AN$4:$AN$23,1)),$AN$4:$AN$23,0),MATCH(INDEX('Adjustment Surface'!$AO$3:$BH$3,1,MATCH(('Adjustment Surface'!T$3),'Adjustment Surface'!$AO$3:$BH$3,1)+IF('Adjustment Surface'!U$3="",-1,1)),$AO$3:$BH$3,0))*(INDEX('Adjustment Surface'!$AN$4:$AN$23,MATCH(('Adjustment Surface'!$O17),'Adjustment Surface'!$AN$4:$AN$23,1)+IF('Adjustment Surface'!$O18="",-1,1))-'Adjustment Surface'!$O17)*('Adjustment Surface'!T$3-INDEX('Adjustment Surface'!$AO$3:$BH$3,1,MATCH(('Adjustment Surface'!T$3),'Adjustment Surface'!$AO$3:$BH$3,1)))+INDEX($AO$4:$BH$23,MATCH(INDEX('Adjustment Surface'!$AN$4:$AN$23,MATCH(('Adjustment Surface'!$O17),'Adjustment Surface'!$AN$4:$AN$23,1)+IF('Adjustment Surface'!$O18="",-1,1)),$AN$4:$AN$23,0),MATCH(INDEX('Adjustment Surface'!$AO$3:$BH$3,1,MATCH(('Adjustment Surface'!T$3),'Adjustment Surface'!$AO$3:$BH$3,1)+IF('Adjustment Surface'!U$3="",-1,1)),$AO$3:$BH$3,0))*('Adjustment Surface'!$O17-INDEX('Adjustment Surface'!$AN$4:$AN$23,MATCH(('Adjustment Surface'!$O17),'Adjustment Surface'!$AN$4:$AN$23,1)))*('Adjustment Surface'!T$3-INDEX('Adjustment Surface'!$AO$3:$BH$3,1,MATCH(('Adjustment Surface'!T$3),'Adjustment Surface'!$AO$3:$BH$3,1)))))</f>
        <v/>
      </c>
      <c r="U17" s="181" t="str" cm="1">
        <f t="array" ref="U17">IF(OR(U$3="",$O17=""),"",1/((INDEX('Adjustment Surface'!$AN$4:$AN$23,MATCH(('Adjustment Surface'!$O17),'Adjustment Surface'!$AN$4:$AN$23,1)+IF('Adjustment Surface'!$O18="",-1,1))-INDEX('Adjustment Surface'!$AN$4:$AN$23,MATCH(('Adjustment Surface'!$O17),'Adjustment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Surface'!$O17),'Adjustment Surface'!$AN$4:$AN$23,1)),$AN$4:$AN$23,0),MATCH(INDEX('Adjustment Surface'!$AO$3:$BH$3,1,MATCH(('Adjustment Surface'!U$3),'Adjustment Surface'!$AO$3:$BH$3,1)),$AO$3:$BH$3,0))*(INDEX('Adjustment Surface'!$AN$4:$AN$23,MATCH(('Adjustment Surface'!$O17),'Adjustment Surface'!$AN$4:$AN$23,1)+IF('Adjustment Surface'!$O18="",-1,1))-'Adjustment Surface'!$O17)*(INDEX('Adjustment Surface'!$AO$3:$BH$3,1,MATCH(('Adjustment Surface'!U$3),'Adjustment Surface'!$AO$3:$BH$3,1)+IF('Adjustment Surface'!V$3="",-1,1))-'Adjustment Surface'!U$3)+INDEX($AO$4:$BH$23,MATCH(INDEX('Adjustment Surface'!$AN$4:$AN$23,MATCH(('Adjustment Surface'!$O17),'Adjustment Surface'!$AN$4:$AN$23,1)+IF('Adjustment Surface'!$O18="",-1,1)),$AN$4:$AN$23,0),MATCH(INDEX('Adjustment Surface'!$AO$3:$BH$3,1,MATCH(('Adjustment Surface'!U$3),'Adjustment Surface'!$AO$3:$BH$3,1)),$AO$3:$BH$3,0))*('Adjustment Surface'!$O17-INDEX('Adjustment Surface'!$AN$4:$AN$23,MATCH(('Adjustment Surface'!$O17),'Adjustment Surface'!$AN$4:$AN$23,1)))*(INDEX('Adjustment Surface'!$AO$3:$BH$3,1,MATCH(('Adjustment Surface'!U$3),'Adjustment Surface'!$AO$3:$BH$3,1)+IF('Adjustment Surface'!V$3="",-1,1))-'Adjustment Surface'!U$3)+INDEX($AO$4:$BH$23,MATCH(INDEX('Adjustment Surface'!$AN$4:$AN$23,MATCH(('Adjustment Surface'!$O17),'Adjustment Surface'!$AN$4:$AN$23,1)),$AN$4:$AN$23,0),MATCH(INDEX('Adjustment Surface'!$AO$3:$BH$3,1,MATCH(('Adjustment Surface'!U$3),'Adjustment Surface'!$AO$3:$BH$3,1)+IF('Adjustment Surface'!V$3="",-1,1)),$AO$3:$BH$3,0))*(INDEX('Adjustment Surface'!$AN$4:$AN$23,MATCH(('Adjustment Surface'!$O17),'Adjustment Surface'!$AN$4:$AN$23,1)+IF('Adjustment Surface'!$O18="",-1,1))-'Adjustment Surface'!$O17)*('Adjustment Surface'!U$3-INDEX('Adjustment Surface'!$AO$3:$BH$3,1,MATCH(('Adjustment Surface'!U$3),'Adjustment Surface'!$AO$3:$BH$3,1)))+INDEX($AO$4:$BH$23,MATCH(INDEX('Adjustment Surface'!$AN$4:$AN$23,MATCH(('Adjustment Surface'!$O17),'Adjustment Surface'!$AN$4:$AN$23,1)+IF('Adjustment Surface'!$O18="",-1,1)),$AN$4:$AN$23,0),MATCH(INDEX('Adjustment Surface'!$AO$3:$BH$3,1,MATCH(('Adjustment Surface'!U$3),'Adjustment Surface'!$AO$3:$BH$3,1)+IF('Adjustment Surface'!V$3="",-1,1)),$AO$3:$BH$3,0))*('Adjustment Surface'!$O17-INDEX('Adjustment Surface'!$AN$4:$AN$23,MATCH(('Adjustment Surface'!$O17),'Adjustment Surface'!$AN$4:$AN$23,1)))*('Adjustment Surface'!U$3-INDEX('Adjustment Surface'!$AO$3:$BH$3,1,MATCH(('Adjustment Surface'!U$3),'Adjustment Surface'!$AO$3:$BH$3,1)))))</f>
        <v/>
      </c>
      <c r="V17" s="181" t="str" cm="1">
        <f t="array" ref="V17">IF(OR(V$3="",$O17=""),"",1/((INDEX('Adjustment Surface'!$AN$4:$AN$23,MATCH(('Adjustment Surface'!$O17),'Adjustment Surface'!$AN$4:$AN$23,1)+IF('Adjustment Surface'!$O18="",-1,1))-INDEX('Adjustment Surface'!$AN$4:$AN$23,MATCH(('Adjustment Surface'!$O17),'Adjustment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Surface'!$O17),'Adjustment Surface'!$AN$4:$AN$23,1)),$AN$4:$AN$23,0),MATCH(INDEX('Adjustment Surface'!$AO$3:$BH$3,1,MATCH(('Adjustment Surface'!V$3),'Adjustment Surface'!$AO$3:$BH$3,1)),$AO$3:$BH$3,0))*(INDEX('Adjustment Surface'!$AN$4:$AN$23,MATCH(('Adjustment Surface'!$O17),'Adjustment Surface'!$AN$4:$AN$23,1)+IF('Adjustment Surface'!$O18="",-1,1))-'Adjustment Surface'!$O17)*(INDEX('Adjustment Surface'!$AO$3:$BH$3,1,MATCH(('Adjustment Surface'!V$3),'Adjustment Surface'!$AO$3:$BH$3,1)+IF('Adjustment Surface'!W$3="",-1,1))-'Adjustment Surface'!V$3)+INDEX($AO$4:$BH$23,MATCH(INDEX('Adjustment Surface'!$AN$4:$AN$23,MATCH(('Adjustment Surface'!$O17),'Adjustment Surface'!$AN$4:$AN$23,1)+IF('Adjustment Surface'!$O18="",-1,1)),$AN$4:$AN$23,0),MATCH(INDEX('Adjustment Surface'!$AO$3:$BH$3,1,MATCH(('Adjustment Surface'!V$3),'Adjustment Surface'!$AO$3:$BH$3,1)),$AO$3:$BH$3,0))*('Adjustment Surface'!$O17-INDEX('Adjustment Surface'!$AN$4:$AN$23,MATCH(('Adjustment Surface'!$O17),'Adjustment Surface'!$AN$4:$AN$23,1)))*(INDEX('Adjustment Surface'!$AO$3:$BH$3,1,MATCH(('Adjustment Surface'!V$3),'Adjustment Surface'!$AO$3:$BH$3,1)+IF('Adjustment Surface'!W$3="",-1,1))-'Adjustment Surface'!V$3)+INDEX($AO$4:$BH$23,MATCH(INDEX('Adjustment Surface'!$AN$4:$AN$23,MATCH(('Adjustment Surface'!$O17),'Adjustment Surface'!$AN$4:$AN$23,1)),$AN$4:$AN$23,0),MATCH(INDEX('Adjustment Surface'!$AO$3:$BH$3,1,MATCH(('Adjustment Surface'!V$3),'Adjustment Surface'!$AO$3:$BH$3,1)+IF('Adjustment Surface'!W$3="",-1,1)),$AO$3:$BH$3,0))*(INDEX('Adjustment Surface'!$AN$4:$AN$23,MATCH(('Adjustment Surface'!$O17),'Adjustment Surface'!$AN$4:$AN$23,1)+IF('Adjustment Surface'!$O18="",-1,1))-'Adjustment Surface'!$O17)*('Adjustment Surface'!V$3-INDEX('Adjustment Surface'!$AO$3:$BH$3,1,MATCH(('Adjustment Surface'!V$3),'Adjustment Surface'!$AO$3:$BH$3,1)))+INDEX($AO$4:$BH$23,MATCH(INDEX('Adjustment Surface'!$AN$4:$AN$23,MATCH(('Adjustment Surface'!$O17),'Adjustment Surface'!$AN$4:$AN$23,1)+IF('Adjustment Surface'!$O18="",-1,1)),$AN$4:$AN$23,0),MATCH(INDEX('Adjustment Surface'!$AO$3:$BH$3,1,MATCH(('Adjustment Surface'!V$3),'Adjustment Surface'!$AO$3:$BH$3,1)+IF('Adjustment Surface'!W$3="",-1,1)),$AO$3:$BH$3,0))*('Adjustment Surface'!$O17-INDEX('Adjustment Surface'!$AN$4:$AN$23,MATCH(('Adjustment Surface'!$O17),'Adjustment Surface'!$AN$4:$AN$23,1)))*('Adjustment Surface'!V$3-INDEX('Adjustment Surface'!$AO$3:$BH$3,1,MATCH(('Adjustment Surface'!V$3),'Adjustment Surface'!$AO$3:$BH$3,1)))))</f>
        <v/>
      </c>
      <c r="W17" s="181" t="str" cm="1">
        <f t="array" ref="W17">IF(OR(W$3="",$O17=""),"",1/((INDEX('Adjustment Surface'!$AN$4:$AN$23,MATCH(('Adjustment Surface'!$O17),'Adjustment Surface'!$AN$4:$AN$23,1)+IF('Adjustment Surface'!$O18="",-1,1))-INDEX('Adjustment Surface'!$AN$4:$AN$23,MATCH(('Adjustment Surface'!$O17),'Adjustment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Surface'!$O17),'Adjustment Surface'!$AN$4:$AN$23,1)),$AN$4:$AN$23,0),MATCH(INDEX('Adjustment Surface'!$AO$3:$BH$3,1,MATCH(('Adjustment Surface'!W$3),'Adjustment Surface'!$AO$3:$BH$3,1)),$AO$3:$BH$3,0))*(INDEX('Adjustment Surface'!$AN$4:$AN$23,MATCH(('Adjustment Surface'!$O17),'Adjustment Surface'!$AN$4:$AN$23,1)+IF('Adjustment Surface'!$O18="",-1,1))-'Adjustment Surface'!$O17)*(INDEX('Adjustment Surface'!$AO$3:$BH$3,1,MATCH(('Adjustment Surface'!W$3),'Adjustment Surface'!$AO$3:$BH$3,1)+IF('Adjustment Surface'!X$3="",-1,1))-'Adjustment Surface'!W$3)+INDEX($AO$4:$BH$23,MATCH(INDEX('Adjustment Surface'!$AN$4:$AN$23,MATCH(('Adjustment Surface'!$O17),'Adjustment Surface'!$AN$4:$AN$23,1)+IF('Adjustment Surface'!$O18="",-1,1)),$AN$4:$AN$23,0),MATCH(INDEX('Adjustment Surface'!$AO$3:$BH$3,1,MATCH(('Adjustment Surface'!W$3),'Adjustment Surface'!$AO$3:$BH$3,1)),$AO$3:$BH$3,0))*('Adjustment Surface'!$O17-INDEX('Adjustment Surface'!$AN$4:$AN$23,MATCH(('Adjustment Surface'!$O17),'Adjustment Surface'!$AN$4:$AN$23,1)))*(INDEX('Adjustment Surface'!$AO$3:$BH$3,1,MATCH(('Adjustment Surface'!W$3),'Adjustment Surface'!$AO$3:$BH$3,1)+IF('Adjustment Surface'!X$3="",-1,1))-'Adjustment Surface'!W$3)+INDEX($AO$4:$BH$23,MATCH(INDEX('Adjustment Surface'!$AN$4:$AN$23,MATCH(('Adjustment Surface'!$O17),'Adjustment Surface'!$AN$4:$AN$23,1)),$AN$4:$AN$23,0),MATCH(INDEX('Adjustment Surface'!$AO$3:$BH$3,1,MATCH(('Adjustment Surface'!W$3),'Adjustment Surface'!$AO$3:$BH$3,1)+IF('Adjustment Surface'!X$3="",-1,1)),$AO$3:$BH$3,0))*(INDEX('Adjustment Surface'!$AN$4:$AN$23,MATCH(('Adjustment Surface'!$O17),'Adjustment Surface'!$AN$4:$AN$23,1)+IF('Adjustment Surface'!$O18="",-1,1))-'Adjustment Surface'!$O17)*('Adjustment Surface'!W$3-INDEX('Adjustment Surface'!$AO$3:$BH$3,1,MATCH(('Adjustment Surface'!W$3),'Adjustment Surface'!$AO$3:$BH$3,1)))+INDEX($AO$4:$BH$23,MATCH(INDEX('Adjustment Surface'!$AN$4:$AN$23,MATCH(('Adjustment Surface'!$O17),'Adjustment Surface'!$AN$4:$AN$23,1)+IF('Adjustment Surface'!$O18="",-1,1)),$AN$4:$AN$23,0),MATCH(INDEX('Adjustment Surface'!$AO$3:$BH$3,1,MATCH(('Adjustment Surface'!W$3),'Adjustment Surface'!$AO$3:$BH$3,1)+IF('Adjustment Surface'!X$3="",-1,1)),$AO$3:$BH$3,0))*('Adjustment Surface'!$O17-INDEX('Adjustment Surface'!$AN$4:$AN$23,MATCH(('Adjustment Surface'!$O17),'Adjustment Surface'!$AN$4:$AN$23,1)))*('Adjustment Surface'!W$3-INDEX('Adjustment Surface'!$AO$3:$BH$3,1,MATCH(('Adjustment Surface'!W$3),'Adjustment Surface'!$AO$3:$BH$3,1)))))</f>
        <v/>
      </c>
      <c r="X17" s="181" t="str" cm="1">
        <f t="array" ref="X17">IF(OR(X$3="",$O17=""),"",1/((INDEX('Adjustment Surface'!$AN$4:$AN$23,MATCH(('Adjustment Surface'!$O17),'Adjustment Surface'!$AN$4:$AN$23,1)+IF('Adjustment Surface'!$O18="",-1,1))-INDEX('Adjustment Surface'!$AN$4:$AN$23,MATCH(('Adjustment Surface'!$O17),'Adjustment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Surface'!$O17),'Adjustment Surface'!$AN$4:$AN$23,1)),$AN$4:$AN$23,0),MATCH(INDEX('Adjustment Surface'!$AO$3:$BH$3,1,MATCH(('Adjustment Surface'!X$3),'Adjustment Surface'!$AO$3:$BH$3,1)),$AO$3:$BH$3,0))*(INDEX('Adjustment Surface'!$AN$4:$AN$23,MATCH(('Adjustment Surface'!$O17),'Adjustment Surface'!$AN$4:$AN$23,1)+IF('Adjustment Surface'!$O18="",-1,1))-'Adjustment Surface'!$O17)*(INDEX('Adjustment Surface'!$AO$3:$BH$3,1,MATCH(('Adjustment Surface'!X$3),'Adjustment Surface'!$AO$3:$BH$3,1)+IF('Adjustment Surface'!Y$3="",-1,1))-'Adjustment Surface'!X$3)+INDEX($AO$4:$BH$23,MATCH(INDEX('Adjustment Surface'!$AN$4:$AN$23,MATCH(('Adjustment Surface'!$O17),'Adjustment Surface'!$AN$4:$AN$23,1)+IF('Adjustment Surface'!$O18="",-1,1)),$AN$4:$AN$23,0),MATCH(INDEX('Adjustment Surface'!$AO$3:$BH$3,1,MATCH(('Adjustment Surface'!X$3),'Adjustment Surface'!$AO$3:$BH$3,1)),$AO$3:$BH$3,0))*('Adjustment Surface'!$O17-INDEX('Adjustment Surface'!$AN$4:$AN$23,MATCH(('Adjustment Surface'!$O17),'Adjustment Surface'!$AN$4:$AN$23,1)))*(INDEX('Adjustment Surface'!$AO$3:$BH$3,1,MATCH(('Adjustment Surface'!X$3),'Adjustment Surface'!$AO$3:$BH$3,1)+IF('Adjustment Surface'!Y$3="",-1,1))-'Adjustment Surface'!X$3)+INDEX($AO$4:$BH$23,MATCH(INDEX('Adjustment Surface'!$AN$4:$AN$23,MATCH(('Adjustment Surface'!$O17),'Adjustment Surface'!$AN$4:$AN$23,1)),$AN$4:$AN$23,0),MATCH(INDEX('Adjustment Surface'!$AO$3:$BH$3,1,MATCH(('Adjustment Surface'!X$3),'Adjustment Surface'!$AO$3:$BH$3,1)+IF('Adjustment Surface'!Y$3="",-1,1)),$AO$3:$BH$3,0))*(INDEX('Adjustment Surface'!$AN$4:$AN$23,MATCH(('Adjustment Surface'!$O17),'Adjustment Surface'!$AN$4:$AN$23,1)+IF('Adjustment Surface'!$O18="",-1,1))-'Adjustment Surface'!$O17)*('Adjustment Surface'!X$3-INDEX('Adjustment Surface'!$AO$3:$BH$3,1,MATCH(('Adjustment Surface'!X$3),'Adjustment Surface'!$AO$3:$BH$3,1)))+INDEX($AO$4:$BH$23,MATCH(INDEX('Adjustment Surface'!$AN$4:$AN$23,MATCH(('Adjustment Surface'!$O17),'Adjustment Surface'!$AN$4:$AN$23,1)+IF('Adjustment Surface'!$O18="",-1,1)),$AN$4:$AN$23,0),MATCH(INDEX('Adjustment Surface'!$AO$3:$BH$3,1,MATCH(('Adjustment Surface'!X$3),'Adjustment Surface'!$AO$3:$BH$3,1)+IF('Adjustment Surface'!Y$3="",-1,1)),$AO$3:$BH$3,0))*('Adjustment Surface'!$O17-INDEX('Adjustment Surface'!$AN$4:$AN$23,MATCH(('Adjustment Surface'!$O17),'Adjustment Surface'!$AN$4:$AN$23,1)))*('Adjustment Surface'!X$3-INDEX('Adjustment Surface'!$AO$3:$BH$3,1,MATCH(('Adjustment Surface'!X$3),'Adjustment Surface'!$AO$3:$BH$3,1)))))</f>
        <v/>
      </c>
      <c r="Y17" s="181" t="str" cm="1">
        <f t="array" ref="Y17">IF(OR(Y$3="",$O17=""),"",1/((INDEX('Adjustment Surface'!$AN$4:$AN$23,MATCH(('Adjustment Surface'!$O17),'Adjustment Surface'!$AN$4:$AN$23,1)+IF('Adjustment Surface'!$O18="",-1,1))-INDEX('Adjustment Surface'!$AN$4:$AN$23,MATCH(('Adjustment Surface'!$O17),'Adjustment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Surface'!$O17),'Adjustment Surface'!$AN$4:$AN$23,1)),$AN$4:$AN$23,0),MATCH(INDEX('Adjustment Surface'!$AO$3:$BH$3,1,MATCH(('Adjustment Surface'!Y$3),'Adjustment Surface'!$AO$3:$BH$3,1)),$AO$3:$BH$3,0))*(INDEX('Adjustment Surface'!$AN$4:$AN$23,MATCH(('Adjustment Surface'!$O17),'Adjustment Surface'!$AN$4:$AN$23,1)+IF('Adjustment Surface'!$O18="",-1,1))-'Adjustment Surface'!$O17)*(INDEX('Adjustment Surface'!$AO$3:$BH$3,1,MATCH(('Adjustment Surface'!Y$3),'Adjustment Surface'!$AO$3:$BH$3,1)+IF('Adjustment Surface'!Z$3="",-1,1))-'Adjustment Surface'!Y$3)+INDEX($AO$4:$BH$23,MATCH(INDEX('Adjustment Surface'!$AN$4:$AN$23,MATCH(('Adjustment Surface'!$O17),'Adjustment Surface'!$AN$4:$AN$23,1)+IF('Adjustment Surface'!$O18="",-1,1)),$AN$4:$AN$23,0),MATCH(INDEX('Adjustment Surface'!$AO$3:$BH$3,1,MATCH(('Adjustment Surface'!Y$3),'Adjustment Surface'!$AO$3:$BH$3,1)),$AO$3:$BH$3,0))*('Adjustment Surface'!$O17-INDEX('Adjustment Surface'!$AN$4:$AN$23,MATCH(('Adjustment Surface'!$O17),'Adjustment Surface'!$AN$4:$AN$23,1)))*(INDEX('Adjustment Surface'!$AO$3:$BH$3,1,MATCH(('Adjustment Surface'!Y$3),'Adjustment Surface'!$AO$3:$BH$3,1)+IF('Adjustment Surface'!Z$3="",-1,1))-'Adjustment Surface'!Y$3)+INDEX($AO$4:$BH$23,MATCH(INDEX('Adjustment Surface'!$AN$4:$AN$23,MATCH(('Adjustment Surface'!$O17),'Adjustment Surface'!$AN$4:$AN$23,1)),$AN$4:$AN$23,0),MATCH(INDEX('Adjustment Surface'!$AO$3:$BH$3,1,MATCH(('Adjustment Surface'!Y$3),'Adjustment Surface'!$AO$3:$BH$3,1)+IF('Adjustment Surface'!Z$3="",-1,1)),$AO$3:$BH$3,0))*(INDEX('Adjustment Surface'!$AN$4:$AN$23,MATCH(('Adjustment Surface'!$O17),'Adjustment Surface'!$AN$4:$AN$23,1)+IF('Adjustment Surface'!$O18="",-1,1))-'Adjustment Surface'!$O17)*('Adjustment Surface'!Y$3-INDEX('Adjustment Surface'!$AO$3:$BH$3,1,MATCH(('Adjustment Surface'!Y$3),'Adjustment Surface'!$AO$3:$BH$3,1)))+INDEX($AO$4:$BH$23,MATCH(INDEX('Adjustment Surface'!$AN$4:$AN$23,MATCH(('Adjustment Surface'!$O17),'Adjustment Surface'!$AN$4:$AN$23,1)+IF('Adjustment Surface'!$O18="",-1,1)),$AN$4:$AN$23,0),MATCH(INDEX('Adjustment Surface'!$AO$3:$BH$3,1,MATCH(('Adjustment Surface'!Y$3),'Adjustment Surface'!$AO$3:$BH$3,1)+IF('Adjustment Surface'!Z$3="",-1,1)),$AO$3:$BH$3,0))*('Adjustment Surface'!$O17-INDEX('Adjustment Surface'!$AN$4:$AN$23,MATCH(('Adjustment Surface'!$O17),'Adjustment Surface'!$AN$4:$AN$23,1)))*('Adjustment Surface'!Y$3-INDEX('Adjustment Surface'!$AO$3:$BH$3,1,MATCH(('Adjustment Surface'!Y$3),'Adjustment Surface'!$AO$3:$BH$3,1)))))</f>
        <v/>
      </c>
      <c r="Z17" s="181" t="str" cm="1">
        <f t="array" ref="Z17">IF(OR(Z$3="",$O17=""),"",1/((INDEX('Adjustment Surface'!$AN$4:$AN$23,MATCH(('Adjustment Surface'!$O17),'Adjustment Surface'!$AN$4:$AN$23,1)+IF('Adjustment Surface'!$O18="",-1,1))-INDEX('Adjustment Surface'!$AN$4:$AN$23,MATCH(('Adjustment Surface'!$O17),'Adjustment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Surface'!$O17),'Adjustment Surface'!$AN$4:$AN$23,1)),$AN$4:$AN$23,0),MATCH(INDEX('Adjustment Surface'!$AO$3:$BH$3,1,MATCH(('Adjustment Surface'!Z$3),'Adjustment Surface'!$AO$3:$BH$3,1)),$AO$3:$BH$3,0))*(INDEX('Adjustment Surface'!$AN$4:$AN$23,MATCH(('Adjustment Surface'!$O17),'Adjustment Surface'!$AN$4:$AN$23,1)+IF('Adjustment Surface'!$O18="",-1,1))-'Adjustment Surface'!$O17)*(INDEX('Adjustment Surface'!$AO$3:$BH$3,1,MATCH(('Adjustment Surface'!Z$3),'Adjustment Surface'!$AO$3:$BH$3,1)+IF('Adjustment Surface'!AA$3="",-1,1))-'Adjustment Surface'!Z$3)+INDEX($AO$4:$BH$23,MATCH(INDEX('Adjustment Surface'!$AN$4:$AN$23,MATCH(('Adjustment Surface'!$O17),'Adjustment Surface'!$AN$4:$AN$23,1)+IF('Adjustment Surface'!$O18="",-1,1)),$AN$4:$AN$23,0),MATCH(INDEX('Adjustment Surface'!$AO$3:$BH$3,1,MATCH(('Adjustment Surface'!Z$3),'Adjustment Surface'!$AO$3:$BH$3,1)),$AO$3:$BH$3,0))*('Adjustment Surface'!$O17-INDEX('Adjustment Surface'!$AN$4:$AN$23,MATCH(('Adjustment Surface'!$O17),'Adjustment Surface'!$AN$4:$AN$23,1)))*(INDEX('Adjustment Surface'!$AO$3:$BH$3,1,MATCH(('Adjustment Surface'!Z$3),'Adjustment Surface'!$AO$3:$BH$3,1)+IF('Adjustment Surface'!AA$3="",-1,1))-'Adjustment Surface'!Z$3)+INDEX($AO$4:$BH$23,MATCH(INDEX('Adjustment Surface'!$AN$4:$AN$23,MATCH(('Adjustment Surface'!$O17),'Adjustment Surface'!$AN$4:$AN$23,1)),$AN$4:$AN$23,0),MATCH(INDEX('Adjustment Surface'!$AO$3:$BH$3,1,MATCH(('Adjustment Surface'!Z$3),'Adjustment Surface'!$AO$3:$BH$3,1)+IF('Adjustment Surface'!AA$3="",-1,1)),$AO$3:$BH$3,0))*(INDEX('Adjustment Surface'!$AN$4:$AN$23,MATCH(('Adjustment Surface'!$O17),'Adjustment Surface'!$AN$4:$AN$23,1)+IF('Adjustment Surface'!$O18="",-1,1))-'Adjustment Surface'!$O17)*('Adjustment Surface'!Z$3-INDEX('Adjustment Surface'!$AO$3:$BH$3,1,MATCH(('Adjustment Surface'!Z$3),'Adjustment Surface'!$AO$3:$BH$3,1)))+INDEX($AO$4:$BH$23,MATCH(INDEX('Adjustment Surface'!$AN$4:$AN$23,MATCH(('Adjustment Surface'!$O17),'Adjustment Surface'!$AN$4:$AN$23,1)+IF('Adjustment Surface'!$O18="",-1,1)),$AN$4:$AN$23,0),MATCH(INDEX('Adjustment Surface'!$AO$3:$BH$3,1,MATCH(('Adjustment Surface'!Z$3),'Adjustment Surface'!$AO$3:$BH$3,1)+IF('Adjustment Surface'!AA$3="",-1,1)),$AO$3:$BH$3,0))*('Adjustment Surface'!$O17-INDEX('Adjustment Surface'!$AN$4:$AN$23,MATCH(('Adjustment Surface'!$O17),'Adjustment Surface'!$AN$4:$AN$23,1)))*('Adjustment Surface'!Z$3-INDEX('Adjustment Surface'!$AO$3:$BH$3,1,MATCH(('Adjustment Surface'!Z$3),'Adjustment Surface'!$AO$3:$BH$3,1)))))</f>
        <v/>
      </c>
      <c r="AA17" s="181" t="str" cm="1">
        <f t="array" ref="AA17">IF(OR(AA$3="",$O17=""),"",1/((INDEX('Adjustment Surface'!$AN$4:$AN$23,MATCH(('Adjustment Surface'!$O17),'Adjustment Surface'!$AN$4:$AN$23,1)+IF('Adjustment Surface'!$O18="",-1,1))-INDEX('Adjustment Surface'!$AN$4:$AN$23,MATCH(('Adjustment Surface'!$O17),'Adjustment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Surface'!$O17),'Adjustment Surface'!$AN$4:$AN$23,1)),$AN$4:$AN$23,0),MATCH(INDEX('Adjustment Surface'!$AO$3:$BH$3,1,MATCH(('Adjustment Surface'!AA$3),'Adjustment Surface'!$AO$3:$BH$3,1)),$AO$3:$BH$3,0))*(INDEX('Adjustment Surface'!$AN$4:$AN$23,MATCH(('Adjustment Surface'!$O17),'Adjustment Surface'!$AN$4:$AN$23,1)+IF('Adjustment Surface'!$O18="",-1,1))-'Adjustment Surface'!$O17)*(INDEX('Adjustment Surface'!$AO$3:$BH$3,1,MATCH(('Adjustment Surface'!AA$3),'Adjustment Surface'!$AO$3:$BH$3,1)+IF('Adjustment Surface'!AB$3="",-1,1))-'Adjustment Surface'!AA$3)+INDEX($AO$4:$BH$23,MATCH(INDEX('Adjustment Surface'!$AN$4:$AN$23,MATCH(('Adjustment Surface'!$O17),'Adjustment Surface'!$AN$4:$AN$23,1)+IF('Adjustment Surface'!$O18="",-1,1)),$AN$4:$AN$23,0),MATCH(INDEX('Adjustment Surface'!$AO$3:$BH$3,1,MATCH(('Adjustment Surface'!AA$3),'Adjustment Surface'!$AO$3:$BH$3,1)),$AO$3:$BH$3,0))*('Adjustment Surface'!$O17-INDEX('Adjustment Surface'!$AN$4:$AN$23,MATCH(('Adjustment Surface'!$O17),'Adjustment Surface'!$AN$4:$AN$23,1)))*(INDEX('Adjustment Surface'!$AO$3:$BH$3,1,MATCH(('Adjustment Surface'!AA$3),'Adjustment Surface'!$AO$3:$BH$3,1)+IF('Adjustment Surface'!AB$3="",-1,1))-'Adjustment Surface'!AA$3)+INDEX($AO$4:$BH$23,MATCH(INDEX('Adjustment Surface'!$AN$4:$AN$23,MATCH(('Adjustment Surface'!$O17),'Adjustment Surface'!$AN$4:$AN$23,1)),$AN$4:$AN$23,0),MATCH(INDEX('Adjustment Surface'!$AO$3:$BH$3,1,MATCH(('Adjustment Surface'!AA$3),'Adjustment Surface'!$AO$3:$BH$3,1)+IF('Adjustment Surface'!AB$3="",-1,1)),$AO$3:$BH$3,0))*(INDEX('Adjustment Surface'!$AN$4:$AN$23,MATCH(('Adjustment Surface'!$O17),'Adjustment Surface'!$AN$4:$AN$23,1)+IF('Adjustment Surface'!$O18="",-1,1))-'Adjustment Surface'!$O17)*('Adjustment Surface'!AA$3-INDEX('Adjustment Surface'!$AO$3:$BH$3,1,MATCH(('Adjustment Surface'!AA$3),'Adjustment Surface'!$AO$3:$BH$3,1)))+INDEX($AO$4:$BH$23,MATCH(INDEX('Adjustment Surface'!$AN$4:$AN$23,MATCH(('Adjustment Surface'!$O17),'Adjustment Surface'!$AN$4:$AN$23,1)+IF('Adjustment Surface'!$O18="",-1,1)),$AN$4:$AN$23,0),MATCH(INDEX('Adjustment Surface'!$AO$3:$BH$3,1,MATCH(('Adjustment Surface'!AA$3),'Adjustment Surface'!$AO$3:$BH$3,1)+IF('Adjustment Surface'!AB$3="",-1,1)),$AO$3:$BH$3,0))*('Adjustment Surface'!$O17-INDEX('Adjustment Surface'!$AN$4:$AN$23,MATCH(('Adjustment Surface'!$O17),'Adjustment Surface'!$AN$4:$AN$23,1)))*('Adjustment Surface'!AA$3-INDEX('Adjustment Surface'!$AO$3:$BH$3,1,MATCH(('Adjustment Surface'!AA$3),'Adjustment Surface'!$AO$3:$BH$3,1)))))</f>
        <v/>
      </c>
      <c r="AB17" s="181" t="str" cm="1">
        <f t="array" ref="AB17">IF(OR(AB$3="",$O17=""),"",1/((INDEX('Adjustment Surface'!$AN$4:$AN$23,MATCH(('Adjustment Surface'!$O17),'Adjustment Surface'!$AN$4:$AN$23,1)+IF('Adjustment Surface'!$O18="",-1,1))-INDEX('Adjustment Surface'!$AN$4:$AN$23,MATCH(('Adjustment Surface'!$O17),'Adjustment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Surface'!$O17),'Adjustment Surface'!$AN$4:$AN$23,1)),$AN$4:$AN$23,0),MATCH(INDEX('Adjustment Surface'!$AO$3:$BH$3,1,MATCH(('Adjustment Surface'!AB$3),'Adjustment Surface'!$AO$3:$BH$3,1)),$AO$3:$BH$3,0))*(INDEX('Adjustment Surface'!$AN$4:$AN$23,MATCH(('Adjustment Surface'!$O17),'Adjustment Surface'!$AN$4:$AN$23,1)+IF('Adjustment Surface'!$O18="",-1,1))-'Adjustment Surface'!$O17)*(INDEX('Adjustment Surface'!$AO$3:$BH$3,1,MATCH(('Adjustment Surface'!AB$3),'Adjustment Surface'!$AO$3:$BH$3,1)+IF('Adjustment Surface'!AC$3="",-1,1))-'Adjustment Surface'!AB$3)+INDEX($AO$4:$BH$23,MATCH(INDEX('Adjustment Surface'!$AN$4:$AN$23,MATCH(('Adjustment Surface'!$O17),'Adjustment Surface'!$AN$4:$AN$23,1)+IF('Adjustment Surface'!$O18="",-1,1)),$AN$4:$AN$23,0),MATCH(INDEX('Adjustment Surface'!$AO$3:$BH$3,1,MATCH(('Adjustment Surface'!AB$3),'Adjustment Surface'!$AO$3:$BH$3,1)),$AO$3:$BH$3,0))*('Adjustment Surface'!$O17-INDEX('Adjustment Surface'!$AN$4:$AN$23,MATCH(('Adjustment Surface'!$O17),'Adjustment Surface'!$AN$4:$AN$23,1)))*(INDEX('Adjustment Surface'!$AO$3:$BH$3,1,MATCH(('Adjustment Surface'!AB$3),'Adjustment Surface'!$AO$3:$BH$3,1)+IF('Adjustment Surface'!AC$3="",-1,1))-'Adjustment Surface'!AB$3)+INDEX($AO$4:$BH$23,MATCH(INDEX('Adjustment Surface'!$AN$4:$AN$23,MATCH(('Adjustment Surface'!$O17),'Adjustment Surface'!$AN$4:$AN$23,1)),$AN$4:$AN$23,0),MATCH(INDEX('Adjustment Surface'!$AO$3:$BH$3,1,MATCH(('Adjustment Surface'!AB$3),'Adjustment Surface'!$AO$3:$BH$3,1)+IF('Adjustment Surface'!AC$3="",-1,1)),$AO$3:$BH$3,0))*(INDEX('Adjustment Surface'!$AN$4:$AN$23,MATCH(('Adjustment Surface'!$O17),'Adjustment Surface'!$AN$4:$AN$23,1)+IF('Adjustment Surface'!$O18="",-1,1))-'Adjustment Surface'!$O17)*('Adjustment Surface'!AB$3-INDEX('Adjustment Surface'!$AO$3:$BH$3,1,MATCH(('Adjustment Surface'!AB$3),'Adjustment Surface'!$AO$3:$BH$3,1)))+INDEX($AO$4:$BH$23,MATCH(INDEX('Adjustment Surface'!$AN$4:$AN$23,MATCH(('Adjustment Surface'!$O17),'Adjustment Surface'!$AN$4:$AN$23,1)+IF('Adjustment Surface'!$O18="",-1,1)),$AN$4:$AN$23,0),MATCH(INDEX('Adjustment Surface'!$AO$3:$BH$3,1,MATCH(('Adjustment Surface'!AB$3),'Adjustment Surface'!$AO$3:$BH$3,1)+IF('Adjustment Surface'!AC$3="",-1,1)),$AO$3:$BH$3,0))*('Adjustment Surface'!$O17-INDEX('Adjustment Surface'!$AN$4:$AN$23,MATCH(('Adjustment Surface'!$O17),'Adjustment Surface'!$AN$4:$AN$23,1)))*('Adjustment Surface'!AB$3-INDEX('Adjustment Surface'!$AO$3:$BH$3,1,MATCH(('Adjustment Surface'!AB$3),'Adjustment Surface'!$AO$3:$BH$3,1)))))</f>
        <v/>
      </c>
      <c r="AC17" s="181" t="str" cm="1">
        <f t="array" ref="AC17">IF(OR(AC$3="",$O17=""),"",1/((INDEX('Adjustment Surface'!$AN$4:$AN$23,MATCH(('Adjustment Surface'!$O17),'Adjustment Surface'!$AN$4:$AN$23,1)+IF('Adjustment Surface'!$O18="",-1,1))-INDEX('Adjustment Surface'!$AN$4:$AN$23,MATCH(('Adjustment Surface'!$O17),'Adjustment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Surface'!$O17),'Adjustment Surface'!$AN$4:$AN$23,1)),$AN$4:$AN$23,0),MATCH(INDEX('Adjustment Surface'!$AO$3:$BH$3,1,MATCH(('Adjustment Surface'!AC$3),'Adjustment Surface'!$AO$3:$BH$3,1)),$AO$3:$BH$3,0))*(INDEX('Adjustment Surface'!$AN$4:$AN$23,MATCH(('Adjustment Surface'!$O17),'Adjustment Surface'!$AN$4:$AN$23,1)+IF('Adjustment Surface'!$O18="",-1,1))-'Adjustment Surface'!$O17)*(INDEX('Adjustment Surface'!$AO$3:$BH$3,1,MATCH(('Adjustment Surface'!AC$3),'Adjustment Surface'!$AO$3:$BH$3,1)+IF('Adjustment Surface'!AD$3="",-1,1))-'Adjustment Surface'!AC$3)+INDEX($AO$4:$BH$23,MATCH(INDEX('Adjustment Surface'!$AN$4:$AN$23,MATCH(('Adjustment Surface'!$O17),'Adjustment Surface'!$AN$4:$AN$23,1)+IF('Adjustment Surface'!$O18="",-1,1)),$AN$4:$AN$23,0),MATCH(INDEX('Adjustment Surface'!$AO$3:$BH$3,1,MATCH(('Adjustment Surface'!AC$3),'Adjustment Surface'!$AO$3:$BH$3,1)),$AO$3:$BH$3,0))*('Adjustment Surface'!$O17-INDEX('Adjustment Surface'!$AN$4:$AN$23,MATCH(('Adjustment Surface'!$O17),'Adjustment Surface'!$AN$4:$AN$23,1)))*(INDEX('Adjustment Surface'!$AO$3:$BH$3,1,MATCH(('Adjustment Surface'!AC$3),'Adjustment Surface'!$AO$3:$BH$3,1)+IF('Adjustment Surface'!AD$3="",-1,1))-'Adjustment Surface'!AC$3)+INDEX($AO$4:$BH$23,MATCH(INDEX('Adjustment Surface'!$AN$4:$AN$23,MATCH(('Adjustment Surface'!$O17),'Adjustment Surface'!$AN$4:$AN$23,1)),$AN$4:$AN$23,0),MATCH(INDEX('Adjustment Surface'!$AO$3:$BH$3,1,MATCH(('Adjustment Surface'!AC$3),'Adjustment Surface'!$AO$3:$BH$3,1)+IF('Adjustment Surface'!AD$3="",-1,1)),$AO$3:$BH$3,0))*(INDEX('Adjustment Surface'!$AN$4:$AN$23,MATCH(('Adjustment Surface'!$O17),'Adjustment Surface'!$AN$4:$AN$23,1)+IF('Adjustment Surface'!$O18="",-1,1))-'Adjustment Surface'!$O17)*('Adjustment Surface'!AC$3-INDEX('Adjustment Surface'!$AO$3:$BH$3,1,MATCH(('Adjustment Surface'!AC$3),'Adjustment Surface'!$AO$3:$BH$3,1)))+INDEX($AO$4:$BH$23,MATCH(INDEX('Adjustment Surface'!$AN$4:$AN$23,MATCH(('Adjustment Surface'!$O17),'Adjustment Surface'!$AN$4:$AN$23,1)+IF('Adjustment Surface'!$O18="",-1,1)),$AN$4:$AN$23,0),MATCH(INDEX('Adjustment Surface'!$AO$3:$BH$3,1,MATCH(('Adjustment Surface'!AC$3),'Adjustment Surface'!$AO$3:$BH$3,1)+IF('Adjustment Surface'!AD$3="",-1,1)),$AO$3:$BH$3,0))*('Adjustment Surface'!$O17-INDEX('Adjustment Surface'!$AN$4:$AN$23,MATCH(('Adjustment Surface'!$O17),'Adjustment Surface'!$AN$4:$AN$23,1)))*('Adjustment Surface'!AC$3-INDEX('Adjustment Surface'!$AO$3:$BH$3,1,MATCH(('Adjustment Surface'!AC$3),'Adjustment Surface'!$AO$3:$BH$3,1)))))</f>
        <v/>
      </c>
      <c r="AD17" s="181" t="str" cm="1">
        <f t="array" ref="AD17">IF(OR(AD$3="",$O17=""),"",1/((INDEX('Adjustment Surface'!$AN$4:$AN$23,MATCH(('Adjustment Surface'!$O17),'Adjustment Surface'!$AN$4:$AN$23,1)+IF('Adjustment Surface'!$O18="",-1,1))-INDEX('Adjustment Surface'!$AN$4:$AN$23,MATCH(('Adjustment Surface'!$O17),'Adjustment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Surface'!$O17),'Adjustment Surface'!$AN$4:$AN$23,1)),$AN$4:$AN$23,0),MATCH(INDEX('Adjustment Surface'!$AO$3:$BH$3,1,MATCH(('Adjustment Surface'!AD$3),'Adjustment Surface'!$AO$3:$BH$3,1)),$AO$3:$BH$3,0))*(INDEX('Adjustment Surface'!$AN$4:$AN$23,MATCH(('Adjustment Surface'!$O17),'Adjustment Surface'!$AN$4:$AN$23,1)+IF('Adjustment Surface'!$O18="",-1,1))-'Adjustment Surface'!$O17)*(INDEX('Adjustment Surface'!$AO$3:$BH$3,1,MATCH(('Adjustment Surface'!AD$3),'Adjustment Surface'!$AO$3:$BH$3,1)+IF('Adjustment Surface'!AE$3="",-1,1))-'Adjustment Surface'!AD$3)+INDEX($AO$4:$BH$23,MATCH(INDEX('Adjustment Surface'!$AN$4:$AN$23,MATCH(('Adjustment Surface'!$O17),'Adjustment Surface'!$AN$4:$AN$23,1)+IF('Adjustment Surface'!$O18="",-1,1)),$AN$4:$AN$23,0),MATCH(INDEX('Adjustment Surface'!$AO$3:$BH$3,1,MATCH(('Adjustment Surface'!AD$3),'Adjustment Surface'!$AO$3:$BH$3,1)),$AO$3:$BH$3,0))*('Adjustment Surface'!$O17-INDEX('Adjustment Surface'!$AN$4:$AN$23,MATCH(('Adjustment Surface'!$O17),'Adjustment Surface'!$AN$4:$AN$23,1)))*(INDEX('Adjustment Surface'!$AO$3:$BH$3,1,MATCH(('Adjustment Surface'!AD$3),'Adjustment Surface'!$AO$3:$BH$3,1)+IF('Adjustment Surface'!AE$3="",-1,1))-'Adjustment Surface'!AD$3)+INDEX($AO$4:$BH$23,MATCH(INDEX('Adjustment Surface'!$AN$4:$AN$23,MATCH(('Adjustment Surface'!$O17),'Adjustment Surface'!$AN$4:$AN$23,1)),$AN$4:$AN$23,0),MATCH(INDEX('Adjustment Surface'!$AO$3:$BH$3,1,MATCH(('Adjustment Surface'!AD$3),'Adjustment Surface'!$AO$3:$BH$3,1)+IF('Adjustment Surface'!AE$3="",-1,1)),$AO$3:$BH$3,0))*(INDEX('Adjustment Surface'!$AN$4:$AN$23,MATCH(('Adjustment Surface'!$O17),'Adjustment Surface'!$AN$4:$AN$23,1)+IF('Adjustment Surface'!$O18="",-1,1))-'Adjustment Surface'!$O17)*('Adjustment Surface'!AD$3-INDEX('Adjustment Surface'!$AO$3:$BH$3,1,MATCH(('Adjustment Surface'!AD$3),'Adjustment Surface'!$AO$3:$BH$3,1)))+INDEX($AO$4:$BH$23,MATCH(INDEX('Adjustment Surface'!$AN$4:$AN$23,MATCH(('Adjustment Surface'!$O17),'Adjustment Surface'!$AN$4:$AN$23,1)+IF('Adjustment Surface'!$O18="",-1,1)),$AN$4:$AN$23,0),MATCH(INDEX('Adjustment Surface'!$AO$3:$BH$3,1,MATCH(('Adjustment Surface'!AD$3),'Adjustment Surface'!$AO$3:$BH$3,1)+IF('Adjustment Surface'!AE$3="",-1,1)),$AO$3:$BH$3,0))*('Adjustment Surface'!$O17-INDEX('Adjustment Surface'!$AN$4:$AN$23,MATCH(('Adjustment Surface'!$O17),'Adjustment Surface'!$AN$4:$AN$23,1)))*('Adjustment Surface'!AD$3-INDEX('Adjustment Surface'!$AO$3:$BH$3,1,MATCH(('Adjustment Surface'!AD$3),'Adjustment Surface'!$AO$3:$BH$3,1)))))</f>
        <v/>
      </c>
      <c r="AE17" s="181" t="str" cm="1">
        <f t="array" ref="AE17">IF(OR(AE$3="",$O17=""),"",1/((INDEX('Adjustment Surface'!$AN$4:$AN$23,MATCH(('Adjustment Surface'!$O17),'Adjustment Surface'!$AN$4:$AN$23,1)+IF('Adjustment Surface'!$O18="",-1,1))-INDEX('Adjustment Surface'!$AN$4:$AN$23,MATCH(('Adjustment Surface'!$O17),'Adjustment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Surface'!$O17),'Adjustment Surface'!$AN$4:$AN$23,1)),$AN$4:$AN$23,0),MATCH(INDEX('Adjustment Surface'!$AO$3:$BH$3,1,MATCH(('Adjustment Surface'!AE$3),'Adjustment Surface'!$AO$3:$BH$3,1)),$AO$3:$BH$3,0))*(INDEX('Adjustment Surface'!$AN$4:$AN$23,MATCH(('Adjustment Surface'!$O17),'Adjustment Surface'!$AN$4:$AN$23,1)+IF('Adjustment Surface'!$O18="",-1,1))-'Adjustment Surface'!$O17)*(INDEX('Adjustment Surface'!$AO$3:$BH$3,1,MATCH(('Adjustment Surface'!AE$3),'Adjustment Surface'!$AO$3:$BH$3,1)+IF('Adjustment Surface'!AF$3="",-1,1))-'Adjustment Surface'!AE$3)+INDEX($AO$4:$BH$23,MATCH(INDEX('Adjustment Surface'!$AN$4:$AN$23,MATCH(('Adjustment Surface'!$O17),'Adjustment Surface'!$AN$4:$AN$23,1)+IF('Adjustment Surface'!$O18="",-1,1)),$AN$4:$AN$23,0),MATCH(INDEX('Adjustment Surface'!$AO$3:$BH$3,1,MATCH(('Adjustment Surface'!AE$3),'Adjustment Surface'!$AO$3:$BH$3,1)),$AO$3:$BH$3,0))*('Adjustment Surface'!$O17-INDEX('Adjustment Surface'!$AN$4:$AN$23,MATCH(('Adjustment Surface'!$O17),'Adjustment Surface'!$AN$4:$AN$23,1)))*(INDEX('Adjustment Surface'!$AO$3:$BH$3,1,MATCH(('Adjustment Surface'!AE$3),'Adjustment Surface'!$AO$3:$BH$3,1)+IF('Adjustment Surface'!AF$3="",-1,1))-'Adjustment Surface'!AE$3)+INDEX($AO$4:$BH$23,MATCH(INDEX('Adjustment Surface'!$AN$4:$AN$23,MATCH(('Adjustment Surface'!$O17),'Adjustment Surface'!$AN$4:$AN$23,1)),$AN$4:$AN$23,0),MATCH(INDEX('Adjustment Surface'!$AO$3:$BH$3,1,MATCH(('Adjustment Surface'!AE$3),'Adjustment Surface'!$AO$3:$BH$3,1)+IF('Adjustment Surface'!AF$3="",-1,1)),$AO$3:$BH$3,0))*(INDEX('Adjustment Surface'!$AN$4:$AN$23,MATCH(('Adjustment Surface'!$O17),'Adjustment Surface'!$AN$4:$AN$23,1)+IF('Adjustment Surface'!$O18="",-1,1))-'Adjustment Surface'!$O17)*('Adjustment Surface'!AE$3-INDEX('Adjustment Surface'!$AO$3:$BH$3,1,MATCH(('Adjustment Surface'!AE$3),'Adjustment Surface'!$AO$3:$BH$3,1)))+INDEX($AO$4:$BH$23,MATCH(INDEX('Adjustment Surface'!$AN$4:$AN$23,MATCH(('Adjustment Surface'!$O17),'Adjustment Surface'!$AN$4:$AN$23,1)+IF('Adjustment Surface'!$O18="",-1,1)),$AN$4:$AN$23,0),MATCH(INDEX('Adjustment Surface'!$AO$3:$BH$3,1,MATCH(('Adjustment Surface'!AE$3),'Adjustment Surface'!$AO$3:$BH$3,1)+IF('Adjustment Surface'!AF$3="",-1,1)),$AO$3:$BH$3,0))*('Adjustment Surface'!$O17-INDEX('Adjustment Surface'!$AN$4:$AN$23,MATCH(('Adjustment Surface'!$O17),'Adjustment Surface'!$AN$4:$AN$23,1)))*('Adjustment Surface'!AE$3-INDEX('Adjustment Surface'!$AO$3:$BH$3,1,MATCH(('Adjustment Surface'!AE$3),'Adjustment Surface'!$AO$3:$BH$3,1)))))</f>
        <v/>
      </c>
      <c r="AF17" s="181" t="str" cm="1">
        <f t="array" ref="AF17">IF(OR(AF$3="",$O17=""),"",1/((INDEX('Adjustment Surface'!$AN$4:$AN$23,MATCH(('Adjustment Surface'!$O17),'Adjustment Surface'!$AN$4:$AN$23,1)+IF('Adjustment Surface'!$O18="",-1,1))-INDEX('Adjustment Surface'!$AN$4:$AN$23,MATCH(('Adjustment Surface'!$O17),'Adjustment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Surface'!$O17),'Adjustment Surface'!$AN$4:$AN$23,1)),$AN$4:$AN$23,0),MATCH(INDEX('Adjustment Surface'!$AO$3:$BH$3,1,MATCH(('Adjustment Surface'!AF$3),'Adjustment Surface'!$AO$3:$BH$3,1)),$AO$3:$BH$3,0))*(INDEX('Adjustment Surface'!$AN$4:$AN$23,MATCH(('Adjustment Surface'!$O17),'Adjustment Surface'!$AN$4:$AN$23,1)+IF('Adjustment Surface'!$O18="",-1,1))-'Adjustment Surface'!$O17)*(INDEX('Adjustment Surface'!$AO$3:$BH$3,1,MATCH(('Adjustment Surface'!AF$3),'Adjustment Surface'!$AO$3:$BH$3,1)+IF('Adjustment Surface'!AG$3="",-1,1))-'Adjustment Surface'!AF$3)+INDEX($AO$4:$BH$23,MATCH(INDEX('Adjustment Surface'!$AN$4:$AN$23,MATCH(('Adjustment Surface'!$O17),'Adjustment Surface'!$AN$4:$AN$23,1)+IF('Adjustment Surface'!$O18="",-1,1)),$AN$4:$AN$23,0),MATCH(INDEX('Adjustment Surface'!$AO$3:$BH$3,1,MATCH(('Adjustment Surface'!AF$3),'Adjustment Surface'!$AO$3:$BH$3,1)),$AO$3:$BH$3,0))*('Adjustment Surface'!$O17-INDEX('Adjustment Surface'!$AN$4:$AN$23,MATCH(('Adjustment Surface'!$O17),'Adjustment Surface'!$AN$4:$AN$23,1)))*(INDEX('Adjustment Surface'!$AO$3:$BH$3,1,MATCH(('Adjustment Surface'!AF$3),'Adjustment Surface'!$AO$3:$BH$3,1)+IF('Adjustment Surface'!AG$3="",-1,1))-'Adjustment Surface'!AF$3)+INDEX($AO$4:$BH$23,MATCH(INDEX('Adjustment Surface'!$AN$4:$AN$23,MATCH(('Adjustment Surface'!$O17),'Adjustment Surface'!$AN$4:$AN$23,1)),$AN$4:$AN$23,0),MATCH(INDEX('Adjustment Surface'!$AO$3:$BH$3,1,MATCH(('Adjustment Surface'!AF$3),'Adjustment Surface'!$AO$3:$BH$3,1)+IF('Adjustment Surface'!AG$3="",-1,1)),$AO$3:$BH$3,0))*(INDEX('Adjustment Surface'!$AN$4:$AN$23,MATCH(('Adjustment Surface'!$O17),'Adjustment Surface'!$AN$4:$AN$23,1)+IF('Adjustment Surface'!$O18="",-1,1))-'Adjustment Surface'!$O17)*('Adjustment Surface'!AF$3-INDEX('Adjustment Surface'!$AO$3:$BH$3,1,MATCH(('Adjustment Surface'!AF$3),'Adjustment Surface'!$AO$3:$BH$3,1)))+INDEX($AO$4:$BH$23,MATCH(INDEX('Adjustment Surface'!$AN$4:$AN$23,MATCH(('Adjustment Surface'!$O17),'Adjustment Surface'!$AN$4:$AN$23,1)+IF('Adjustment Surface'!$O18="",-1,1)),$AN$4:$AN$23,0),MATCH(INDEX('Adjustment Surface'!$AO$3:$BH$3,1,MATCH(('Adjustment Surface'!AF$3),'Adjustment Surface'!$AO$3:$BH$3,1)+IF('Adjustment Surface'!AG$3="",-1,1)),$AO$3:$BH$3,0))*('Adjustment Surface'!$O17-INDEX('Adjustment Surface'!$AN$4:$AN$23,MATCH(('Adjustment Surface'!$O17),'Adjustment Surface'!$AN$4:$AN$23,1)))*('Adjustment Surface'!AF$3-INDEX('Adjustment Surface'!$AO$3:$BH$3,1,MATCH(('Adjustment Surface'!AF$3),'Adjustment Surface'!$AO$3:$BH$3,1)))))</f>
        <v/>
      </c>
      <c r="AG17" s="181" t="str" cm="1">
        <f t="array" ref="AG17">IF(OR(AG$3="",$O17=""),"",1/((INDEX('Adjustment Surface'!$AN$4:$AN$23,MATCH(('Adjustment Surface'!$O17),'Adjustment Surface'!$AN$4:$AN$23,1)+IF('Adjustment Surface'!$O18="",-1,1))-INDEX('Adjustment Surface'!$AN$4:$AN$23,MATCH(('Adjustment Surface'!$O17),'Adjustment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Surface'!$O17),'Adjustment Surface'!$AN$4:$AN$23,1)),$AN$4:$AN$23,0),MATCH(INDEX('Adjustment Surface'!$AO$3:$BH$3,1,MATCH(('Adjustment Surface'!AG$3),'Adjustment Surface'!$AO$3:$BH$3,1)),$AO$3:$BH$3,0))*(INDEX('Adjustment Surface'!$AN$4:$AN$23,MATCH(('Adjustment Surface'!$O17),'Adjustment Surface'!$AN$4:$AN$23,1)+IF('Adjustment Surface'!$O18="",-1,1))-'Adjustment Surface'!$O17)*(INDEX('Adjustment Surface'!$AO$3:$BH$3,1,MATCH(('Adjustment Surface'!AG$3),'Adjustment Surface'!$AO$3:$BH$3,1)+IF('Adjustment Surface'!AH$3="",-1,1))-'Adjustment Surface'!AG$3)+INDEX($AO$4:$BH$23,MATCH(INDEX('Adjustment Surface'!$AN$4:$AN$23,MATCH(('Adjustment Surface'!$O17),'Adjustment Surface'!$AN$4:$AN$23,1)+IF('Adjustment Surface'!$O18="",-1,1)),$AN$4:$AN$23,0),MATCH(INDEX('Adjustment Surface'!$AO$3:$BH$3,1,MATCH(('Adjustment Surface'!AG$3),'Adjustment Surface'!$AO$3:$BH$3,1)),$AO$3:$BH$3,0))*('Adjustment Surface'!$O17-INDEX('Adjustment Surface'!$AN$4:$AN$23,MATCH(('Adjustment Surface'!$O17),'Adjustment Surface'!$AN$4:$AN$23,1)))*(INDEX('Adjustment Surface'!$AO$3:$BH$3,1,MATCH(('Adjustment Surface'!AG$3),'Adjustment Surface'!$AO$3:$BH$3,1)+IF('Adjustment Surface'!AH$3="",-1,1))-'Adjustment Surface'!AG$3)+INDEX($AO$4:$BH$23,MATCH(INDEX('Adjustment Surface'!$AN$4:$AN$23,MATCH(('Adjustment Surface'!$O17),'Adjustment Surface'!$AN$4:$AN$23,1)),$AN$4:$AN$23,0),MATCH(INDEX('Adjustment Surface'!$AO$3:$BH$3,1,MATCH(('Adjustment Surface'!AG$3),'Adjustment Surface'!$AO$3:$BH$3,1)+IF('Adjustment Surface'!AH$3="",-1,1)),$AO$3:$BH$3,0))*(INDEX('Adjustment Surface'!$AN$4:$AN$23,MATCH(('Adjustment Surface'!$O17),'Adjustment Surface'!$AN$4:$AN$23,1)+IF('Adjustment Surface'!$O18="",-1,1))-'Adjustment Surface'!$O17)*('Adjustment Surface'!AG$3-INDEX('Adjustment Surface'!$AO$3:$BH$3,1,MATCH(('Adjustment Surface'!AG$3),'Adjustment Surface'!$AO$3:$BH$3,1)))+INDEX($AO$4:$BH$23,MATCH(INDEX('Adjustment Surface'!$AN$4:$AN$23,MATCH(('Adjustment Surface'!$O17),'Adjustment Surface'!$AN$4:$AN$23,1)+IF('Adjustment Surface'!$O18="",-1,1)),$AN$4:$AN$23,0),MATCH(INDEX('Adjustment Surface'!$AO$3:$BH$3,1,MATCH(('Adjustment Surface'!AG$3),'Adjustment Surface'!$AO$3:$BH$3,1)+IF('Adjustment Surface'!AH$3="",-1,1)),$AO$3:$BH$3,0))*('Adjustment Surface'!$O17-INDEX('Adjustment Surface'!$AN$4:$AN$23,MATCH(('Adjustment Surface'!$O17),'Adjustment Surface'!$AN$4:$AN$23,1)))*('Adjustment Surface'!AG$3-INDEX('Adjustment Surface'!$AO$3:$BH$3,1,MATCH(('Adjustment Surface'!AG$3),'Adjustment Surface'!$AO$3:$BH$3,1)))))</f>
        <v/>
      </c>
      <c r="AH17" s="181" t="str" cm="1">
        <f t="array" ref="AH17">IF(OR(AH$3="",$O17=""),"",1/((INDEX('Adjustment Surface'!$AN$4:$AN$23,MATCH(('Adjustment Surface'!$O17),'Adjustment Surface'!$AN$4:$AN$23,1)+IF('Adjustment Surface'!$O18="",-1,1))-INDEX('Adjustment Surface'!$AN$4:$AN$23,MATCH(('Adjustment Surface'!$O17),'Adjustment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Surface'!$O17),'Adjustment Surface'!$AN$4:$AN$23,1)),$AN$4:$AN$23,0),MATCH(INDEX('Adjustment Surface'!$AO$3:$BH$3,1,MATCH(('Adjustment Surface'!AH$3),'Adjustment Surface'!$AO$3:$BH$3,1)),$AO$3:$BH$3,0))*(INDEX('Adjustment Surface'!$AN$4:$AN$23,MATCH(('Adjustment Surface'!$O17),'Adjustment Surface'!$AN$4:$AN$23,1)+IF('Adjustment Surface'!$O18="",-1,1))-'Adjustment Surface'!$O17)*(INDEX('Adjustment Surface'!$AO$3:$BH$3,1,MATCH(('Adjustment Surface'!AH$3),'Adjustment Surface'!$AO$3:$BH$3,1)+IF('Adjustment Surface'!AI$3="",-1,1))-'Adjustment Surface'!AH$3)+INDEX($AO$4:$BH$23,MATCH(INDEX('Adjustment Surface'!$AN$4:$AN$23,MATCH(('Adjustment Surface'!$O17),'Adjustment Surface'!$AN$4:$AN$23,1)+IF('Adjustment Surface'!$O18="",-1,1)),$AN$4:$AN$23,0),MATCH(INDEX('Adjustment Surface'!$AO$3:$BH$3,1,MATCH(('Adjustment Surface'!AH$3),'Adjustment Surface'!$AO$3:$BH$3,1)),$AO$3:$BH$3,0))*('Adjustment Surface'!$O17-INDEX('Adjustment Surface'!$AN$4:$AN$23,MATCH(('Adjustment Surface'!$O17),'Adjustment Surface'!$AN$4:$AN$23,1)))*(INDEX('Adjustment Surface'!$AO$3:$BH$3,1,MATCH(('Adjustment Surface'!AH$3),'Adjustment Surface'!$AO$3:$BH$3,1)+IF('Adjustment Surface'!AI$3="",-1,1))-'Adjustment Surface'!AH$3)+INDEX($AO$4:$BH$23,MATCH(INDEX('Adjustment Surface'!$AN$4:$AN$23,MATCH(('Adjustment Surface'!$O17),'Adjustment Surface'!$AN$4:$AN$23,1)),$AN$4:$AN$23,0),MATCH(INDEX('Adjustment Surface'!$AO$3:$BH$3,1,MATCH(('Adjustment Surface'!AH$3),'Adjustment Surface'!$AO$3:$BH$3,1)+IF('Adjustment Surface'!AI$3="",-1,1)),$AO$3:$BH$3,0))*(INDEX('Adjustment Surface'!$AN$4:$AN$23,MATCH(('Adjustment Surface'!$O17),'Adjustment Surface'!$AN$4:$AN$23,1)+IF('Adjustment Surface'!$O18="",-1,1))-'Adjustment Surface'!$O17)*('Adjustment Surface'!AH$3-INDEX('Adjustment Surface'!$AO$3:$BH$3,1,MATCH(('Adjustment Surface'!AH$3),'Adjustment Surface'!$AO$3:$BH$3,1)))+INDEX($AO$4:$BH$23,MATCH(INDEX('Adjustment Surface'!$AN$4:$AN$23,MATCH(('Adjustment Surface'!$O17),'Adjustment Surface'!$AN$4:$AN$23,1)+IF('Adjustment Surface'!$O18="",-1,1)),$AN$4:$AN$23,0),MATCH(INDEX('Adjustment Surface'!$AO$3:$BH$3,1,MATCH(('Adjustment Surface'!AH$3),'Adjustment Surface'!$AO$3:$BH$3,1)+IF('Adjustment Surface'!AI$3="",-1,1)),$AO$3:$BH$3,0))*('Adjustment Surface'!$O17-INDEX('Adjustment Surface'!$AN$4:$AN$23,MATCH(('Adjustment Surface'!$O17),'Adjustment Surface'!$AN$4:$AN$23,1)))*('Adjustment Surface'!AH$3-INDEX('Adjustment Surface'!$AO$3:$BH$3,1,MATCH(('Adjustment Surface'!AH$3),'Adjustment Surface'!$AO$3:$BH$3,1)))))</f>
        <v/>
      </c>
      <c r="AI17" s="182" t="str" cm="1">
        <f t="array" ref="AI17">IF(OR(AI$3="",$O17=""),"",1/((INDEX('Adjustment Surface'!$AN$4:$AN$23,MATCH(('Adjustment Surface'!$O17),'Adjustment Surface'!$AN$4:$AN$23,1)+IF('Adjustment Surface'!$O18="",-1,1))-INDEX('Adjustment Surface'!$AN$4:$AN$23,MATCH(('Adjustment Surface'!$O17),'Adjustment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Surface'!$O17),'Adjustment Surface'!$AN$4:$AN$23,1)),$AN$4:$AN$23,0),MATCH(INDEX('Adjustment Surface'!$AO$3:$BH$3,1,MATCH(('Adjustment Surface'!AI$3),'Adjustment Surface'!$AO$3:$BH$3,1)),$AO$3:$BH$3,0))*(INDEX('Adjustment Surface'!$AN$4:$AN$23,MATCH(('Adjustment Surface'!$O17),'Adjustment Surface'!$AN$4:$AN$23,1)+IF('Adjustment Surface'!$O18="",-1,1))-'Adjustment Surface'!$O17)*(INDEX('Adjustment Surface'!$AO$3:$BH$3,1,MATCH(('Adjustment Surface'!AI$3),'Adjustment Surface'!$AO$3:$BH$3,1)+IF('Adjustment Surface'!AJ$3="",-1,1))-'Adjustment Surface'!AI$3)+INDEX($AO$4:$BH$23,MATCH(INDEX('Adjustment Surface'!$AN$4:$AN$23,MATCH(('Adjustment Surface'!$O17),'Adjustment Surface'!$AN$4:$AN$23,1)+IF('Adjustment Surface'!$O18="",-1,1)),$AN$4:$AN$23,0),MATCH(INDEX('Adjustment Surface'!$AO$3:$BH$3,1,MATCH(('Adjustment Surface'!AI$3),'Adjustment Surface'!$AO$3:$BH$3,1)),$AO$3:$BH$3,0))*('Adjustment Surface'!$O17-INDEX('Adjustment Surface'!$AN$4:$AN$23,MATCH(('Adjustment Surface'!$O17),'Adjustment Surface'!$AN$4:$AN$23,1)))*(INDEX('Adjustment Surface'!$AO$3:$BH$3,1,MATCH(('Adjustment Surface'!AI$3),'Adjustment Surface'!$AO$3:$BH$3,1)+IF('Adjustment Surface'!AJ$3="",-1,1))-'Adjustment Surface'!AI$3)+INDEX($AO$4:$BH$23,MATCH(INDEX('Adjustment Surface'!$AN$4:$AN$23,MATCH(('Adjustment Surface'!$O17),'Adjustment Surface'!$AN$4:$AN$23,1)),$AN$4:$AN$23,0),MATCH(INDEX('Adjustment Surface'!$AO$3:$BH$3,1,MATCH(('Adjustment Surface'!AI$3),'Adjustment Surface'!$AO$3:$BH$3,1)+IF('Adjustment Surface'!AJ$3="",-1,1)),$AO$3:$BH$3,0))*(INDEX('Adjustment Surface'!$AN$4:$AN$23,MATCH(('Adjustment Surface'!$O17),'Adjustment Surface'!$AN$4:$AN$23,1)+IF('Adjustment Surface'!$O18="",-1,1))-'Adjustment Surface'!$O17)*('Adjustment Surface'!AI$3-INDEX('Adjustment Surface'!$AO$3:$BH$3,1,MATCH(('Adjustment Surface'!AI$3),'Adjustment Surface'!$AO$3:$BH$3,1)))+INDEX($AO$4:$BH$23,MATCH(INDEX('Adjustment Surface'!$AN$4:$AN$23,MATCH(('Adjustment Surface'!$O17),'Adjustment Surface'!$AN$4:$AN$23,1)+IF('Adjustment Surface'!$O18="",-1,1)),$AN$4:$AN$23,0),MATCH(INDEX('Adjustment Surface'!$AO$3:$BH$3,1,MATCH(('Adjustment Surface'!AI$3),'Adjustment Surface'!$AO$3:$BH$3,1)+IF('Adjustment Surface'!AJ$3="",-1,1)),$AO$3:$BH$3,0))*('Adjustment Surface'!$O17-INDEX('Adjustment Surface'!$AN$4:$AN$23,MATCH(('Adjustment Surface'!$O17),'Adjustment Surface'!$AN$4:$AN$23,1)))*('Adjustment Surface'!AI$3-INDEX('Adjustment Surface'!$AO$3:$BH$3,1,MATCH(('Adjustment Surface'!AI$3),'Adjustment Surface'!$AO$3:$BH$3,1)))))</f>
        <v/>
      </c>
      <c r="AK17" s="203" t="str">
        <f>IF(OR(AK16=IF('Adjustment Surface'!$C$2='Data Validation'!$A$2,_xlfn.FLOOR.MATH(MAX('Bank Adjustments'!$C$4:$C$103),0.5%,2),IF('Adjustment Surface'!$C$2='Data Validation'!$A$3,_xlfn.FLOOR.MATH(MAX('Bank Adjustments'!$M$4:$M$103),0.5%,2),"Uknown Option Type")),AK16=""),"",AK16+0.5%)</f>
        <v/>
      </c>
      <c r="AL17" s="204"/>
      <c r="AN17" s="176"/>
      <c r="AO17" s="180" t="str" cm="1">
        <f t="array" ref="AO17">IF(OR(AO$3="",$AN17=""),"",INDEX(IF($C$2='Data Validation'!$A$2,'Bank Adjustments'!$H$4:$H$103,IF('Adjustment Surface'!$C$2='Data Validation'!$A$3,'Bank Adjustments'!$R$4:$R$103,"Unknown Option Type")),MATCH(1,($AN17=IF($C$2='Data Validation'!$A$2,'Bank Adjustments'!$C$4:$C$103,IF('Adjustment Surface'!$C$2='Data Validation'!$A$3,'Bank Adjustments'!$M$4:$M$103,"Unknown Option Type")))*(AO$3=IF($C$2='Data Validation'!$A$2,'Bank Adjustments'!$E$4:$E$103,IF('Adjustment Surface'!$C$2='Data Validation'!$A$3,'Bank Adjustments'!$O$4:$O$103,"Unknown Option Type"))),0)))</f>
        <v/>
      </c>
      <c r="AP17" s="181" t="str" cm="1">
        <f t="array" ref="AP17">IF(OR(AP$3="",$AN17=""),"",INDEX(IF($C$2='Data Validation'!$A$2,'Bank Adjustments'!$H$4:$H$103,IF('Adjustment Surface'!$C$2='Data Validation'!$A$3,'Bank Adjustments'!$R$4:$R$103,"Unknown Option Type")),MATCH(1,($AN17=IF($C$2='Data Validation'!$A$2,'Bank Adjustments'!$C$4:$C$103,IF('Adjustment Surface'!$C$2='Data Validation'!$A$3,'Bank Adjustments'!$M$4:$M$103,"Unknown Option Type")))*(AP$3=IF($C$2='Data Validation'!$A$2,'Bank Adjustments'!$E$4:$E$103,IF('Adjustment Surface'!$C$2='Data Validation'!$A$3,'Bank Adjustments'!$O$4:$O$103,"Unknown Option Type"))),0)))</f>
        <v/>
      </c>
      <c r="AQ17" s="181" t="str" cm="1">
        <f t="array" ref="AQ17">IF(OR(AQ$3="",$AN17=""),"",INDEX(IF($C$2='Data Validation'!$A$2,'Bank Adjustments'!$H$4:$H$103,IF('Adjustment Surface'!$C$2='Data Validation'!$A$3,'Bank Adjustments'!$R$4:$R$103,"Unknown Option Type")),MATCH(1,($AN17=IF($C$2='Data Validation'!$A$2,'Bank Adjustments'!$C$4:$C$103,IF('Adjustment Surface'!$C$2='Data Validation'!$A$3,'Bank Adjustments'!$M$4:$M$103,"Unknown Option Type")))*(AQ$3=IF($C$2='Data Validation'!$A$2,'Bank Adjustments'!$E$4:$E$103,IF('Adjustment Surface'!$C$2='Data Validation'!$A$3,'Bank Adjustments'!$O$4:$O$103,"Unknown Option Type"))),0)))</f>
        <v/>
      </c>
      <c r="AR17" s="181" t="str" cm="1">
        <f t="array" ref="AR17">IF(OR(AR$3="",$AN17=""),"",INDEX(IF($C$2='Data Validation'!$A$2,'Bank Adjustments'!$H$4:$H$103,IF('Adjustment Surface'!$C$2='Data Validation'!$A$3,'Bank Adjustments'!$R$4:$R$103,"Unknown Option Type")),MATCH(1,($AN17=IF($C$2='Data Validation'!$A$2,'Bank Adjustments'!$C$4:$C$103,IF('Adjustment Surface'!$C$2='Data Validation'!$A$3,'Bank Adjustments'!$M$4:$M$103,"Unknown Option Type")))*(AR$3=IF($C$2='Data Validation'!$A$2,'Bank Adjustments'!$E$4:$E$103,IF('Adjustment Surface'!$C$2='Data Validation'!$A$3,'Bank Adjustments'!$O$4:$O$103,"Unknown Option Type"))),0)))</f>
        <v/>
      </c>
      <c r="AS17" s="181" t="str" cm="1">
        <f t="array" ref="AS17">IF(OR(AS$3="",$AN17=""),"",INDEX(IF($C$2='Data Validation'!$A$2,'Bank Adjustments'!$H$4:$H$103,IF('Adjustment Surface'!$C$2='Data Validation'!$A$3,'Bank Adjustments'!$R$4:$R$103,"Unknown Option Type")),MATCH(1,($AN17=IF($C$2='Data Validation'!$A$2,'Bank Adjustments'!$C$4:$C$103,IF('Adjustment Surface'!$C$2='Data Validation'!$A$3,'Bank Adjustments'!$M$4:$M$103,"Unknown Option Type")))*(AS$3=IF($C$2='Data Validation'!$A$2,'Bank Adjustments'!$E$4:$E$103,IF('Adjustment Surface'!$C$2='Data Validation'!$A$3,'Bank Adjustments'!$O$4:$O$103,"Unknown Option Type"))),0)))</f>
        <v/>
      </c>
      <c r="AT17" s="181" t="str" cm="1">
        <f t="array" ref="AT17">IF(OR(AT$3="",$AN17=""),"",INDEX(IF($C$2='Data Validation'!$A$2,'Bank Adjustments'!$H$4:$H$103,IF('Adjustment Surface'!$C$2='Data Validation'!$A$3,'Bank Adjustments'!$R$4:$R$103,"Unknown Option Type")),MATCH(1,($AN17=IF($C$2='Data Validation'!$A$2,'Bank Adjustments'!$C$4:$C$103,IF('Adjustment Surface'!$C$2='Data Validation'!$A$3,'Bank Adjustments'!$M$4:$M$103,"Unknown Option Type")))*(AT$3=IF($C$2='Data Validation'!$A$2,'Bank Adjustments'!$E$4:$E$103,IF('Adjustment Surface'!$C$2='Data Validation'!$A$3,'Bank Adjustments'!$O$4:$O$103,"Unknown Option Type"))),0)))</f>
        <v/>
      </c>
      <c r="AU17" s="181" t="str" cm="1">
        <f t="array" ref="AU17">IF(OR(AU$3="",$AN17=""),"",INDEX(IF($C$2='Data Validation'!$A$2,'Bank Adjustments'!$H$4:$H$103,IF('Adjustment Surface'!$C$2='Data Validation'!$A$3,'Bank Adjustments'!$R$4:$R$103,"Unknown Option Type")),MATCH(1,($AN17=IF($C$2='Data Validation'!$A$2,'Bank Adjustments'!$C$4:$C$103,IF('Adjustment Surface'!$C$2='Data Validation'!$A$3,'Bank Adjustments'!$M$4:$M$103,"Unknown Option Type")))*(AU$3=IF($C$2='Data Validation'!$A$2,'Bank Adjustments'!$E$4:$E$103,IF('Adjustment Surface'!$C$2='Data Validation'!$A$3,'Bank Adjustments'!$O$4:$O$103,"Unknown Option Type"))),0)))</f>
        <v/>
      </c>
      <c r="AV17" s="181" t="str" cm="1">
        <f t="array" ref="AV17">IF(OR(AV$3="",$AN17=""),"",INDEX(IF($C$2='Data Validation'!$A$2,'Bank Adjustments'!$H$4:$H$103,IF('Adjustment Surface'!$C$2='Data Validation'!$A$3,'Bank Adjustments'!$R$4:$R$103,"Unknown Option Type")),MATCH(1,($AN17=IF($C$2='Data Validation'!$A$2,'Bank Adjustments'!$C$4:$C$103,IF('Adjustment Surface'!$C$2='Data Validation'!$A$3,'Bank Adjustments'!$M$4:$M$103,"Unknown Option Type")))*(AV$3=IF($C$2='Data Validation'!$A$2,'Bank Adjustments'!$E$4:$E$103,IF('Adjustment Surface'!$C$2='Data Validation'!$A$3,'Bank Adjustments'!$O$4:$O$103,"Unknown Option Type"))),0)))</f>
        <v/>
      </c>
      <c r="AW17" s="181" t="str" cm="1">
        <f t="array" ref="AW17">IF(OR(AW$3="",$AN17=""),"",INDEX(IF($C$2='Data Validation'!$A$2,'Bank Adjustments'!$H$4:$H$103,IF('Adjustment Surface'!$C$2='Data Validation'!$A$3,'Bank Adjustments'!$R$4:$R$103,"Unknown Option Type")),MATCH(1,($AN17=IF($C$2='Data Validation'!$A$2,'Bank Adjustments'!$C$4:$C$103,IF('Adjustment Surface'!$C$2='Data Validation'!$A$3,'Bank Adjustments'!$M$4:$M$103,"Unknown Option Type")))*(AW$3=IF($C$2='Data Validation'!$A$2,'Bank Adjustments'!$E$4:$E$103,IF('Adjustment Surface'!$C$2='Data Validation'!$A$3,'Bank Adjustments'!$O$4:$O$103,"Unknown Option Type"))),0)))</f>
        <v/>
      </c>
      <c r="AX17" s="181" t="str" cm="1">
        <f t="array" ref="AX17">IF(OR(AX$3="",$AN17=""),"",INDEX(IF($C$2='Data Validation'!$A$2,'Bank Adjustments'!$H$4:$H$103,IF('Adjustment Surface'!$C$2='Data Validation'!$A$3,'Bank Adjustments'!$R$4:$R$103,"Unknown Option Type")),MATCH(1,($AN17=IF($C$2='Data Validation'!$A$2,'Bank Adjustments'!$C$4:$C$103,IF('Adjustment Surface'!$C$2='Data Validation'!$A$3,'Bank Adjustments'!$M$4:$M$103,"Unknown Option Type")))*(AX$3=IF($C$2='Data Validation'!$A$2,'Bank Adjustments'!$E$4:$E$103,IF('Adjustment Surface'!$C$2='Data Validation'!$A$3,'Bank Adjustments'!$O$4:$O$103,"Unknown Option Type"))),0)))</f>
        <v/>
      </c>
      <c r="AY17" s="181" t="str" cm="1">
        <f t="array" ref="AY17">IF(OR(AY$3="",$AN17=""),"",INDEX(IF($C$2='Data Validation'!$A$2,'Bank Adjustments'!$H$4:$H$103,IF('Adjustment Surface'!$C$2='Data Validation'!$A$3,'Bank Adjustments'!$R$4:$R$103,"Unknown Option Type")),MATCH(1,($AN17=IF($C$2='Data Validation'!$A$2,'Bank Adjustments'!$C$4:$C$103,IF('Adjustment Surface'!$C$2='Data Validation'!$A$3,'Bank Adjustments'!$M$4:$M$103,"Unknown Option Type")))*(AY$3=IF($C$2='Data Validation'!$A$2,'Bank Adjustments'!$E$4:$E$103,IF('Adjustment Surface'!$C$2='Data Validation'!$A$3,'Bank Adjustments'!$O$4:$O$103,"Unknown Option Type"))),0)))</f>
        <v/>
      </c>
      <c r="AZ17" s="181" t="str" cm="1">
        <f t="array" ref="AZ17">IF(OR(AZ$3="",$AN17=""),"",INDEX(IF($C$2='Data Validation'!$A$2,'Bank Adjustments'!$H$4:$H$103,IF('Adjustment Surface'!$C$2='Data Validation'!$A$3,'Bank Adjustments'!$R$4:$R$103,"Unknown Option Type")),MATCH(1,($AN17=IF($C$2='Data Validation'!$A$2,'Bank Adjustments'!$C$4:$C$103,IF('Adjustment Surface'!$C$2='Data Validation'!$A$3,'Bank Adjustments'!$M$4:$M$103,"Unknown Option Type")))*(AZ$3=IF($C$2='Data Validation'!$A$2,'Bank Adjustments'!$E$4:$E$103,IF('Adjustment Surface'!$C$2='Data Validation'!$A$3,'Bank Adjustments'!$O$4:$O$103,"Unknown Option Type"))),0)))</f>
        <v/>
      </c>
      <c r="BA17" s="181" t="str" cm="1">
        <f t="array" ref="BA17">IF(OR(BA$3="",$AN17=""),"",INDEX(IF($C$2='Data Validation'!$A$2,'Bank Adjustments'!$H$4:$H$103,IF('Adjustment Surface'!$C$2='Data Validation'!$A$3,'Bank Adjustments'!$R$4:$R$103,"Unknown Option Type")),MATCH(1,($AN17=IF($C$2='Data Validation'!$A$2,'Bank Adjustments'!$C$4:$C$103,IF('Adjustment Surface'!$C$2='Data Validation'!$A$3,'Bank Adjustments'!$M$4:$M$103,"Unknown Option Type")))*(BA$3=IF($C$2='Data Validation'!$A$2,'Bank Adjustments'!$E$4:$E$103,IF('Adjustment Surface'!$C$2='Data Validation'!$A$3,'Bank Adjustments'!$O$4:$O$103,"Unknown Option Type"))),0)))</f>
        <v/>
      </c>
      <c r="BB17" s="181" t="str" cm="1">
        <f t="array" ref="BB17">IF(OR(BB$3="",$AN17=""),"",INDEX(IF($C$2='Data Validation'!$A$2,'Bank Adjustments'!$H$4:$H$103,IF('Adjustment Surface'!$C$2='Data Validation'!$A$3,'Bank Adjustments'!$R$4:$R$103,"Unknown Option Type")),MATCH(1,($AN17=IF($C$2='Data Validation'!$A$2,'Bank Adjustments'!$C$4:$C$103,IF('Adjustment Surface'!$C$2='Data Validation'!$A$3,'Bank Adjustments'!$M$4:$M$103,"Unknown Option Type")))*(BB$3=IF($C$2='Data Validation'!$A$2,'Bank Adjustments'!$E$4:$E$103,IF('Adjustment Surface'!$C$2='Data Validation'!$A$3,'Bank Adjustments'!$O$4:$O$103,"Unknown Option Type"))),0)))</f>
        <v/>
      </c>
      <c r="BC17" s="181" t="str" cm="1">
        <f t="array" ref="BC17">IF(OR(BC$3="",$AN17=""),"",INDEX(IF($C$2='Data Validation'!$A$2,'Bank Adjustments'!$H$4:$H$103,IF('Adjustment Surface'!$C$2='Data Validation'!$A$3,'Bank Adjustments'!$R$4:$R$103,"Unknown Option Type")),MATCH(1,($AN17=IF($C$2='Data Validation'!$A$2,'Bank Adjustments'!$C$4:$C$103,IF('Adjustment Surface'!$C$2='Data Validation'!$A$3,'Bank Adjustments'!$M$4:$M$103,"Unknown Option Type")))*(BC$3=IF($C$2='Data Validation'!$A$2,'Bank Adjustments'!$E$4:$E$103,IF('Adjustment Surface'!$C$2='Data Validation'!$A$3,'Bank Adjustments'!$O$4:$O$103,"Unknown Option Type"))),0)))</f>
        <v/>
      </c>
      <c r="BD17" s="181" t="str" cm="1">
        <f t="array" ref="BD17">IF(OR(BD$3="",$AN17=""),"",INDEX(IF($C$2='Data Validation'!$A$2,'Bank Adjustments'!$H$4:$H$103,IF('Adjustment Surface'!$C$2='Data Validation'!$A$3,'Bank Adjustments'!$R$4:$R$103,"Unknown Option Type")),MATCH(1,($AN17=IF($C$2='Data Validation'!$A$2,'Bank Adjustments'!$C$4:$C$103,IF('Adjustment Surface'!$C$2='Data Validation'!$A$3,'Bank Adjustments'!$M$4:$M$103,"Unknown Option Type")))*(BD$3=IF($C$2='Data Validation'!$A$2,'Bank Adjustments'!$E$4:$E$103,IF('Adjustment Surface'!$C$2='Data Validation'!$A$3,'Bank Adjustments'!$O$4:$O$103,"Unknown Option Type"))),0)))</f>
        <v/>
      </c>
      <c r="BE17" s="181" t="str" cm="1">
        <f t="array" ref="BE17">IF(OR(BE$3="",$AN17=""),"",INDEX(IF($C$2='Data Validation'!$A$2,'Bank Adjustments'!$H$4:$H$103,IF('Adjustment Surface'!$C$2='Data Validation'!$A$3,'Bank Adjustments'!$R$4:$R$103,"Unknown Option Type")),MATCH(1,($AN17=IF($C$2='Data Validation'!$A$2,'Bank Adjustments'!$C$4:$C$103,IF('Adjustment Surface'!$C$2='Data Validation'!$A$3,'Bank Adjustments'!$M$4:$M$103,"Unknown Option Type")))*(BE$3=IF($C$2='Data Validation'!$A$2,'Bank Adjustments'!$E$4:$E$103,IF('Adjustment Surface'!$C$2='Data Validation'!$A$3,'Bank Adjustments'!$O$4:$O$103,"Unknown Option Type"))),0)))</f>
        <v/>
      </c>
      <c r="BF17" s="181" t="str" cm="1">
        <f t="array" ref="BF17">IF(OR(BF$3="",$AN17=""),"",INDEX(IF($C$2='Data Validation'!$A$2,'Bank Adjustments'!$H$4:$H$103,IF('Adjustment Surface'!$C$2='Data Validation'!$A$3,'Bank Adjustments'!$R$4:$R$103,"Unknown Option Type")),MATCH(1,($AN17=IF($C$2='Data Validation'!$A$2,'Bank Adjustments'!$C$4:$C$103,IF('Adjustment Surface'!$C$2='Data Validation'!$A$3,'Bank Adjustments'!$M$4:$M$103,"Unknown Option Type")))*(BF$3=IF($C$2='Data Validation'!$A$2,'Bank Adjustments'!$E$4:$E$103,IF('Adjustment Surface'!$C$2='Data Validation'!$A$3,'Bank Adjustments'!$O$4:$O$103,"Unknown Option Type"))),0)))</f>
        <v/>
      </c>
      <c r="BG17" s="181" t="str" cm="1">
        <f t="array" ref="BG17">IF(OR(BG$3="",$AN17=""),"",INDEX(IF($C$2='Data Validation'!$A$2,'Bank Adjustments'!$H$4:$H$103,IF('Adjustment Surface'!$C$2='Data Validation'!$A$3,'Bank Adjustments'!$R$4:$R$103,"Unknown Option Type")),MATCH(1,($AN17=IF($C$2='Data Validation'!$A$2,'Bank Adjustments'!$C$4:$C$103,IF('Adjustment Surface'!$C$2='Data Validation'!$A$3,'Bank Adjustments'!$M$4:$M$103,"Unknown Option Type")))*(BG$3=IF($C$2='Data Validation'!$A$2,'Bank Adjustments'!$E$4:$E$103,IF('Adjustment Surface'!$C$2='Data Validation'!$A$3,'Bank Adjustments'!$O$4:$O$103,"Unknown Option Type"))),0)))</f>
        <v/>
      </c>
      <c r="BH17" s="182" t="str" cm="1">
        <f t="array" ref="BH17">IF(OR(BH$3="",$AN17=""),"",INDEX(IF($C$2='Data Validation'!$A$2,'Bank Adjustments'!$H$4:$H$103,IF('Adjustment Surface'!$C$2='Data Validation'!$A$3,'Bank Adjustments'!$R$4:$R$103,"Unknown Option Type")),MATCH(1,($AN17=IF($C$2='Data Validation'!$A$2,'Bank Adjustments'!$C$4:$C$103,IF('Adjustment Surface'!$C$2='Data Validation'!$A$3,'Bank Adjustments'!$M$4:$M$103,"Unknown Option Type")))*(BH$3=IF($C$2='Data Validation'!$A$2,'Bank Adjustments'!$E$4:$E$103,IF('Adjustment Surface'!$C$2='Data Validation'!$A$3,'Bank Adjustments'!$O$4:$O$103,"Unknown Option Type"))),0)))</f>
        <v/>
      </c>
    </row>
    <row r="18" spans="2:60" x14ac:dyDescent="0.25">
      <c r="B18" s="81">
        <f>IF('Control Panel'!$C$3='Data Validation'!$J$2,#REF!,'Cap and Floor Pricer'!G21)</f>
        <v>0.06</v>
      </c>
      <c r="C18" s="14">
        <f>'Bachelier Model'!C7</f>
        <v>64.91161319580354</v>
      </c>
      <c r="D18" s="14">
        <f>'Bachelier Model'!D7</f>
        <v>2990.9804608731301</v>
      </c>
      <c r="E18" s="14">
        <f>'Bachelier Model'!E7</f>
        <v>16366.826566454534</v>
      </c>
      <c r="F18" s="14">
        <f>'Bachelier Model'!F7</f>
        <v>43798.299318942241</v>
      </c>
      <c r="G18" s="55"/>
      <c r="H18" s="171"/>
      <c r="I18" s="61" t="str">
        <f t="shared" si="1"/>
        <v/>
      </c>
      <c r="J18" s="212" t="str">
        <f t="shared" si="1"/>
        <v/>
      </c>
      <c r="K18" s="212" t="str">
        <f t="shared" si="1"/>
        <v/>
      </c>
      <c r="L18" s="212" t="str">
        <f t="shared" si="1"/>
        <v/>
      </c>
      <c r="M18" s="63" t="str">
        <f t="shared" si="1"/>
        <v/>
      </c>
      <c r="O18" s="176"/>
      <c r="P18" s="180" t="str" cm="1">
        <f t="array" ref="P18">IF(OR(P$3="",$O18=""),"",1/((INDEX('Adjustment Surface'!$AN$4:$AN$23,MATCH(('Adjustment Surface'!$O18),'Adjustment Surface'!$AN$4:$AN$23,1)+IF('Adjustment Surface'!$O19="",-1,1))-INDEX('Adjustment Surface'!$AN$4:$AN$23,MATCH(('Adjustment Surface'!$O18),'Adjustment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Surface'!$O18),'Adjustment Surface'!$AN$4:$AN$23,1)),$AN$4:$AN$23,0),MATCH(INDEX('Adjustment Surface'!$AO$3:$BH$3,1,MATCH(('Adjustment Surface'!P$3),'Adjustment Surface'!$AO$3:$BH$3,1)),$AO$3:$BH$3,0))*(INDEX('Adjustment Surface'!$AN$4:$AN$23,MATCH(('Adjustment Surface'!$O18),'Adjustment Surface'!$AN$4:$AN$23,1)+IF('Adjustment Surface'!$O19="",-1,1))-'Adjustment Surface'!$O18)*(INDEX('Adjustment Surface'!$AO$3:$BH$3,1,MATCH(('Adjustment Surface'!P$3),'Adjustment Surface'!$AO$3:$BH$3,1)+IF('Adjustment Surface'!Q$3="",-1,1))-'Adjustment Surface'!P$3)+INDEX($AO$4:$BH$23,MATCH(INDEX('Adjustment Surface'!$AN$4:$AN$23,MATCH(('Adjustment Surface'!$O18),'Adjustment Surface'!$AN$4:$AN$23,1)+IF('Adjustment Surface'!$O19="",-1,1)),$AN$4:$AN$23,0),MATCH(INDEX('Adjustment Surface'!$AO$3:$BH$3,1,MATCH(('Adjustment Surface'!P$3),'Adjustment Surface'!$AO$3:$BH$3,1)),$AO$3:$BH$3,0))*('Adjustment Surface'!$O18-INDEX('Adjustment Surface'!$AN$4:$AN$23,MATCH(('Adjustment Surface'!$O18),'Adjustment Surface'!$AN$4:$AN$23,1)))*(INDEX('Adjustment Surface'!$AO$3:$BH$3,1,MATCH(('Adjustment Surface'!P$3),'Adjustment Surface'!$AO$3:$BH$3,1)+IF('Adjustment Surface'!Q$3="",-1,1))-'Adjustment Surface'!P$3)+INDEX($AO$4:$BH$23,MATCH(INDEX('Adjustment Surface'!$AN$4:$AN$23,MATCH(('Adjustment Surface'!$O18),'Adjustment Surface'!$AN$4:$AN$23,1)),$AN$4:$AN$23,0),MATCH(INDEX('Adjustment Surface'!$AO$3:$BH$3,1,MATCH(('Adjustment Surface'!P$3),'Adjustment Surface'!$AO$3:$BH$3,1)+IF('Adjustment Surface'!Q$3="",-1,1)),$AO$3:$BH$3,0))*(INDEX('Adjustment Surface'!$AN$4:$AN$23,MATCH(('Adjustment Surface'!$O18),'Adjustment Surface'!$AN$4:$AN$23,1)+IF('Adjustment Surface'!$O19="",-1,1))-'Adjustment Surface'!$O18)*('Adjustment Surface'!P$3-INDEX('Adjustment Surface'!$AO$3:$BH$3,1,MATCH(('Adjustment Surface'!P$3),'Adjustment Surface'!$AO$3:$BH$3,1)))+INDEX($AO$4:$BH$23,MATCH(INDEX('Adjustment Surface'!$AN$4:$AN$23,MATCH(('Adjustment Surface'!$O18),'Adjustment Surface'!$AN$4:$AN$23,1)+IF('Adjustment Surface'!$O19="",-1,1)),$AN$4:$AN$23,0),MATCH(INDEX('Adjustment Surface'!$AO$3:$BH$3,1,MATCH(('Adjustment Surface'!P$3),'Adjustment Surface'!$AO$3:$BH$3,1)+IF('Adjustment Surface'!Q$3="",-1,1)),$AO$3:$BH$3,0))*('Adjustment Surface'!$O18-INDEX('Adjustment Surface'!$AN$4:$AN$23,MATCH(('Adjustment Surface'!$O18),'Adjustment Surface'!$AN$4:$AN$23,1)))*('Adjustment Surface'!P$3-INDEX('Adjustment Surface'!$AO$3:$BH$3,1,MATCH(('Adjustment Surface'!P$3),'Adjustment Surface'!$AO$3:$BH$3,1)))))</f>
        <v/>
      </c>
      <c r="Q18" s="181" t="str" cm="1">
        <f t="array" ref="Q18">IF(OR(Q$3="",$O18=""),"",1/((INDEX('Adjustment Surface'!$AN$4:$AN$23,MATCH(('Adjustment Surface'!$O18),'Adjustment Surface'!$AN$4:$AN$23,1)+IF('Adjustment Surface'!$O19="",-1,1))-INDEX('Adjustment Surface'!$AN$4:$AN$23,MATCH(('Adjustment Surface'!$O18),'Adjustment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Surface'!$O18),'Adjustment Surface'!$AN$4:$AN$23,1)),$AN$4:$AN$23,0),MATCH(INDEX('Adjustment Surface'!$AO$3:$BH$3,1,MATCH(('Adjustment Surface'!Q$3),'Adjustment Surface'!$AO$3:$BH$3,1)),$AO$3:$BH$3,0))*(INDEX('Adjustment Surface'!$AN$4:$AN$23,MATCH(('Adjustment Surface'!$O18),'Adjustment Surface'!$AN$4:$AN$23,1)+IF('Adjustment Surface'!$O19="",-1,1))-'Adjustment Surface'!$O18)*(INDEX('Adjustment Surface'!$AO$3:$BH$3,1,MATCH(('Adjustment Surface'!Q$3),'Adjustment Surface'!$AO$3:$BH$3,1)+IF('Adjustment Surface'!R$3="",-1,1))-'Adjustment Surface'!Q$3)+INDEX($AO$4:$BH$23,MATCH(INDEX('Adjustment Surface'!$AN$4:$AN$23,MATCH(('Adjustment Surface'!$O18),'Adjustment Surface'!$AN$4:$AN$23,1)+IF('Adjustment Surface'!$O19="",-1,1)),$AN$4:$AN$23,0),MATCH(INDEX('Adjustment Surface'!$AO$3:$BH$3,1,MATCH(('Adjustment Surface'!Q$3),'Adjustment Surface'!$AO$3:$BH$3,1)),$AO$3:$BH$3,0))*('Adjustment Surface'!$O18-INDEX('Adjustment Surface'!$AN$4:$AN$23,MATCH(('Adjustment Surface'!$O18),'Adjustment Surface'!$AN$4:$AN$23,1)))*(INDEX('Adjustment Surface'!$AO$3:$BH$3,1,MATCH(('Adjustment Surface'!Q$3),'Adjustment Surface'!$AO$3:$BH$3,1)+IF('Adjustment Surface'!R$3="",-1,1))-'Adjustment Surface'!Q$3)+INDEX($AO$4:$BH$23,MATCH(INDEX('Adjustment Surface'!$AN$4:$AN$23,MATCH(('Adjustment Surface'!$O18),'Adjustment Surface'!$AN$4:$AN$23,1)),$AN$4:$AN$23,0),MATCH(INDEX('Adjustment Surface'!$AO$3:$BH$3,1,MATCH(('Adjustment Surface'!Q$3),'Adjustment Surface'!$AO$3:$BH$3,1)+IF('Adjustment Surface'!R$3="",-1,1)),$AO$3:$BH$3,0))*(INDEX('Adjustment Surface'!$AN$4:$AN$23,MATCH(('Adjustment Surface'!$O18),'Adjustment Surface'!$AN$4:$AN$23,1)+IF('Adjustment Surface'!$O19="",-1,1))-'Adjustment Surface'!$O18)*('Adjustment Surface'!Q$3-INDEX('Adjustment Surface'!$AO$3:$BH$3,1,MATCH(('Adjustment Surface'!Q$3),'Adjustment Surface'!$AO$3:$BH$3,1)))+INDEX($AO$4:$BH$23,MATCH(INDEX('Adjustment Surface'!$AN$4:$AN$23,MATCH(('Adjustment Surface'!$O18),'Adjustment Surface'!$AN$4:$AN$23,1)+IF('Adjustment Surface'!$O19="",-1,1)),$AN$4:$AN$23,0),MATCH(INDEX('Adjustment Surface'!$AO$3:$BH$3,1,MATCH(('Adjustment Surface'!Q$3),'Adjustment Surface'!$AO$3:$BH$3,1)+IF('Adjustment Surface'!R$3="",-1,1)),$AO$3:$BH$3,0))*('Adjustment Surface'!$O18-INDEX('Adjustment Surface'!$AN$4:$AN$23,MATCH(('Adjustment Surface'!$O18),'Adjustment Surface'!$AN$4:$AN$23,1)))*('Adjustment Surface'!Q$3-INDEX('Adjustment Surface'!$AO$3:$BH$3,1,MATCH(('Adjustment Surface'!Q$3),'Adjustment Surface'!$AO$3:$BH$3,1)))))</f>
        <v/>
      </c>
      <c r="R18" s="181" t="str" cm="1">
        <f t="array" ref="R18">IF(OR(R$3="",$O18=""),"",1/((INDEX('Adjustment Surface'!$AN$4:$AN$23,MATCH(('Adjustment Surface'!$O18),'Adjustment Surface'!$AN$4:$AN$23,1)+IF('Adjustment Surface'!$O19="",-1,1))-INDEX('Adjustment Surface'!$AN$4:$AN$23,MATCH(('Adjustment Surface'!$O18),'Adjustment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Surface'!$O18),'Adjustment Surface'!$AN$4:$AN$23,1)),$AN$4:$AN$23,0),MATCH(INDEX('Adjustment Surface'!$AO$3:$BH$3,1,MATCH(('Adjustment Surface'!R$3),'Adjustment Surface'!$AO$3:$BH$3,1)),$AO$3:$BH$3,0))*(INDEX('Adjustment Surface'!$AN$4:$AN$23,MATCH(('Adjustment Surface'!$O18),'Adjustment Surface'!$AN$4:$AN$23,1)+IF('Adjustment Surface'!$O19="",-1,1))-'Adjustment Surface'!$O18)*(INDEX('Adjustment Surface'!$AO$3:$BH$3,1,MATCH(('Adjustment Surface'!R$3),'Adjustment Surface'!$AO$3:$BH$3,1)+IF('Adjustment Surface'!S$3="",-1,1))-'Adjustment Surface'!R$3)+INDEX($AO$4:$BH$23,MATCH(INDEX('Adjustment Surface'!$AN$4:$AN$23,MATCH(('Adjustment Surface'!$O18),'Adjustment Surface'!$AN$4:$AN$23,1)+IF('Adjustment Surface'!$O19="",-1,1)),$AN$4:$AN$23,0),MATCH(INDEX('Adjustment Surface'!$AO$3:$BH$3,1,MATCH(('Adjustment Surface'!R$3),'Adjustment Surface'!$AO$3:$BH$3,1)),$AO$3:$BH$3,0))*('Adjustment Surface'!$O18-INDEX('Adjustment Surface'!$AN$4:$AN$23,MATCH(('Adjustment Surface'!$O18),'Adjustment Surface'!$AN$4:$AN$23,1)))*(INDEX('Adjustment Surface'!$AO$3:$BH$3,1,MATCH(('Adjustment Surface'!R$3),'Adjustment Surface'!$AO$3:$BH$3,1)+IF('Adjustment Surface'!S$3="",-1,1))-'Adjustment Surface'!R$3)+INDEX($AO$4:$BH$23,MATCH(INDEX('Adjustment Surface'!$AN$4:$AN$23,MATCH(('Adjustment Surface'!$O18),'Adjustment Surface'!$AN$4:$AN$23,1)),$AN$4:$AN$23,0),MATCH(INDEX('Adjustment Surface'!$AO$3:$BH$3,1,MATCH(('Adjustment Surface'!R$3),'Adjustment Surface'!$AO$3:$BH$3,1)+IF('Adjustment Surface'!S$3="",-1,1)),$AO$3:$BH$3,0))*(INDEX('Adjustment Surface'!$AN$4:$AN$23,MATCH(('Adjustment Surface'!$O18),'Adjustment Surface'!$AN$4:$AN$23,1)+IF('Adjustment Surface'!$O19="",-1,1))-'Adjustment Surface'!$O18)*('Adjustment Surface'!R$3-INDEX('Adjustment Surface'!$AO$3:$BH$3,1,MATCH(('Adjustment Surface'!R$3),'Adjustment Surface'!$AO$3:$BH$3,1)))+INDEX($AO$4:$BH$23,MATCH(INDEX('Adjustment Surface'!$AN$4:$AN$23,MATCH(('Adjustment Surface'!$O18),'Adjustment Surface'!$AN$4:$AN$23,1)+IF('Adjustment Surface'!$O19="",-1,1)),$AN$4:$AN$23,0),MATCH(INDEX('Adjustment Surface'!$AO$3:$BH$3,1,MATCH(('Adjustment Surface'!R$3),'Adjustment Surface'!$AO$3:$BH$3,1)+IF('Adjustment Surface'!S$3="",-1,1)),$AO$3:$BH$3,0))*('Adjustment Surface'!$O18-INDEX('Adjustment Surface'!$AN$4:$AN$23,MATCH(('Adjustment Surface'!$O18),'Adjustment Surface'!$AN$4:$AN$23,1)))*('Adjustment Surface'!R$3-INDEX('Adjustment Surface'!$AO$3:$BH$3,1,MATCH(('Adjustment Surface'!R$3),'Adjustment Surface'!$AO$3:$BH$3,1)))))</f>
        <v/>
      </c>
      <c r="S18" s="181" t="str" cm="1">
        <f t="array" ref="S18">IF(OR(S$3="",$O18=""),"",1/((INDEX('Adjustment Surface'!$AN$4:$AN$23,MATCH(('Adjustment Surface'!$O18),'Adjustment Surface'!$AN$4:$AN$23,1)+IF('Adjustment Surface'!$O19="",-1,1))-INDEX('Adjustment Surface'!$AN$4:$AN$23,MATCH(('Adjustment Surface'!$O18),'Adjustment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Surface'!$O18),'Adjustment Surface'!$AN$4:$AN$23,1)),$AN$4:$AN$23,0),MATCH(INDEX('Adjustment Surface'!$AO$3:$BH$3,1,MATCH(('Adjustment Surface'!S$3),'Adjustment Surface'!$AO$3:$BH$3,1)),$AO$3:$BH$3,0))*(INDEX('Adjustment Surface'!$AN$4:$AN$23,MATCH(('Adjustment Surface'!$O18),'Adjustment Surface'!$AN$4:$AN$23,1)+IF('Adjustment Surface'!$O19="",-1,1))-'Adjustment Surface'!$O18)*(INDEX('Adjustment Surface'!$AO$3:$BH$3,1,MATCH(('Adjustment Surface'!S$3),'Adjustment Surface'!$AO$3:$BH$3,1)+IF('Adjustment Surface'!T$3="",-1,1))-'Adjustment Surface'!S$3)+INDEX($AO$4:$BH$23,MATCH(INDEX('Adjustment Surface'!$AN$4:$AN$23,MATCH(('Adjustment Surface'!$O18),'Adjustment Surface'!$AN$4:$AN$23,1)+IF('Adjustment Surface'!$O19="",-1,1)),$AN$4:$AN$23,0),MATCH(INDEX('Adjustment Surface'!$AO$3:$BH$3,1,MATCH(('Adjustment Surface'!S$3),'Adjustment Surface'!$AO$3:$BH$3,1)),$AO$3:$BH$3,0))*('Adjustment Surface'!$O18-INDEX('Adjustment Surface'!$AN$4:$AN$23,MATCH(('Adjustment Surface'!$O18),'Adjustment Surface'!$AN$4:$AN$23,1)))*(INDEX('Adjustment Surface'!$AO$3:$BH$3,1,MATCH(('Adjustment Surface'!S$3),'Adjustment Surface'!$AO$3:$BH$3,1)+IF('Adjustment Surface'!T$3="",-1,1))-'Adjustment Surface'!S$3)+INDEX($AO$4:$BH$23,MATCH(INDEX('Adjustment Surface'!$AN$4:$AN$23,MATCH(('Adjustment Surface'!$O18),'Adjustment Surface'!$AN$4:$AN$23,1)),$AN$4:$AN$23,0),MATCH(INDEX('Adjustment Surface'!$AO$3:$BH$3,1,MATCH(('Adjustment Surface'!S$3),'Adjustment Surface'!$AO$3:$BH$3,1)+IF('Adjustment Surface'!T$3="",-1,1)),$AO$3:$BH$3,0))*(INDEX('Adjustment Surface'!$AN$4:$AN$23,MATCH(('Adjustment Surface'!$O18),'Adjustment Surface'!$AN$4:$AN$23,1)+IF('Adjustment Surface'!$O19="",-1,1))-'Adjustment Surface'!$O18)*('Adjustment Surface'!S$3-INDEX('Adjustment Surface'!$AO$3:$BH$3,1,MATCH(('Adjustment Surface'!S$3),'Adjustment Surface'!$AO$3:$BH$3,1)))+INDEX($AO$4:$BH$23,MATCH(INDEX('Adjustment Surface'!$AN$4:$AN$23,MATCH(('Adjustment Surface'!$O18),'Adjustment Surface'!$AN$4:$AN$23,1)+IF('Adjustment Surface'!$O19="",-1,1)),$AN$4:$AN$23,0),MATCH(INDEX('Adjustment Surface'!$AO$3:$BH$3,1,MATCH(('Adjustment Surface'!S$3),'Adjustment Surface'!$AO$3:$BH$3,1)+IF('Adjustment Surface'!T$3="",-1,1)),$AO$3:$BH$3,0))*('Adjustment Surface'!$O18-INDEX('Adjustment Surface'!$AN$4:$AN$23,MATCH(('Adjustment Surface'!$O18),'Adjustment Surface'!$AN$4:$AN$23,1)))*('Adjustment Surface'!S$3-INDEX('Adjustment Surface'!$AO$3:$BH$3,1,MATCH(('Adjustment Surface'!S$3),'Adjustment Surface'!$AO$3:$BH$3,1)))))</f>
        <v/>
      </c>
      <c r="T18" s="181" t="str" cm="1">
        <f t="array" ref="T18">IF(OR(T$3="",$O18=""),"",1/((INDEX('Adjustment Surface'!$AN$4:$AN$23,MATCH(('Adjustment Surface'!$O18),'Adjustment Surface'!$AN$4:$AN$23,1)+IF('Adjustment Surface'!$O19="",-1,1))-INDEX('Adjustment Surface'!$AN$4:$AN$23,MATCH(('Adjustment Surface'!$O18),'Adjustment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Surface'!$O18),'Adjustment Surface'!$AN$4:$AN$23,1)),$AN$4:$AN$23,0),MATCH(INDEX('Adjustment Surface'!$AO$3:$BH$3,1,MATCH(('Adjustment Surface'!T$3),'Adjustment Surface'!$AO$3:$BH$3,1)),$AO$3:$BH$3,0))*(INDEX('Adjustment Surface'!$AN$4:$AN$23,MATCH(('Adjustment Surface'!$O18),'Adjustment Surface'!$AN$4:$AN$23,1)+IF('Adjustment Surface'!$O19="",-1,1))-'Adjustment Surface'!$O18)*(INDEX('Adjustment Surface'!$AO$3:$BH$3,1,MATCH(('Adjustment Surface'!T$3),'Adjustment Surface'!$AO$3:$BH$3,1)+IF('Adjustment Surface'!U$3="",-1,1))-'Adjustment Surface'!T$3)+INDEX($AO$4:$BH$23,MATCH(INDEX('Adjustment Surface'!$AN$4:$AN$23,MATCH(('Adjustment Surface'!$O18),'Adjustment Surface'!$AN$4:$AN$23,1)+IF('Adjustment Surface'!$O19="",-1,1)),$AN$4:$AN$23,0),MATCH(INDEX('Adjustment Surface'!$AO$3:$BH$3,1,MATCH(('Adjustment Surface'!T$3),'Adjustment Surface'!$AO$3:$BH$3,1)),$AO$3:$BH$3,0))*('Adjustment Surface'!$O18-INDEX('Adjustment Surface'!$AN$4:$AN$23,MATCH(('Adjustment Surface'!$O18),'Adjustment Surface'!$AN$4:$AN$23,1)))*(INDEX('Adjustment Surface'!$AO$3:$BH$3,1,MATCH(('Adjustment Surface'!T$3),'Adjustment Surface'!$AO$3:$BH$3,1)+IF('Adjustment Surface'!U$3="",-1,1))-'Adjustment Surface'!T$3)+INDEX($AO$4:$BH$23,MATCH(INDEX('Adjustment Surface'!$AN$4:$AN$23,MATCH(('Adjustment Surface'!$O18),'Adjustment Surface'!$AN$4:$AN$23,1)),$AN$4:$AN$23,0),MATCH(INDEX('Adjustment Surface'!$AO$3:$BH$3,1,MATCH(('Adjustment Surface'!T$3),'Adjustment Surface'!$AO$3:$BH$3,1)+IF('Adjustment Surface'!U$3="",-1,1)),$AO$3:$BH$3,0))*(INDEX('Adjustment Surface'!$AN$4:$AN$23,MATCH(('Adjustment Surface'!$O18),'Adjustment Surface'!$AN$4:$AN$23,1)+IF('Adjustment Surface'!$O19="",-1,1))-'Adjustment Surface'!$O18)*('Adjustment Surface'!T$3-INDEX('Adjustment Surface'!$AO$3:$BH$3,1,MATCH(('Adjustment Surface'!T$3),'Adjustment Surface'!$AO$3:$BH$3,1)))+INDEX($AO$4:$BH$23,MATCH(INDEX('Adjustment Surface'!$AN$4:$AN$23,MATCH(('Adjustment Surface'!$O18),'Adjustment Surface'!$AN$4:$AN$23,1)+IF('Adjustment Surface'!$O19="",-1,1)),$AN$4:$AN$23,0),MATCH(INDEX('Adjustment Surface'!$AO$3:$BH$3,1,MATCH(('Adjustment Surface'!T$3),'Adjustment Surface'!$AO$3:$BH$3,1)+IF('Adjustment Surface'!U$3="",-1,1)),$AO$3:$BH$3,0))*('Adjustment Surface'!$O18-INDEX('Adjustment Surface'!$AN$4:$AN$23,MATCH(('Adjustment Surface'!$O18),'Adjustment Surface'!$AN$4:$AN$23,1)))*('Adjustment Surface'!T$3-INDEX('Adjustment Surface'!$AO$3:$BH$3,1,MATCH(('Adjustment Surface'!T$3),'Adjustment Surface'!$AO$3:$BH$3,1)))))</f>
        <v/>
      </c>
      <c r="U18" s="181" t="str" cm="1">
        <f t="array" ref="U18">IF(OR(U$3="",$O18=""),"",1/((INDEX('Adjustment Surface'!$AN$4:$AN$23,MATCH(('Adjustment Surface'!$O18),'Adjustment Surface'!$AN$4:$AN$23,1)+IF('Adjustment Surface'!$O19="",-1,1))-INDEX('Adjustment Surface'!$AN$4:$AN$23,MATCH(('Adjustment Surface'!$O18),'Adjustment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Surface'!$O18),'Adjustment Surface'!$AN$4:$AN$23,1)),$AN$4:$AN$23,0),MATCH(INDEX('Adjustment Surface'!$AO$3:$BH$3,1,MATCH(('Adjustment Surface'!U$3),'Adjustment Surface'!$AO$3:$BH$3,1)),$AO$3:$BH$3,0))*(INDEX('Adjustment Surface'!$AN$4:$AN$23,MATCH(('Adjustment Surface'!$O18),'Adjustment Surface'!$AN$4:$AN$23,1)+IF('Adjustment Surface'!$O19="",-1,1))-'Adjustment Surface'!$O18)*(INDEX('Adjustment Surface'!$AO$3:$BH$3,1,MATCH(('Adjustment Surface'!U$3),'Adjustment Surface'!$AO$3:$BH$3,1)+IF('Adjustment Surface'!V$3="",-1,1))-'Adjustment Surface'!U$3)+INDEX($AO$4:$BH$23,MATCH(INDEX('Adjustment Surface'!$AN$4:$AN$23,MATCH(('Adjustment Surface'!$O18),'Adjustment Surface'!$AN$4:$AN$23,1)+IF('Adjustment Surface'!$O19="",-1,1)),$AN$4:$AN$23,0),MATCH(INDEX('Adjustment Surface'!$AO$3:$BH$3,1,MATCH(('Adjustment Surface'!U$3),'Adjustment Surface'!$AO$3:$BH$3,1)),$AO$3:$BH$3,0))*('Adjustment Surface'!$O18-INDEX('Adjustment Surface'!$AN$4:$AN$23,MATCH(('Adjustment Surface'!$O18),'Adjustment Surface'!$AN$4:$AN$23,1)))*(INDEX('Adjustment Surface'!$AO$3:$BH$3,1,MATCH(('Adjustment Surface'!U$3),'Adjustment Surface'!$AO$3:$BH$3,1)+IF('Adjustment Surface'!V$3="",-1,1))-'Adjustment Surface'!U$3)+INDEX($AO$4:$BH$23,MATCH(INDEX('Adjustment Surface'!$AN$4:$AN$23,MATCH(('Adjustment Surface'!$O18),'Adjustment Surface'!$AN$4:$AN$23,1)),$AN$4:$AN$23,0),MATCH(INDEX('Adjustment Surface'!$AO$3:$BH$3,1,MATCH(('Adjustment Surface'!U$3),'Adjustment Surface'!$AO$3:$BH$3,1)+IF('Adjustment Surface'!V$3="",-1,1)),$AO$3:$BH$3,0))*(INDEX('Adjustment Surface'!$AN$4:$AN$23,MATCH(('Adjustment Surface'!$O18),'Adjustment Surface'!$AN$4:$AN$23,1)+IF('Adjustment Surface'!$O19="",-1,1))-'Adjustment Surface'!$O18)*('Adjustment Surface'!U$3-INDEX('Adjustment Surface'!$AO$3:$BH$3,1,MATCH(('Adjustment Surface'!U$3),'Adjustment Surface'!$AO$3:$BH$3,1)))+INDEX($AO$4:$BH$23,MATCH(INDEX('Adjustment Surface'!$AN$4:$AN$23,MATCH(('Adjustment Surface'!$O18),'Adjustment Surface'!$AN$4:$AN$23,1)+IF('Adjustment Surface'!$O19="",-1,1)),$AN$4:$AN$23,0),MATCH(INDEX('Adjustment Surface'!$AO$3:$BH$3,1,MATCH(('Adjustment Surface'!U$3),'Adjustment Surface'!$AO$3:$BH$3,1)+IF('Adjustment Surface'!V$3="",-1,1)),$AO$3:$BH$3,0))*('Adjustment Surface'!$O18-INDEX('Adjustment Surface'!$AN$4:$AN$23,MATCH(('Adjustment Surface'!$O18),'Adjustment Surface'!$AN$4:$AN$23,1)))*('Adjustment Surface'!U$3-INDEX('Adjustment Surface'!$AO$3:$BH$3,1,MATCH(('Adjustment Surface'!U$3),'Adjustment Surface'!$AO$3:$BH$3,1)))))</f>
        <v/>
      </c>
      <c r="V18" s="181" t="str" cm="1">
        <f t="array" ref="V18">IF(OR(V$3="",$O18=""),"",1/((INDEX('Adjustment Surface'!$AN$4:$AN$23,MATCH(('Adjustment Surface'!$O18),'Adjustment Surface'!$AN$4:$AN$23,1)+IF('Adjustment Surface'!$O19="",-1,1))-INDEX('Adjustment Surface'!$AN$4:$AN$23,MATCH(('Adjustment Surface'!$O18),'Adjustment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Surface'!$O18),'Adjustment Surface'!$AN$4:$AN$23,1)),$AN$4:$AN$23,0),MATCH(INDEX('Adjustment Surface'!$AO$3:$BH$3,1,MATCH(('Adjustment Surface'!V$3),'Adjustment Surface'!$AO$3:$BH$3,1)),$AO$3:$BH$3,0))*(INDEX('Adjustment Surface'!$AN$4:$AN$23,MATCH(('Adjustment Surface'!$O18),'Adjustment Surface'!$AN$4:$AN$23,1)+IF('Adjustment Surface'!$O19="",-1,1))-'Adjustment Surface'!$O18)*(INDEX('Adjustment Surface'!$AO$3:$BH$3,1,MATCH(('Adjustment Surface'!V$3),'Adjustment Surface'!$AO$3:$BH$3,1)+IF('Adjustment Surface'!W$3="",-1,1))-'Adjustment Surface'!V$3)+INDEX($AO$4:$BH$23,MATCH(INDEX('Adjustment Surface'!$AN$4:$AN$23,MATCH(('Adjustment Surface'!$O18),'Adjustment Surface'!$AN$4:$AN$23,1)+IF('Adjustment Surface'!$O19="",-1,1)),$AN$4:$AN$23,0),MATCH(INDEX('Adjustment Surface'!$AO$3:$BH$3,1,MATCH(('Adjustment Surface'!V$3),'Adjustment Surface'!$AO$3:$BH$3,1)),$AO$3:$BH$3,0))*('Adjustment Surface'!$O18-INDEX('Adjustment Surface'!$AN$4:$AN$23,MATCH(('Adjustment Surface'!$O18),'Adjustment Surface'!$AN$4:$AN$23,1)))*(INDEX('Adjustment Surface'!$AO$3:$BH$3,1,MATCH(('Adjustment Surface'!V$3),'Adjustment Surface'!$AO$3:$BH$3,1)+IF('Adjustment Surface'!W$3="",-1,1))-'Adjustment Surface'!V$3)+INDEX($AO$4:$BH$23,MATCH(INDEX('Adjustment Surface'!$AN$4:$AN$23,MATCH(('Adjustment Surface'!$O18),'Adjustment Surface'!$AN$4:$AN$23,1)),$AN$4:$AN$23,0),MATCH(INDEX('Adjustment Surface'!$AO$3:$BH$3,1,MATCH(('Adjustment Surface'!V$3),'Adjustment Surface'!$AO$3:$BH$3,1)+IF('Adjustment Surface'!W$3="",-1,1)),$AO$3:$BH$3,0))*(INDEX('Adjustment Surface'!$AN$4:$AN$23,MATCH(('Adjustment Surface'!$O18),'Adjustment Surface'!$AN$4:$AN$23,1)+IF('Adjustment Surface'!$O19="",-1,1))-'Adjustment Surface'!$O18)*('Adjustment Surface'!V$3-INDEX('Adjustment Surface'!$AO$3:$BH$3,1,MATCH(('Adjustment Surface'!V$3),'Adjustment Surface'!$AO$3:$BH$3,1)))+INDEX($AO$4:$BH$23,MATCH(INDEX('Adjustment Surface'!$AN$4:$AN$23,MATCH(('Adjustment Surface'!$O18),'Adjustment Surface'!$AN$4:$AN$23,1)+IF('Adjustment Surface'!$O19="",-1,1)),$AN$4:$AN$23,0),MATCH(INDEX('Adjustment Surface'!$AO$3:$BH$3,1,MATCH(('Adjustment Surface'!V$3),'Adjustment Surface'!$AO$3:$BH$3,1)+IF('Adjustment Surface'!W$3="",-1,1)),$AO$3:$BH$3,0))*('Adjustment Surface'!$O18-INDEX('Adjustment Surface'!$AN$4:$AN$23,MATCH(('Adjustment Surface'!$O18),'Adjustment Surface'!$AN$4:$AN$23,1)))*('Adjustment Surface'!V$3-INDEX('Adjustment Surface'!$AO$3:$BH$3,1,MATCH(('Adjustment Surface'!V$3),'Adjustment Surface'!$AO$3:$BH$3,1)))))</f>
        <v/>
      </c>
      <c r="W18" s="181" t="str" cm="1">
        <f t="array" ref="W18">IF(OR(W$3="",$O18=""),"",1/((INDEX('Adjustment Surface'!$AN$4:$AN$23,MATCH(('Adjustment Surface'!$O18),'Adjustment Surface'!$AN$4:$AN$23,1)+IF('Adjustment Surface'!$O19="",-1,1))-INDEX('Adjustment Surface'!$AN$4:$AN$23,MATCH(('Adjustment Surface'!$O18),'Adjustment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Surface'!$O18),'Adjustment Surface'!$AN$4:$AN$23,1)),$AN$4:$AN$23,0),MATCH(INDEX('Adjustment Surface'!$AO$3:$BH$3,1,MATCH(('Adjustment Surface'!W$3),'Adjustment Surface'!$AO$3:$BH$3,1)),$AO$3:$BH$3,0))*(INDEX('Adjustment Surface'!$AN$4:$AN$23,MATCH(('Adjustment Surface'!$O18),'Adjustment Surface'!$AN$4:$AN$23,1)+IF('Adjustment Surface'!$O19="",-1,1))-'Adjustment Surface'!$O18)*(INDEX('Adjustment Surface'!$AO$3:$BH$3,1,MATCH(('Adjustment Surface'!W$3),'Adjustment Surface'!$AO$3:$BH$3,1)+IF('Adjustment Surface'!X$3="",-1,1))-'Adjustment Surface'!W$3)+INDEX($AO$4:$BH$23,MATCH(INDEX('Adjustment Surface'!$AN$4:$AN$23,MATCH(('Adjustment Surface'!$O18),'Adjustment Surface'!$AN$4:$AN$23,1)+IF('Adjustment Surface'!$O19="",-1,1)),$AN$4:$AN$23,0),MATCH(INDEX('Adjustment Surface'!$AO$3:$BH$3,1,MATCH(('Adjustment Surface'!W$3),'Adjustment Surface'!$AO$3:$BH$3,1)),$AO$3:$BH$3,0))*('Adjustment Surface'!$O18-INDEX('Adjustment Surface'!$AN$4:$AN$23,MATCH(('Adjustment Surface'!$O18),'Adjustment Surface'!$AN$4:$AN$23,1)))*(INDEX('Adjustment Surface'!$AO$3:$BH$3,1,MATCH(('Adjustment Surface'!W$3),'Adjustment Surface'!$AO$3:$BH$3,1)+IF('Adjustment Surface'!X$3="",-1,1))-'Adjustment Surface'!W$3)+INDEX($AO$4:$BH$23,MATCH(INDEX('Adjustment Surface'!$AN$4:$AN$23,MATCH(('Adjustment Surface'!$O18),'Adjustment Surface'!$AN$4:$AN$23,1)),$AN$4:$AN$23,0),MATCH(INDEX('Adjustment Surface'!$AO$3:$BH$3,1,MATCH(('Adjustment Surface'!W$3),'Adjustment Surface'!$AO$3:$BH$3,1)+IF('Adjustment Surface'!X$3="",-1,1)),$AO$3:$BH$3,0))*(INDEX('Adjustment Surface'!$AN$4:$AN$23,MATCH(('Adjustment Surface'!$O18),'Adjustment Surface'!$AN$4:$AN$23,1)+IF('Adjustment Surface'!$O19="",-1,1))-'Adjustment Surface'!$O18)*('Adjustment Surface'!W$3-INDEX('Adjustment Surface'!$AO$3:$BH$3,1,MATCH(('Adjustment Surface'!W$3),'Adjustment Surface'!$AO$3:$BH$3,1)))+INDEX($AO$4:$BH$23,MATCH(INDEX('Adjustment Surface'!$AN$4:$AN$23,MATCH(('Adjustment Surface'!$O18),'Adjustment Surface'!$AN$4:$AN$23,1)+IF('Adjustment Surface'!$O19="",-1,1)),$AN$4:$AN$23,0),MATCH(INDEX('Adjustment Surface'!$AO$3:$BH$3,1,MATCH(('Adjustment Surface'!W$3),'Adjustment Surface'!$AO$3:$BH$3,1)+IF('Adjustment Surface'!X$3="",-1,1)),$AO$3:$BH$3,0))*('Adjustment Surface'!$O18-INDEX('Adjustment Surface'!$AN$4:$AN$23,MATCH(('Adjustment Surface'!$O18),'Adjustment Surface'!$AN$4:$AN$23,1)))*('Adjustment Surface'!W$3-INDEX('Adjustment Surface'!$AO$3:$BH$3,1,MATCH(('Adjustment Surface'!W$3),'Adjustment Surface'!$AO$3:$BH$3,1)))))</f>
        <v/>
      </c>
      <c r="X18" s="181" t="str" cm="1">
        <f t="array" ref="X18">IF(OR(X$3="",$O18=""),"",1/((INDEX('Adjustment Surface'!$AN$4:$AN$23,MATCH(('Adjustment Surface'!$O18),'Adjustment Surface'!$AN$4:$AN$23,1)+IF('Adjustment Surface'!$O19="",-1,1))-INDEX('Adjustment Surface'!$AN$4:$AN$23,MATCH(('Adjustment Surface'!$O18),'Adjustment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Surface'!$O18),'Adjustment Surface'!$AN$4:$AN$23,1)),$AN$4:$AN$23,0),MATCH(INDEX('Adjustment Surface'!$AO$3:$BH$3,1,MATCH(('Adjustment Surface'!X$3),'Adjustment Surface'!$AO$3:$BH$3,1)),$AO$3:$BH$3,0))*(INDEX('Adjustment Surface'!$AN$4:$AN$23,MATCH(('Adjustment Surface'!$O18),'Adjustment Surface'!$AN$4:$AN$23,1)+IF('Adjustment Surface'!$O19="",-1,1))-'Adjustment Surface'!$O18)*(INDEX('Adjustment Surface'!$AO$3:$BH$3,1,MATCH(('Adjustment Surface'!X$3),'Adjustment Surface'!$AO$3:$BH$3,1)+IF('Adjustment Surface'!Y$3="",-1,1))-'Adjustment Surface'!X$3)+INDEX($AO$4:$BH$23,MATCH(INDEX('Adjustment Surface'!$AN$4:$AN$23,MATCH(('Adjustment Surface'!$O18),'Adjustment Surface'!$AN$4:$AN$23,1)+IF('Adjustment Surface'!$O19="",-1,1)),$AN$4:$AN$23,0),MATCH(INDEX('Adjustment Surface'!$AO$3:$BH$3,1,MATCH(('Adjustment Surface'!X$3),'Adjustment Surface'!$AO$3:$BH$3,1)),$AO$3:$BH$3,0))*('Adjustment Surface'!$O18-INDEX('Adjustment Surface'!$AN$4:$AN$23,MATCH(('Adjustment Surface'!$O18),'Adjustment Surface'!$AN$4:$AN$23,1)))*(INDEX('Adjustment Surface'!$AO$3:$BH$3,1,MATCH(('Adjustment Surface'!X$3),'Adjustment Surface'!$AO$3:$BH$3,1)+IF('Adjustment Surface'!Y$3="",-1,1))-'Adjustment Surface'!X$3)+INDEX($AO$4:$BH$23,MATCH(INDEX('Adjustment Surface'!$AN$4:$AN$23,MATCH(('Adjustment Surface'!$O18),'Adjustment Surface'!$AN$4:$AN$23,1)),$AN$4:$AN$23,0),MATCH(INDEX('Adjustment Surface'!$AO$3:$BH$3,1,MATCH(('Adjustment Surface'!X$3),'Adjustment Surface'!$AO$3:$BH$3,1)+IF('Adjustment Surface'!Y$3="",-1,1)),$AO$3:$BH$3,0))*(INDEX('Adjustment Surface'!$AN$4:$AN$23,MATCH(('Adjustment Surface'!$O18),'Adjustment Surface'!$AN$4:$AN$23,1)+IF('Adjustment Surface'!$O19="",-1,1))-'Adjustment Surface'!$O18)*('Adjustment Surface'!X$3-INDEX('Adjustment Surface'!$AO$3:$BH$3,1,MATCH(('Adjustment Surface'!X$3),'Adjustment Surface'!$AO$3:$BH$3,1)))+INDEX($AO$4:$BH$23,MATCH(INDEX('Adjustment Surface'!$AN$4:$AN$23,MATCH(('Adjustment Surface'!$O18),'Adjustment Surface'!$AN$4:$AN$23,1)+IF('Adjustment Surface'!$O19="",-1,1)),$AN$4:$AN$23,0),MATCH(INDEX('Adjustment Surface'!$AO$3:$BH$3,1,MATCH(('Adjustment Surface'!X$3),'Adjustment Surface'!$AO$3:$BH$3,1)+IF('Adjustment Surface'!Y$3="",-1,1)),$AO$3:$BH$3,0))*('Adjustment Surface'!$O18-INDEX('Adjustment Surface'!$AN$4:$AN$23,MATCH(('Adjustment Surface'!$O18),'Adjustment Surface'!$AN$4:$AN$23,1)))*('Adjustment Surface'!X$3-INDEX('Adjustment Surface'!$AO$3:$BH$3,1,MATCH(('Adjustment Surface'!X$3),'Adjustment Surface'!$AO$3:$BH$3,1)))))</f>
        <v/>
      </c>
      <c r="Y18" s="181" t="str" cm="1">
        <f t="array" ref="Y18">IF(OR(Y$3="",$O18=""),"",1/((INDEX('Adjustment Surface'!$AN$4:$AN$23,MATCH(('Adjustment Surface'!$O18),'Adjustment Surface'!$AN$4:$AN$23,1)+IF('Adjustment Surface'!$O19="",-1,1))-INDEX('Adjustment Surface'!$AN$4:$AN$23,MATCH(('Adjustment Surface'!$O18),'Adjustment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Surface'!$O18),'Adjustment Surface'!$AN$4:$AN$23,1)),$AN$4:$AN$23,0),MATCH(INDEX('Adjustment Surface'!$AO$3:$BH$3,1,MATCH(('Adjustment Surface'!Y$3),'Adjustment Surface'!$AO$3:$BH$3,1)),$AO$3:$BH$3,0))*(INDEX('Adjustment Surface'!$AN$4:$AN$23,MATCH(('Adjustment Surface'!$O18),'Adjustment Surface'!$AN$4:$AN$23,1)+IF('Adjustment Surface'!$O19="",-1,1))-'Adjustment Surface'!$O18)*(INDEX('Adjustment Surface'!$AO$3:$BH$3,1,MATCH(('Adjustment Surface'!Y$3),'Adjustment Surface'!$AO$3:$BH$3,1)+IF('Adjustment Surface'!Z$3="",-1,1))-'Adjustment Surface'!Y$3)+INDEX($AO$4:$BH$23,MATCH(INDEX('Adjustment Surface'!$AN$4:$AN$23,MATCH(('Adjustment Surface'!$O18),'Adjustment Surface'!$AN$4:$AN$23,1)+IF('Adjustment Surface'!$O19="",-1,1)),$AN$4:$AN$23,0),MATCH(INDEX('Adjustment Surface'!$AO$3:$BH$3,1,MATCH(('Adjustment Surface'!Y$3),'Adjustment Surface'!$AO$3:$BH$3,1)),$AO$3:$BH$3,0))*('Adjustment Surface'!$O18-INDEX('Adjustment Surface'!$AN$4:$AN$23,MATCH(('Adjustment Surface'!$O18),'Adjustment Surface'!$AN$4:$AN$23,1)))*(INDEX('Adjustment Surface'!$AO$3:$BH$3,1,MATCH(('Adjustment Surface'!Y$3),'Adjustment Surface'!$AO$3:$BH$3,1)+IF('Adjustment Surface'!Z$3="",-1,1))-'Adjustment Surface'!Y$3)+INDEX($AO$4:$BH$23,MATCH(INDEX('Adjustment Surface'!$AN$4:$AN$23,MATCH(('Adjustment Surface'!$O18),'Adjustment Surface'!$AN$4:$AN$23,1)),$AN$4:$AN$23,0),MATCH(INDEX('Adjustment Surface'!$AO$3:$BH$3,1,MATCH(('Adjustment Surface'!Y$3),'Adjustment Surface'!$AO$3:$BH$3,1)+IF('Adjustment Surface'!Z$3="",-1,1)),$AO$3:$BH$3,0))*(INDEX('Adjustment Surface'!$AN$4:$AN$23,MATCH(('Adjustment Surface'!$O18),'Adjustment Surface'!$AN$4:$AN$23,1)+IF('Adjustment Surface'!$O19="",-1,1))-'Adjustment Surface'!$O18)*('Adjustment Surface'!Y$3-INDEX('Adjustment Surface'!$AO$3:$BH$3,1,MATCH(('Adjustment Surface'!Y$3),'Adjustment Surface'!$AO$3:$BH$3,1)))+INDEX($AO$4:$BH$23,MATCH(INDEX('Adjustment Surface'!$AN$4:$AN$23,MATCH(('Adjustment Surface'!$O18),'Adjustment Surface'!$AN$4:$AN$23,1)+IF('Adjustment Surface'!$O19="",-1,1)),$AN$4:$AN$23,0),MATCH(INDEX('Adjustment Surface'!$AO$3:$BH$3,1,MATCH(('Adjustment Surface'!Y$3),'Adjustment Surface'!$AO$3:$BH$3,1)+IF('Adjustment Surface'!Z$3="",-1,1)),$AO$3:$BH$3,0))*('Adjustment Surface'!$O18-INDEX('Adjustment Surface'!$AN$4:$AN$23,MATCH(('Adjustment Surface'!$O18),'Adjustment Surface'!$AN$4:$AN$23,1)))*('Adjustment Surface'!Y$3-INDEX('Adjustment Surface'!$AO$3:$BH$3,1,MATCH(('Adjustment Surface'!Y$3),'Adjustment Surface'!$AO$3:$BH$3,1)))))</f>
        <v/>
      </c>
      <c r="Z18" s="181" t="str" cm="1">
        <f t="array" ref="Z18">IF(OR(Z$3="",$O18=""),"",1/((INDEX('Adjustment Surface'!$AN$4:$AN$23,MATCH(('Adjustment Surface'!$O18),'Adjustment Surface'!$AN$4:$AN$23,1)+IF('Adjustment Surface'!$O19="",-1,1))-INDEX('Adjustment Surface'!$AN$4:$AN$23,MATCH(('Adjustment Surface'!$O18),'Adjustment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Surface'!$O18),'Adjustment Surface'!$AN$4:$AN$23,1)),$AN$4:$AN$23,0),MATCH(INDEX('Adjustment Surface'!$AO$3:$BH$3,1,MATCH(('Adjustment Surface'!Z$3),'Adjustment Surface'!$AO$3:$BH$3,1)),$AO$3:$BH$3,0))*(INDEX('Adjustment Surface'!$AN$4:$AN$23,MATCH(('Adjustment Surface'!$O18),'Adjustment Surface'!$AN$4:$AN$23,1)+IF('Adjustment Surface'!$O19="",-1,1))-'Adjustment Surface'!$O18)*(INDEX('Adjustment Surface'!$AO$3:$BH$3,1,MATCH(('Adjustment Surface'!Z$3),'Adjustment Surface'!$AO$3:$BH$3,1)+IF('Adjustment Surface'!AA$3="",-1,1))-'Adjustment Surface'!Z$3)+INDEX($AO$4:$BH$23,MATCH(INDEX('Adjustment Surface'!$AN$4:$AN$23,MATCH(('Adjustment Surface'!$O18),'Adjustment Surface'!$AN$4:$AN$23,1)+IF('Adjustment Surface'!$O19="",-1,1)),$AN$4:$AN$23,0),MATCH(INDEX('Adjustment Surface'!$AO$3:$BH$3,1,MATCH(('Adjustment Surface'!Z$3),'Adjustment Surface'!$AO$3:$BH$3,1)),$AO$3:$BH$3,0))*('Adjustment Surface'!$O18-INDEX('Adjustment Surface'!$AN$4:$AN$23,MATCH(('Adjustment Surface'!$O18),'Adjustment Surface'!$AN$4:$AN$23,1)))*(INDEX('Adjustment Surface'!$AO$3:$BH$3,1,MATCH(('Adjustment Surface'!Z$3),'Adjustment Surface'!$AO$3:$BH$3,1)+IF('Adjustment Surface'!AA$3="",-1,1))-'Adjustment Surface'!Z$3)+INDEX($AO$4:$BH$23,MATCH(INDEX('Adjustment Surface'!$AN$4:$AN$23,MATCH(('Adjustment Surface'!$O18),'Adjustment Surface'!$AN$4:$AN$23,1)),$AN$4:$AN$23,0),MATCH(INDEX('Adjustment Surface'!$AO$3:$BH$3,1,MATCH(('Adjustment Surface'!Z$3),'Adjustment Surface'!$AO$3:$BH$3,1)+IF('Adjustment Surface'!AA$3="",-1,1)),$AO$3:$BH$3,0))*(INDEX('Adjustment Surface'!$AN$4:$AN$23,MATCH(('Adjustment Surface'!$O18),'Adjustment Surface'!$AN$4:$AN$23,1)+IF('Adjustment Surface'!$O19="",-1,1))-'Adjustment Surface'!$O18)*('Adjustment Surface'!Z$3-INDEX('Adjustment Surface'!$AO$3:$BH$3,1,MATCH(('Adjustment Surface'!Z$3),'Adjustment Surface'!$AO$3:$BH$3,1)))+INDEX($AO$4:$BH$23,MATCH(INDEX('Adjustment Surface'!$AN$4:$AN$23,MATCH(('Adjustment Surface'!$O18),'Adjustment Surface'!$AN$4:$AN$23,1)+IF('Adjustment Surface'!$O19="",-1,1)),$AN$4:$AN$23,0),MATCH(INDEX('Adjustment Surface'!$AO$3:$BH$3,1,MATCH(('Adjustment Surface'!Z$3),'Adjustment Surface'!$AO$3:$BH$3,1)+IF('Adjustment Surface'!AA$3="",-1,1)),$AO$3:$BH$3,0))*('Adjustment Surface'!$O18-INDEX('Adjustment Surface'!$AN$4:$AN$23,MATCH(('Adjustment Surface'!$O18),'Adjustment Surface'!$AN$4:$AN$23,1)))*('Adjustment Surface'!Z$3-INDEX('Adjustment Surface'!$AO$3:$BH$3,1,MATCH(('Adjustment Surface'!Z$3),'Adjustment Surface'!$AO$3:$BH$3,1)))))</f>
        <v/>
      </c>
      <c r="AA18" s="181" t="str" cm="1">
        <f t="array" ref="AA18">IF(OR(AA$3="",$O18=""),"",1/((INDEX('Adjustment Surface'!$AN$4:$AN$23,MATCH(('Adjustment Surface'!$O18),'Adjustment Surface'!$AN$4:$AN$23,1)+IF('Adjustment Surface'!$O19="",-1,1))-INDEX('Adjustment Surface'!$AN$4:$AN$23,MATCH(('Adjustment Surface'!$O18),'Adjustment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Surface'!$O18),'Adjustment Surface'!$AN$4:$AN$23,1)),$AN$4:$AN$23,0),MATCH(INDEX('Adjustment Surface'!$AO$3:$BH$3,1,MATCH(('Adjustment Surface'!AA$3),'Adjustment Surface'!$AO$3:$BH$3,1)),$AO$3:$BH$3,0))*(INDEX('Adjustment Surface'!$AN$4:$AN$23,MATCH(('Adjustment Surface'!$O18),'Adjustment Surface'!$AN$4:$AN$23,1)+IF('Adjustment Surface'!$O19="",-1,1))-'Adjustment Surface'!$O18)*(INDEX('Adjustment Surface'!$AO$3:$BH$3,1,MATCH(('Adjustment Surface'!AA$3),'Adjustment Surface'!$AO$3:$BH$3,1)+IF('Adjustment Surface'!AB$3="",-1,1))-'Adjustment Surface'!AA$3)+INDEX($AO$4:$BH$23,MATCH(INDEX('Adjustment Surface'!$AN$4:$AN$23,MATCH(('Adjustment Surface'!$O18),'Adjustment Surface'!$AN$4:$AN$23,1)+IF('Adjustment Surface'!$O19="",-1,1)),$AN$4:$AN$23,0),MATCH(INDEX('Adjustment Surface'!$AO$3:$BH$3,1,MATCH(('Adjustment Surface'!AA$3),'Adjustment Surface'!$AO$3:$BH$3,1)),$AO$3:$BH$3,0))*('Adjustment Surface'!$O18-INDEX('Adjustment Surface'!$AN$4:$AN$23,MATCH(('Adjustment Surface'!$O18),'Adjustment Surface'!$AN$4:$AN$23,1)))*(INDEX('Adjustment Surface'!$AO$3:$BH$3,1,MATCH(('Adjustment Surface'!AA$3),'Adjustment Surface'!$AO$3:$BH$3,1)+IF('Adjustment Surface'!AB$3="",-1,1))-'Adjustment Surface'!AA$3)+INDEX($AO$4:$BH$23,MATCH(INDEX('Adjustment Surface'!$AN$4:$AN$23,MATCH(('Adjustment Surface'!$O18),'Adjustment Surface'!$AN$4:$AN$23,1)),$AN$4:$AN$23,0),MATCH(INDEX('Adjustment Surface'!$AO$3:$BH$3,1,MATCH(('Adjustment Surface'!AA$3),'Adjustment Surface'!$AO$3:$BH$3,1)+IF('Adjustment Surface'!AB$3="",-1,1)),$AO$3:$BH$3,0))*(INDEX('Adjustment Surface'!$AN$4:$AN$23,MATCH(('Adjustment Surface'!$O18),'Adjustment Surface'!$AN$4:$AN$23,1)+IF('Adjustment Surface'!$O19="",-1,1))-'Adjustment Surface'!$O18)*('Adjustment Surface'!AA$3-INDEX('Adjustment Surface'!$AO$3:$BH$3,1,MATCH(('Adjustment Surface'!AA$3),'Adjustment Surface'!$AO$3:$BH$3,1)))+INDEX($AO$4:$BH$23,MATCH(INDEX('Adjustment Surface'!$AN$4:$AN$23,MATCH(('Adjustment Surface'!$O18),'Adjustment Surface'!$AN$4:$AN$23,1)+IF('Adjustment Surface'!$O19="",-1,1)),$AN$4:$AN$23,0),MATCH(INDEX('Adjustment Surface'!$AO$3:$BH$3,1,MATCH(('Adjustment Surface'!AA$3),'Adjustment Surface'!$AO$3:$BH$3,1)+IF('Adjustment Surface'!AB$3="",-1,1)),$AO$3:$BH$3,0))*('Adjustment Surface'!$O18-INDEX('Adjustment Surface'!$AN$4:$AN$23,MATCH(('Adjustment Surface'!$O18),'Adjustment Surface'!$AN$4:$AN$23,1)))*('Adjustment Surface'!AA$3-INDEX('Adjustment Surface'!$AO$3:$BH$3,1,MATCH(('Adjustment Surface'!AA$3),'Adjustment Surface'!$AO$3:$BH$3,1)))))</f>
        <v/>
      </c>
      <c r="AB18" s="181" t="str" cm="1">
        <f t="array" ref="AB18">IF(OR(AB$3="",$O18=""),"",1/((INDEX('Adjustment Surface'!$AN$4:$AN$23,MATCH(('Adjustment Surface'!$O18),'Adjustment Surface'!$AN$4:$AN$23,1)+IF('Adjustment Surface'!$O19="",-1,1))-INDEX('Adjustment Surface'!$AN$4:$AN$23,MATCH(('Adjustment Surface'!$O18),'Adjustment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Surface'!$O18),'Adjustment Surface'!$AN$4:$AN$23,1)),$AN$4:$AN$23,0),MATCH(INDEX('Adjustment Surface'!$AO$3:$BH$3,1,MATCH(('Adjustment Surface'!AB$3),'Adjustment Surface'!$AO$3:$BH$3,1)),$AO$3:$BH$3,0))*(INDEX('Adjustment Surface'!$AN$4:$AN$23,MATCH(('Adjustment Surface'!$O18),'Adjustment Surface'!$AN$4:$AN$23,1)+IF('Adjustment Surface'!$O19="",-1,1))-'Adjustment Surface'!$O18)*(INDEX('Adjustment Surface'!$AO$3:$BH$3,1,MATCH(('Adjustment Surface'!AB$3),'Adjustment Surface'!$AO$3:$BH$3,1)+IF('Adjustment Surface'!AC$3="",-1,1))-'Adjustment Surface'!AB$3)+INDEX($AO$4:$BH$23,MATCH(INDEX('Adjustment Surface'!$AN$4:$AN$23,MATCH(('Adjustment Surface'!$O18),'Adjustment Surface'!$AN$4:$AN$23,1)+IF('Adjustment Surface'!$O19="",-1,1)),$AN$4:$AN$23,0),MATCH(INDEX('Adjustment Surface'!$AO$3:$BH$3,1,MATCH(('Adjustment Surface'!AB$3),'Adjustment Surface'!$AO$3:$BH$3,1)),$AO$3:$BH$3,0))*('Adjustment Surface'!$O18-INDEX('Adjustment Surface'!$AN$4:$AN$23,MATCH(('Adjustment Surface'!$O18),'Adjustment Surface'!$AN$4:$AN$23,1)))*(INDEX('Adjustment Surface'!$AO$3:$BH$3,1,MATCH(('Adjustment Surface'!AB$3),'Adjustment Surface'!$AO$3:$BH$3,1)+IF('Adjustment Surface'!AC$3="",-1,1))-'Adjustment Surface'!AB$3)+INDEX($AO$4:$BH$23,MATCH(INDEX('Adjustment Surface'!$AN$4:$AN$23,MATCH(('Adjustment Surface'!$O18),'Adjustment Surface'!$AN$4:$AN$23,1)),$AN$4:$AN$23,0),MATCH(INDEX('Adjustment Surface'!$AO$3:$BH$3,1,MATCH(('Adjustment Surface'!AB$3),'Adjustment Surface'!$AO$3:$BH$3,1)+IF('Adjustment Surface'!AC$3="",-1,1)),$AO$3:$BH$3,0))*(INDEX('Adjustment Surface'!$AN$4:$AN$23,MATCH(('Adjustment Surface'!$O18),'Adjustment Surface'!$AN$4:$AN$23,1)+IF('Adjustment Surface'!$O19="",-1,1))-'Adjustment Surface'!$O18)*('Adjustment Surface'!AB$3-INDEX('Adjustment Surface'!$AO$3:$BH$3,1,MATCH(('Adjustment Surface'!AB$3),'Adjustment Surface'!$AO$3:$BH$3,1)))+INDEX($AO$4:$BH$23,MATCH(INDEX('Adjustment Surface'!$AN$4:$AN$23,MATCH(('Adjustment Surface'!$O18),'Adjustment Surface'!$AN$4:$AN$23,1)+IF('Adjustment Surface'!$O19="",-1,1)),$AN$4:$AN$23,0),MATCH(INDEX('Adjustment Surface'!$AO$3:$BH$3,1,MATCH(('Adjustment Surface'!AB$3),'Adjustment Surface'!$AO$3:$BH$3,1)+IF('Adjustment Surface'!AC$3="",-1,1)),$AO$3:$BH$3,0))*('Adjustment Surface'!$O18-INDEX('Adjustment Surface'!$AN$4:$AN$23,MATCH(('Adjustment Surface'!$O18),'Adjustment Surface'!$AN$4:$AN$23,1)))*('Adjustment Surface'!AB$3-INDEX('Adjustment Surface'!$AO$3:$BH$3,1,MATCH(('Adjustment Surface'!AB$3),'Adjustment Surface'!$AO$3:$BH$3,1)))))</f>
        <v/>
      </c>
      <c r="AC18" s="181" t="str" cm="1">
        <f t="array" ref="AC18">IF(OR(AC$3="",$O18=""),"",1/((INDEX('Adjustment Surface'!$AN$4:$AN$23,MATCH(('Adjustment Surface'!$O18),'Adjustment Surface'!$AN$4:$AN$23,1)+IF('Adjustment Surface'!$O19="",-1,1))-INDEX('Adjustment Surface'!$AN$4:$AN$23,MATCH(('Adjustment Surface'!$O18),'Adjustment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Surface'!$O18),'Adjustment Surface'!$AN$4:$AN$23,1)),$AN$4:$AN$23,0),MATCH(INDEX('Adjustment Surface'!$AO$3:$BH$3,1,MATCH(('Adjustment Surface'!AC$3),'Adjustment Surface'!$AO$3:$BH$3,1)),$AO$3:$BH$3,0))*(INDEX('Adjustment Surface'!$AN$4:$AN$23,MATCH(('Adjustment Surface'!$O18),'Adjustment Surface'!$AN$4:$AN$23,1)+IF('Adjustment Surface'!$O19="",-1,1))-'Adjustment Surface'!$O18)*(INDEX('Adjustment Surface'!$AO$3:$BH$3,1,MATCH(('Adjustment Surface'!AC$3),'Adjustment Surface'!$AO$3:$BH$3,1)+IF('Adjustment Surface'!AD$3="",-1,1))-'Adjustment Surface'!AC$3)+INDEX($AO$4:$BH$23,MATCH(INDEX('Adjustment Surface'!$AN$4:$AN$23,MATCH(('Adjustment Surface'!$O18),'Adjustment Surface'!$AN$4:$AN$23,1)+IF('Adjustment Surface'!$O19="",-1,1)),$AN$4:$AN$23,0),MATCH(INDEX('Adjustment Surface'!$AO$3:$BH$3,1,MATCH(('Adjustment Surface'!AC$3),'Adjustment Surface'!$AO$3:$BH$3,1)),$AO$3:$BH$3,0))*('Adjustment Surface'!$O18-INDEX('Adjustment Surface'!$AN$4:$AN$23,MATCH(('Adjustment Surface'!$O18),'Adjustment Surface'!$AN$4:$AN$23,1)))*(INDEX('Adjustment Surface'!$AO$3:$BH$3,1,MATCH(('Adjustment Surface'!AC$3),'Adjustment Surface'!$AO$3:$BH$3,1)+IF('Adjustment Surface'!AD$3="",-1,1))-'Adjustment Surface'!AC$3)+INDEX($AO$4:$BH$23,MATCH(INDEX('Adjustment Surface'!$AN$4:$AN$23,MATCH(('Adjustment Surface'!$O18),'Adjustment Surface'!$AN$4:$AN$23,1)),$AN$4:$AN$23,0),MATCH(INDEX('Adjustment Surface'!$AO$3:$BH$3,1,MATCH(('Adjustment Surface'!AC$3),'Adjustment Surface'!$AO$3:$BH$3,1)+IF('Adjustment Surface'!AD$3="",-1,1)),$AO$3:$BH$3,0))*(INDEX('Adjustment Surface'!$AN$4:$AN$23,MATCH(('Adjustment Surface'!$O18),'Adjustment Surface'!$AN$4:$AN$23,1)+IF('Adjustment Surface'!$O19="",-1,1))-'Adjustment Surface'!$O18)*('Adjustment Surface'!AC$3-INDEX('Adjustment Surface'!$AO$3:$BH$3,1,MATCH(('Adjustment Surface'!AC$3),'Adjustment Surface'!$AO$3:$BH$3,1)))+INDEX($AO$4:$BH$23,MATCH(INDEX('Adjustment Surface'!$AN$4:$AN$23,MATCH(('Adjustment Surface'!$O18),'Adjustment Surface'!$AN$4:$AN$23,1)+IF('Adjustment Surface'!$O19="",-1,1)),$AN$4:$AN$23,0),MATCH(INDEX('Adjustment Surface'!$AO$3:$BH$3,1,MATCH(('Adjustment Surface'!AC$3),'Adjustment Surface'!$AO$3:$BH$3,1)+IF('Adjustment Surface'!AD$3="",-1,1)),$AO$3:$BH$3,0))*('Adjustment Surface'!$O18-INDEX('Adjustment Surface'!$AN$4:$AN$23,MATCH(('Adjustment Surface'!$O18),'Adjustment Surface'!$AN$4:$AN$23,1)))*('Adjustment Surface'!AC$3-INDEX('Adjustment Surface'!$AO$3:$BH$3,1,MATCH(('Adjustment Surface'!AC$3),'Adjustment Surface'!$AO$3:$BH$3,1)))))</f>
        <v/>
      </c>
      <c r="AD18" s="181" t="str" cm="1">
        <f t="array" ref="AD18">IF(OR(AD$3="",$O18=""),"",1/((INDEX('Adjustment Surface'!$AN$4:$AN$23,MATCH(('Adjustment Surface'!$O18),'Adjustment Surface'!$AN$4:$AN$23,1)+IF('Adjustment Surface'!$O19="",-1,1))-INDEX('Adjustment Surface'!$AN$4:$AN$23,MATCH(('Adjustment Surface'!$O18),'Adjustment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Surface'!$O18),'Adjustment Surface'!$AN$4:$AN$23,1)),$AN$4:$AN$23,0),MATCH(INDEX('Adjustment Surface'!$AO$3:$BH$3,1,MATCH(('Adjustment Surface'!AD$3),'Adjustment Surface'!$AO$3:$BH$3,1)),$AO$3:$BH$3,0))*(INDEX('Adjustment Surface'!$AN$4:$AN$23,MATCH(('Adjustment Surface'!$O18),'Adjustment Surface'!$AN$4:$AN$23,1)+IF('Adjustment Surface'!$O19="",-1,1))-'Adjustment Surface'!$O18)*(INDEX('Adjustment Surface'!$AO$3:$BH$3,1,MATCH(('Adjustment Surface'!AD$3),'Adjustment Surface'!$AO$3:$BH$3,1)+IF('Adjustment Surface'!AE$3="",-1,1))-'Adjustment Surface'!AD$3)+INDEX($AO$4:$BH$23,MATCH(INDEX('Adjustment Surface'!$AN$4:$AN$23,MATCH(('Adjustment Surface'!$O18),'Adjustment Surface'!$AN$4:$AN$23,1)+IF('Adjustment Surface'!$O19="",-1,1)),$AN$4:$AN$23,0),MATCH(INDEX('Adjustment Surface'!$AO$3:$BH$3,1,MATCH(('Adjustment Surface'!AD$3),'Adjustment Surface'!$AO$3:$BH$3,1)),$AO$3:$BH$3,0))*('Adjustment Surface'!$O18-INDEX('Adjustment Surface'!$AN$4:$AN$23,MATCH(('Adjustment Surface'!$O18),'Adjustment Surface'!$AN$4:$AN$23,1)))*(INDEX('Adjustment Surface'!$AO$3:$BH$3,1,MATCH(('Adjustment Surface'!AD$3),'Adjustment Surface'!$AO$3:$BH$3,1)+IF('Adjustment Surface'!AE$3="",-1,1))-'Adjustment Surface'!AD$3)+INDEX($AO$4:$BH$23,MATCH(INDEX('Adjustment Surface'!$AN$4:$AN$23,MATCH(('Adjustment Surface'!$O18),'Adjustment Surface'!$AN$4:$AN$23,1)),$AN$4:$AN$23,0),MATCH(INDEX('Adjustment Surface'!$AO$3:$BH$3,1,MATCH(('Adjustment Surface'!AD$3),'Adjustment Surface'!$AO$3:$BH$3,1)+IF('Adjustment Surface'!AE$3="",-1,1)),$AO$3:$BH$3,0))*(INDEX('Adjustment Surface'!$AN$4:$AN$23,MATCH(('Adjustment Surface'!$O18),'Adjustment Surface'!$AN$4:$AN$23,1)+IF('Adjustment Surface'!$O19="",-1,1))-'Adjustment Surface'!$O18)*('Adjustment Surface'!AD$3-INDEX('Adjustment Surface'!$AO$3:$BH$3,1,MATCH(('Adjustment Surface'!AD$3),'Adjustment Surface'!$AO$3:$BH$3,1)))+INDEX($AO$4:$BH$23,MATCH(INDEX('Adjustment Surface'!$AN$4:$AN$23,MATCH(('Adjustment Surface'!$O18),'Adjustment Surface'!$AN$4:$AN$23,1)+IF('Adjustment Surface'!$O19="",-1,1)),$AN$4:$AN$23,0),MATCH(INDEX('Adjustment Surface'!$AO$3:$BH$3,1,MATCH(('Adjustment Surface'!AD$3),'Adjustment Surface'!$AO$3:$BH$3,1)+IF('Adjustment Surface'!AE$3="",-1,1)),$AO$3:$BH$3,0))*('Adjustment Surface'!$O18-INDEX('Adjustment Surface'!$AN$4:$AN$23,MATCH(('Adjustment Surface'!$O18),'Adjustment Surface'!$AN$4:$AN$23,1)))*('Adjustment Surface'!AD$3-INDEX('Adjustment Surface'!$AO$3:$BH$3,1,MATCH(('Adjustment Surface'!AD$3),'Adjustment Surface'!$AO$3:$BH$3,1)))))</f>
        <v/>
      </c>
      <c r="AE18" s="181" t="str" cm="1">
        <f t="array" ref="AE18">IF(OR(AE$3="",$O18=""),"",1/((INDEX('Adjustment Surface'!$AN$4:$AN$23,MATCH(('Adjustment Surface'!$O18),'Adjustment Surface'!$AN$4:$AN$23,1)+IF('Adjustment Surface'!$O19="",-1,1))-INDEX('Adjustment Surface'!$AN$4:$AN$23,MATCH(('Adjustment Surface'!$O18),'Adjustment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Surface'!$O18),'Adjustment Surface'!$AN$4:$AN$23,1)),$AN$4:$AN$23,0),MATCH(INDEX('Adjustment Surface'!$AO$3:$BH$3,1,MATCH(('Adjustment Surface'!AE$3),'Adjustment Surface'!$AO$3:$BH$3,1)),$AO$3:$BH$3,0))*(INDEX('Adjustment Surface'!$AN$4:$AN$23,MATCH(('Adjustment Surface'!$O18),'Adjustment Surface'!$AN$4:$AN$23,1)+IF('Adjustment Surface'!$O19="",-1,1))-'Adjustment Surface'!$O18)*(INDEX('Adjustment Surface'!$AO$3:$BH$3,1,MATCH(('Adjustment Surface'!AE$3),'Adjustment Surface'!$AO$3:$BH$3,1)+IF('Adjustment Surface'!AF$3="",-1,1))-'Adjustment Surface'!AE$3)+INDEX($AO$4:$BH$23,MATCH(INDEX('Adjustment Surface'!$AN$4:$AN$23,MATCH(('Adjustment Surface'!$O18),'Adjustment Surface'!$AN$4:$AN$23,1)+IF('Adjustment Surface'!$O19="",-1,1)),$AN$4:$AN$23,0),MATCH(INDEX('Adjustment Surface'!$AO$3:$BH$3,1,MATCH(('Adjustment Surface'!AE$3),'Adjustment Surface'!$AO$3:$BH$3,1)),$AO$3:$BH$3,0))*('Adjustment Surface'!$O18-INDEX('Adjustment Surface'!$AN$4:$AN$23,MATCH(('Adjustment Surface'!$O18),'Adjustment Surface'!$AN$4:$AN$23,1)))*(INDEX('Adjustment Surface'!$AO$3:$BH$3,1,MATCH(('Adjustment Surface'!AE$3),'Adjustment Surface'!$AO$3:$BH$3,1)+IF('Adjustment Surface'!AF$3="",-1,1))-'Adjustment Surface'!AE$3)+INDEX($AO$4:$BH$23,MATCH(INDEX('Adjustment Surface'!$AN$4:$AN$23,MATCH(('Adjustment Surface'!$O18),'Adjustment Surface'!$AN$4:$AN$23,1)),$AN$4:$AN$23,0),MATCH(INDEX('Adjustment Surface'!$AO$3:$BH$3,1,MATCH(('Adjustment Surface'!AE$3),'Adjustment Surface'!$AO$3:$BH$3,1)+IF('Adjustment Surface'!AF$3="",-1,1)),$AO$3:$BH$3,0))*(INDEX('Adjustment Surface'!$AN$4:$AN$23,MATCH(('Adjustment Surface'!$O18),'Adjustment Surface'!$AN$4:$AN$23,1)+IF('Adjustment Surface'!$O19="",-1,1))-'Adjustment Surface'!$O18)*('Adjustment Surface'!AE$3-INDEX('Adjustment Surface'!$AO$3:$BH$3,1,MATCH(('Adjustment Surface'!AE$3),'Adjustment Surface'!$AO$3:$BH$3,1)))+INDEX($AO$4:$BH$23,MATCH(INDEX('Adjustment Surface'!$AN$4:$AN$23,MATCH(('Adjustment Surface'!$O18),'Adjustment Surface'!$AN$4:$AN$23,1)+IF('Adjustment Surface'!$O19="",-1,1)),$AN$4:$AN$23,0),MATCH(INDEX('Adjustment Surface'!$AO$3:$BH$3,1,MATCH(('Adjustment Surface'!AE$3),'Adjustment Surface'!$AO$3:$BH$3,1)+IF('Adjustment Surface'!AF$3="",-1,1)),$AO$3:$BH$3,0))*('Adjustment Surface'!$O18-INDEX('Adjustment Surface'!$AN$4:$AN$23,MATCH(('Adjustment Surface'!$O18),'Adjustment Surface'!$AN$4:$AN$23,1)))*('Adjustment Surface'!AE$3-INDEX('Adjustment Surface'!$AO$3:$BH$3,1,MATCH(('Adjustment Surface'!AE$3),'Adjustment Surface'!$AO$3:$BH$3,1)))))</f>
        <v/>
      </c>
      <c r="AF18" s="181" t="str" cm="1">
        <f t="array" ref="AF18">IF(OR(AF$3="",$O18=""),"",1/((INDEX('Adjustment Surface'!$AN$4:$AN$23,MATCH(('Adjustment Surface'!$O18),'Adjustment Surface'!$AN$4:$AN$23,1)+IF('Adjustment Surface'!$O19="",-1,1))-INDEX('Adjustment Surface'!$AN$4:$AN$23,MATCH(('Adjustment Surface'!$O18),'Adjustment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Surface'!$O18),'Adjustment Surface'!$AN$4:$AN$23,1)),$AN$4:$AN$23,0),MATCH(INDEX('Adjustment Surface'!$AO$3:$BH$3,1,MATCH(('Adjustment Surface'!AF$3),'Adjustment Surface'!$AO$3:$BH$3,1)),$AO$3:$BH$3,0))*(INDEX('Adjustment Surface'!$AN$4:$AN$23,MATCH(('Adjustment Surface'!$O18),'Adjustment Surface'!$AN$4:$AN$23,1)+IF('Adjustment Surface'!$O19="",-1,1))-'Adjustment Surface'!$O18)*(INDEX('Adjustment Surface'!$AO$3:$BH$3,1,MATCH(('Adjustment Surface'!AF$3),'Adjustment Surface'!$AO$3:$BH$3,1)+IF('Adjustment Surface'!AG$3="",-1,1))-'Adjustment Surface'!AF$3)+INDEX($AO$4:$BH$23,MATCH(INDEX('Adjustment Surface'!$AN$4:$AN$23,MATCH(('Adjustment Surface'!$O18),'Adjustment Surface'!$AN$4:$AN$23,1)+IF('Adjustment Surface'!$O19="",-1,1)),$AN$4:$AN$23,0),MATCH(INDEX('Adjustment Surface'!$AO$3:$BH$3,1,MATCH(('Adjustment Surface'!AF$3),'Adjustment Surface'!$AO$3:$BH$3,1)),$AO$3:$BH$3,0))*('Adjustment Surface'!$O18-INDEX('Adjustment Surface'!$AN$4:$AN$23,MATCH(('Adjustment Surface'!$O18),'Adjustment Surface'!$AN$4:$AN$23,1)))*(INDEX('Adjustment Surface'!$AO$3:$BH$3,1,MATCH(('Adjustment Surface'!AF$3),'Adjustment Surface'!$AO$3:$BH$3,1)+IF('Adjustment Surface'!AG$3="",-1,1))-'Adjustment Surface'!AF$3)+INDEX($AO$4:$BH$23,MATCH(INDEX('Adjustment Surface'!$AN$4:$AN$23,MATCH(('Adjustment Surface'!$O18),'Adjustment Surface'!$AN$4:$AN$23,1)),$AN$4:$AN$23,0),MATCH(INDEX('Adjustment Surface'!$AO$3:$BH$3,1,MATCH(('Adjustment Surface'!AF$3),'Adjustment Surface'!$AO$3:$BH$3,1)+IF('Adjustment Surface'!AG$3="",-1,1)),$AO$3:$BH$3,0))*(INDEX('Adjustment Surface'!$AN$4:$AN$23,MATCH(('Adjustment Surface'!$O18),'Adjustment Surface'!$AN$4:$AN$23,1)+IF('Adjustment Surface'!$O19="",-1,1))-'Adjustment Surface'!$O18)*('Adjustment Surface'!AF$3-INDEX('Adjustment Surface'!$AO$3:$BH$3,1,MATCH(('Adjustment Surface'!AF$3),'Adjustment Surface'!$AO$3:$BH$3,1)))+INDEX($AO$4:$BH$23,MATCH(INDEX('Adjustment Surface'!$AN$4:$AN$23,MATCH(('Adjustment Surface'!$O18),'Adjustment Surface'!$AN$4:$AN$23,1)+IF('Adjustment Surface'!$O19="",-1,1)),$AN$4:$AN$23,0),MATCH(INDEX('Adjustment Surface'!$AO$3:$BH$3,1,MATCH(('Adjustment Surface'!AF$3),'Adjustment Surface'!$AO$3:$BH$3,1)+IF('Adjustment Surface'!AG$3="",-1,1)),$AO$3:$BH$3,0))*('Adjustment Surface'!$O18-INDEX('Adjustment Surface'!$AN$4:$AN$23,MATCH(('Adjustment Surface'!$O18),'Adjustment Surface'!$AN$4:$AN$23,1)))*('Adjustment Surface'!AF$3-INDEX('Adjustment Surface'!$AO$3:$BH$3,1,MATCH(('Adjustment Surface'!AF$3),'Adjustment Surface'!$AO$3:$BH$3,1)))))</f>
        <v/>
      </c>
      <c r="AG18" s="181" t="str" cm="1">
        <f t="array" ref="AG18">IF(OR(AG$3="",$O18=""),"",1/((INDEX('Adjustment Surface'!$AN$4:$AN$23,MATCH(('Adjustment Surface'!$O18),'Adjustment Surface'!$AN$4:$AN$23,1)+IF('Adjustment Surface'!$O19="",-1,1))-INDEX('Adjustment Surface'!$AN$4:$AN$23,MATCH(('Adjustment Surface'!$O18),'Adjustment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Surface'!$O18),'Adjustment Surface'!$AN$4:$AN$23,1)),$AN$4:$AN$23,0),MATCH(INDEX('Adjustment Surface'!$AO$3:$BH$3,1,MATCH(('Adjustment Surface'!AG$3),'Adjustment Surface'!$AO$3:$BH$3,1)),$AO$3:$BH$3,0))*(INDEX('Adjustment Surface'!$AN$4:$AN$23,MATCH(('Adjustment Surface'!$O18),'Adjustment Surface'!$AN$4:$AN$23,1)+IF('Adjustment Surface'!$O19="",-1,1))-'Adjustment Surface'!$O18)*(INDEX('Adjustment Surface'!$AO$3:$BH$3,1,MATCH(('Adjustment Surface'!AG$3),'Adjustment Surface'!$AO$3:$BH$3,1)+IF('Adjustment Surface'!AH$3="",-1,1))-'Adjustment Surface'!AG$3)+INDEX($AO$4:$BH$23,MATCH(INDEX('Adjustment Surface'!$AN$4:$AN$23,MATCH(('Adjustment Surface'!$O18),'Adjustment Surface'!$AN$4:$AN$23,1)+IF('Adjustment Surface'!$O19="",-1,1)),$AN$4:$AN$23,0),MATCH(INDEX('Adjustment Surface'!$AO$3:$BH$3,1,MATCH(('Adjustment Surface'!AG$3),'Adjustment Surface'!$AO$3:$BH$3,1)),$AO$3:$BH$3,0))*('Adjustment Surface'!$O18-INDEX('Adjustment Surface'!$AN$4:$AN$23,MATCH(('Adjustment Surface'!$O18),'Adjustment Surface'!$AN$4:$AN$23,1)))*(INDEX('Adjustment Surface'!$AO$3:$BH$3,1,MATCH(('Adjustment Surface'!AG$3),'Adjustment Surface'!$AO$3:$BH$3,1)+IF('Adjustment Surface'!AH$3="",-1,1))-'Adjustment Surface'!AG$3)+INDEX($AO$4:$BH$23,MATCH(INDEX('Adjustment Surface'!$AN$4:$AN$23,MATCH(('Adjustment Surface'!$O18),'Adjustment Surface'!$AN$4:$AN$23,1)),$AN$4:$AN$23,0),MATCH(INDEX('Adjustment Surface'!$AO$3:$BH$3,1,MATCH(('Adjustment Surface'!AG$3),'Adjustment Surface'!$AO$3:$BH$3,1)+IF('Adjustment Surface'!AH$3="",-1,1)),$AO$3:$BH$3,0))*(INDEX('Adjustment Surface'!$AN$4:$AN$23,MATCH(('Adjustment Surface'!$O18),'Adjustment Surface'!$AN$4:$AN$23,1)+IF('Adjustment Surface'!$O19="",-1,1))-'Adjustment Surface'!$O18)*('Adjustment Surface'!AG$3-INDEX('Adjustment Surface'!$AO$3:$BH$3,1,MATCH(('Adjustment Surface'!AG$3),'Adjustment Surface'!$AO$3:$BH$3,1)))+INDEX($AO$4:$BH$23,MATCH(INDEX('Adjustment Surface'!$AN$4:$AN$23,MATCH(('Adjustment Surface'!$O18),'Adjustment Surface'!$AN$4:$AN$23,1)+IF('Adjustment Surface'!$O19="",-1,1)),$AN$4:$AN$23,0),MATCH(INDEX('Adjustment Surface'!$AO$3:$BH$3,1,MATCH(('Adjustment Surface'!AG$3),'Adjustment Surface'!$AO$3:$BH$3,1)+IF('Adjustment Surface'!AH$3="",-1,1)),$AO$3:$BH$3,0))*('Adjustment Surface'!$O18-INDEX('Adjustment Surface'!$AN$4:$AN$23,MATCH(('Adjustment Surface'!$O18),'Adjustment Surface'!$AN$4:$AN$23,1)))*('Adjustment Surface'!AG$3-INDEX('Adjustment Surface'!$AO$3:$BH$3,1,MATCH(('Adjustment Surface'!AG$3),'Adjustment Surface'!$AO$3:$BH$3,1)))))</f>
        <v/>
      </c>
      <c r="AH18" s="181" t="str" cm="1">
        <f t="array" ref="AH18">IF(OR(AH$3="",$O18=""),"",1/((INDEX('Adjustment Surface'!$AN$4:$AN$23,MATCH(('Adjustment Surface'!$O18),'Adjustment Surface'!$AN$4:$AN$23,1)+IF('Adjustment Surface'!$O19="",-1,1))-INDEX('Adjustment Surface'!$AN$4:$AN$23,MATCH(('Adjustment Surface'!$O18),'Adjustment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Surface'!$O18),'Adjustment Surface'!$AN$4:$AN$23,1)),$AN$4:$AN$23,0),MATCH(INDEX('Adjustment Surface'!$AO$3:$BH$3,1,MATCH(('Adjustment Surface'!AH$3),'Adjustment Surface'!$AO$3:$BH$3,1)),$AO$3:$BH$3,0))*(INDEX('Adjustment Surface'!$AN$4:$AN$23,MATCH(('Adjustment Surface'!$O18),'Adjustment Surface'!$AN$4:$AN$23,1)+IF('Adjustment Surface'!$O19="",-1,1))-'Adjustment Surface'!$O18)*(INDEX('Adjustment Surface'!$AO$3:$BH$3,1,MATCH(('Adjustment Surface'!AH$3),'Adjustment Surface'!$AO$3:$BH$3,1)+IF('Adjustment Surface'!AI$3="",-1,1))-'Adjustment Surface'!AH$3)+INDEX($AO$4:$BH$23,MATCH(INDEX('Adjustment Surface'!$AN$4:$AN$23,MATCH(('Adjustment Surface'!$O18),'Adjustment Surface'!$AN$4:$AN$23,1)+IF('Adjustment Surface'!$O19="",-1,1)),$AN$4:$AN$23,0),MATCH(INDEX('Adjustment Surface'!$AO$3:$BH$3,1,MATCH(('Adjustment Surface'!AH$3),'Adjustment Surface'!$AO$3:$BH$3,1)),$AO$3:$BH$3,0))*('Adjustment Surface'!$O18-INDEX('Adjustment Surface'!$AN$4:$AN$23,MATCH(('Adjustment Surface'!$O18),'Adjustment Surface'!$AN$4:$AN$23,1)))*(INDEX('Adjustment Surface'!$AO$3:$BH$3,1,MATCH(('Adjustment Surface'!AH$3),'Adjustment Surface'!$AO$3:$BH$3,1)+IF('Adjustment Surface'!AI$3="",-1,1))-'Adjustment Surface'!AH$3)+INDEX($AO$4:$BH$23,MATCH(INDEX('Adjustment Surface'!$AN$4:$AN$23,MATCH(('Adjustment Surface'!$O18),'Adjustment Surface'!$AN$4:$AN$23,1)),$AN$4:$AN$23,0),MATCH(INDEX('Adjustment Surface'!$AO$3:$BH$3,1,MATCH(('Adjustment Surface'!AH$3),'Adjustment Surface'!$AO$3:$BH$3,1)+IF('Adjustment Surface'!AI$3="",-1,1)),$AO$3:$BH$3,0))*(INDEX('Adjustment Surface'!$AN$4:$AN$23,MATCH(('Adjustment Surface'!$O18),'Adjustment Surface'!$AN$4:$AN$23,1)+IF('Adjustment Surface'!$O19="",-1,1))-'Adjustment Surface'!$O18)*('Adjustment Surface'!AH$3-INDEX('Adjustment Surface'!$AO$3:$BH$3,1,MATCH(('Adjustment Surface'!AH$3),'Adjustment Surface'!$AO$3:$BH$3,1)))+INDEX($AO$4:$BH$23,MATCH(INDEX('Adjustment Surface'!$AN$4:$AN$23,MATCH(('Adjustment Surface'!$O18),'Adjustment Surface'!$AN$4:$AN$23,1)+IF('Adjustment Surface'!$O19="",-1,1)),$AN$4:$AN$23,0),MATCH(INDEX('Adjustment Surface'!$AO$3:$BH$3,1,MATCH(('Adjustment Surface'!AH$3),'Adjustment Surface'!$AO$3:$BH$3,1)+IF('Adjustment Surface'!AI$3="",-1,1)),$AO$3:$BH$3,0))*('Adjustment Surface'!$O18-INDEX('Adjustment Surface'!$AN$4:$AN$23,MATCH(('Adjustment Surface'!$O18),'Adjustment Surface'!$AN$4:$AN$23,1)))*('Adjustment Surface'!AH$3-INDEX('Adjustment Surface'!$AO$3:$BH$3,1,MATCH(('Adjustment Surface'!AH$3),'Adjustment Surface'!$AO$3:$BH$3,1)))))</f>
        <v/>
      </c>
      <c r="AI18" s="182" t="str" cm="1">
        <f t="array" ref="AI18">IF(OR(AI$3="",$O18=""),"",1/((INDEX('Adjustment Surface'!$AN$4:$AN$23,MATCH(('Adjustment Surface'!$O18),'Adjustment Surface'!$AN$4:$AN$23,1)+IF('Adjustment Surface'!$O19="",-1,1))-INDEX('Adjustment Surface'!$AN$4:$AN$23,MATCH(('Adjustment Surface'!$O18),'Adjustment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Surface'!$O18),'Adjustment Surface'!$AN$4:$AN$23,1)),$AN$4:$AN$23,0),MATCH(INDEX('Adjustment Surface'!$AO$3:$BH$3,1,MATCH(('Adjustment Surface'!AI$3),'Adjustment Surface'!$AO$3:$BH$3,1)),$AO$3:$BH$3,0))*(INDEX('Adjustment Surface'!$AN$4:$AN$23,MATCH(('Adjustment Surface'!$O18),'Adjustment Surface'!$AN$4:$AN$23,1)+IF('Adjustment Surface'!$O19="",-1,1))-'Adjustment Surface'!$O18)*(INDEX('Adjustment Surface'!$AO$3:$BH$3,1,MATCH(('Adjustment Surface'!AI$3),'Adjustment Surface'!$AO$3:$BH$3,1)+IF('Adjustment Surface'!AJ$3="",-1,1))-'Adjustment Surface'!AI$3)+INDEX($AO$4:$BH$23,MATCH(INDEX('Adjustment Surface'!$AN$4:$AN$23,MATCH(('Adjustment Surface'!$O18),'Adjustment Surface'!$AN$4:$AN$23,1)+IF('Adjustment Surface'!$O19="",-1,1)),$AN$4:$AN$23,0),MATCH(INDEX('Adjustment Surface'!$AO$3:$BH$3,1,MATCH(('Adjustment Surface'!AI$3),'Adjustment Surface'!$AO$3:$BH$3,1)),$AO$3:$BH$3,0))*('Adjustment Surface'!$O18-INDEX('Adjustment Surface'!$AN$4:$AN$23,MATCH(('Adjustment Surface'!$O18),'Adjustment Surface'!$AN$4:$AN$23,1)))*(INDEX('Adjustment Surface'!$AO$3:$BH$3,1,MATCH(('Adjustment Surface'!AI$3),'Adjustment Surface'!$AO$3:$BH$3,1)+IF('Adjustment Surface'!AJ$3="",-1,1))-'Adjustment Surface'!AI$3)+INDEX($AO$4:$BH$23,MATCH(INDEX('Adjustment Surface'!$AN$4:$AN$23,MATCH(('Adjustment Surface'!$O18),'Adjustment Surface'!$AN$4:$AN$23,1)),$AN$4:$AN$23,0),MATCH(INDEX('Adjustment Surface'!$AO$3:$BH$3,1,MATCH(('Adjustment Surface'!AI$3),'Adjustment Surface'!$AO$3:$BH$3,1)+IF('Adjustment Surface'!AJ$3="",-1,1)),$AO$3:$BH$3,0))*(INDEX('Adjustment Surface'!$AN$4:$AN$23,MATCH(('Adjustment Surface'!$O18),'Adjustment Surface'!$AN$4:$AN$23,1)+IF('Adjustment Surface'!$O19="",-1,1))-'Adjustment Surface'!$O18)*('Adjustment Surface'!AI$3-INDEX('Adjustment Surface'!$AO$3:$BH$3,1,MATCH(('Adjustment Surface'!AI$3),'Adjustment Surface'!$AO$3:$BH$3,1)))+INDEX($AO$4:$BH$23,MATCH(INDEX('Adjustment Surface'!$AN$4:$AN$23,MATCH(('Adjustment Surface'!$O18),'Adjustment Surface'!$AN$4:$AN$23,1)+IF('Adjustment Surface'!$O19="",-1,1)),$AN$4:$AN$23,0),MATCH(INDEX('Adjustment Surface'!$AO$3:$BH$3,1,MATCH(('Adjustment Surface'!AI$3),'Adjustment Surface'!$AO$3:$BH$3,1)+IF('Adjustment Surface'!AJ$3="",-1,1)),$AO$3:$BH$3,0))*('Adjustment Surface'!$O18-INDEX('Adjustment Surface'!$AN$4:$AN$23,MATCH(('Adjustment Surface'!$O18),'Adjustment Surface'!$AN$4:$AN$23,1)))*('Adjustment Surface'!AI$3-INDEX('Adjustment Surface'!$AO$3:$BH$3,1,MATCH(('Adjustment Surface'!AI$3),'Adjustment Surface'!$AO$3:$BH$3,1)))))</f>
        <v/>
      </c>
      <c r="AK18" s="203" t="str">
        <f>IF(OR(AK17=IF('Adjustment Surface'!$C$2='Data Validation'!$A$2,_xlfn.FLOOR.MATH(MAX('Bank Adjustments'!$C$4:$C$103),0.5%,2),IF('Adjustment Surface'!$C$2='Data Validation'!$A$3,_xlfn.FLOOR.MATH(MAX('Bank Adjustments'!$M$4:$M$103),0.5%,2),"Uknown Option Type")),AK17=""),"",AK17+0.5%)</f>
        <v/>
      </c>
      <c r="AL18" s="204"/>
      <c r="AN18" s="176"/>
      <c r="AO18" s="180" t="str" cm="1">
        <f t="array" ref="AO18">IF(OR(AO$3="",$AN18=""),"",INDEX(IF($C$2='Data Validation'!$A$2,'Bank Adjustments'!$H$4:$H$103,IF('Adjustment Surface'!$C$2='Data Validation'!$A$3,'Bank Adjustments'!$R$4:$R$103,"Unknown Option Type")),MATCH(1,($AN18=IF($C$2='Data Validation'!$A$2,'Bank Adjustments'!$C$4:$C$103,IF('Adjustment Surface'!$C$2='Data Validation'!$A$3,'Bank Adjustments'!$M$4:$M$103,"Unknown Option Type")))*(AO$3=IF($C$2='Data Validation'!$A$2,'Bank Adjustments'!$E$4:$E$103,IF('Adjustment Surface'!$C$2='Data Validation'!$A$3,'Bank Adjustments'!$O$4:$O$103,"Unknown Option Type"))),0)))</f>
        <v/>
      </c>
      <c r="AP18" s="181" t="str" cm="1">
        <f t="array" ref="AP18">IF(OR(AP$3="",$AN18=""),"",INDEX(IF($C$2='Data Validation'!$A$2,'Bank Adjustments'!$H$4:$H$103,IF('Adjustment Surface'!$C$2='Data Validation'!$A$3,'Bank Adjustments'!$R$4:$R$103,"Unknown Option Type")),MATCH(1,($AN18=IF($C$2='Data Validation'!$A$2,'Bank Adjustments'!$C$4:$C$103,IF('Adjustment Surface'!$C$2='Data Validation'!$A$3,'Bank Adjustments'!$M$4:$M$103,"Unknown Option Type")))*(AP$3=IF($C$2='Data Validation'!$A$2,'Bank Adjustments'!$E$4:$E$103,IF('Adjustment Surface'!$C$2='Data Validation'!$A$3,'Bank Adjustments'!$O$4:$O$103,"Unknown Option Type"))),0)))</f>
        <v/>
      </c>
      <c r="AQ18" s="181" t="str" cm="1">
        <f t="array" ref="AQ18">IF(OR(AQ$3="",$AN18=""),"",INDEX(IF($C$2='Data Validation'!$A$2,'Bank Adjustments'!$H$4:$H$103,IF('Adjustment Surface'!$C$2='Data Validation'!$A$3,'Bank Adjustments'!$R$4:$R$103,"Unknown Option Type")),MATCH(1,($AN18=IF($C$2='Data Validation'!$A$2,'Bank Adjustments'!$C$4:$C$103,IF('Adjustment Surface'!$C$2='Data Validation'!$A$3,'Bank Adjustments'!$M$4:$M$103,"Unknown Option Type")))*(AQ$3=IF($C$2='Data Validation'!$A$2,'Bank Adjustments'!$E$4:$E$103,IF('Adjustment Surface'!$C$2='Data Validation'!$A$3,'Bank Adjustments'!$O$4:$O$103,"Unknown Option Type"))),0)))</f>
        <v/>
      </c>
      <c r="AR18" s="181" t="str" cm="1">
        <f t="array" ref="AR18">IF(OR(AR$3="",$AN18=""),"",INDEX(IF($C$2='Data Validation'!$A$2,'Bank Adjustments'!$H$4:$H$103,IF('Adjustment Surface'!$C$2='Data Validation'!$A$3,'Bank Adjustments'!$R$4:$R$103,"Unknown Option Type")),MATCH(1,($AN18=IF($C$2='Data Validation'!$A$2,'Bank Adjustments'!$C$4:$C$103,IF('Adjustment Surface'!$C$2='Data Validation'!$A$3,'Bank Adjustments'!$M$4:$M$103,"Unknown Option Type")))*(AR$3=IF($C$2='Data Validation'!$A$2,'Bank Adjustments'!$E$4:$E$103,IF('Adjustment Surface'!$C$2='Data Validation'!$A$3,'Bank Adjustments'!$O$4:$O$103,"Unknown Option Type"))),0)))</f>
        <v/>
      </c>
      <c r="AS18" s="181" t="str" cm="1">
        <f t="array" ref="AS18">IF(OR(AS$3="",$AN18=""),"",INDEX(IF($C$2='Data Validation'!$A$2,'Bank Adjustments'!$H$4:$H$103,IF('Adjustment Surface'!$C$2='Data Validation'!$A$3,'Bank Adjustments'!$R$4:$R$103,"Unknown Option Type")),MATCH(1,($AN18=IF($C$2='Data Validation'!$A$2,'Bank Adjustments'!$C$4:$C$103,IF('Adjustment Surface'!$C$2='Data Validation'!$A$3,'Bank Adjustments'!$M$4:$M$103,"Unknown Option Type")))*(AS$3=IF($C$2='Data Validation'!$A$2,'Bank Adjustments'!$E$4:$E$103,IF('Adjustment Surface'!$C$2='Data Validation'!$A$3,'Bank Adjustments'!$O$4:$O$103,"Unknown Option Type"))),0)))</f>
        <v/>
      </c>
      <c r="AT18" s="181" t="str" cm="1">
        <f t="array" ref="AT18">IF(OR(AT$3="",$AN18=""),"",INDEX(IF($C$2='Data Validation'!$A$2,'Bank Adjustments'!$H$4:$H$103,IF('Adjustment Surface'!$C$2='Data Validation'!$A$3,'Bank Adjustments'!$R$4:$R$103,"Unknown Option Type")),MATCH(1,($AN18=IF($C$2='Data Validation'!$A$2,'Bank Adjustments'!$C$4:$C$103,IF('Adjustment Surface'!$C$2='Data Validation'!$A$3,'Bank Adjustments'!$M$4:$M$103,"Unknown Option Type")))*(AT$3=IF($C$2='Data Validation'!$A$2,'Bank Adjustments'!$E$4:$E$103,IF('Adjustment Surface'!$C$2='Data Validation'!$A$3,'Bank Adjustments'!$O$4:$O$103,"Unknown Option Type"))),0)))</f>
        <v/>
      </c>
      <c r="AU18" s="181" t="str" cm="1">
        <f t="array" ref="AU18">IF(OR(AU$3="",$AN18=""),"",INDEX(IF($C$2='Data Validation'!$A$2,'Bank Adjustments'!$H$4:$H$103,IF('Adjustment Surface'!$C$2='Data Validation'!$A$3,'Bank Adjustments'!$R$4:$R$103,"Unknown Option Type")),MATCH(1,($AN18=IF($C$2='Data Validation'!$A$2,'Bank Adjustments'!$C$4:$C$103,IF('Adjustment Surface'!$C$2='Data Validation'!$A$3,'Bank Adjustments'!$M$4:$M$103,"Unknown Option Type")))*(AU$3=IF($C$2='Data Validation'!$A$2,'Bank Adjustments'!$E$4:$E$103,IF('Adjustment Surface'!$C$2='Data Validation'!$A$3,'Bank Adjustments'!$O$4:$O$103,"Unknown Option Type"))),0)))</f>
        <v/>
      </c>
      <c r="AV18" s="181" t="str" cm="1">
        <f t="array" ref="AV18">IF(OR(AV$3="",$AN18=""),"",INDEX(IF($C$2='Data Validation'!$A$2,'Bank Adjustments'!$H$4:$H$103,IF('Adjustment Surface'!$C$2='Data Validation'!$A$3,'Bank Adjustments'!$R$4:$R$103,"Unknown Option Type")),MATCH(1,($AN18=IF($C$2='Data Validation'!$A$2,'Bank Adjustments'!$C$4:$C$103,IF('Adjustment Surface'!$C$2='Data Validation'!$A$3,'Bank Adjustments'!$M$4:$M$103,"Unknown Option Type")))*(AV$3=IF($C$2='Data Validation'!$A$2,'Bank Adjustments'!$E$4:$E$103,IF('Adjustment Surface'!$C$2='Data Validation'!$A$3,'Bank Adjustments'!$O$4:$O$103,"Unknown Option Type"))),0)))</f>
        <v/>
      </c>
      <c r="AW18" s="181" t="str" cm="1">
        <f t="array" ref="AW18">IF(OR(AW$3="",$AN18=""),"",INDEX(IF($C$2='Data Validation'!$A$2,'Bank Adjustments'!$H$4:$H$103,IF('Adjustment Surface'!$C$2='Data Validation'!$A$3,'Bank Adjustments'!$R$4:$R$103,"Unknown Option Type")),MATCH(1,($AN18=IF($C$2='Data Validation'!$A$2,'Bank Adjustments'!$C$4:$C$103,IF('Adjustment Surface'!$C$2='Data Validation'!$A$3,'Bank Adjustments'!$M$4:$M$103,"Unknown Option Type")))*(AW$3=IF($C$2='Data Validation'!$A$2,'Bank Adjustments'!$E$4:$E$103,IF('Adjustment Surface'!$C$2='Data Validation'!$A$3,'Bank Adjustments'!$O$4:$O$103,"Unknown Option Type"))),0)))</f>
        <v/>
      </c>
      <c r="AX18" s="181" t="str" cm="1">
        <f t="array" ref="AX18">IF(OR(AX$3="",$AN18=""),"",INDEX(IF($C$2='Data Validation'!$A$2,'Bank Adjustments'!$H$4:$H$103,IF('Adjustment Surface'!$C$2='Data Validation'!$A$3,'Bank Adjustments'!$R$4:$R$103,"Unknown Option Type")),MATCH(1,($AN18=IF($C$2='Data Validation'!$A$2,'Bank Adjustments'!$C$4:$C$103,IF('Adjustment Surface'!$C$2='Data Validation'!$A$3,'Bank Adjustments'!$M$4:$M$103,"Unknown Option Type")))*(AX$3=IF($C$2='Data Validation'!$A$2,'Bank Adjustments'!$E$4:$E$103,IF('Adjustment Surface'!$C$2='Data Validation'!$A$3,'Bank Adjustments'!$O$4:$O$103,"Unknown Option Type"))),0)))</f>
        <v/>
      </c>
      <c r="AY18" s="181" t="str" cm="1">
        <f t="array" ref="AY18">IF(OR(AY$3="",$AN18=""),"",INDEX(IF($C$2='Data Validation'!$A$2,'Bank Adjustments'!$H$4:$H$103,IF('Adjustment Surface'!$C$2='Data Validation'!$A$3,'Bank Adjustments'!$R$4:$R$103,"Unknown Option Type")),MATCH(1,($AN18=IF($C$2='Data Validation'!$A$2,'Bank Adjustments'!$C$4:$C$103,IF('Adjustment Surface'!$C$2='Data Validation'!$A$3,'Bank Adjustments'!$M$4:$M$103,"Unknown Option Type")))*(AY$3=IF($C$2='Data Validation'!$A$2,'Bank Adjustments'!$E$4:$E$103,IF('Adjustment Surface'!$C$2='Data Validation'!$A$3,'Bank Adjustments'!$O$4:$O$103,"Unknown Option Type"))),0)))</f>
        <v/>
      </c>
      <c r="AZ18" s="181" t="str" cm="1">
        <f t="array" ref="AZ18">IF(OR(AZ$3="",$AN18=""),"",INDEX(IF($C$2='Data Validation'!$A$2,'Bank Adjustments'!$H$4:$H$103,IF('Adjustment Surface'!$C$2='Data Validation'!$A$3,'Bank Adjustments'!$R$4:$R$103,"Unknown Option Type")),MATCH(1,($AN18=IF($C$2='Data Validation'!$A$2,'Bank Adjustments'!$C$4:$C$103,IF('Adjustment Surface'!$C$2='Data Validation'!$A$3,'Bank Adjustments'!$M$4:$M$103,"Unknown Option Type")))*(AZ$3=IF($C$2='Data Validation'!$A$2,'Bank Adjustments'!$E$4:$E$103,IF('Adjustment Surface'!$C$2='Data Validation'!$A$3,'Bank Adjustments'!$O$4:$O$103,"Unknown Option Type"))),0)))</f>
        <v/>
      </c>
      <c r="BA18" s="181" t="str" cm="1">
        <f t="array" ref="BA18">IF(OR(BA$3="",$AN18=""),"",INDEX(IF($C$2='Data Validation'!$A$2,'Bank Adjustments'!$H$4:$H$103,IF('Adjustment Surface'!$C$2='Data Validation'!$A$3,'Bank Adjustments'!$R$4:$R$103,"Unknown Option Type")),MATCH(1,($AN18=IF($C$2='Data Validation'!$A$2,'Bank Adjustments'!$C$4:$C$103,IF('Adjustment Surface'!$C$2='Data Validation'!$A$3,'Bank Adjustments'!$M$4:$M$103,"Unknown Option Type")))*(BA$3=IF($C$2='Data Validation'!$A$2,'Bank Adjustments'!$E$4:$E$103,IF('Adjustment Surface'!$C$2='Data Validation'!$A$3,'Bank Adjustments'!$O$4:$O$103,"Unknown Option Type"))),0)))</f>
        <v/>
      </c>
      <c r="BB18" s="181" t="str" cm="1">
        <f t="array" ref="BB18">IF(OR(BB$3="",$AN18=""),"",INDEX(IF($C$2='Data Validation'!$A$2,'Bank Adjustments'!$H$4:$H$103,IF('Adjustment Surface'!$C$2='Data Validation'!$A$3,'Bank Adjustments'!$R$4:$R$103,"Unknown Option Type")),MATCH(1,($AN18=IF($C$2='Data Validation'!$A$2,'Bank Adjustments'!$C$4:$C$103,IF('Adjustment Surface'!$C$2='Data Validation'!$A$3,'Bank Adjustments'!$M$4:$M$103,"Unknown Option Type")))*(BB$3=IF($C$2='Data Validation'!$A$2,'Bank Adjustments'!$E$4:$E$103,IF('Adjustment Surface'!$C$2='Data Validation'!$A$3,'Bank Adjustments'!$O$4:$O$103,"Unknown Option Type"))),0)))</f>
        <v/>
      </c>
      <c r="BC18" s="181" t="str" cm="1">
        <f t="array" ref="BC18">IF(OR(BC$3="",$AN18=""),"",INDEX(IF($C$2='Data Validation'!$A$2,'Bank Adjustments'!$H$4:$H$103,IF('Adjustment Surface'!$C$2='Data Validation'!$A$3,'Bank Adjustments'!$R$4:$R$103,"Unknown Option Type")),MATCH(1,($AN18=IF($C$2='Data Validation'!$A$2,'Bank Adjustments'!$C$4:$C$103,IF('Adjustment Surface'!$C$2='Data Validation'!$A$3,'Bank Adjustments'!$M$4:$M$103,"Unknown Option Type")))*(BC$3=IF($C$2='Data Validation'!$A$2,'Bank Adjustments'!$E$4:$E$103,IF('Adjustment Surface'!$C$2='Data Validation'!$A$3,'Bank Adjustments'!$O$4:$O$103,"Unknown Option Type"))),0)))</f>
        <v/>
      </c>
      <c r="BD18" s="181" t="str" cm="1">
        <f t="array" ref="BD18">IF(OR(BD$3="",$AN18=""),"",INDEX(IF($C$2='Data Validation'!$A$2,'Bank Adjustments'!$H$4:$H$103,IF('Adjustment Surface'!$C$2='Data Validation'!$A$3,'Bank Adjustments'!$R$4:$R$103,"Unknown Option Type")),MATCH(1,($AN18=IF($C$2='Data Validation'!$A$2,'Bank Adjustments'!$C$4:$C$103,IF('Adjustment Surface'!$C$2='Data Validation'!$A$3,'Bank Adjustments'!$M$4:$M$103,"Unknown Option Type")))*(BD$3=IF($C$2='Data Validation'!$A$2,'Bank Adjustments'!$E$4:$E$103,IF('Adjustment Surface'!$C$2='Data Validation'!$A$3,'Bank Adjustments'!$O$4:$O$103,"Unknown Option Type"))),0)))</f>
        <v/>
      </c>
      <c r="BE18" s="181" t="str" cm="1">
        <f t="array" ref="BE18">IF(OR(BE$3="",$AN18=""),"",INDEX(IF($C$2='Data Validation'!$A$2,'Bank Adjustments'!$H$4:$H$103,IF('Adjustment Surface'!$C$2='Data Validation'!$A$3,'Bank Adjustments'!$R$4:$R$103,"Unknown Option Type")),MATCH(1,($AN18=IF($C$2='Data Validation'!$A$2,'Bank Adjustments'!$C$4:$C$103,IF('Adjustment Surface'!$C$2='Data Validation'!$A$3,'Bank Adjustments'!$M$4:$M$103,"Unknown Option Type")))*(BE$3=IF($C$2='Data Validation'!$A$2,'Bank Adjustments'!$E$4:$E$103,IF('Adjustment Surface'!$C$2='Data Validation'!$A$3,'Bank Adjustments'!$O$4:$O$103,"Unknown Option Type"))),0)))</f>
        <v/>
      </c>
      <c r="BF18" s="181" t="str" cm="1">
        <f t="array" ref="BF18">IF(OR(BF$3="",$AN18=""),"",INDEX(IF($C$2='Data Validation'!$A$2,'Bank Adjustments'!$H$4:$H$103,IF('Adjustment Surface'!$C$2='Data Validation'!$A$3,'Bank Adjustments'!$R$4:$R$103,"Unknown Option Type")),MATCH(1,($AN18=IF($C$2='Data Validation'!$A$2,'Bank Adjustments'!$C$4:$C$103,IF('Adjustment Surface'!$C$2='Data Validation'!$A$3,'Bank Adjustments'!$M$4:$M$103,"Unknown Option Type")))*(BF$3=IF($C$2='Data Validation'!$A$2,'Bank Adjustments'!$E$4:$E$103,IF('Adjustment Surface'!$C$2='Data Validation'!$A$3,'Bank Adjustments'!$O$4:$O$103,"Unknown Option Type"))),0)))</f>
        <v/>
      </c>
      <c r="BG18" s="181" t="str" cm="1">
        <f t="array" ref="BG18">IF(OR(BG$3="",$AN18=""),"",INDEX(IF($C$2='Data Validation'!$A$2,'Bank Adjustments'!$H$4:$H$103,IF('Adjustment Surface'!$C$2='Data Validation'!$A$3,'Bank Adjustments'!$R$4:$R$103,"Unknown Option Type")),MATCH(1,($AN18=IF($C$2='Data Validation'!$A$2,'Bank Adjustments'!$C$4:$C$103,IF('Adjustment Surface'!$C$2='Data Validation'!$A$3,'Bank Adjustments'!$M$4:$M$103,"Unknown Option Type")))*(BG$3=IF($C$2='Data Validation'!$A$2,'Bank Adjustments'!$E$4:$E$103,IF('Adjustment Surface'!$C$2='Data Validation'!$A$3,'Bank Adjustments'!$O$4:$O$103,"Unknown Option Type"))),0)))</f>
        <v/>
      </c>
      <c r="BH18" s="182" t="str" cm="1">
        <f t="array" ref="BH18">IF(OR(BH$3="",$AN18=""),"",INDEX(IF($C$2='Data Validation'!$A$2,'Bank Adjustments'!$H$4:$H$103,IF('Adjustment Surface'!$C$2='Data Validation'!$A$3,'Bank Adjustments'!$R$4:$R$103,"Unknown Option Type")),MATCH(1,($AN18=IF($C$2='Data Validation'!$A$2,'Bank Adjustments'!$C$4:$C$103,IF('Adjustment Surface'!$C$2='Data Validation'!$A$3,'Bank Adjustments'!$M$4:$M$103,"Unknown Option Type")))*(BH$3=IF($C$2='Data Validation'!$A$2,'Bank Adjustments'!$E$4:$E$103,IF('Adjustment Surface'!$C$2='Data Validation'!$A$3,'Bank Adjustments'!$O$4:$O$103,"Unknown Option Type"))),0)))</f>
        <v/>
      </c>
    </row>
    <row r="19" spans="2:60" x14ac:dyDescent="0.25">
      <c r="B19" s="3"/>
      <c r="C19" s="3"/>
      <c r="D19" s="3"/>
      <c r="E19" s="3"/>
      <c r="F19" s="3"/>
      <c r="H19" s="171"/>
      <c r="I19" s="61" t="str">
        <f t="shared" si="1"/>
        <v/>
      </c>
      <c r="J19" s="212" t="str">
        <f t="shared" si="1"/>
        <v/>
      </c>
      <c r="K19" s="212" t="str">
        <f t="shared" si="1"/>
        <v/>
      </c>
      <c r="L19" s="212" t="str">
        <f t="shared" si="1"/>
        <v/>
      </c>
      <c r="M19" s="63" t="str">
        <f t="shared" si="1"/>
        <v/>
      </c>
      <c r="O19" s="176"/>
      <c r="P19" s="180" t="str" cm="1">
        <f t="array" ref="P19">IF(OR(P$3="",$O19=""),"",1/((INDEX('Adjustment Surface'!$AN$4:$AN$23,MATCH(('Adjustment Surface'!$O19),'Adjustment Surface'!$AN$4:$AN$23,1)+IF('Adjustment Surface'!$O20="",-1,1))-INDEX('Adjustment Surface'!$AN$4:$AN$23,MATCH(('Adjustment Surface'!$O19),'Adjustment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Surface'!$O19),'Adjustment Surface'!$AN$4:$AN$23,1)),$AN$4:$AN$23,0),MATCH(INDEX('Adjustment Surface'!$AO$3:$BH$3,1,MATCH(('Adjustment Surface'!P$3),'Adjustment Surface'!$AO$3:$BH$3,1)),$AO$3:$BH$3,0))*(INDEX('Adjustment Surface'!$AN$4:$AN$23,MATCH(('Adjustment Surface'!$O19),'Adjustment Surface'!$AN$4:$AN$23,1)+IF('Adjustment Surface'!$O20="",-1,1))-'Adjustment Surface'!$O19)*(INDEX('Adjustment Surface'!$AO$3:$BH$3,1,MATCH(('Adjustment Surface'!P$3),'Adjustment Surface'!$AO$3:$BH$3,1)+IF('Adjustment Surface'!Q$3="",-1,1))-'Adjustment Surface'!P$3)+INDEX($AO$4:$BH$23,MATCH(INDEX('Adjustment Surface'!$AN$4:$AN$23,MATCH(('Adjustment Surface'!$O19),'Adjustment Surface'!$AN$4:$AN$23,1)+IF('Adjustment Surface'!$O20="",-1,1)),$AN$4:$AN$23,0),MATCH(INDEX('Adjustment Surface'!$AO$3:$BH$3,1,MATCH(('Adjustment Surface'!P$3),'Adjustment Surface'!$AO$3:$BH$3,1)),$AO$3:$BH$3,0))*('Adjustment Surface'!$O19-INDEX('Adjustment Surface'!$AN$4:$AN$23,MATCH(('Adjustment Surface'!$O19),'Adjustment Surface'!$AN$4:$AN$23,1)))*(INDEX('Adjustment Surface'!$AO$3:$BH$3,1,MATCH(('Adjustment Surface'!P$3),'Adjustment Surface'!$AO$3:$BH$3,1)+IF('Adjustment Surface'!Q$3="",-1,1))-'Adjustment Surface'!P$3)+INDEX($AO$4:$BH$23,MATCH(INDEX('Adjustment Surface'!$AN$4:$AN$23,MATCH(('Adjustment Surface'!$O19),'Adjustment Surface'!$AN$4:$AN$23,1)),$AN$4:$AN$23,0),MATCH(INDEX('Adjustment Surface'!$AO$3:$BH$3,1,MATCH(('Adjustment Surface'!P$3),'Adjustment Surface'!$AO$3:$BH$3,1)+IF('Adjustment Surface'!Q$3="",-1,1)),$AO$3:$BH$3,0))*(INDEX('Adjustment Surface'!$AN$4:$AN$23,MATCH(('Adjustment Surface'!$O19),'Adjustment Surface'!$AN$4:$AN$23,1)+IF('Adjustment Surface'!$O20="",-1,1))-'Adjustment Surface'!$O19)*('Adjustment Surface'!P$3-INDEX('Adjustment Surface'!$AO$3:$BH$3,1,MATCH(('Adjustment Surface'!P$3),'Adjustment Surface'!$AO$3:$BH$3,1)))+INDEX($AO$4:$BH$23,MATCH(INDEX('Adjustment Surface'!$AN$4:$AN$23,MATCH(('Adjustment Surface'!$O19),'Adjustment Surface'!$AN$4:$AN$23,1)+IF('Adjustment Surface'!$O20="",-1,1)),$AN$4:$AN$23,0),MATCH(INDEX('Adjustment Surface'!$AO$3:$BH$3,1,MATCH(('Adjustment Surface'!P$3),'Adjustment Surface'!$AO$3:$BH$3,1)+IF('Adjustment Surface'!Q$3="",-1,1)),$AO$3:$BH$3,0))*('Adjustment Surface'!$O19-INDEX('Adjustment Surface'!$AN$4:$AN$23,MATCH(('Adjustment Surface'!$O19),'Adjustment Surface'!$AN$4:$AN$23,1)))*('Adjustment Surface'!P$3-INDEX('Adjustment Surface'!$AO$3:$BH$3,1,MATCH(('Adjustment Surface'!P$3),'Adjustment Surface'!$AO$3:$BH$3,1)))))</f>
        <v/>
      </c>
      <c r="Q19" s="181" t="str" cm="1">
        <f t="array" ref="Q19">IF(OR(Q$3="",$O19=""),"",1/((INDEX('Adjustment Surface'!$AN$4:$AN$23,MATCH(('Adjustment Surface'!$O19),'Adjustment Surface'!$AN$4:$AN$23,1)+IF('Adjustment Surface'!$O20="",-1,1))-INDEX('Adjustment Surface'!$AN$4:$AN$23,MATCH(('Adjustment Surface'!$O19),'Adjustment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Surface'!$O19),'Adjustment Surface'!$AN$4:$AN$23,1)),$AN$4:$AN$23,0),MATCH(INDEX('Adjustment Surface'!$AO$3:$BH$3,1,MATCH(('Adjustment Surface'!Q$3),'Adjustment Surface'!$AO$3:$BH$3,1)),$AO$3:$BH$3,0))*(INDEX('Adjustment Surface'!$AN$4:$AN$23,MATCH(('Adjustment Surface'!$O19),'Adjustment Surface'!$AN$4:$AN$23,1)+IF('Adjustment Surface'!$O20="",-1,1))-'Adjustment Surface'!$O19)*(INDEX('Adjustment Surface'!$AO$3:$BH$3,1,MATCH(('Adjustment Surface'!Q$3),'Adjustment Surface'!$AO$3:$BH$3,1)+IF('Adjustment Surface'!R$3="",-1,1))-'Adjustment Surface'!Q$3)+INDEX($AO$4:$BH$23,MATCH(INDEX('Adjustment Surface'!$AN$4:$AN$23,MATCH(('Adjustment Surface'!$O19),'Adjustment Surface'!$AN$4:$AN$23,1)+IF('Adjustment Surface'!$O20="",-1,1)),$AN$4:$AN$23,0),MATCH(INDEX('Adjustment Surface'!$AO$3:$BH$3,1,MATCH(('Adjustment Surface'!Q$3),'Adjustment Surface'!$AO$3:$BH$3,1)),$AO$3:$BH$3,0))*('Adjustment Surface'!$O19-INDEX('Adjustment Surface'!$AN$4:$AN$23,MATCH(('Adjustment Surface'!$O19),'Adjustment Surface'!$AN$4:$AN$23,1)))*(INDEX('Adjustment Surface'!$AO$3:$BH$3,1,MATCH(('Adjustment Surface'!Q$3),'Adjustment Surface'!$AO$3:$BH$3,1)+IF('Adjustment Surface'!R$3="",-1,1))-'Adjustment Surface'!Q$3)+INDEX($AO$4:$BH$23,MATCH(INDEX('Adjustment Surface'!$AN$4:$AN$23,MATCH(('Adjustment Surface'!$O19),'Adjustment Surface'!$AN$4:$AN$23,1)),$AN$4:$AN$23,0),MATCH(INDEX('Adjustment Surface'!$AO$3:$BH$3,1,MATCH(('Adjustment Surface'!Q$3),'Adjustment Surface'!$AO$3:$BH$3,1)+IF('Adjustment Surface'!R$3="",-1,1)),$AO$3:$BH$3,0))*(INDEX('Adjustment Surface'!$AN$4:$AN$23,MATCH(('Adjustment Surface'!$O19),'Adjustment Surface'!$AN$4:$AN$23,1)+IF('Adjustment Surface'!$O20="",-1,1))-'Adjustment Surface'!$O19)*('Adjustment Surface'!Q$3-INDEX('Adjustment Surface'!$AO$3:$BH$3,1,MATCH(('Adjustment Surface'!Q$3),'Adjustment Surface'!$AO$3:$BH$3,1)))+INDEX($AO$4:$BH$23,MATCH(INDEX('Adjustment Surface'!$AN$4:$AN$23,MATCH(('Adjustment Surface'!$O19),'Adjustment Surface'!$AN$4:$AN$23,1)+IF('Adjustment Surface'!$O20="",-1,1)),$AN$4:$AN$23,0),MATCH(INDEX('Adjustment Surface'!$AO$3:$BH$3,1,MATCH(('Adjustment Surface'!Q$3),'Adjustment Surface'!$AO$3:$BH$3,1)+IF('Adjustment Surface'!R$3="",-1,1)),$AO$3:$BH$3,0))*('Adjustment Surface'!$O19-INDEX('Adjustment Surface'!$AN$4:$AN$23,MATCH(('Adjustment Surface'!$O19),'Adjustment Surface'!$AN$4:$AN$23,1)))*('Adjustment Surface'!Q$3-INDEX('Adjustment Surface'!$AO$3:$BH$3,1,MATCH(('Adjustment Surface'!Q$3),'Adjustment Surface'!$AO$3:$BH$3,1)))))</f>
        <v/>
      </c>
      <c r="R19" s="181" t="str" cm="1">
        <f t="array" ref="R19">IF(OR(R$3="",$O19=""),"",1/((INDEX('Adjustment Surface'!$AN$4:$AN$23,MATCH(('Adjustment Surface'!$O19),'Adjustment Surface'!$AN$4:$AN$23,1)+IF('Adjustment Surface'!$O20="",-1,1))-INDEX('Adjustment Surface'!$AN$4:$AN$23,MATCH(('Adjustment Surface'!$O19),'Adjustment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Surface'!$O19),'Adjustment Surface'!$AN$4:$AN$23,1)),$AN$4:$AN$23,0),MATCH(INDEX('Adjustment Surface'!$AO$3:$BH$3,1,MATCH(('Adjustment Surface'!R$3),'Adjustment Surface'!$AO$3:$BH$3,1)),$AO$3:$BH$3,0))*(INDEX('Adjustment Surface'!$AN$4:$AN$23,MATCH(('Adjustment Surface'!$O19),'Adjustment Surface'!$AN$4:$AN$23,1)+IF('Adjustment Surface'!$O20="",-1,1))-'Adjustment Surface'!$O19)*(INDEX('Adjustment Surface'!$AO$3:$BH$3,1,MATCH(('Adjustment Surface'!R$3),'Adjustment Surface'!$AO$3:$BH$3,1)+IF('Adjustment Surface'!S$3="",-1,1))-'Adjustment Surface'!R$3)+INDEX($AO$4:$BH$23,MATCH(INDEX('Adjustment Surface'!$AN$4:$AN$23,MATCH(('Adjustment Surface'!$O19),'Adjustment Surface'!$AN$4:$AN$23,1)+IF('Adjustment Surface'!$O20="",-1,1)),$AN$4:$AN$23,0),MATCH(INDEX('Adjustment Surface'!$AO$3:$BH$3,1,MATCH(('Adjustment Surface'!R$3),'Adjustment Surface'!$AO$3:$BH$3,1)),$AO$3:$BH$3,0))*('Adjustment Surface'!$O19-INDEX('Adjustment Surface'!$AN$4:$AN$23,MATCH(('Adjustment Surface'!$O19),'Adjustment Surface'!$AN$4:$AN$23,1)))*(INDEX('Adjustment Surface'!$AO$3:$BH$3,1,MATCH(('Adjustment Surface'!R$3),'Adjustment Surface'!$AO$3:$BH$3,1)+IF('Adjustment Surface'!S$3="",-1,1))-'Adjustment Surface'!R$3)+INDEX($AO$4:$BH$23,MATCH(INDEX('Adjustment Surface'!$AN$4:$AN$23,MATCH(('Adjustment Surface'!$O19),'Adjustment Surface'!$AN$4:$AN$23,1)),$AN$4:$AN$23,0),MATCH(INDEX('Adjustment Surface'!$AO$3:$BH$3,1,MATCH(('Adjustment Surface'!R$3),'Adjustment Surface'!$AO$3:$BH$3,1)+IF('Adjustment Surface'!S$3="",-1,1)),$AO$3:$BH$3,0))*(INDEX('Adjustment Surface'!$AN$4:$AN$23,MATCH(('Adjustment Surface'!$O19),'Adjustment Surface'!$AN$4:$AN$23,1)+IF('Adjustment Surface'!$O20="",-1,1))-'Adjustment Surface'!$O19)*('Adjustment Surface'!R$3-INDEX('Adjustment Surface'!$AO$3:$BH$3,1,MATCH(('Adjustment Surface'!R$3),'Adjustment Surface'!$AO$3:$BH$3,1)))+INDEX($AO$4:$BH$23,MATCH(INDEX('Adjustment Surface'!$AN$4:$AN$23,MATCH(('Adjustment Surface'!$O19),'Adjustment Surface'!$AN$4:$AN$23,1)+IF('Adjustment Surface'!$O20="",-1,1)),$AN$4:$AN$23,0),MATCH(INDEX('Adjustment Surface'!$AO$3:$BH$3,1,MATCH(('Adjustment Surface'!R$3),'Adjustment Surface'!$AO$3:$BH$3,1)+IF('Adjustment Surface'!S$3="",-1,1)),$AO$3:$BH$3,0))*('Adjustment Surface'!$O19-INDEX('Adjustment Surface'!$AN$4:$AN$23,MATCH(('Adjustment Surface'!$O19),'Adjustment Surface'!$AN$4:$AN$23,1)))*('Adjustment Surface'!R$3-INDEX('Adjustment Surface'!$AO$3:$BH$3,1,MATCH(('Adjustment Surface'!R$3),'Adjustment Surface'!$AO$3:$BH$3,1)))))</f>
        <v/>
      </c>
      <c r="S19" s="181" t="str" cm="1">
        <f t="array" ref="S19">IF(OR(S$3="",$O19=""),"",1/((INDEX('Adjustment Surface'!$AN$4:$AN$23,MATCH(('Adjustment Surface'!$O19),'Adjustment Surface'!$AN$4:$AN$23,1)+IF('Adjustment Surface'!$O20="",-1,1))-INDEX('Adjustment Surface'!$AN$4:$AN$23,MATCH(('Adjustment Surface'!$O19),'Adjustment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Surface'!$O19),'Adjustment Surface'!$AN$4:$AN$23,1)),$AN$4:$AN$23,0),MATCH(INDEX('Adjustment Surface'!$AO$3:$BH$3,1,MATCH(('Adjustment Surface'!S$3),'Adjustment Surface'!$AO$3:$BH$3,1)),$AO$3:$BH$3,0))*(INDEX('Adjustment Surface'!$AN$4:$AN$23,MATCH(('Adjustment Surface'!$O19),'Adjustment Surface'!$AN$4:$AN$23,1)+IF('Adjustment Surface'!$O20="",-1,1))-'Adjustment Surface'!$O19)*(INDEX('Adjustment Surface'!$AO$3:$BH$3,1,MATCH(('Adjustment Surface'!S$3),'Adjustment Surface'!$AO$3:$BH$3,1)+IF('Adjustment Surface'!T$3="",-1,1))-'Adjustment Surface'!S$3)+INDEX($AO$4:$BH$23,MATCH(INDEX('Adjustment Surface'!$AN$4:$AN$23,MATCH(('Adjustment Surface'!$O19),'Adjustment Surface'!$AN$4:$AN$23,1)+IF('Adjustment Surface'!$O20="",-1,1)),$AN$4:$AN$23,0),MATCH(INDEX('Adjustment Surface'!$AO$3:$BH$3,1,MATCH(('Adjustment Surface'!S$3),'Adjustment Surface'!$AO$3:$BH$3,1)),$AO$3:$BH$3,0))*('Adjustment Surface'!$O19-INDEX('Adjustment Surface'!$AN$4:$AN$23,MATCH(('Adjustment Surface'!$O19),'Adjustment Surface'!$AN$4:$AN$23,1)))*(INDEX('Adjustment Surface'!$AO$3:$BH$3,1,MATCH(('Adjustment Surface'!S$3),'Adjustment Surface'!$AO$3:$BH$3,1)+IF('Adjustment Surface'!T$3="",-1,1))-'Adjustment Surface'!S$3)+INDEX($AO$4:$BH$23,MATCH(INDEX('Adjustment Surface'!$AN$4:$AN$23,MATCH(('Adjustment Surface'!$O19),'Adjustment Surface'!$AN$4:$AN$23,1)),$AN$4:$AN$23,0),MATCH(INDEX('Adjustment Surface'!$AO$3:$BH$3,1,MATCH(('Adjustment Surface'!S$3),'Adjustment Surface'!$AO$3:$BH$3,1)+IF('Adjustment Surface'!T$3="",-1,1)),$AO$3:$BH$3,0))*(INDEX('Adjustment Surface'!$AN$4:$AN$23,MATCH(('Adjustment Surface'!$O19),'Adjustment Surface'!$AN$4:$AN$23,1)+IF('Adjustment Surface'!$O20="",-1,1))-'Adjustment Surface'!$O19)*('Adjustment Surface'!S$3-INDEX('Adjustment Surface'!$AO$3:$BH$3,1,MATCH(('Adjustment Surface'!S$3),'Adjustment Surface'!$AO$3:$BH$3,1)))+INDEX($AO$4:$BH$23,MATCH(INDEX('Adjustment Surface'!$AN$4:$AN$23,MATCH(('Adjustment Surface'!$O19),'Adjustment Surface'!$AN$4:$AN$23,1)+IF('Adjustment Surface'!$O20="",-1,1)),$AN$4:$AN$23,0),MATCH(INDEX('Adjustment Surface'!$AO$3:$BH$3,1,MATCH(('Adjustment Surface'!S$3),'Adjustment Surface'!$AO$3:$BH$3,1)+IF('Adjustment Surface'!T$3="",-1,1)),$AO$3:$BH$3,0))*('Adjustment Surface'!$O19-INDEX('Adjustment Surface'!$AN$4:$AN$23,MATCH(('Adjustment Surface'!$O19),'Adjustment Surface'!$AN$4:$AN$23,1)))*('Adjustment Surface'!S$3-INDEX('Adjustment Surface'!$AO$3:$BH$3,1,MATCH(('Adjustment Surface'!S$3),'Adjustment Surface'!$AO$3:$BH$3,1)))))</f>
        <v/>
      </c>
      <c r="T19" s="181" t="str" cm="1">
        <f t="array" ref="T19">IF(OR(T$3="",$O19=""),"",1/((INDEX('Adjustment Surface'!$AN$4:$AN$23,MATCH(('Adjustment Surface'!$O19),'Adjustment Surface'!$AN$4:$AN$23,1)+IF('Adjustment Surface'!$O20="",-1,1))-INDEX('Adjustment Surface'!$AN$4:$AN$23,MATCH(('Adjustment Surface'!$O19),'Adjustment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Surface'!$O19),'Adjustment Surface'!$AN$4:$AN$23,1)),$AN$4:$AN$23,0),MATCH(INDEX('Adjustment Surface'!$AO$3:$BH$3,1,MATCH(('Adjustment Surface'!T$3),'Adjustment Surface'!$AO$3:$BH$3,1)),$AO$3:$BH$3,0))*(INDEX('Adjustment Surface'!$AN$4:$AN$23,MATCH(('Adjustment Surface'!$O19),'Adjustment Surface'!$AN$4:$AN$23,1)+IF('Adjustment Surface'!$O20="",-1,1))-'Adjustment Surface'!$O19)*(INDEX('Adjustment Surface'!$AO$3:$BH$3,1,MATCH(('Adjustment Surface'!T$3),'Adjustment Surface'!$AO$3:$BH$3,1)+IF('Adjustment Surface'!U$3="",-1,1))-'Adjustment Surface'!T$3)+INDEX($AO$4:$BH$23,MATCH(INDEX('Adjustment Surface'!$AN$4:$AN$23,MATCH(('Adjustment Surface'!$O19),'Adjustment Surface'!$AN$4:$AN$23,1)+IF('Adjustment Surface'!$O20="",-1,1)),$AN$4:$AN$23,0),MATCH(INDEX('Adjustment Surface'!$AO$3:$BH$3,1,MATCH(('Adjustment Surface'!T$3),'Adjustment Surface'!$AO$3:$BH$3,1)),$AO$3:$BH$3,0))*('Adjustment Surface'!$O19-INDEX('Adjustment Surface'!$AN$4:$AN$23,MATCH(('Adjustment Surface'!$O19),'Adjustment Surface'!$AN$4:$AN$23,1)))*(INDEX('Adjustment Surface'!$AO$3:$BH$3,1,MATCH(('Adjustment Surface'!T$3),'Adjustment Surface'!$AO$3:$BH$3,1)+IF('Adjustment Surface'!U$3="",-1,1))-'Adjustment Surface'!T$3)+INDEX($AO$4:$BH$23,MATCH(INDEX('Adjustment Surface'!$AN$4:$AN$23,MATCH(('Adjustment Surface'!$O19),'Adjustment Surface'!$AN$4:$AN$23,1)),$AN$4:$AN$23,0),MATCH(INDEX('Adjustment Surface'!$AO$3:$BH$3,1,MATCH(('Adjustment Surface'!T$3),'Adjustment Surface'!$AO$3:$BH$3,1)+IF('Adjustment Surface'!U$3="",-1,1)),$AO$3:$BH$3,0))*(INDEX('Adjustment Surface'!$AN$4:$AN$23,MATCH(('Adjustment Surface'!$O19),'Adjustment Surface'!$AN$4:$AN$23,1)+IF('Adjustment Surface'!$O20="",-1,1))-'Adjustment Surface'!$O19)*('Adjustment Surface'!T$3-INDEX('Adjustment Surface'!$AO$3:$BH$3,1,MATCH(('Adjustment Surface'!T$3),'Adjustment Surface'!$AO$3:$BH$3,1)))+INDEX($AO$4:$BH$23,MATCH(INDEX('Adjustment Surface'!$AN$4:$AN$23,MATCH(('Adjustment Surface'!$O19),'Adjustment Surface'!$AN$4:$AN$23,1)+IF('Adjustment Surface'!$O20="",-1,1)),$AN$4:$AN$23,0),MATCH(INDEX('Adjustment Surface'!$AO$3:$BH$3,1,MATCH(('Adjustment Surface'!T$3),'Adjustment Surface'!$AO$3:$BH$3,1)+IF('Adjustment Surface'!U$3="",-1,1)),$AO$3:$BH$3,0))*('Adjustment Surface'!$O19-INDEX('Adjustment Surface'!$AN$4:$AN$23,MATCH(('Adjustment Surface'!$O19),'Adjustment Surface'!$AN$4:$AN$23,1)))*('Adjustment Surface'!T$3-INDEX('Adjustment Surface'!$AO$3:$BH$3,1,MATCH(('Adjustment Surface'!T$3),'Adjustment Surface'!$AO$3:$BH$3,1)))))</f>
        <v/>
      </c>
      <c r="U19" s="181" t="str" cm="1">
        <f t="array" ref="U19">IF(OR(U$3="",$O19=""),"",1/((INDEX('Adjustment Surface'!$AN$4:$AN$23,MATCH(('Adjustment Surface'!$O19),'Adjustment Surface'!$AN$4:$AN$23,1)+IF('Adjustment Surface'!$O20="",-1,1))-INDEX('Adjustment Surface'!$AN$4:$AN$23,MATCH(('Adjustment Surface'!$O19),'Adjustment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Surface'!$O19),'Adjustment Surface'!$AN$4:$AN$23,1)),$AN$4:$AN$23,0),MATCH(INDEX('Adjustment Surface'!$AO$3:$BH$3,1,MATCH(('Adjustment Surface'!U$3),'Adjustment Surface'!$AO$3:$BH$3,1)),$AO$3:$BH$3,0))*(INDEX('Adjustment Surface'!$AN$4:$AN$23,MATCH(('Adjustment Surface'!$O19),'Adjustment Surface'!$AN$4:$AN$23,1)+IF('Adjustment Surface'!$O20="",-1,1))-'Adjustment Surface'!$O19)*(INDEX('Adjustment Surface'!$AO$3:$BH$3,1,MATCH(('Adjustment Surface'!U$3),'Adjustment Surface'!$AO$3:$BH$3,1)+IF('Adjustment Surface'!V$3="",-1,1))-'Adjustment Surface'!U$3)+INDEX($AO$4:$BH$23,MATCH(INDEX('Adjustment Surface'!$AN$4:$AN$23,MATCH(('Adjustment Surface'!$O19),'Adjustment Surface'!$AN$4:$AN$23,1)+IF('Adjustment Surface'!$O20="",-1,1)),$AN$4:$AN$23,0),MATCH(INDEX('Adjustment Surface'!$AO$3:$BH$3,1,MATCH(('Adjustment Surface'!U$3),'Adjustment Surface'!$AO$3:$BH$3,1)),$AO$3:$BH$3,0))*('Adjustment Surface'!$O19-INDEX('Adjustment Surface'!$AN$4:$AN$23,MATCH(('Adjustment Surface'!$O19),'Adjustment Surface'!$AN$4:$AN$23,1)))*(INDEX('Adjustment Surface'!$AO$3:$BH$3,1,MATCH(('Adjustment Surface'!U$3),'Adjustment Surface'!$AO$3:$BH$3,1)+IF('Adjustment Surface'!V$3="",-1,1))-'Adjustment Surface'!U$3)+INDEX($AO$4:$BH$23,MATCH(INDEX('Adjustment Surface'!$AN$4:$AN$23,MATCH(('Adjustment Surface'!$O19),'Adjustment Surface'!$AN$4:$AN$23,1)),$AN$4:$AN$23,0),MATCH(INDEX('Adjustment Surface'!$AO$3:$BH$3,1,MATCH(('Adjustment Surface'!U$3),'Adjustment Surface'!$AO$3:$BH$3,1)+IF('Adjustment Surface'!V$3="",-1,1)),$AO$3:$BH$3,0))*(INDEX('Adjustment Surface'!$AN$4:$AN$23,MATCH(('Adjustment Surface'!$O19),'Adjustment Surface'!$AN$4:$AN$23,1)+IF('Adjustment Surface'!$O20="",-1,1))-'Adjustment Surface'!$O19)*('Adjustment Surface'!U$3-INDEX('Adjustment Surface'!$AO$3:$BH$3,1,MATCH(('Adjustment Surface'!U$3),'Adjustment Surface'!$AO$3:$BH$3,1)))+INDEX($AO$4:$BH$23,MATCH(INDEX('Adjustment Surface'!$AN$4:$AN$23,MATCH(('Adjustment Surface'!$O19),'Adjustment Surface'!$AN$4:$AN$23,1)+IF('Adjustment Surface'!$O20="",-1,1)),$AN$4:$AN$23,0),MATCH(INDEX('Adjustment Surface'!$AO$3:$BH$3,1,MATCH(('Adjustment Surface'!U$3),'Adjustment Surface'!$AO$3:$BH$3,1)+IF('Adjustment Surface'!V$3="",-1,1)),$AO$3:$BH$3,0))*('Adjustment Surface'!$O19-INDEX('Adjustment Surface'!$AN$4:$AN$23,MATCH(('Adjustment Surface'!$O19),'Adjustment Surface'!$AN$4:$AN$23,1)))*('Adjustment Surface'!U$3-INDEX('Adjustment Surface'!$AO$3:$BH$3,1,MATCH(('Adjustment Surface'!U$3),'Adjustment Surface'!$AO$3:$BH$3,1)))))</f>
        <v/>
      </c>
      <c r="V19" s="181" t="str" cm="1">
        <f t="array" ref="V19">IF(OR(V$3="",$O19=""),"",1/((INDEX('Adjustment Surface'!$AN$4:$AN$23,MATCH(('Adjustment Surface'!$O19),'Adjustment Surface'!$AN$4:$AN$23,1)+IF('Adjustment Surface'!$O20="",-1,1))-INDEX('Adjustment Surface'!$AN$4:$AN$23,MATCH(('Adjustment Surface'!$O19),'Adjustment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Surface'!$O19),'Adjustment Surface'!$AN$4:$AN$23,1)),$AN$4:$AN$23,0),MATCH(INDEX('Adjustment Surface'!$AO$3:$BH$3,1,MATCH(('Adjustment Surface'!V$3),'Adjustment Surface'!$AO$3:$BH$3,1)),$AO$3:$BH$3,0))*(INDEX('Adjustment Surface'!$AN$4:$AN$23,MATCH(('Adjustment Surface'!$O19),'Adjustment Surface'!$AN$4:$AN$23,1)+IF('Adjustment Surface'!$O20="",-1,1))-'Adjustment Surface'!$O19)*(INDEX('Adjustment Surface'!$AO$3:$BH$3,1,MATCH(('Adjustment Surface'!V$3),'Adjustment Surface'!$AO$3:$BH$3,1)+IF('Adjustment Surface'!W$3="",-1,1))-'Adjustment Surface'!V$3)+INDEX($AO$4:$BH$23,MATCH(INDEX('Adjustment Surface'!$AN$4:$AN$23,MATCH(('Adjustment Surface'!$O19),'Adjustment Surface'!$AN$4:$AN$23,1)+IF('Adjustment Surface'!$O20="",-1,1)),$AN$4:$AN$23,0),MATCH(INDEX('Adjustment Surface'!$AO$3:$BH$3,1,MATCH(('Adjustment Surface'!V$3),'Adjustment Surface'!$AO$3:$BH$3,1)),$AO$3:$BH$3,0))*('Adjustment Surface'!$O19-INDEX('Adjustment Surface'!$AN$4:$AN$23,MATCH(('Adjustment Surface'!$O19),'Adjustment Surface'!$AN$4:$AN$23,1)))*(INDEX('Adjustment Surface'!$AO$3:$BH$3,1,MATCH(('Adjustment Surface'!V$3),'Adjustment Surface'!$AO$3:$BH$3,1)+IF('Adjustment Surface'!W$3="",-1,1))-'Adjustment Surface'!V$3)+INDEX($AO$4:$BH$23,MATCH(INDEX('Adjustment Surface'!$AN$4:$AN$23,MATCH(('Adjustment Surface'!$O19),'Adjustment Surface'!$AN$4:$AN$23,1)),$AN$4:$AN$23,0),MATCH(INDEX('Adjustment Surface'!$AO$3:$BH$3,1,MATCH(('Adjustment Surface'!V$3),'Adjustment Surface'!$AO$3:$BH$3,1)+IF('Adjustment Surface'!W$3="",-1,1)),$AO$3:$BH$3,0))*(INDEX('Adjustment Surface'!$AN$4:$AN$23,MATCH(('Adjustment Surface'!$O19),'Adjustment Surface'!$AN$4:$AN$23,1)+IF('Adjustment Surface'!$O20="",-1,1))-'Adjustment Surface'!$O19)*('Adjustment Surface'!V$3-INDEX('Adjustment Surface'!$AO$3:$BH$3,1,MATCH(('Adjustment Surface'!V$3),'Adjustment Surface'!$AO$3:$BH$3,1)))+INDEX($AO$4:$BH$23,MATCH(INDEX('Adjustment Surface'!$AN$4:$AN$23,MATCH(('Adjustment Surface'!$O19),'Adjustment Surface'!$AN$4:$AN$23,1)+IF('Adjustment Surface'!$O20="",-1,1)),$AN$4:$AN$23,0),MATCH(INDEX('Adjustment Surface'!$AO$3:$BH$3,1,MATCH(('Adjustment Surface'!V$3),'Adjustment Surface'!$AO$3:$BH$3,1)+IF('Adjustment Surface'!W$3="",-1,1)),$AO$3:$BH$3,0))*('Adjustment Surface'!$O19-INDEX('Adjustment Surface'!$AN$4:$AN$23,MATCH(('Adjustment Surface'!$O19),'Adjustment Surface'!$AN$4:$AN$23,1)))*('Adjustment Surface'!V$3-INDEX('Adjustment Surface'!$AO$3:$BH$3,1,MATCH(('Adjustment Surface'!V$3),'Adjustment Surface'!$AO$3:$BH$3,1)))))</f>
        <v/>
      </c>
      <c r="W19" s="181" t="str" cm="1">
        <f t="array" ref="W19">IF(OR(W$3="",$O19=""),"",1/((INDEX('Adjustment Surface'!$AN$4:$AN$23,MATCH(('Adjustment Surface'!$O19),'Adjustment Surface'!$AN$4:$AN$23,1)+IF('Adjustment Surface'!$O20="",-1,1))-INDEX('Adjustment Surface'!$AN$4:$AN$23,MATCH(('Adjustment Surface'!$O19),'Adjustment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Surface'!$O19),'Adjustment Surface'!$AN$4:$AN$23,1)),$AN$4:$AN$23,0),MATCH(INDEX('Adjustment Surface'!$AO$3:$BH$3,1,MATCH(('Adjustment Surface'!W$3),'Adjustment Surface'!$AO$3:$BH$3,1)),$AO$3:$BH$3,0))*(INDEX('Adjustment Surface'!$AN$4:$AN$23,MATCH(('Adjustment Surface'!$O19),'Adjustment Surface'!$AN$4:$AN$23,1)+IF('Adjustment Surface'!$O20="",-1,1))-'Adjustment Surface'!$O19)*(INDEX('Adjustment Surface'!$AO$3:$BH$3,1,MATCH(('Adjustment Surface'!W$3),'Adjustment Surface'!$AO$3:$BH$3,1)+IF('Adjustment Surface'!X$3="",-1,1))-'Adjustment Surface'!W$3)+INDEX($AO$4:$BH$23,MATCH(INDEX('Adjustment Surface'!$AN$4:$AN$23,MATCH(('Adjustment Surface'!$O19),'Adjustment Surface'!$AN$4:$AN$23,1)+IF('Adjustment Surface'!$O20="",-1,1)),$AN$4:$AN$23,0),MATCH(INDEX('Adjustment Surface'!$AO$3:$BH$3,1,MATCH(('Adjustment Surface'!W$3),'Adjustment Surface'!$AO$3:$BH$3,1)),$AO$3:$BH$3,0))*('Adjustment Surface'!$O19-INDEX('Adjustment Surface'!$AN$4:$AN$23,MATCH(('Adjustment Surface'!$O19),'Adjustment Surface'!$AN$4:$AN$23,1)))*(INDEX('Adjustment Surface'!$AO$3:$BH$3,1,MATCH(('Adjustment Surface'!W$3),'Adjustment Surface'!$AO$3:$BH$3,1)+IF('Adjustment Surface'!X$3="",-1,1))-'Adjustment Surface'!W$3)+INDEX($AO$4:$BH$23,MATCH(INDEX('Adjustment Surface'!$AN$4:$AN$23,MATCH(('Adjustment Surface'!$O19),'Adjustment Surface'!$AN$4:$AN$23,1)),$AN$4:$AN$23,0),MATCH(INDEX('Adjustment Surface'!$AO$3:$BH$3,1,MATCH(('Adjustment Surface'!W$3),'Adjustment Surface'!$AO$3:$BH$3,1)+IF('Adjustment Surface'!X$3="",-1,1)),$AO$3:$BH$3,0))*(INDEX('Adjustment Surface'!$AN$4:$AN$23,MATCH(('Adjustment Surface'!$O19),'Adjustment Surface'!$AN$4:$AN$23,1)+IF('Adjustment Surface'!$O20="",-1,1))-'Adjustment Surface'!$O19)*('Adjustment Surface'!W$3-INDEX('Adjustment Surface'!$AO$3:$BH$3,1,MATCH(('Adjustment Surface'!W$3),'Adjustment Surface'!$AO$3:$BH$3,1)))+INDEX($AO$4:$BH$23,MATCH(INDEX('Adjustment Surface'!$AN$4:$AN$23,MATCH(('Adjustment Surface'!$O19),'Adjustment Surface'!$AN$4:$AN$23,1)+IF('Adjustment Surface'!$O20="",-1,1)),$AN$4:$AN$23,0),MATCH(INDEX('Adjustment Surface'!$AO$3:$BH$3,1,MATCH(('Adjustment Surface'!W$3),'Adjustment Surface'!$AO$3:$BH$3,1)+IF('Adjustment Surface'!X$3="",-1,1)),$AO$3:$BH$3,0))*('Adjustment Surface'!$O19-INDEX('Adjustment Surface'!$AN$4:$AN$23,MATCH(('Adjustment Surface'!$O19),'Adjustment Surface'!$AN$4:$AN$23,1)))*('Adjustment Surface'!W$3-INDEX('Adjustment Surface'!$AO$3:$BH$3,1,MATCH(('Adjustment Surface'!W$3),'Adjustment Surface'!$AO$3:$BH$3,1)))))</f>
        <v/>
      </c>
      <c r="X19" s="181" t="str" cm="1">
        <f t="array" ref="X19">IF(OR(X$3="",$O19=""),"",1/((INDEX('Adjustment Surface'!$AN$4:$AN$23,MATCH(('Adjustment Surface'!$O19),'Adjustment Surface'!$AN$4:$AN$23,1)+IF('Adjustment Surface'!$O20="",-1,1))-INDEX('Adjustment Surface'!$AN$4:$AN$23,MATCH(('Adjustment Surface'!$O19),'Adjustment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Surface'!$O19),'Adjustment Surface'!$AN$4:$AN$23,1)),$AN$4:$AN$23,0),MATCH(INDEX('Adjustment Surface'!$AO$3:$BH$3,1,MATCH(('Adjustment Surface'!X$3),'Adjustment Surface'!$AO$3:$BH$3,1)),$AO$3:$BH$3,0))*(INDEX('Adjustment Surface'!$AN$4:$AN$23,MATCH(('Adjustment Surface'!$O19),'Adjustment Surface'!$AN$4:$AN$23,1)+IF('Adjustment Surface'!$O20="",-1,1))-'Adjustment Surface'!$O19)*(INDEX('Adjustment Surface'!$AO$3:$BH$3,1,MATCH(('Adjustment Surface'!X$3),'Adjustment Surface'!$AO$3:$BH$3,1)+IF('Adjustment Surface'!Y$3="",-1,1))-'Adjustment Surface'!X$3)+INDEX($AO$4:$BH$23,MATCH(INDEX('Adjustment Surface'!$AN$4:$AN$23,MATCH(('Adjustment Surface'!$O19),'Adjustment Surface'!$AN$4:$AN$23,1)+IF('Adjustment Surface'!$O20="",-1,1)),$AN$4:$AN$23,0),MATCH(INDEX('Adjustment Surface'!$AO$3:$BH$3,1,MATCH(('Adjustment Surface'!X$3),'Adjustment Surface'!$AO$3:$BH$3,1)),$AO$3:$BH$3,0))*('Adjustment Surface'!$O19-INDEX('Adjustment Surface'!$AN$4:$AN$23,MATCH(('Adjustment Surface'!$O19),'Adjustment Surface'!$AN$4:$AN$23,1)))*(INDEX('Adjustment Surface'!$AO$3:$BH$3,1,MATCH(('Adjustment Surface'!X$3),'Adjustment Surface'!$AO$3:$BH$3,1)+IF('Adjustment Surface'!Y$3="",-1,1))-'Adjustment Surface'!X$3)+INDEX($AO$4:$BH$23,MATCH(INDEX('Adjustment Surface'!$AN$4:$AN$23,MATCH(('Adjustment Surface'!$O19),'Adjustment Surface'!$AN$4:$AN$23,1)),$AN$4:$AN$23,0),MATCH(INDEX('Adjustment Surface'!$AO$3:$BH$3,1,MATCH(('Adjustment Surface'!X$3),'Adjustment Surface'!$AO$3:$BH$3,1)+IF('Adjustment Surface'!Y$3="",-1,1)),$AO$3:$BH$3,0))*(INDEX('Adjustment Surface'!$AN$4:$AN$23,MATCH(('Adjustment Surface'!$O19),'Adjustment Surface'!$AN$4:$AN$23,1)+IF('Adjustment Surface'!$O20="",-1,1))-'Adjustment Surface'!$O19)*('Adjustment Surface'!X$3-INDEX('Adjustment Surface'!$AO$3:$BH$3,1,MATCH(('Adjustment Surface'!X$3),'Adjustment Surface'!$AO$3:$BH$3,1)))+INDEX($AO$4:$BH$23,MATCH(INDEX('Adjustment Surface'!$AN$4:$AN$23,MATCH(('Adjustment Surface'!$O19),'Adjustment Surface'!$AN$4:$AN$23,1)+IF('Adjustment Surface'!$O20="",-1,1)),$AN$4:$AN$23,0),MATCH(INDEX('Adjustment Surface'!$AO$3:$BH$3,1,MATCH(('Adjustment Surface'!X$3),'Adjustment Surface'!$AO$3:$BH$3,1)+IF('Adjustment Surface'!Y$3="",-1,1)),$AO$3:$BH$3,0))*('Adjustment Surface'!$O19-INDEX('Adjustment Surface'!$AN$4:$AN$23,MATCH(('Adjustment Surface'!$O19),'Adjustment Surface'!$AN$4:$AN$23,1)))*('Adjustment Surface'!X$3-INDEX('Adjustment Surface'!$AO$3:$BH$3,1,MATCH(('Adjustment Surface'!X$3),'Adjustment Surface'!$AO$3:$BH$3,1)))))</f>
        <v/>
      </c>
      <c r="Y19" s="181" t="str" cm="1">
        <f t="array" ref="Y19">IF(OR(Y$3="",$O19=""),"",1/((INDEX('Adjustment Surface'!$AN$4:$AN$23,MATCH(('Adjustment Surface'!$O19),'Adjustment Surface'!$AN$4:$AN$23,1)+IF('Adjustment Surface'!$O20="",-1,1))-INDEX('Adjustment Surface'!$AN$4:$AN$23,MATCH(('Adjustment Surface'!$O19),'Adjustment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Surface'!$O19),'Adjustment Surface'!$AN$4:$AN$23,1)),$AN$4:$AN$23,0),MATCH(INDEX('Adjustment Surface'!$AO$3:$BH$3,1,MATCH(('Adjustment Surface'!Y$3),'Adjustment Surface'!$AO$3:$BH$3,1)),$AO$3:$BH$3,0))*(INDEX('Adjustment Surface'!$AN$4:$AN$23,MATCH(('Adjustment Surface'!$O19),'Adjustment Surface'!$AN$4:$AN$23,1)+IF('Adjustment Surface'!$O20="",-1,1))-'Adjustment Surface'!$O19)*(INDEX('Adjustment Surface'!$AO$3:$BH$3,1,MATCH(('Adjustment Surface'!Y$3),'Adjustment Surface'!$AO$3:$BH$3,1)+IF('Adjustment Surface'!Z$3="",-1,1))-'Adjustment Surface'!Y$3)+INDEX($AO$4:$BH$23,MATCH(INDEX('Adjustment Surface'!$AN$4:$AN$23,MATCH(('Adjustment Surface'!$O19),'Adjustment Surface'!$AN$4:$AN$23,1)+IF('Adjustment Surface'!$O20="",-1,1)),$AN$4:$AN$23,0),MATCH(INDEX('Adjustment Surface'!$AO$3:$BH$3,1,MATCH(('Adjustment Surface'!Y$3),'Adjustment Surface'!$AO$3:$BH$3,1)),$AO$3:$BH$3,0))*('Adjustment Surface'!$O19-INDEX('Adjustment Surface'!$AN$4:$AN$23,MATCH(('Adjustment Surface'!$O19),'Adjustment Surface'!$AN$4:$AN$23,1)))*(INDEX('Adjustment Surface'!$AO$3:$BH$3,1,MATCH(('Adjustment Surface'!Y$3),'Adjustment Surface'!$AO$3:$BH$3,1)+IF('Adjustment Surface'!Z$3="",-1,1))-'Adjustment Surface'!Y$3)+INDEX($AO$4:$BH$23,MATCH(INDEX('Adjustment Surface'!$AN$4:$AN$23,MATCH(('Adjustment Surface'!$O19),'Adjustment Surface'!$AN$4:$AN$23,1)),$AN$4:$AN$23,0),MATCH(INDEX('Adjustment Surface'!$AO$3:$BH$3,1,MATCH(('Adjustment Surface'!Y$3),'Adjustment Surface'!$AO$3:$BH$3,1)+IF('Adjustment Surface'!Z$3="",-1,1)),$AO$3:$BH$3,0))*(INDEX('Adjustment Surface'!$AN$4:$AN$23,MATCH(('Adjustment Surface'!$O19),'Adjustment Surface'!$AN$4:$AN$23,1)+IF('Adjustment Surface'!$O20="",-1,1))-'Adjustment Surface'!$O19)*('Adjustment Surface'!Y$3-INDEX('Adjustment Surface'!$AO$3:$BH$3,1,MATCH(('Adjustment Surface'!Y$3),'Adjustment Surface'!$AO$3:$BH$3,1)))+INDEX($AO$4:$BH$23,MATCH(INDEX('Adjustment Surface'!$AN$4:$AN$23,MATCH(('Adjustment Surface'!$O19),'Adjustment Surface'!$AN$4:$AN$23,1)+IF('Adjustment Surface'!$O20="",-1,1)),$AN$4:$AN$23,0),MATCH(INDEX('Adjustment Surface'!$AO$3:$BH$3,1,MATCH(('Adjustment Surface'!Y$3),'Adjustment Surface'!$AO$3:$BH$3,1)+IF('Adjustment Surface'!Z$3="",-1,1)),$AO$3:$BH$3,0))*('Adjustment Surface'!$O19-INDEX('Adjustment Surface'!$AN$4:$AN$23,MATCH(('Adjustment Surface'!$O19),'Adjustment Surface'!$AN$4:$AN$23,1)))*('Adjustment Surface'!Y$3-INDEX('Adjustment Surface'!$AO$3:$BH$3,1,MATCH(('Adjustment Surface'!Y$3),'Adjustment Surface'!$AO$3:$BH$3,1)))))</f>
        <v/>
      </c>
      <c r="Z19" s="181" t="str" cm="1">
        <f t="array" ref="Z19">IF(OR(Z$3="",$O19=""),"",1/((INDEX('Adjustment Surface'!$AN$4:$AN$23,MATCH(('Adjustment Surface'!$O19),'Adjustment Surface'!$AN$4:$AN$23,1)+IF('Adjustment Surface'!$O20="",-1,1))-INDEX('Adjustment Surface'!$AN$4:$AN$23,MATCH(('Adjustment Surface'!$O19),'Adjustment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Surface'!$O19),'Adjustment Surface'!$AN$4:$AN$23,1)),$AN$4:$AN$23,0),MATCH(INDEX('Adjustment Surface'!$AO$3:$BH$3,1,MATCH(('Adjustment Surface'!Z$3),'Adjustment Surface'!$AO$3:$BH$3,1)),$AO$3:$BH$3,0))*(INDEX('Adjustment Surface'!$AN$4:$AN$23,MATCH(('Adjustment Surface'!$O19),'Adjustment Surface'!$AN$4:$AN$23,1)+IF('Adjustment Surface'!$O20="",-1,1))-'Adjustment Surface'!$O19)*(INDEX('Adjustment Surface'!$AO$3:$BH$3,1,MATCH(('Adjustment Surface'!Z$3),'Adjustment Surface'!$AO$3:$BH$3,1)+IF('Adjustment Surface'!AA$3="",-1,1))-'Adjustment Surface'!Z$3)+INDEX($AO$4:$BH$23,MATCH(INDEX('Adjustment Surface'!$AN$4:$AN$23,MATCH(('Adjustment Surface'!$O19),'Adjustment Surface'!$AN$4:$AN$23,1)+IF('Adjustment Surface'!$O20="",-1,1)),$AN$4:$AN$23,0),MATCH(INDEX('Adjustment Surface'!$AO$3:$BH$3,1,MATCH(('Adjustment Surface'!Z$3),'Adjustment Surface'!$AO$3:$BH$3,1)),$AO$3:$BH$3,0))*('Adjustment Surface'!$O19-INDEX('Adjustment Surface'!$AN$4:$AN$23,MATCH(('Adjustment Surface'!$O19),'Adjustment Surface'!$AN$4:$AN$23,1)))*(INDEX('Adjustment Surface'!$AO$3:$BH$3,1,MATCH(('Adjustment Surface'!Z$3),'Adjustment Surface'!$AO$3:$BH$3,1)+IF('Adjustment Surface'!AA$3="",-1,1))-'Adjustment Surface'!Z$3)+INDEX($AO$4:$BH$23,MATCH(INDEX('Adjustment Surface'!$AN$4:$AN$23,MATCH(('Adjustment Surface'!$O19),'Adjustment Surface'!$AN$4:$AN$23,1)),$AN$4:$AN$23,0),MATCH(INDEX('Adjustment Surface'!$AO$3:$BH$3,1,MATCH(('Adjustment Surface'!Z$3),'Adjustment Surface'!$AO$3:$BH$3,1)+IF('Adjustment Surface'!AA$3="",-1,1)),$AO$3:$BH$3,0))*(INDEX('Adjustment Surface'!$AN$4:$AN$23,MATCH(('Adjustment Surface'!$O19),'Adjustment Surface'!$AN$4:$AN$23,1)+IF('Adjustment Surface'!$O20="",-1,1))-'Adjustment Surface'!$O19)*('Adjustment Surface'!Z$3-INDEX('Adjustment Surface'!$AO$3:$BH$3,1,MATCH(('Adjustment Surface'!Z$3),'Adjustment Surface'!$AO$3:$BH$3,1)))+INDEX($AO$4:$BH$23,MATCH(INDEX('Adjustment Surface'!$AN$4:$AN$23,MATCH(('Adjustment Surface'!$O19),'Adjustment Surface'!$AN$4:$AN$23,1)+IF('Adjustment Surface'!$O20="",-1,1)),$AN$4:$AN$23,0),MATCH(INDEX('Adjustment Surface'!$AO$3:$BH$3,1,MATCH(('Adjustment Surface'!Z$3),'Adjustment Surface'!$AO$3:$BH$3,1)+IF('Adjustment Surface'!AA$3="",-1,1)),$AO$3:$BH$3,0))*('Adjustment Surface'!$O19-INDEX('Adjustment Surface'!$AN$4:$AN$23,MATCH(('Adjustment Surface'!$O19),'Adjustment Surface'!$AN$4:$AN$23,1)))*('Adjustment Surface'!Z$3-INDEX('Adjustment Surface'!$AO$3:$BH$3,1,MATCH(('Adjustment Surface'!Z$3),'Adjustment Surface'!$AO$3:$BH$3,1)))))</f>
        <v/>
      </c>
      <c r="AA19" s="181" t="str" cm="1">
        <f t="array" ref="AA19">IF(OR(AA$3="",$O19=""),"",1/((INDEX('Adjustment Surface'!$AN$4:$AN$23,MATCH(('Adjustment Surface'!$O19),'Adjustment Surface'!$AN$4:$AN$23,1)+IF('Adjustment Surface'!$O20="",-1,1))-INDEX('Adjustment Surface'!$AN$4:$AN$23,MATCH(('Adjustment Surface'!$O19),'Adjustment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Surface'!$O19),'Adjustment Surface'!$AN$4:$AN$23,1)),$AN$4:$AN$23,0),MATCH(INDEX('Adjustment Surface'!$AO$3:$BH$3,1,MATCH(('Adjustment Surface'!AA$3),'Adjustment Surface'!$AO$3:$BH$3,1)),$AO$3:$BH$3,0))*(INDEX('Adjustment Surface'!$AN$4:$AN$23,MATCH(('Adjustment Surface'!$O19),'Adjustment Surface'!$AN$4:$AN$23,1)+IF('Adjustment Surface'!$O20="",-1,1))-'Adjustment Surface'!$O19)*(INDEX('Adjustment Surface'!$AO$3:$BH$3,1,MATCH(('Adjustment Surface'!AA$3),'Adjustment Surface'!$AO$3:$BH$3,1)+IF('Adjustment Surface'!AB$3="",-1,1))-'Adjustment Surface'!AA$3)+INDEX($AO$4:$BH$23,MATCH(INDEX('Adjustment Surface'!$AN$4:$AN$23,MATCH(('Adjustment Surface'!$O19),'Adjustment Surface'!$AN$4:$AN$23,1)+IF('Adjustment Surface'!$O20="",-1,1)),$AN$4:$AN$23,0),MATCH(INDEX('Adjustment Surface'!$AO$3:$BH$3,1,MATCH(('Adjustment Surface'!AA$3),'Adjustment Surface'!$AO$3:$BH$3,1)),$AO$3:$BH$3,0))*('Adjustment Surface'!$O19-INDEX('Adjustment Surface'!$AN$4:$AN$23,MATCH(('Adjustment Surface'!$O19),'Adjustment Surface'!$AN$4:$AN$23,1)))*(INDEX('Adjustment Surface'!$AO$3:$BH$3,1,MATCH(('Adjustment Surface'!AA$3),'Adjustment Surface'!$AO$3:$BH$3,1)+IF('Adjustment Surface'!AB$3="",-1,1))-'Adjustment Surface'!AA$3)+INDEX($AO$4:$BH$23,MATCH(INDEX('Adjustment Surface'!$AN$4:$AN$23,MATCH(('Adjustment Surface'!$O19),'Adjustment Surface'!$AN$4:$AN$23,1)),$AN$4:$AN$23,0),MATCH(INDEX('Adjustment Surface'!$AO$3:$BH$3,1,MATCH(('Adjustment Surface'!AA$3),'Adjustment Surface'!$AO$3:$BH$3,1)+IF('Adjustment Surface'!AB$3="",-1,1)),$AO$3:$BH$3,0))*(INDEX('Adjustment Surface'!$AN$4:$AN$23,MATCH(('Adjustment Surface'!$O19),'Adjustment Surface'!$AN$4:$AN$23,1)+IF('Adjustment Surface'!$O20="",-1,1))-'Adjustment Surface'!$O19)*('Adjustment Surface'!AA$3-INDEX('Adjustment Surface'!$AO$3:$BH$3,1,MATCH(('Adjustment Surface'!AA$3),'Adjustment Surface'!$AO$3:$BH$3,1)))+INDEX($AO$4:$BH$23,MATCH(INDEX('Adjustment Surface'!$AN$4:$AN$23,MATCH(('Adjustment Surface'!$O19),'Adjustment Surface'!$AN$4:$AN$23,1)+IF('Adjustment Surface'!$O20="",-1,1)),$AN$4:$AN$23,0),MATCH(INDEX('Adjustment Surface'!$AO$3:$BH$3,1,MATCH(('Adjustment Surface'!AA$3),'Adjustment Surface'!$AO$3:$BH$3,1)+IF('Adjustment Surface'!AB$3="",-1,1)),$AO$3:$BH$3,0))*('Adjustment Surface'!$O19-INDEX('Adjustment Surface'!$AN$4:$AN$23,MATCH(('Adjustment Surface'!$O19),'Adjustment Surface'!$AN$4:$AN$23,1)))*('Adjustment Surface'!AA$3-INDEX('Adjustment Surface'!$AO$3:$BH$3,1,MATCH(('Adjustment Surface'!AA$3),'Adjustment Surface'!$AO$3:$BH$3,1)))))</f>
        <v/>
      </c>
      <c r="AB19" s="181" t="str" cm="1">
        <f t="array" ref="AB19">IF(OR(AB$3="",$O19=""),"",1/((INDEX('Adjustment Surface'!$AN$4:$AN$23,MATCH(('Adjustment Surface'!$O19),'Adjustment Surface'!$AN$4:$AN$23,1)+IF('Adjustment Surface'!$O20="",-1,1))-INDEX('Adjustment Surface'!$AN$4:$AN$23,MATCH(('Adjustment Surface'!$O19),'Adjustment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Surface'!$O19),'Adjustment Surface'!$AN$4:$AN$23,1)),$AN$4:$AN$23,0),MATCH(INDEX('Adjustment Surface'!$AO$3:$BH$3,1,MATCH(('Adjustment Surface'!AB$3),'Adjustment Surface'!$AO$3:$BH$3,1)),$AO$3:$BH$3,0))*(INDEX('Adjustment Surface'!$AN$4:$AN$23,MATCH(('Adjustment Surface'!$O19),'Adjustment Surface'!$AN$4:$AN$23,1)+IF('Adjustment Surface'!$O20="",-1,1))-'Adjustment Surface'!$O19)*(INDEX('Adjustment Surface'!$AO$3:$BH$3,1,MATCH(('Adjustment Surface'!AB$3),'Adjustment Surface'!$AO$3:$BH$3,1)+IF('Adjustment Surface'!AC$3="",-1,1))-'Adjustment Surface'!AB$3)+INDEX($AO$4:$BH$23,MATCH(INDEX('Adjustment Surface'!$AN$4:$AN$23,MATCH(('Adjustment Surface'!$O19),'Adjustment Surface'!$AN$4:$AN$23,1)+IF('Adjustment Surface'!$O20="",-1,1)),$AN$4:$AN$23,0),MATCH(INDEX('Adjustment Surface'!$AO$3:$BH$3,1,MATCH(('Adjustment Surface'!AB$3),'Adjustment Surface'!$AO$3:$BH$3,1)),$AO$3:$BH$3,0))*('Adjustment Surface'!$O19-INDEX('Adjustment Surface'!$AN$4:$AN$23,MATCH(('Adjustment Surface'!$O19),'Adjustment Surface'!$AN$4:$AN$23,1)))*(INDEX('Adjustment Surface'!$AO$3:$BH$3,1,MATCH(('Adjustment Surface'!AB$3),'Adjustment Surface'!$AO$3:$BH$3,1)+IF('Adjustment Surface'!AC$3="",-1,1))-'Adjustment Surface'!AB$3)+INDEX($AO$4:$BH$23,MATCH(INDEX('Adjustment Surface'!$AN$4:$AN$23,MATCH(('Adjustment Surface'!$O19),'Adjustment Surface'!$AN$4:$AN$23,1)),$AN$4:$AN$23,0),MATCH(INDEX('Adjustment Surface'!$AO$3:$BH$3,1,MATCH(('Adjustment Surface'!AB$3),'Adjustment Surface'!$AO$3:$BH$3,1)+IF('Adjustment Surface'!AC$3="",-1,1)),$AO$3:$BH$3,0))*(INDEX('Adjustment Surface'!$AN$4:$AN$23,MATCH(('Adjustment Surface'!$O19),'Adjustment Surface'!$AN$4:$AN$23,1)+IF('Adjustment Surface'!$O20="",-1,1))-'Adjustment Surface'!$O19)*('Adjustment Surface'!AB$3-INDEX('Adjustment Surface'!$AO$3:$BH$3,1,MATCH(('Adjustment Surface'!AB$3),'Adjustment Surface'!$AO$3:$BH$3,1)))+INDEX($AO$4:$BH$23,MATCH(INDEX('Adjustment Surface'!$AN$4:$AN$23,MATCH(('Adjustment Surface'!$O19),'Adjustment Surface'!$AN$4:$AN$23,1)+IF('Adjustment Surface'!$O20="",-1,1)),$AN$4:$AN$23,0),MATCH(INDEX('Adjustment Surface'!$AO$3:$BH$3,1,MATCH(('Adjustment Surface'!AB$3),'Adjustment Surface'!$AO$3:$BH$3,1)+IF('Adjustment Surface'!AC$3="",-1,1)),$AO$3:$BH$3,0))*('Adjustment Surface'!$O19-INDEX('Adjustment Surface'!$AN$4:$AN$23,MATCH(('Adjustment Surface'!$O19),'Adjustment Surface'!$AN$4:$AN$23,1)))*('Adjustment Surface'!AB$3-INDEX('Adjustment Surface'!$AO$3:$BH$3,1,MATCH(('Adjustment Surface'!AB$3),'Adjustment Surface'!$AO$3:$BH$3,1)))))</f>
        <v/>
      </c>
      <c r="AC19" s="181" t="str" cm="1">
        <f t="array" ref="AC19">IF(OR(AC$3="",$O19=""),"",1/((INDEX('Adjustment Surface'!$AN$4:$AN$23,MATCH(('Adjustment Surface'!$O19),'Adjustment Surface'!$AN$4:$AN$23,1)+IF('Adjustment Surface'!$O20="",-1,1))-INDEX('Adjustment Surface'!$AN$4:$AN$23,MATCH(('Adjustment Surface'!$O19),'Adjustment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Surface'!$O19),'Adjustment Surface'!$AN$4:$AN$23,1)),$AN$4:$AN$23,0),MATCH(INDEX('Adjustment Surface'!$AO$3:$BH$3,1,MATCH(('Adjustment Surface'!AC$3),'Adjustment Surface'!$AO$3:$BH$3,1)),$AO$3:$BH$3,0))*(INDEX('Adjustment Surface'!$AN$4:$AN$23,MATCH(('Adjustment Surface'!$O19),'Adjustment Surface'!$AN$4:$AN$23,1)+IF('Adjustment Surface'!$O20="",-1,1))-'Adjustment Surface'!$O19)*(INDEX('Adjustment Surface'!$AO$3:$BH$3,1,MATCH(('Adjustment Surface'!AC$3),'Adjustment Surface'!$AO$3:$BH$3,1)+IF('Adjustment Surface'!AD$3="",-1,1))-'Adjustment Surface'!AC$3)+INDEX($AO$4:$BH$23,MATCH(INDEX('Adjustment Surface'!$AN$4:$AN$23,MATCH(('Adjustment Surface'!$O19),'Adjustment Surface'!$AN$4:$AN$23,1)+IF('Adjustment Surface'!$O20="",-1,1)),$AN$4:$AN$23,0),MATCH(INDEX('Adjustment Surface'!$AO$3:$BH$3,1,MATCH(('Adjustment Surface'!AC$3),'Adjustment Surface'!$AO$3:$BH$3,1)),$AO$3:$BH$3,0))*('Adjustment Surface'!$O19-INDEX('Adjustment Surface'!$AN$4:$AN$23,MATCH(('Adjustment Surface'!$O19),'Adjustment Surface'!$AN$4:$AN$23,1)))*(INDEX('Adjustment Surface'!$AO$3:$BH$3,1,MATCH(('Adjustment Surface'!AC$3),'Adjustment Surface'!$AO$3:$BH$3,1)+IF('Adjustment Surface'!AD$3="",-1,1))-'Adjustment Surface'!AC$3)+INDEX($AO$4:$BH$23,MATCH(INDEX('Adjustment Surface'!$AN$4:$AN$23,MATCH(('Adjustment Surface'!$O19),'Adjustment Surface'!$AN$4:$AN$23,1)),$AN$4:$AN$23,0),MATCH(INDEX('Adjustment Surface'!$AO$3:$BH$3,1,MATCH(('Adjustment Surface'!AC$3),'Adjustment Surface'!$AO$3:$BH$3,1)+IF('Adjustment Surface'!AD$3="",-1,1)),$AO$3:$BH$3,0))*(INDEX('Adjustment Surface'!$AN$4:$AN$23,MATCH(('Adjustment Surface'!$O19),'Adjustment Surface'!$AN$4:$AN$23,1)+IF('Adjustment Surface'!$O20="",-1,1))-'Adjustment Surface'!$O19)*('Adjustment Surface'!AC$3-INDEX('Adjustment Surface'!$AO$3:$BH$3,1,MATCH(('Adjustment Surface'!AC$3),'Adjustment Surface'!$AO$3:$BH$3,1)))+INDEX($AO$4:$BH$23,MATCH(INDEX('Adjustment Surface'!$AN$4:$AN$23,MATCH(('Adjustment Surface'!$O19),'Adjustment Surface'!$AN$4:$AN$23,1)+IF('Adjustment Surface'!$O20="",-1,1)),$AN$4:$AN$23,0),MATCH(INDEX('Adjustment Surface'!$AO$3:$BH$3,1,MATCH(('Adjustment Surface'!AC$3),'Adjustment Surface'!$AO$3:$BH$3,1)+IF('Adjustment Surface'!AD$3="",-1,1)),$AO$3:$BH$3,0))*('Adjustment Surface'!$O19-INDEX('Adjustment Surface'!$AN$4:$AN$23,MATCH(('Adjustment Surface'!$O19),'Adjustment Surface'!$AN$4:$AN$23,1)))*('Adjustment Surface'!AC$3-INDEX('Adjustment Surface'!$AO$3:$BH$3,1,MATCH(('Adjustment Surface'!AC$3),'Adjustment Surface'!$AO$3:$BH$3,1)))))</f>
        <v/>
      </c>
      <c r="AD19" s="181" t="str" cm="1">
        <f t="array" ref="AD19">IF(OR(AD$3="",$O19=""),"",1/((INDEX('Adjustment Surface'!$AN$4:$AN$23,MATCH(('Adjustment Surface'!$O19),'Adjustment Surface'!$AN$4:$AN$23,1)+IF('Adjustment Surface'!$O20="",-1,1))-INDEX('Adjustment Surface'!$AN$4:$AN$23,MATCH(('Adjustment Surface'!$O19),'Adjustment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Surface'!$O19),'Adjustment Surface'!$AN$4:$AN$23,1)),$AN$4:$AN$23,0),MATCH(INDEX('Adjustment Surface'!$AO$3:$BH$3,1,MATCH(('Adjustment Surface'!AD$3),'Adjustment Surface'!$AO$3:$BH$3,1)),$AO$3:$BH$3,0))*(INDEX('Adjustment Surface'!$AN$4:$AN$23,MATCH(('Adjustment Surface'!$O19),'Adjustment Surface'!$AN$4:$AN$23,1)+IF('Adjustment Surface'!$O20="",-1,1))-'Adjustment Surface'!$O19)*(INDEX('Adjustment Surface'!$AO$3:$BH$3,1,MATCH(('Adjustment Surface'!AD$3),'Adjustment Surface'!$AO$3:$BH$3,1)+IF('Adjustment Surface'!AE$3="",-1,1))-'Adjustment Surface'!AD$3)+INDEX($AO$4:$BH$23,MATCH(INDEX('Adjustment Surface'!$AN$4:$AN$23,MATCH(('Adjustment Surface'!$O19),'Adjustment Surface'!$AN$4:$AN$23,1)+IF('Adjustment Surface'!$O20="",-1,1)),$AN$4:$AN$23,0),MATCH(INDEX('Adjustment Surface'!$AO$3:$BH$3,1,MATCH(('Adjustment Surface'!AD$3),'Adjustment Surface'!$AO$3:$BH$3,1)),$AO$3:$BH$3,0))*('Adjustment Surface'!$O19-INDEX('Adjustment Surface'!$AN$4:$AN$23,MATCH(('Adjustment Surface'!$O19),'Adjustment Surface'!$AN$4:$AN$23,1)))*(INDEX('Adjustment Surface'!$AO$3:$BH$3,1,MATCH(('Adjustment Surface'!AD$3),'Adjustment Surface'!$AO$3:$BH$3,1)+IF('Adjustment Surface'!AE$3="",-1,1))-'Adjustment Surface'!AD$3)+INDEX($AO$4:$BH$23,MATCH(INDEX('Adjustment Surface'!$AN$4:$AN$23,MATCH(('Adjustment Surface'!$O19),'Adjustment Surface'!$AN$4:$AN$23,1)),$AN$4:$AN$23,0),MATCH(INDEX('Adjustment Surface'!$AO$3:$BH$3,1,MATCH(('Adjustment Surface'!AD$3),'Adjustment Surface'!$AO$3:$BH$3,1)+IF('Adjustment Surface'!AE$3="",-1,1)),$AO$3:$BH$3,0))*(INDEX('Adjustment Surface'!$AN$4:$AN$23,MATCH(('Adjustment Surface'!$O19),'Adjustment Surface'!$AN$4:$AN$23,1)+IF('Adjustment Surface'!$O20="",-1,1))-'Adjustment Surface'!$O19)*('Adjustment Surface'!AD$3-INDEX('Adjustment Surface'!$AO$3:$BH$3,1,MATCH(('Adjustment Surface'!AD$3),'Adjustment Surface'!$AO$3:$BH$3,1)))+INDEX($AO$4:$BH$23,MATCH(INDEX('Adjustment Surface'!$AN$4:$AN$23,MATCH(('Adjustment Surface'!$O19),'Adjustment Surface'!$AN$4:$AN$23,1)+IF('Adjustment Surface'!$O20="",-1,1)),$AN$4:$AN$23,0),MATCH(INDEX('Adjustment Surface'!$AO$3:$BH$3,1,MATCH(('Adjustment Surface'!AD$3),'Adjustment Surface'!$AO$3:$BH$3,1)+IF('Adjustment Surface'!AE$3="",-1,1)),$AO$3:$BH$3,0))*('Adjustment Surface'!$O19-INDEX('Adjustment Surface'!$AN$4:$AN$23,MATCH(('Adjustment Surface'!$O19),'Adjustment Surface'!$AN$4:$AN$23,1)))*('Adjustment Surface'!AD$3-INDEX('Adjustment Surface'!$AO$3:$BH$3,1,MATCH(('Adjustment Surface'!AD$3),'Adjustment Surface'!$AO$3:$BH$3,1)))))</f>
        <v/>
      </c>
      <c r="AE19" s="181" t="str" cm="1">
        <f t="array" ref="AE19">IF(OR(AE$3="",$O19=""),"",1/((INDEX('Adjustment Surface'!$AN$4:$AN$23,MATCH(('Adjustment Surface'!$O19),'Adjustment Surface'!$AN$4:$AN$23,1)+IF('Adjustment Surface'!$O20="",-1,1))-INDEX('Adjustment Surface'!$AN$4:$AN$23,MATCH(('Adjustment Surface'!$O19),'Adjustment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Surface'!$O19),'Adjustment Surface'!$AN$4:$AN$23,1)),$AN$4:$AN$23,0),MATCH(INDEX('Adjustment Surface'!$AO$3:$BH$3,1,MATCH(('Adjustment Surface'!AE$3),'Adjustment Surface'!$AO$3:$BH$3,1)),$AO$3:$BH$3,0))*(INDEX('Adjustment Surface'!$AN$4:$AN$23,MATCH(('Adjustment Surface'!$O19),'Adjustment Surface'!$AN$4:$AN$23,1)+IF('Adjustment Surface'!$O20="",-1,1))-'Adjustment Surface'!$O19)*(INDEX('Adjustment Surface'!$AO$3:$BH$3,1,MATCH(('Adjustment Surface'!AE$3),'Adjustment Surface'!$AO$3:$BH$3,1)+IF('Adjustment Surface'!AF$3="",-1,1))-'Adjustment Surface'!AE$3)+INDEX($AO$4:$BH$23,MATCH(INDEX('Adjustment Surface'!$AN$4:$AN$23,MATCH(('Adjustment Surface'!$O19),'Adjustment Surface'!$AN$4:$AN$23,1)+IF('Adjustment Surface'!$O20="",-1,1)),$AN$4:$AN$23,0),MATCH(INDEX('Adjustment Surface'!$AO$3:$BH$3,1,MATCH(('Adjustment Surface'!AE$3),'Adjustment Surface'!$AO$3:$BH$3,1)),$AO$3:$BH$3,0))*('Adjustment Surface'!$O19-INDEX('Adjustment Surface'!$AN$4:$AN$23,MATCH(('Adjustment Surface'!$O19),'Adjustment Surface'!$AN$4:$AN$23,1)))*(INDEX('Adjustment Surface'!$AO$3:$BH$3,1,MATCH(('Adjustment Surface'!AE$3),'Adjustment Surface'!$AO$3:$BH$3,1)+IF('Adjustment Surface'!AF$3="",-1,1))-'Adjustment Surface'!AE$3)+INDEX($AO$4:$BH$23,MATCH(INDEX('Adjustment Surface'!$AN$4:$AN$23,MATCH(('Adjustment Surface'!$O19),'Adjustment Surface'!$AN$4:$AN$23,1)),$AN$4:$AN$23,0),MATCH(INDEX('Adjustment Surface'!$AO$3:$BH$3,1,MATCH(('Adjustment Surface'!AE$3),'Adjustment Surface'!$AO$3:$BH$3,1)+IF('Adjustment Surface'!AF$3="",-1,1)),$AO$3:$BH$3,0))*(INDEX('Adjustment Surface'!$AN$4:$AN$23,MATCH(('Adjustment Surface'!$O19),'Adjustment Surface'!$AN$4:$AN$23,1)+IF('Adjustment Surface'!$O20="",-1,1))-'Adjustment Surface'!$O19)*('Adjustment Surface'!AE$3-INDEX('Adjustment Surface'!$AO$3:$BH$3,1,MATCH(('Adjustment Surface'!AE$3),'Adjustment Surface'!$AO$3:$BH$3,1)))+INDEX($AO$4:$BH$23,MATCH(INDEX('Adjustment Surface'!$AN$4:$AN$23,MATCH(('Adjustment Surface'!$O19),'Adjustment Surface'!$AN$4:$AN$23,1)+IF('Adjustment Surface'!$O20="",-1,1)),$AN$4:$AN$23,0),MATCH(INDEX('Adjustment Surface'!$AO$3:$BH$3,1,MATCH(('Adjustment Surface'!AE$3),'Adjustment Surface'!$AO$3:$BH$3,1)+IF('Adjustment Surface'!AF$3="",-1,1)),$AO$3:$BH$3,0))*('Adjustment Surface'!$O19-INDEX('Adjustment Surface'!$AN$4:$AN$23,MATCH(('Adjustment Surface'!$O19),'Adjustment Surface'!$AN$4:$AN$23,1)))*('Adjustment Surface'!AE$3-INDEX('Adjustment Surface'!$AO$3:$BH$3,1,MATCH(('Adjustment Surface'!AE$3),'Adjustment Surface'!$AO$3:$BH$3,1)))))</f>
        <v/>
      </c>
      <c r="AF19" s="181" t="str" cm="1">
        <f t="array" ref="AF19">IF(OR(AF$3="",$O19=""),"",1/((INDEX('Adjustment Surface'!$AN$4:$AN$23,MATCH(('Adjustment Surface'!$O19),'Adjustment Surface'!$AN$4:$AN$23,1)+IF('Adjustment Surface'!$O20="",-1,1))-INDEX('Adjustment Surface'!$AN$4:$AN$23,MATCH(('Adjustment Surface'!$O19),'Adjustment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Surface'!$O19),'Adjustment Surface'!$AN$4:$AN$23,1)),$AN$4:$AN$23,0),MATCH(INDEX('Adjustment Surface'!$AO$3:$BH$3,1,MATCH(('Adjustment Surface'!AF$3),'Adjustment Surface'!$AO$3:$BH$3,1)),$AO$3:$BH$3,0))*(INDEX('Adjustment Surface'!$AN$4:$AN$23,MATCH(('Adjustment Surface'!$O19),'Adjustment Surface'!$AN$4:$AN$23,1)+IF('Adjustment Surface'!$O20="",-1,1))-'Adjustment Surface'!$O19)*(INDEX('Adjustment Surface'!$AO$3:$BH$3,1,MATCH(('Adjustment Surface'!AF$3),'Adjustment Surface'!$AO$3:$BH$3,1)+IF('Adjustment Surface'!AG$3="",-1,1))-'Adjustment Surface'!AF$3)+INDEX($AO$4:$BH$23,MATCH(INDEX('Adjustment Surface'!$AN$4:$AN$23,MATCH(('Adjustment Surface'!$O19),'Adjustment Surface'!$AN$4:$AN$23,1)+IF('Adjustment Surface'!$O20="",-1,1)),$AN$4:$AN$23,0),MATCH(INDEX('Adjustment Surface'!$AO$3:$BH$3,1,MATCH(('Adjustment Surface'!AF$3),'Adjustment Surface'!$AO$3:$BH$3,1)),$AO$3:$BH$3,0))*('Adjustment Surface'!$O19-INDEX('Adjustment Surface'!$AN$4:$AN$23,MATCH(('Adjustment Surface'!$O19),'Adjustment Surface'!$AN$4:$AN$23,1)))*(INDEX('Adjustment Surface'!$AO$3:$BH$3,1,MATCH(('Adjustment Surface'!AF$3),'Adjustment Surface'!$AO$3:$BH$3,1)+IF('Adjustment Surface'!AG$3="",-1,1))-'Adjustment Surface'!AF$3)+INDEX($AO$4:$BH$23,MATCH(INDEX('Adjustment Surface'!$AN$4:$AN$23,MATCH(('Adjustment Surface'!$O19),'Adjustment Surface'!$AN$4:$AN$23,1)),$AN$4:$AN$23,0),MATCH(INDEX('Adjustment Surface'!$AO$3:$BH$3,1,MATCH(('Adjustment Surface'!AF$3),'Adjustment Surface'!$AO$3:$BH$3,1)+IF('Adjustment Surface'!AG$3="",-1,1)),$AO$3:$BH$3,0))*(INDEX('Adjustment Surface'!$AN$4:$AN$23,MATCH(('Adjustment Surface'!$O19),'Adjustment Surface'!$AN$4:$AN$23,1)+IF('Adjustment Surface'!$O20="",-1,1))-'Adjustment Surface'!$O19)*('Adjustment Surface'!AF$3-INDEX('Adjustment Surface'!$AO$3:$BH$3,1,MATCH(('Adjustment Surface'!AF$3),'Adjustment Surface'!$AO$3:$BH$3,1)))+INDEX($AO$4:$BH$23,MATCH(INDEX('Adjustment Surface'!$AN$4:$AN$23,MATCH(('Adjustment Surface'!$O19),'Adjustment Surface'!$AN$4:$AN$23,1)+IF('Adjustment Surface'!$O20="",-1,1)),$AN$4:$AN$23,0),MATCH(INDEX('Adjustment Surface'!$AO$3:$BH$3,1,MATCH(('Adjustment Surface'!AF$3),'Adjustment Surface'!$AO$3:$BH$3,1)+IF('Adjustment Surface'!AG$3="",-1,1)),$AO$3:$BH$3,0))*('Adjustment Surface'!$O19-INDEX('Adjustment Surface'!$AN$4:$AN$23,MATCH(('Adjustment Surface'!$O19),'Adjustment Surface'!$AN$4:$AN$23,1)))*('Adjustment Surface'!AF$3-INDEX('Adjustment Surface'!$AO$3:$BH$3,1,MATCH(('Adjustment Surface'!AF$3),'Adjustment Surface'!$AO$3:$BH$3,1)))))</f>
        <v/>
      </c>
      <c r="AG19" s="181" t="str" cm="1">
        <f t="array" ref="AG19">IF(OR(AG$3="",$O19=""),"",1/((INDEX('Adjustment Surface'!$AN$4:$AN$23,MATCH(('Adjustment Surface'!$O19),'Adjustment Surface'!$AN$4:$AN$23,1)+IF('Adjustment Surface'!$O20="",-1,1))-INDEX('Adjustment Surface'!$AN$4:$AN$23,MATCH(('Adjustment Surface'!$O19),'Adjustment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Surface'!$O19),'Adjustment Surface'!$AN$4:$AN$23,1)),$AN$4:$AN$23,0),MATCH(INDEX('Adjustment Surface'!$AO$3:$BH$3,1,MATCH(('Adjustment Surface'!AG$3),'Adjustment Surface'!$AO$3:$BH$3,1)),$AO$3:$BH$3,0))*(INDEX('Adjustment Surface'!$AN$4:$AN$23,MATCH(('Adjustment Surface'!$O19),'Adjustment Surface'!$AN$4:$AN$23,1)+IF('Adjustment Surface'!$O20="",-1,1))-'Adjustment Surface'!$O19)*(INDEX('Adjustment Surface'!$AO$3:$BH$3,1,MATCH(('Adjustment Surface'!AG$3),'Adjustment Surface'!$AO$3:$BH$3,1)+IF('Adjustment Surface'!AH$3="",-1,1))-'Adjustment Surface'!AG$3)+INDEX($AO$4:$BH$23,MATCH(INDEX('Adjustment Surface'!$AN$4:$AN$23,MATCH(('Adjustment Surface'!$O19),'Adjustment Surface'!$AN$4:$AN$23,1)+IF('Adjustment Surface'!$O20="",-1,1)),$AN$4:$AN$23,0),MATCH(INDEX('Adjustment Surface'!$AO$3:$BH$3,1,MATCH(('Adjustment Surface'!AG$3),'Adjustment Surface'!$AO$3:$BH$3,1)),$AO$3:$BH$3,0))*('Adjustment Surface'!$O19-INDEX('Adjustment Surface'!$AN$4:$AN$23,MATCH(('Adjustment Surface'!$O19),'Adjustment Surface'!$AN$4:$AN$23,1)))*(INDEX('Adjustment Surface'!$AO$3:$BH$3,1,MATCH(('Adjustment Surface'!AG$3),'Adjustment Surface'!$AO$3:$BH$3,1)+IF('Adjustment Surface'!AH$3="",-1,1))-'Adjustment Surface'!AG$3)+INDEX($AO$4:$BH$23,MATCH(INDEX('Adjustment Surface'!$AN$4:$AN$23,MATCH(('Adjustment Surface'!$O19),'Adjustment Surface'!$AN$4:$AN$23,1)),$AN$4:$AN$23,0),MATCH(INDEX('Adjustment Surface'!$AO$3:$BH$3,1,MATCH(('Adjustment Surface'!AG$3),'Adjustment Surface'!$AO$3:$BH$3,1)+IF('Adjustment Surface'!AH$3="",-1,1)),$AO$3:$BH$3,0))*(INDEX('Adjustment Surface'!$AN$4:$AN$23,MATCH(('Adjustment Surface'!$O19),'Adjustment Surface'!$AN$4:$AN$23,1)+IF('Adjustment Surface'!$O20="",-1,1))-'Adjustment Surface'!$O19)*('Adjustment Surface'!AG$3-INDEX('Adjustment Surface'!$AO$3:$BH$3,1,MATCH(('Adjustment Surface'!AG$3),'Adjustment Surface'!$AO$3:$BH$3,1)))+INDEX($AO$4:$BH$23,MATCH(INDEX('Adjustment Surface'!$AN$4:$AN$23,MATCH(('Adjustment Surface'!$O19),'Adjustment Surface'!$AN$4:$AN$23,1)+IF('Adjustment Surface'!$O20="",-1,1)),$AN$4:$AN$23,0),MATCH(INDEX('Adjustment Surface'!$AO$3:$BH$3,1,MATCH(('Adjustment Surface'!AG$3),'Adjustment Surface'!$AO$3:$BH$3,1)+IF('Adjustment Surface'!AH$3="",-1,1)),$AO$3:$BH$3,0))*('Adjustment Surface'!$O19-INDEX('Adjustment Surface'!$AN$4:$AN$23,MATCH(('Adjustment Surface'!$O19),'Adjustment Surface'!$AN$4:$AN$23,1)))*('Adjustment Surface'!AG$3-INDEX('Adjustment Surface'!$AO$3:$BH$3,1,MATCH(('Adjustment Surface'!AG$3),'Adjustment Surface'!$AO$3:$BH$3,1)))))</f>
        <v/>
      </c>
      <c r="AH19" s="181" t="str" cm="1">
        <f t="array" ref="AH19">IF(OR(AH$3="",$O19=""),"",1/((INDEX('Adjustment Surface'!$AN$4:$AN$23,MATCH(('Adjustment Surface'!$O19),'Adjustment Surface'!$AN$4:$AN$23,1)+IF('Adjustment Surface'!$O20="",-1,1))-INDEX('Adjustment Surface'!$AN$4:$AN$23,MATCH(('Adjustment Surface'!$O19),'Adjustment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Surface'!$O19),'Adjustment Surface'!$AN$4:$AN$23,1)),$AN$4:$AN$23,0),MATCH(INDEX('Adjustment Surface'!$AO$3:$BH$3,1,MATCH(('Adjustment Surface'!AH$3),'Adjustment Surface'!$AO$3:$BH$3,1)),$AO$3:$BH$3,0))*(INDEX('Adjustment Surface'!$AN$4:$AN$23,MATCH(('Adjustment Surface'!$O19),'Adjustment Surface'!$AN$4:$AN$23,1)+IF('Adjustment Surface'!$O20="",-1,1))-'Adjustment Surface'!$O19)*(INDEX('Adjustment Surface'!$AO$3:$BH$3,1,MATCH(('Adjustment Surface'!AH$3),'Adjustment Surface'!$AO$3:$BH$3,1)+IF('Adjustment Surface'!AI$3="",-1,1))-'Adjustment Surface'!AH$3)+INDEX($AO$4:$BH$23,MATCH(INDEX('Adjustment Surface'!$AN$4:$AN$23,MATCH(('Adjustment Surface'!$O19),'Adjustment Surface'!$AN$4:$AN$23,1)+IF('Adjustment Surface'!$O20="",-1,1)),$AN$4:$AN$23,0),MATCH(INDEX('Adjustment Surface'!$AO$3:$BH$3,1,MATCH(('Adjustment Surface'!AH$3),'Adjustment Surface'!$AO$3:$BH$3,1)),$AO$3:$BH$3,0))*('Adjustment Surface'!$O19-INDEX('Adjustment Surface'!$AN$4:$AN$23,MATCH(('Adjustment Surface'!$O19),'Adjustment Surface'!$AN$4:$AN$23,1)))*(INDEX('Adjustment Surface'!$AO$3:$BH$3,1,MATCH(('Adjustment Surface'!AH$3),'Adjustment Surface'!$AO$3:$BH$3,1)+IF('Adjustment Surface'!AI$3="",-1,1))-'Adjustment Surface'!AH$3)+INDEX($AO$4:$BH$23,MATCH(INDEX('Adjustment Surface'!$AN$4:$AN$23,MATCH(('Adjustment Surface'!$O19),'Adjustment Surface'!$AN$4:$AN$23,1)),$AN$4:$AN$23,0),MATCH(INDEX('Adjustment Surface'!$AO$3:$BH$3,1,MATCH(('Adjustment Surface'!AH$3),'Adjustment Surface'!$AO$3:$BH$3,1)+IF('Adjustment Surface'!AI$3="",-1,1)),$AO$3:$BH$3,0))*(INDEX('Adjustment Surface'!$AN$4:$AN$23,MATCH(('Adjustment Surface'!$O19),'Adjustment Surface'!$AN$4:$AN$23,1)+IF('Adjustment Surface'!$O20="",-1,1))-'Adjustment Surface'!$O19)*('Adjustment Surface'!AH$3-INDEX('Adjustment Surface'!$AO$3:$BH$3,1,MATCH(('Adjustment Surface'!AH$3),'Adjustment Surface'!$AO$3:$BH$3,1)))+INDEX($AO$4:$BH$23,MATCH(INDEX('Adjustment Surface'!$AN$4:$AN$23,MATCH(('Adjustment Surface'!$O19),'Adjustment Surface'!$AN$4:$AN$23,1)+IF('Adjustment Surface'!$O20="",-1,1)),$AN$4:$AN$23,0),MATCH(INDEX('Adjustment Surface'!$AO$3:$BH$3,1,MATCH(('Adjustment Surface'!AH$3),'Adjustment Surface'!$AO$3:$BH$3,1)+IF('Adjustment Surface'!AI$3="",-1,1)),$AO$3:$BH$3,0))*('Adjustment Surface'!$O19-INDEX('Adjustment Surface'!$AN$4:$AN$23,MATCH(('Adjustment Surface'!$O19),'Adjustment Surface'!$AN$4:$AN$23,1)))*('Adjustment Surface'!AH$3-INDEX('Adjustment Surface'!$AO$3:$BH$3,1,MATCH(('Adjustment Surface'!AH$3),'Adjustment Surface'!$AO$3:$BH$3,1)))))</f>
        <v/>
      </c>
      <c r="AI19" s="182" t="str" cm="1">
        <f t="array" ref="AI19">IF(OR(AI$3="",$O19=""),"",1/((INDEX('Adjustment Surface'!$AN$4:$AN$23,MATCH(('Adjustment Surface'!$O19),'Adjustment Surface'!$AN$4:$AN$23,1)+IF('Adjustment Surface'!$O20="",-1,1))-INDEX('Adjustment Surface'!$AN$4:$AN$23,MATCH(('Adjustment Surface'!$O19),'Adjustment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Surface'!$O19),'Adjustment Surface'!$AN$4:$AN$23,1)),$AN$4:$AN$23,0),MATCH(INDEX('Adjustment Surface'!$AO$3:$BH$3,1,MATCH(('Adjustment Surface'!AI$3),'Adjustment Surface'!$AO$3:$BH$3,1)),$AO$3:$BH$3,0))*(INDEX('Adjustment Surface'!$AN$4:$AN$23,MATCH(('Adjustment Surface'!$O19),'Adjustment Surface'!$AN$4:$AN$23,1)+IF('Adjustment Surface'!$O20="",-1,1))-'Adjustment Surface'!$O19)*(INDEX('Adjustment Surface'!$AO$3:$BH$3,1,MATCH(('Adjustment Surface'!AI$3),'Adjustment Surface'!$AO$3:$BH$3,1)+IF('Adjustment Surface'!AJ$3="",-1,1))-'Adjustment Surface'!AI$3)+INDEX($AO$4:$BH$23,MATCH(INDEX('Adjustment Surface'!$AN$4:$AN$23,MATCH(('Adjustment Surface'!$O19),'Adjustment Surface'!$AN$4:$AN$23,1)+IF('Adjustment Surface'!$O20="",-1,1)),$AN$4:$AN$23,0),MATCH(INDEX('Adjustment Surface'!$AO$3:$BH$3,1,MATCH(('Adjustment Surface'!AI$3),'Adjustment Surface'!$AO$3:$BH$3,1)),$AO$3:$BH$3,0))*('Adjustment Surface'!$O19-INDEX('Adjustment Surface'!$AN$4:$AN$23,MATCH(('Adjustment Surface'!$O19),'Adjustment Surface'!$AN$4:$AN$23,1)))*(INDEX('Adjustment Surface'!$AO$3:$BH$3,1,MATCH(('Adjustment Surface'!AI$3),'Adjustment Surface'!$AO$3:$BH$3,1)+IF('Adjustment Surface'!AJ$3="",-1,1))-'Adjustment Surface'!AI$3)+INDEX($AO$4:$BH$23,MATCH(INDEX('Adjustment Surface'!$AN$4:$AN$23,MATCH(('Adjustment Surface'!$O19),'Adjustment Surface'!$AN$4:$AN$23,1)),$AN$4:$AN$23,0),MATCH(INDEX('Adjustment Surface'!$AO$3:$BH$3,1,MATCH(('Adjustment Surface'!AI$3),'Adjustment Surface'!$AO$3:$BH$3,1)+IF('Adjustment Surface'!AJ$3="",-1,1)),$AO$3:$BH$3,0))*(INDEX('Adjustment Surface'!$AN$4:$AN$23,MATCH(('Adjustment Surface'!$O19),'Adjustment Surface'!$AN$4:$AN$23,1)+IF('Adjustment Surface'!$O20="",-1,1))-'Adjustment Surface'!$O19)*('Adjustment Surface'!AI$3-INDEX('Adjustment Surface'!$AO$3:$BH$3,1,MATCH(('Adjustment Surface'!AI$3),'Adjustment Surface'!$AO$3:$BH$3,1)))+INDEX($AO$4:$BH$23,MATCH(INDEX('Adjustment Surface'!$AN$4:$AN$23,MATCH(('Adjustment Surface'!$O19),'Adjustment Surface'!$AN$4:$AN$23,1)+IF('Adjustment Surface'!$O20="",-1,1)),$AN$4:$AN$23,0),MATCH(INDEX('Adjustment Surface'!$AO$3:$BH$3,1,MATCH(('Adjustment Surface'!AI$3),'Adjustment Surface'!$AO$3:$BH$3,1)+IF('Adjustment Surface'!AJ$3="",-1,1)),$AO$3:$BH$3,0))*('Adjustment Surface'!$O19-INDEX('Adjustment Surface'!$AN$4:$AN$23,MATCH(('Adjustment Surface'!$O19),'Adjustment Surface'!$AN$4:$AN$23,1)))*('Adjustment Surface'!AI$3-INDEX('Adjustment Surface'!$AO$3:$BH$3,1,MATCH(('Adjustment Surface'!AI$3),'Adjustment Surface'!$AO$3:$BH$3,1)))))</f>
        <v/>
      </c>
      <c r="AK19" s="203" t="str">
        <f>IF(OR(AK18=IF('Adjustment Surface'!$C$2='Data Validation'!$A$2,_xlfn.FLOOR.MATH(MAX('Bank Adjustments'!$C$4:$C$103),0.5%,2),IF('Adjustment Surface'!$C$2='Data Validation'!$A$3,_xlfn.FLOOR.MATH(MAX('Bank Adjustments'!$M$4:$M$103),0.5%,2),"Uknown Option Type")),AK18=""),"",AK18+0.5%)</f>
        <v/>
      </c>
      <c r="AL19" s="204"/>
      <c r="AN19" s="176"/>
      <c r="AO19" s="180" t="str" cm="1">
        <f t="array" ref="AO19">IF(OR(AO$3="",$AN19=""),"",INDEX(IF($C$2='Data Validation'!$A$2,'Bank Adjustments'!$H$4:$H$103,IF('Adjustment Surface'!$C$2='Data Validation'!$A$3,'Bank Adjustments'!$R$4:$R$103,"Unknown Option Type")),MATCH(1,($AN19=IF($C$2='Data Validation'!$A$2,'Bank Adjustments'!$C$4:$C$103,IF('Adjustment Surface'!$C$2='Data Validation'!$A$3,'Bank Adjustments'!$M$4:$M$103,"Unknown Option Type")))*(AO$3=IF($C$2='Data Validation'!$A$2,'Bank Adjustments'!$E$4:$E$103,IF('Adjustment Surface'!$C$2='Data Validation'!$A$3,'Bank Adjustments'!$O$4:$O$103,"Unknown Option Type"))),0)))</f>
        <v/>
      </c>
      <c r="AP19" s="181" t="str" cm="1">
        <f t="array" ref="AP19">IF(OR(AP$3="",$AN19=""),"",INDEX(IF($C$2='Data Validation'!$A$2,'Bank Adjustments'!$H$4:$H$103,IF('Adjustment Surface'!$C$2='Data Validation'!$A$3,'Bank Adjustments'!$R$4:$R$103,"Unknown Option Type")),MATCH(1,($AN19=IF($C$2='Data Validation'!$A$2,'Bank Adjustments'!$C$4:$C$103,IF('Adjustment Surface'!$C$2='Data Validation'!$A$3,'Bank Adjustments'!$M$4:$M$103,"Unknown Option Type")))*(AP$3=IF($C$2='Data Validation'!$A$2,'Bank Adjustments'!$E$4:$E$103,IF('Adjustment Surface'!$C$2='Data Validation'!$A$3,'Bank Adjustments'!$O$4:$O$103,"Unknown Option Type"))),0)))</f>
        <v/>
      </c>
      <c r="AQ19" s="181" t="str" cm="1">
        <f t="array" ref="AQ19">IF(OR(AQ$3="",$AN19=""),"",INDEX(IF($C$2='Data Validation'!$A$2,'Bank Adjustments'!$H$4:$H$103,IF('Adjustment Surface'!$C$2='Data Validation'!$A$3,'Bank Adjustments'!$R$4:$R$103,"Unknown Option Type")),MATCH(1,($AN19=IF($C$2='Data Validation'!$A$2,'Bank Adjustments'!$C$4:$C$103,IF('Adjustment Surface'!$C$2='Data Validation'!$A$3,'Bank Adjustments'!$M$4:$M$103,"Unknown Option Type")))*(AQ$3=IF($C$2='Data Validation'!$A$2,'Bank Adjustments'!$E$4:$E$103,IF('Adjustment Surface'!$C$2='Data Validation'!$A$3,'Bank Adjustments'!$O$4:$O$103,"Unknown Option Type"))),0)))</f>
        <v/>
      </c>
      <c r="AR19" s="181" t="str" cm="1">
        <f t="array" ref="AR19">IF(OR(AR$3="",$AN19=""),"",INDEX(IF($C$2='Data Validation'!$A$2,'Bank Adjustments'!$H$4:$H$103,IF('Adjustment Surface'!$C$2='Data Validation'!$A$3,'Bank Adjustments'!$R$4:$R$103,"Unknown Option Type")),MATCH(1,($AN19=IF($C$2='Data Validation'!$A$2,'Bank Adjustments'!$C$4:$C$103,IF('Adjustment Surface'!$C$2='Data Validation'!$A$3,'Bank Adjustments'!$M$4:$M$103,"Unknown Option Type")))*(AR$3=IF($C$2='Data Validation'!$A$2,'Bank Adjustments'!$E$4:$E$103,IF('Adjustment Surface'!$C$2='Data Validation'!$A$3,'Bank Adjustments'!$O$4:$O$103,"Unknown Option Type"))),0)))</f>
        <v/>
      </c>
      <c r="AS19" s="181" t="str" cm="1">
        <f t="array" ref="AS19">IF(OR(AS$3="",$AN19=""),"",INDEX(IF($C$2='Data Validation'!$A$2,'Bank Adjustments'!$H$4:$H$103,IF('Adjustment Surface'!$C$2='Data Validation'!$A$3,'Bank Adjustments'!$R$4:$R$103,"Unknown Option Type")),MATCH(1,($AN19=IF($C$2='Data Validation'!$A$2,'Bank Adjustments'!$C$4:$C$103,IF('Adjustment Surface'!$C$2='Data Validation'!$A$3,'Bank Adjustments'!$M$4:$M$103,"Unknown Option Type")))*(AS$3=IF($C$2='Data Validation'!$A$2,'Bank Adjustments'!$E$4:$E$103,IF('Adjustment Surface'!$C$2='Data Validation'!$A$3,'Bank Adjustments'!$O$4:$O$103,"Unknown Option Type"))),0)))</f>
        <v/>
      </c>
      <c r="AT19" s="181" t="str" cm="1">
        <f t="array" ref="AT19">IF(OR(AT$3="",$AN19=""),"",INDEX(IF($C$2='Data Validation'!$A$2,'Bank Adjustments'!$H$4:$H$103,IF('Adjustment Surface'!$C$2='Data Validation'!$A$3,'Bank Adjustments'!$R$4:$R$103,"Unknown Option Type")),MATCH(1,($AN19=IF($C$2='Data Validation'!$A$2,'Bank Adjustments'!$C$4:$C$103,IF('Adjustment Surface'!$C$2='Data Validation'!$A$3,'Bank Adjustments'!$M$4:$M$103,"Unknown Option Type")))*(AT$3=IF($C$2='Data Validation'!$A$2,'Bank Adjustments'!$E$4:$E$103,IF('Adjustment Surface'!$C$2='Data Validation'!$A$3,'Bank Adjustments'!$O$4:$O$103,"Unknown Option Type"))),0)))</f>
        <v/>
      </c>
      <c r="AU19" s="181" t="str" cm="1">
        <f t="array" ref="AU19">IF(OR(AU$3="",$AN19=""),"",INDEX(IF($C$2='Data Validation'!$A$2,'Bank Adjustments'!$H$4:$H$103,IF('Adjustment Surface'!$C$2='Data Validation'!$A$3,'Bank Adjustments'!$R$4:$R$103,"Unknown Option Type")),MATCH(1,($AN19=IF($C$2='Data Validation'!$A$2,'Bank Adjustments'!$C$4:$C$103,IF('Adjustment Surface'!$C$2='Data Validation'!$A$3,'Bank Adjustments'!$M$4:$M$103,"Unknown Option Type")))*(AU$3=IF($C$2='Data Validation'!$A$2,'Bank Adjustments'!$E$4:$E$103,IF('Adjustment Surface'!$C$2='Data Validation'!$A$3,'Bank Adjustments'!$O$4:$O$103,"Unknown Option Type"))),0)))</f>
        <v/>
      </c>
      <c r="AV19" s="181" t="str" cm="1">
        <f t="array" ref="AV19">IF(OR(AV$3="",$AN19=""),"",INDEX(IF($C$2='Data Validation'!$A$2,'Bank Adjustments'!$H$4:$H$103,IF('Adjustment Surface'!$C$2='Data Validation'!$A$3,'Bank Adjustments'!$R$4:$R$103,"Unknown Option Type")),MATCH(1,($AN19=IF($C$2='Data Validation'!$A$2,'Bank Adjustments'!$C$4:$C$103,IF('Adjustment Surface'!$C$2='Data Validation'!$A$3,'Bank Adjustments'!$M$4:$M$103,"Unknown Option Type")))*(AV$3=IF($C$2='Data Validation'!$A$2,'Bank Adjustments'!$E$4:$E$103,IF('Adjustment Surface'!$C$2='Data Validation'!$A$3,'Bank Adjustments'!$O$4:$O$103,"Unknown Option Type"))),0)))</f>
        <v/>
      </c>
      <c r="AW19" s="181" t="str" cm="1">
        <f t="array" ref="AW19">IF(OR(AW$3="",$AN19=""),"",INDEX(IF($C$2='Data Validation'!$A$2,'Bank Adjustments'!$H$4:$H$103,IF('Adjustment Surface'!$C$2='Data Validation'!$A$3,'Bank Adjustments'!$R$4:$R$103,"Unknown Option Type")),MATCH(1,($AN19=IF($C$2='Data Validation'!$A$2,'Bank Adjustments'!$C$4:$C$103,IF('Adjustment Surface'!$C$2='Data Validation'!$A$3,'Bank Adjustments'!$M$4:$M$103,"Unknown Option Type")))*(AW$3=IF($C$2='Data Validation'!$A$2,'Bank Adjustments'!$E$4:$E$103,IF('Adjustment Surface'!$C$2='Data Validation'!$A$3,'Bank Adjustments'!$O$4:$O$103,"Unknown Option Type"))),0)))</f>
        <v/>
      </c>
      <c r="AX19" s="181" t="str" cm="1">
        <f t="array" ref="AX19">IF(OR(AX$3="",$AN19=""),"",INDEX(IF($C$2='Data Validation'!$A$2,'Bank Adjustments'!$H$4:$H$103,IF('Adjustment Surface'!$C$2='Data Validation'!$A$3,'Bank Adjustments'!$R$4:$R$103,"Unknown Option Type")),MATCH(1,($AN19=IF($C$2='Data Validation'!$A$2,'Bank Adjustments'!$C$4:$C$103,IF('Adjustment Surface'!$C$2='Data Validation'!$A$3,'Bank Adjustments'!$M$4:$M$103,"Unknown Option Type")))*(AX$3=IF($C$2='Data Validation'!$A$2,'Bank Adjustments'!$E$4:$E$103,IF('Adjustment Surface'!$C$2='Data Validation'!$A$3,'Bank Adjustments'!$O$4:$O$103,"Unknown Option Type"))),0)))</f>
        <v/>
      </c>
      <c r="AY19" s="181" t="str" cm="1">
        <f t="array" ref="AY19">IF(OR(AY$3="",$AN19=""),"",INDEX(IF($C$2='Data Validation'!$A$2,'Bank Adjustments'!$H$4:$H$103,IF('Adjustment Surface'!$C$2='Data Validation'!$A$3,'Bank Adjustments'!$R$4:$R$103,"Unknown Option Type")),MATCH(1,($AN19=IF($C$2='Data Validation'!$A$2,'Bank Adjustments'!$C$4:$C$103,IF('Adjustment Surface'!$C$2='Data Validation'!$A$3,'Bank Adjustments'!$M$4:$M$103,"Unknown Option Type")))*(AY$3=IF($C$2='Data Validation'!$A$2,'Bank Adjustments'!$E$4:$E$103,IF('Adjustment Surface'!$C$2='Data Validation'!$A$3,'Bank Adjustments'!$O$4:$O$103,"Unknown Option Type"))),0)))</f>
        <v/>
      </c>
      <c r="AZ19" s="181" t="str" cm="1">
        <f t="array" ref="AZ19">IF(OR(AZ$3="",$AN19=""),"",INDEX(IF($C$2='Data Validation'!$A$2,'Bank Adjustments'!$H$4:$H$103,IF('Adjustment Surface'!$C$2='Data Validation'!$A$3,'Bank Adjustments'!$R$4:$R$103,"Unknown Option Type")),MATCH(1,($AN19=IF($C$2='Data Validation'!$A$2,'Bank Adjustments'!$C$4:$C$103,IF('Adjustment Surface'!$C$2='Data Validation'!$A$3,'Bank Adjustments'!$M$4:$M$103,"Unknown Option Type")))*(AZ$3=IF($C$2='Data Validation'!$A$2,'Bank Adjustments'!$E$4:$E$103,IF('Adjustment Surface'!$C$2='Data Validation'!$A$3,'Bank Adjustments'!$O$4:$O$103,"Unknown Option Type"))),0)))</f>
        <v/>
      </c>
      <c r="BA19" s="181" t="str" cm="1">
        <f t="array" ref="BA19">IF(OR(BA$3="",$AN19=""),"",INDEX(IF($C$2='Data Validation'!$A$2,'Bank Adjustments'!$H$4:$H$103,IF('Adjustment Surface'!$C$2='Data Validation'!$A$3,'Bank Adjustments'!$R$4:$R$103,"Unknown Option Type")),MATCH(1,($AN19=IF($C$2='Data Validation'!$A$2,'Bank Adjustments'!$C$4:$C$103,IF('Adjustment Surface'!$C$2='Data Validation'!$A$3,'Bank Adjustments'!$M$4:$M$103,"Unknown Option Type")))*(BA$3=IF($C$2='Data Validation'!$A$2,'Bank Adjustments'!$E$4:$E$103,IF('Adjustment Surface'!$C$2='Data Validation'!$A$3,'Bank Adjustments'!$O$4:$O$103,"Unknown Option Type"))),0)))</f>
        <v/>
      </c>
      <c r="BB19" s="181" t="str" cm="1">
        <f t="array" ref="BB19">IF(OR(BB$3="",$AN19=""),"",INDEX(IF($C$2='Data Validation'!$A$2,'Bank Adjustments'!$H$4:$H$103,IF('Adjustment Surface'!$C$2='Data Validation'!$A$3,'Bank Adjustments'!$R$4:$R$103,"Unknown Option Type")),MATCH(1,($AN19=IF($C$2='Data Validation'!$A$2,'Bank Adjustments'!$C$4:$C$103,IF('Adjustment Surface'!$C$2='Data Validation'!$A$3,'Bank Adjustments'!$M$4:$M$103,"Unknown Option Type")))*(BB$3=IF($C$2='Data Validation'!$A$2,'Bank Adjustments'!$E$4:$E$103,IF('Adjustment Surface'!$C$2='Data Validation'!$A$3,'Bank Adjustments'!$O$4:$O$103,"Unknown Option Type"))),0)))</f>
        <v/>
      </c>
      <c r="BC19" s="181" t="str" cm="1">
        <f t="array" ref="BC19">IF(OR(BC$3="",$AN19=""),"",INDEX(IF($C$2='Data Validation'!$A$2,'Bank Adjustments'!$H$4:$H$103,IF('Adjustment Surface'!$C$2='Data Validation'!$A$3,'Bank Adjustments'!$R$4:$R$103,"Unknown Option Type")),MATCH(1,($AN19=IF($C$2='Data Validation'!$A$2,'Bank Adjustments'!$C$4:$C$103,IF('Adjustment Surface'!$C$2='Data Validation'!$A$3,'Bank Adjustments'!$M$4:$M$103,"Unknown Option Type")))*(BC$3=IF($C$2='Data Validation'!$A$2,'Bank Adjustments'!$E$4:$E$103,IF('Adjustment Surface'!$C$2='Data Validation'!$A$3,'Bank Adjustments'!$O$4:$O$103,"Unknown Option Type"))),0)))</f>
        <v/>
      </c>
      <c r="BD19" s="181" t="str" cm="1">
        <f t="array" ref="BD19">IF(OR(BD$3="",$AN19=""),"",INDEX(IF($C$2='Data Validation'!$A$2,'Bank Adjustments'!$H$4:$H$103,IF('Adjustment Surface'!$C$2='Data Validation'!$A$3,'Bank Adjustments'!$R$4:$R$103,"Unknown Option Type")),MATCH(1,($AN19=IF($C$2='Data Validation'!$A$2,'Bank Adjustments'!$C$4:$C$103,IF('Adjustment Surface'!$C$2='Data Validation'!$A$3,'Bank Adjustments'!$M$4:$M$103,"Unknown Option Type")))*(BD$3=IF($C$2='Data Validation'!$A$2,'Bank Adjustments'!$E$4:$E$103,IF('Adjustment Surface'!$C$2='Data Validation'!$A$3,'Bank Adjustments'!$O$4:$O$103,"Unknown Option Type"))),0)))</f>
        <v/>
      </c>
      <c r="BE19" s="181" t="str" cm="1">
        <f t="array" ref="BE19">IF(OR(BE$3="",$AN19=""),"",INDEX(IF($C$2='Data Validation'!$A$2,'Bank Adjustments'!$H$4:$H$103,IF('Adjustment Surface'!$C$2='Data Validation'!$A$3,'Bank Adjustments'!$R$4:$R$103,"Unknown Option Type")),MATCH(1,($AN19=IF($C$2='Data Validation'!$A$2,'Bank Adjustments'!$C$4:$C$103,IF('Adjustment Surface'!$C$2='Data Validation'!$A$3,'Bank Adjustments'!$M$4:$M$103,"Unknown Option Type")))*(BE$3=IF($C$2='Data Validation'!$A$2,'Bank Adjustments'!$E$4:$E$103,IF('Adjustment Surface'!$C$2='Data Validation'!$A$3,'Bank Adjustments'!$O$4:$O$103,"Unknown Option Type"))),0)))</f>
        <v/>
      </c>
      <c r="BF19" s="181" t="str" cm="1">
        <f t="array" ref="BF19">IF(OR(BF$3="",$AN19=""),"",INDEX(IF($C$2='Data Validation'!$A$2,'Bank Adjustments'!$H$4:$H$103,IF('Adjustment Surface'!$C$2='Data Validation'!$A$3,'Bank Adjustments'!$R$4:$R$103,"Unknown Option Type")),MATCH(1,($AN19=IF($C$2='Data Validation'!$A$2,'Bank Adjustments'!$C$4:$C$103,IF('Adjustment Surface'!$C$2='Data Validation'!$A$3,'Bank Adjustments'!$M$4:$M$103,"Unknown Option Type")))*(BF$3=IF($C$2='Data Validation'!$A$2,'Bank Adjustments'!$E$4:$E$103,IF('Adjustment Surface'!$C$2='Data Validation'!$A$3,'Bank Adjustments'!$O$4:$O$103,"Unknown Option Type"))),0)))</f>
        <v/>
      </c>
      <c r="BG19" s="181" t="str" cm="1">
        <f t="array" ref="BG19">IF(OR(BG$3="",$AN19=""),"",INDEX(IF($C$2='Data Validation'!$A$2,'Bank Adjustments'!$H$4:$H$103,IF('Adjustment Surface'!$C$2='Data Validation'!$A$3,'Bank Adjustments'!$R$4:$R$103,"Unknown Option Type")),MATCH(1,($AN19=IF($C$2='Data Validation'!$A$2,'Bank Adjustments'!$C$4:$C$103,IF('Adjustment Surface'!$C$2='Data Validation'!$A$3,'Bank Adjustments'!$M$4:$M$103,"Unknown Option Type")))*(BG$3=IF($C$2='Data Validation'!$A$2,'Bank Adjustments'!$E$4:$E$103,IF('Adjustment Surface'!$C$2='Data Validation'!$A$3,'Bank Adjustments'!$O$4:$O$103,"Unknown Option Type"))),0)))</f>
        <v/>
      </c>
      <c r="BH19" s="182" t="str" cm="1">
        <f t="array" ref="BH19">IF(OR(BH$3="",$AN19=""),"",INDEX(IF($C$2='Data Validation'!$A$2,'Bank Adjustments'!$H$4:$H$103,IF('Adjustment Surface'!$C$2='Data Validation'!$A$3,'Bank Adjustments'!$R$4:$R$103,"Unknown Option Type")),MATCH(1,($AN19=IF($C$2='Data Validation'!$A$2,'Bank Adjustments'!$C$4:$C$103,IF('Adjustment Surface'!$C$2='Data Validation'!$A$3,'Bank Adjustments'!$M$4:$M$103,"Unknown Option Type")))*(BH$3=IF($C$2='Data Validation'!$A$2,'Bank Adjustments'!$E$4:$E$103,IF('Adjustment Surface'!$C$2='Data Validation'!$A$3,'Bank Adjustments'!$O$4:$O$103,"Unknown Option Type"))),0)))</f>
        <v/>
      </c>
    </row>
    <row r="20" spans="2:60" x14ac:dyDescent="0.25">
      <c r="B20" s="27" t="s">
        <v>61</v>
      </c>
      <c r="C20" s="11"/>
      <c r="D20" s="11"/>
      <c r="E20" s="11"/>
      <c r="F20" s="11"/>
      <c r="H20" s="171"/>
      <c r="I20" s="61" t="str">
        <f t="shared" si="1"/>
        <v/>
      </c>
      <c r="J20" s="212" t="str">
        <f t="shared" si="1"/>
        <v/>
      </c>
      <c r="K20" s="212" t="str">
        <f t="shared" si="1"/>
        <v/>
      </c>
      <c r="L20" s="212" t="str">
        <f t="shared" si="1"/>
        <v/>
      </c>
      <c r="M20" s="63" t="str">
        <f t="shared" si="1"/>
        <v/>
      </c>
      <c r="O20" s="176"/>
      <c r="P20" s="180" t="str" cm="1">
        <f t="array" ref="P20">IF(OR(P$3="",$O20=""),"",1/((INDEX('Adjustment Surface'!$AN$4:$AN$23,MATCH(('Adjustment Surface'!$O20),'Adjustment Surface'!$AN$4:$AN$23,1)+IF('Adjustment Surface'!$O21="",-1,1))-INDEX('Adjustment Surface'!$AN$4:$AN$23,MATCH(('Adjustment Surface'!$O20),'Adjustment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Surface'!$O20),'Adjustment Surface'!$AN$4:$AN$23,1)),$AN$4:$AN$23,0),MATCH(INDEX('Adjustment Surface'!$AO$3:$BH$3,1,MATCH(('Adjustment Surface'!P$3),'Adjustment Surface'!$AO$3:$BH$3,1)),$AO$3:$BH$3,0))*(INDEX('Adjustment Surface'!$AN$4:$AN$23,MATCH(('Adjustment Surface'!$O20),'Adjustment Surface'!$AN$4:$AN$23,1)+IF('Adjustment Surface'!$O21="",-1,1))-'Adjustment Surface'!$O20)*(INDEX('Adjustment Surface'!$AO$3:$BH$3,1,MATCH(('Adjustment Surface'!P$3),'Adjustment Surface'!$AO$3:$BH$3,1)+IF('Adjustment Surface'!Q$3="",-1,1))-'Adjustment Surface'!P$3)+INDEX($AO$4:$BH$23,MATCH(INDEX('Adjustment Surface'!$AN$4:$AN$23,MATCH(('Adjustment Surface'!$O20),'Adjustment Surface'!$AN$4:$AN$23,1)+IF('Adjustment Surface'!$O21="",-1,1)),$AN$4:$AN$23,0),MATCH(INDEX('Adjustment Surface'!$AO$3:$BH$3,1,MATCH(('Adjustment Surface'!P$3),'Adjustment Surface'!$AO$3:$BH$3,1)),$AO$3:$BH$3,0))*('Adjustment Surface'!$O20-INDEX('Adjustment Surface'!$AN$4:$AN$23,MATCH(('Adjustment Surface'!$O20),'Adjustment Surface'!$AN$4:$AN$23,1)))*(INDEX('Adjustment Surface'!$AO$3:$BH$3,1,MATCH(('Adjustment Surface'!P$3),'Adjustment Surface'!$AO$3:$BH$3,1)+IF('Adjustment Surface'!Q$3="",-1,1))-'Adjustment Surface'!P$3)+INDEX($AO$4:$BH$23,MATCH(INDEX('Adjustment Surface'!$AN$4:$AN$23,MATCH(('Adjustment Surface'!$O20),'Adjustment Surface'!$AN$4:$AN$23,1)),$AN$4:$AN$23,0),MATCH(INDEX('Adjustment Surface'!$AO$3:$BH$3,1,MATCH(('Adjustment Surface'!P$3),'Adjustment Surface'!$AO$3:$BH$3,1)+IF('Adjustment Surface'!Q$3="",-1,1)),$AO$3:$BH$3,0))*(INDEX('Adjustment Surface'!$AN$4:$AN$23,MATCH(('Adjustment Surface'!$O20),'Adjustment Surface'!$AN$4:$AN$23,1)+IF('Adjustment Surface'!$O21="",-1,1))-'Adjustment Surface'!$O20)*('Adjustment Surface'!P$3-INDEX('Adjustment Surface'!$AO$3:$BH$3,1,MATCH(('Adjustment Surface'!P$3),'Adjustment Surface'!$AO$3:$BH$3,1)))+INDEX($AO$4:$BH$23,MATCH(INDEX('Adjustment Surface'!$AN$4:$AN$23,MATCH(('Adjustment Surface'!$O20),'Adjustment Surface'!$AN$4:$AN$23,1)+IF('Adjustment Surface'!$O21="",-1,1)),$AN$4:$AN$23,0),MATCH(INDEX('Adjustment Surface'!$AO$3:$BH$3,1,MATCH(('Adjustment Surface'!P$3),'Adjustment Surface'!$AO$3:$BH$3,1)+IF('Adjustment Surface'!Q$3="",-1,1)),$AO$3:$BH$3,0))*('Adjustment Surface'!$O20-INDEX('Adjustment Surface'!$AN$4:$AN$23,MATCH(('Adjustment Surface'!$O20),'Adjustment Surface'!$AN$4:$AN$23,1)))*('Adjustment Surface'!P$3-INDEX('Adjustment Surface'!$AO$3:$BH$3,1,MATCH(('Adjustment Surface'!P$3),'Adjustment Surface'!$AO$3:$BH$3,1)))))</f>
        <v/>
      </c>
      <c r="Q20" s="181" t="str" cm="1">
        <f t="array" ref="Q20">IF(OR(Q$3="",$O20=""),"",1/((INDEX('Adjustment Surface'!$AN$4:$AN$23,MATCH(('Adjustment Surface'!$O20),'Adjustment Surface'!$AN$4:$AN$23,1)+IF('Adjustment Surface'!$O21="",-1,1))-INDEX('Adjustment Surface'!$AN$4:$AN$23,MATCH(('Adjustment Surface'!$O20),'Adjustment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Surface'!$O20),'Adjustment Surface'!$AN$4:$AN$23,1)),$AN$4:$AN$23,0),MATCH(INDEX('Adjustment Surface'!$AO$3:$BH$3,1,MATCH(('Adjustment Surface'!Q$3),'Adjustment Surface'!$AO$3:$BH$3,1)),$AO$3:$BH$3,0))*(INDEX('Adjustment Surface'!$AN$4:$AN$23,MATCH(('Adjustment Surface'!$O20),'Adjustment Surface'!$AN$4:$AN$23,1)+IF('Adjustment Surface'!$O21="",-1,1))-'Adjustment Surface'!$O20)*(INDEX('Adjustment Surface'!$AO$3:$BH$3,1,MATCH(('Adjustment Surface'!Q$3),'Adjustment Surface'!$AO$3:$BH$3,1)+IF('Adjustment Surface'!R$3="",-1,1))-'Adjustment Surface'!Q$3)+INDEX($AO$4:$BH$23,MATCH(INDEX('Adjustment Surface'!$AN$4:$AN$23,MATCH(('Adjustment Surface'!$O20),'Adjustment Surface'!$AN$4:$AN$23,1)+IF('Adjustment Surface'!$O21="",-1,1)),$AN$4:$AN$23,0),MATCH(INDEX('Adjustment Surface'!$AO$3:$BH$3,1,MATCH(('Adjustment Surface'!Q$3),'Adjustment Surface'!$AO$3:$BH$3,1)),$AO$3:$BH$3,0))*('Adjustment Surface'!$O20-INDEX('Adjustment Surface'!$AN$4:$AN$23,MATCH(('Adjustment Surface'!$O20),'Adjustment Surface'!$AN$4:$AN$23,1)))*(INDEX('Adjustment Surface'!$AO$3:$BH$3,1,MATCH(('Adjustment Surface'!Q$3),'Adjustment Surface'!$AO$3:$BH$3,1)+IF('Adjustment Surface'!R$3="",-1,1))-'Adjustment Surface'!Q$3)+INDEX($AO$4:$BH$23,MATCH(INDEX('Adjustment Surface'!$AN$4:$AN$23,MATCH(('Adjustment Surface'!$O20),'Adjustment Surface'!$AN$4:$AN$23,1)),$AN$4:$AN$23,0),MATCH(INDEX('Adjustment Surface'!$AO$3:$BH$3,1,MATCH(('Adjustment Surface'!Q$3),'Adjustment Surface'!$AO$3:$BH$3,1)+IF('Adjustment Surface'!R$3="",-1,1)),$AO$3:$BH$3,0))*(INDEX('Adjustment Surface'!$AN$4:$AN$23,MATCH(('Adjustment Surface'!$O20),'Adjustment Surface'!$AN$4:$AN$23,1)+IF('Adjustment Surface'!$O21="",-1,1))-'Adjustment Surface'!$O20)*('Adjustment Surface'!Q$3-INDEX('Adjustment Surface'!$AO$3:$BH$3,1,MATCH(('Adjustment Surface'!Q$3),'Adjustment Surface'!$AO$3:$BH$3,1)))+INDEX($AO$4:$BH$23,MATCH(INDEX('Adjustment Surface'!$AN$4:$AN$23,MATCH(('Adjustment Surface'!$O20),'Adjustment Surface'!$AN$4:$AN$23,1)+IF('Adjustment Surface'!$O21="",-1,1)),$AN$4:$AN$23,0),MATCH(INDEX('Adjustment Surface'!$AO$3:$BH$3,1,MATCH(('Adjustment Surface'!Q$3),'Adjustment Surface'!$AO$3:$BH$3,1)+IF('Adjustment Surface'!R$3="",-1,1)),$AO$3:$BH$3,0))*('Adjustment Surface'!$O20-INDEX('Adjustment Surface'!$AN$4:$AN$23,MATCH(('Adjustment Surface'!$O20),'Adjustment Surface'!$AN$4:$AN$23,1)))*('Adjustment Surface'!Q$3-INDEX('Adjustment Surface'!$AO$3:$BH$3,1,MATCH(('Adjustment Surface'!Q$3),'Adjustment Surface'!$AO$3:$BH$3,1)))))</f>
        <v/>
      </c>
      <c r="R20" s="181" t="str" cm="1">
        <f t="array" ref="R20">IF(OR(R$3="",$O20=""),"",1/((INDEX('Adjustment Surface'!$AN$4:$AN$23,MATCH(('Adjustment Surface'!$O20),'Adjustment Surface'!$AN$4:$AN$23,1)+IF('Adjustment Surface'!$O21="",-1,1))-INDEX('Adjustment Surface'!$AN$4:$AN$23,MATCH(('Adjustment Surface'!$O20),'Adjustment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Surface'!$O20),'Adjustment Surface'!$AN$4:$AN$23,1)),$AN$4:$AN$23,0),MATCH(INDEX('Adjustment Surface'!$AO$3:$BH$3,1,MATCH(('Adjustment Surface'!R$3),'Adjustment Surface'!$AO$3:$BH$3,1)),$AO$3:$BH$3,0))*(INDEX('Adjustment Surface'!$AN$4:$AN$23,MATCH(('Adjustment Surface'!$O20),'Adjustment Surface'!$AN$4:$AN$23,1)+IF('Adjustment Surface'!$O21="",-1,1))-'Adjustment Surface'!$O20)*(INDEX('Adjustment Surface'!$AO$3:$BH$3,1,MATCH(('Adjustment Surface'!R$3),'Adjustment Surface'!$AO$3:$BH$3,1)+IF('Adjustment Surface'!S$3="",-1,1))-'Adjustment Surface'!R$3)+INDEX($AO$4:$BH$23,MATCH(INDEX('Adjustment Surface'!$AN$4:$AN$23,MATCH(('Adjustment Surface'!$O20),'Adjustment Surface'!$AN$4:$AN$23,1)+IF('Adjustment Surface'!$O21="",-1,1)),$AN$4:$AN$23,0),MATCH(INDEX('Adjustment Surface'!$AO$3:$BH$3,1,MATCH(('Adjustment Surface'!R$3),'Adjustment Surface'!$AO$3:$BH$3,1)),$AO$3:$BH$3,0))*('Adjustment Surface'!$O20-INDEX('Adjustment Surface'!$AN$4:$AN$23,MATCH(('Adjustment Surface'!$O20),'Adjustment Surface'!$AN$4:$AN$23,1)))*(INDEX('Adjustment Surface'!$AO$3:$BH$3,1,MATCH(('Adjustment Surface'!R$3),'Adjustment Surface'!$AO$3:$BH$3,1)+IF('Adjustment Surface'!S$3="",-1,1))-'Adjustment Surface'!R$3)+INDEX($AO$4:$BH$23,MATCH(INDEX('Adjustment Surface'!$AN$4:$AN$23,MATCH(('Adjustment Surface'!$O20),'Adjustment Surface'!$AN$4:$AN$23,1)),$AN$4:$AN$23,0),MATCH(INDEX('Adjustment Surface'!$AO$3:$BH$3,1,MATCH(('Adjustment Surface'!R$3),'Adjustment Surface'!$AO$3:$BH$3,1)+IF('Adjustment Surface'!S$3="",-1,1)),$AO$3:$BH$3,0))*(INDEX('Adjustment Surface'!$AN$4:$AN$23,MATCH(('Adjustment Surface'!$O20),'Adjustment Surface'!$AN$4:$AN$23,1)+IF('Adjustment Surface'!$O21="",-1,1))-'Adjustment Surface'!$O20)*('Adjustment Surface'!R$3-INDEX('Adjustment Surface'!$AO$3:$BH$3,1,MATCH(('Adjustment Surface'!R$3),'Adjustment Surface'!$AO$3:$BH$3,1)))+INDEX($AO$4:$BH$23,MATCH(INDEX('Adjustment Surface'!$AN$4:$AN$23,MATCH(('Adjustment Surface'!$O20),'Adjustment Surface'!$AN$4:$AN$23,1)+IF('Adjustment Surface'!$O21="",-1,1)),$AN$4:$AN$23,0),MATCH(INDEX('Adjustment Surface'!$AO$3:$BH$3,1,MATCH(('Adjustment Surface'!R$3),'Adjustment Surface'!$AO$3:$BH$3,1)+IF('Adjustment Surface'!S$3="",-1,1)),$AO$3:$BH$3,0))*('Adjustment Surface'!$O20-INDEX('Adjustment Surface'!$AN$4:$AN$23,MATCH(('Adjustment Surface'!$O20),'Adjustment Surface'!$AN$4:$AN$23,1)))*('Adjustment Surface'!R$3-INDEX('Adjustment Surface'!$AO$3:$BH$3,1,MATCH(('Adjustment Surface'!R$3),'Adjustment Surface'!$AO$3:$BH$3,1)))))</f>
        <v/>
      </c>
      <c r="S20" s="181" t="str" cm="1">
        <f t="array" ref="S20">IF(OR(S$3="",$O20=""),"",1/((INDEX('Adjustment Surface'!$AN$4:$AN$23,MATCH(('Adjustment Surface'!$O20),'Adjustment Surface'!$AN$4:$AN$23,1)+IF('Adjustment Surface'!$O21="",-1,1))-INDEX('Adjustment Surface'!$AN$4:$AN$23,MATCH(('Adjustment Surface'!$O20),'Adjustment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Surface'!$O20),'Adjustment Surface'!$AN$4:$AN$23,1)),$AN$4:$AN$23,0),MATCH(INDEX('Adjustment Surface'!$AO$3:$BH$3,1,MATCH(('Adjustment Surface'!S$3),'Adjustment Surface'!$AO$3:$BH$3,1)),$AO$3:$BH$3,0))*(INDEX('Adjustment Surface'!$AN$4:$AN$23,MATCH(('Adjustment Surface'!$O20),'Adjustment Surface'!$AN$4:$AN$23,1)+IF('Adjustment Surface'!$O21="",-1,1))-'Adjustment Surface'!$O20)*(INDEX('Adjustment Surface'!$AO$3:$BH$3,1,MATCH(('Adjustment Surface'!S$3),'Adjustment Surface'!$AO$3:$BH$3,1)+IF('Adjustment Surface'!T$3="",-1,1))-'Adjustment Surface'!S$3)+INDEX($AO$4:$BH$23,MATCH(INDEX('Adjustment Surface'!$AN$4:$AN$23,MATCH(('Adjustment Surface'!$O20),'Adjustment Surface'!$AN$4:$AN$23,1)+IF('Adjustment Surface'!$O21="",-1,1)),$AN$4:$AN$23,0),MATCH(INDEX('Adjustment Surface'!$AO$3:$BH$3,1,MATCH(('Adjustment Surface'!S$3),'Adjustment Surface'!$AO$3:$BH$3,1)),$AO$3:$BH$3,0))*('Adjustment Surface'!$O20-INDEX('Adjustment Surface'!$AN$4:$AN$23,MATCH(('Adjustment Surface'!$O20),'Adjustment Surface'!$AN$4:$AN$23,1)))*(INDEX('Adjustment Surface'!$AO$3:$BH$3,1,MATCH(('Adjustment Surface'!S$3),'Adjustment Surface'!$AO$3:$BH$3,1)+IF('Adjustment Surface'!T$3="",-1,1))-'Adjustment Surface'!S$3)+INDEX($AO$4:$BH$23,MATCH(INDEX('Adjustment Surface'!$AN$4:$AN$23,MATCH(('Adjustment Surface'!$O20),'Adjustment Surface'!$AN$4:$AN$23,1)),$AN$4:$AN$23,0),MATCH(INDEX('Adjustment Surface'!$AO$3:$BH$3,1,MATCH(('Adjustment Surface'!S$3),'Adjustment Surface'!$AO$3:$BH$3,1)+IF('Adjustment Surface'!T$3="",-1,1)),$AO$3:$BH$3,0))*(INDEX('Adjustment Surface'!$AN$4:$AN$23,MATCH(('Adjustment Surface'!$O20),'Adjustment Surface'!$AN$4:$AN$23,1)+IF('Adjustment Surface'!$O21="",-1,1))-'Adjustment Surface'!$O20)*('Adjustment Surface'!S$3-INDEX('Adjustment Surface'!$AO$3:$BH$3,1,MATCH(('Adjustment Surface'!S$3),'Adjustment Surface'!$AO$3:$BH$3,1)))+INDEX($AO$4:$BH$23,MATCH(INDEX('Adjustment Surface'!$AN$4:$AN$23,MATCH(('Adjustment Surface'!$O20),'Adjustment Surface'!$AN$4:$AN$23,1)+IF('Adjustment Surface'!$O21="",-1,1)),$AN$4:$AN$23,0),MATCH(INDEX('Adjustment Surface'!$AO$3:$BH$3,1,MATCH(('Adjustment Surface'!S$3),'Adjustment Surface'!$AO$3:$BH$3,1)+IF('Adjustment Surface'!T$3="",-1,1)),$AO$3:$BH$3,0))*('Adjustment Surface'!$O20-INDEX('Adjustment Surface'!$AN$4:$AN$23,MATCH(('Adjustment Surface'!$O20),'Adjustment Surface'!$AN$4:$AN$23,1)))*('Adjustment Surface'!S$3-INDEX('Adjustment Surface'!$AO$3:$BH$3,1,MATCH(('Adjustment Surface'!S$3),'Adjustment Surface'!$AO$3:$BH$3,1)))))</f>
        <v/>
      </c>
      <c r="T20" s="181" t="str" cm="1">
        <f t="array" ref="T20">IF(OR(T$3="",$O20=""),"",1/((INDEX('Adjustment Surface'!$AN$4:$AN$23,MATCH(('Adjustment Surface'!$O20),'Adjustment Surface'!$AN$4:$AN$23,1)+IF('Adjustment Surface'!$O21="",-1,1))-INDEX('Adjustment Surface'!$AN$4:$AN$23,MATCH(('Adjustment Surface'!$O20),'Adjustment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Surface'!$O20),'Adjustment Surface'!$AN$4:$AN$23,1)),$AN$4:$AN$23,0),MATCH(INDEX('Adjustment Surface'!$AO$3:$BH$3,1,MATCH(('Adjustment Surface'!T$3),'Adjustment Surface'!$AO$3:$BH$3,1)),$AO$3:$BH$3,0))*(INDEX('Adjustment Surface'!$AN$4:$AN$23,MATCH(('Adjustment Surface'!$O20),'Adjustment Surface'!$AN$4:$AN$23,1)+IF('Adjustment Surface'!$O21="",-1,1))-'Adjustment Surface'!$O20)*(INDEX('Adjustment Surface'!$AO$3:$BH$3,1,MATCH(('Adjustment Surface'!T$3),'Adjustment Surface'!$AO$3:$BH$3,1)+IF('Adjustment Surface'!U$3="",-1,1))-'Adjustment Surface'!T$3)+INDEX($AO$4:$BH$23,MATCH(INDEX('Adjustment Surface'!$AN$4:$AN$23,MATCH(('Adjustment Surface'!$O20),'Adjustment Surface'!$AN$4:$AN$23,1)+IF('Adjustment Surface'!$O21="",-1,1)),$AN$4:$AN$23,0),MATCH(INDEX('Adjustment Surface'!$AO$3:$BH$3,1,MATCH(('Adjustment Surface'!T$3),'Adjustment Surface'!$AO$3:$BH$3,1)),$AO$3:$BH$3,0))*('Adjustment Surface'!$O20-INDEX('Adjustment Surface'!$AN$4:$AN$23,MATCH(('Adjustment Surface'!$O20),'Adjustment Surface'!$AN$4:$AN$23,1)))*(INDEX('Adjustment Surface'!$AO$3:$BH$3,1,MATCH(('Adjustment Surface'!T$3),'Adjustment Surface'!$AO$3:$BH$3,1)+IF('Adjustment Surface'!U$3="",-1,1))-'Adjustment Surface'!T$3)+INDEX($AO$4:$BH$23,MATCH(INDEX('Adjustment Surface'!$AN$4:$AN$23,MATCH(('Adjustment Surface'!$O20),'Adjustment Surface'!$AN$4:$AN$23,1)),$AN$4:$AN$23,0),MATCH(INDEX('Adjustment Surface'!$AO$3:$BH$3,1,MATCH(('Adjustment Surface'!T$3),'Adjustment Surface'!$AO$3:$BH$3,1)+IF('Adjustment Surface'!U$3="",-1,1)),$AO$3:$BH$3,0))*(INDEX('Adjustment Surface'!$AN$4:$AN$23,MATCH(('Adjustment Surface'!$O20),'Adjustment Surface'!$AN$4:$AN$23,1)+IF('Adjustment Surface'!$O21="",-1,1))-'Adjustment Surface'!$O20)*('Adjustment Surface'!T$3-INDEX('Adjustment Surface'!$AO$3:$BH$3,1,MATCH(('Adjustment Surface'!T$3),'Adjustment Surface'!$AO$3:$BH$3,1)))+INDEX($AO$4:$BH$23,MATCH(INDEX('Adjustment Surface'!$AN$4:$AN$23,MATCH(('Adjustment Surface'!$O20),'Adjustment Surface'!$AN$4:$AN$23,1)+IF('Adjustment Surface'!$O21="",-1,1)),$AN$4:$AN$23,0),MATCH(INDEX('Adjustment Surface'!$AO$3:$BH$3,1,MATCH(('Adjustment Surface'!T$3),'Adjustment Surface'!$AO$3:$BH$3,1)+IF('Adjustment Surface'!U$3="",-1,1)),$AO$3:$BH$3,0))*('Adjustment Surface'!$O20-INDEX('Adjustment Surface'!$AN$4:$AN$23,MATCH(('Adjustment Surface'!$O20),'Adjustment Surface'!$AN$4:$AN$23,1)))*('Adjustment Surface'!T$3-INDEX('Adjustment Surface'!$AO$3:$BH$3,1,MATCH(('Adjustment Surface'!T$3),'Adjustment Surface'!$AO$3:$BH$3,1)))))</f>
        <v/>
      </c>
      <c r="U20" s="181" t="str" cm="1">
        <f t="array" ref="U20">IF(OR(U$3="",$O20=""),"",1/((INDEX('Adjustment Surface'!$AN$4:$AN$23,MATCH(('Adjustment Surface'!$O20),'Adjustment Surface'!$AN$4:$AN$23,1)+IF('Adjustment Surface'!$O21="",-1,1))-INDEX('Adjustment Surface'!$AN$4:$AN$23,MATCH(('Adjustment Surface'!$O20),'Adjustment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Surface'!$O20),'Adjustment Surface'!$AN$4:$AN$23,1)),$AN$4:$AN$23,0),MATCH(INDEX('Adjustment Surface'!$AO$3:$BH$3,1,MATCH(('Adjustment Surface'!U$3),'Adjustment Surface'!$AO$3:$BH$3,1)),$AO$3:$BH$3,0))*(INDEX('Adjustment Surface'!$AN$4:$AN$23,MATCH(('Adjustment Surface'!$O20),'Adjustment Surface'!$AN$4:$AN$23,1)+IF('Adjustment Surface'!$O21="",-1,1))-'Adjustment Surface'!$O20)*(INDEX('Adjustment Surface'!$AO$3:$BH$3,1,MATCH(('Adjustment Surface'!U$3),'Adjustment Surface'!$AO$3:$BH$3,1)+IF('Adjustment Surface'!V$3="",-1,1))-'Adjustment Surface'!U$3)+INDEX($AO$4:$BH$23,MATCH(INDEX('Adjustment Surface'!$AN$4:$AN$23,MATCH(('Adjustment Surface'!$O20),'Adjustment Surface'!$AN$4:$AN$23,1)+IF('Adjustment Surface'!$O21="",-1,1)),$AN$4:$AN$23,0),MATCH(INDEX('Adjustment Surface'!$AO$3:$BH$3,1,MATCH(('Adjustment Surface'!U$3),'Adjustment Surface'!$AO$3:$BH$3,1)),$AO$3:$BH$3,0))*('Adjustment Surface'!$O20-INDEX('Adjustment Surface'!$AN$4:$AN$23,MATCH(('Adjustment Surface'!$O20),'Adjustment Surface'!$AN$4:$AN$23,1)))*(INDEX('Adjustment Surface'!$AO$3:$BH$3,1,MATCH(('Adjustment Surface'!U$3),'Adjustment Surface'!$AO$3:$BH$3,1)+IF('Adjustment Surface'!V$3="",-1,1))-'Adjustment Surface'!U$3)+INDEX($AO$4:$BH$23,MATCH(INDEX('Adjustment Surface'!$AN$4:$AN$23,MATCH(('Adjustment Surface'!$O20),'Adjustment Surface'!$AN$4:$AN$23,1)),$AN$4:$AN$23,0),MATCH(INDEX('Adjustment Surface'!$AO$3:$BH$3,1,MATCH(('Adjustment Surface'!U$3),'Adjustment Surface'!$AO$3:$BH$3,1)+IF('Adjustment Surface'!V$3="",-1,1)),$AO$3:$BH$3,0))*(INDEX('Adjustment Surface'!$AN$4:$AN$23,MATCH(('Adjustment Surface'!$O20),'Adjustment Surface'!$AN$4:$AN$23,1)+IF('Adjustment Surface'!$O21="",-1,1))-'Adjustment Surface'!$O20)*('Adjustment Surface'!U$3-INDEX('Adjustment Surface'!$AO$3:$BH$3,1,MATCH(('Adjustment Surface'!U$3),'Adjustment Surface'!$AO$3:$BH$3,1)))+INDEX($AO$4:$BH$23,MATCH(INDEX('Adjustment Surface'!$AN$4:$AN$23,MATCH(('Adjustment Surface'!$O20),'Adjustment Surface'!$AN$4:$AN$23,1)+IF('Adjustment Surface'!$O21="",-1,1)),$AN$4:$AN$23,0),MATCH(INDEX('Adjustment Surface'!$AO$3:$BH$3,1,MATCH(('Adjustment Surface'!U$3),'Adjustment Surface'!$AO$3:$BH$3,1)+IF('Adjustment Surface'!V$3="",-1,1)),$AO$3:$BH$3,0))*('Adjustment Surface'!$O20-INDEX('Adjustment Surface'!$AN$4:$AN$23,MATCH(('Adjustment Surface'!$O20),'Adjustment Surface'!$AN$4:$AN$23,1)))*('Adjustment Surface'!U$3-INDEX('Adjustment Surface'!$AO$3:$BH$3,1,MATCH(('Adjustment Surface'!U$3),'Adjustment Surface'!$AO$3:$BH$3,1)))))</f>
        <v/>
      </c>
      <c r="V20" s="181" t="str" cm="1">
        <f t="array" ref="V20">IF(OR(V$3="",$O20=""),"",1/((INDEX('Adjustment Surface'!$AN$4:$AN$23,MATCH(('Adjustment Surface'!$O20),'Adjustment Surface'!$AN$4:$AN$23,1)+IF('Adjustment Surface'!$O21="",-1,1))-INDEX('Adjustment Surface'!$AN$4:$AN$23,MATCH(('Adjustment Surface'!$O20),'Adjustment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Surface'!$O20),'Adjustment Surface'!$AN$4:$AN$23,1)),$AN$4:$AN$23,0),MATCH(INDEX('Adjustment Surface'!$AO$3:$BH$3,1,MATCH(('Adjustment Surface'!V$3),'Adjustment Surface'!$AO$3:$BH$3,1)),$AO$3:$BH$3,0))*(INDEX('Adjustment Surface'!$AN$4:$AN$23,MATCH(('Adjustment Surface'!$O20),'Adjustment Surface'!$AN$4:$AN$23,1)+IF('Adjustment Surface'!$O21="",-1,1))-'Adjustment Surface'!$O20)*(INDEX('Adjustment Surface'!$AO$3:$BH$3,1,MATCH(('Adjustment Surface'!V$3),'Adjustment Surface'!$AO$3:$BH$3,1)+IF('Adjustment Surface'!W$3="",-1,1))-'Adjustment Surface'!V$3)+INDEX($AO$4:$BH$23,MATCH(INDEX('Adjustment Surface'!$AN$4:$AN$23,MATCH(('Adjustment Surface'!$O20),'Adjustment Surface'!$AN$4:$AN$23,1)+IF('Adjustment Surface'!$O21="",-1,1)),$AN$4:$AN$23,0),MATCH(INDEX('Adjustment Surface'!$AO$3:$BH$3,1,MATCH(('Adjustment Surface'!V$3),'Adjustment Surface'!$AO$3:$BH$3,1)),$AO$3:$BH$3,0))*('Adjustment Surface'!$O20-INDEX('Adjustment Surface'!$AN$4:$AN$23,MATCH(('Adjustment Surface'!$O20),'Adjustment Surface'!$AN$4:$AN$23,1)))*(INDEX('Adjustment Surface'!$AO$3:$BH$3,1,MATCH(('Adjustment Surface'!V$3),'Adjustment Surface'!$AO$3:$BH$3,1)+IF('Adjustment Surface'!W$3="",-1,1))-'Adjustment Surface'!V$3)+INDEX($AO$4:$BH$23,MATCH(INDEX('Adjustment Surface'!$AN$4:$AN$23,MATCH(('Adjustment Surface'!$O20),'Adjustment Surface'!$AN$4:$AN$23,1)),$AN$4:$AN$23,0),MATCH(INDEX('Adjustment Surface'!$AO$3:$BH$3,1,MATCH(('Adjustment Surface'!V$3),'Adjustment Surface'!$AO$3:$BH$3,1)+IF('Adjustment Surface'!W$3="",-1,1)),$AO$3:$BH$3,0))*(INDEX('Adjustment Surface'!$AN$4:$AN$23,MATCH(('Adjustment Surface'!$O20),'Adjustment Surface'!$AN$4:$AN$23,1)+IF('Adjustment Surface'!$O21="",-1,1))-'Adjustment Surface'!$O20)*('Adjustment Surface'!V$3-INDEX('Adjustment Surface'!$AO$3:$BH$3,1,MATCH(('Adjustment Surface'!V$3),'Adjustment Surface'!$AO$3:$BH$3,1)))+INDEX($AO$4:$BH$23,MATCH(INDEX('Adjustment Surface'!$AN$4:$AN$23,MATCH(('Adjustment Surface'!$O20),'Adjustment Surface'!$AN$4:$AN$23,1)+IF('Adjustment Surface'!$O21="",-1,1)),$AN$4:$AN$23,0),MATCH(INDEX('Adjustment Surface'!$AO$3:$BH$3,1,MATCH(('Adjustment Surface'!V$3),'Adjustment Surface'!$AO$3:$BH$3,1)+IF('Adjustment Surface'!W$3="",-1,1)),$AO$3:$BH$3,0))*('Adjustment Surface'!$O20-INDEX('Adjustment Surface'!$AN$4:$AN$23,MATCH(('Adjustment Surface'!$O20),'Adjustment Surface'!$AN$4:$AN$23,1)))*('Adjustment Surface'!V$3-INDEX('Adjustment Surface'!$AO$3:$BH$3,1,MATCH(('Adjustment Surface'!V$3),'Adjustment Surface'!$AO$3:$BH$3,1)))))</f>
        <v/>
      </c>
      <c r="W20" s="181" t="str" cm="1">
        <f t="array" ref="W20">IF(OR(W$3="",$O20=""),"",1/((INDEX('Adjustment Surface'!$AN$4:$AN$23,MATCH(('Adjustment Surface'!$O20),'Adjustment Surface'!$AN$4:$AN$23,1)+IF('Adjustment Surface'!$O21="",-1,1))-INDEX('Adjustment Surface'!$AN$4:$AN$23,MATCH(('Adjustment Surface'!$O20),'Adjustment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Surface'!$O20),'Adjustment Surface'!$AN$4:$AN$23,1)),$AN$4:$AN$23,0),MATCH(INDEX('Adjustment Surface'!$AO$3:$BH$3,1,MATCH(('Adjustment Surface'!W$3),'Adjustment Surface'!$AO$3:$BH$3,1)),$AO$3:$BH$3,0))*(INDEX('Adjustment Surface'!$AN$4:$AN$23,MATCH(('Adjustment Surface'!$O20),'Adjustment Surface'!$AN$4:$AN$23,1)+IF('Adjustment Surface'!$O21="",-1,1))-'Adjustment Surface'!$O20)*(INDEX('Adjustment Surface'!$AO$3:$BH$3,1,MATCH(('Adjustment Surface'!W$3),'Adjustment Surface'!$AO$3:$BH$3,1)+IF('Adjustment Surface'!X$3="",-1,1))-'Adjustment Surface'!W$3)+INDEX($AO$4:$BH$23,MATCH(INDEX('Adjustment Surface'!$AN$4:$AN$23,MATCH(('Adjustment Surface'!$O20),'Adjustment Surface'!$AN$4:$AN$23,1)+IF('Adjustment Surface'!$O21="",-1,1)),$AN$4:$AN$23,0),MATCH(INDEX('Adjustment Surface'!$AO$3:$BH$3,1,MATCH(('Adjustment Surface'!W$3),'Adjustment Surface'!$AO$3:$BH$3,1)),$AO$3:$BH$3,0))*('Adjustment Surface'!$O20-INDEX('Adjustment Surface'!$AN$4:$AN$23,MATCH(('Adjustment Surface'!$O20),'Adjustment Surface'!$AN$4:$AN$23,1)))*(INDEX('Adjustment Surface'!$AO$3:$BH$3,1,MATCH(('Adjustment Surface'!W$3),'Adjustment Surface'!$AO$3:$BH$3,1)+IF('Adjustment Surface'!X$3="",-1,1))-'Adjustment Surface'!W$3)+INDEX($AO$4:$BH$23,MATCH(INDEX('Adjustment Surface'!$AN$4:$AN$23,MATCH(('Adjustment Surface'!$O20),'Adjustment Surface'!$AN$4:$AN$23,1)),$AN$4:$AN$23,0),MATCH(INDEX('Adjustment Surface'!$AO$3:$BH$3,1,MATCH(('Adjustment Surface'!W$3),'Adjustment Surface'!$AO$3:$BH$3,1)+IF('Adjustment Surface'!X$3="",-1,1)),$AO$3:$BH$3,0))*(INDEX('Adjustment Surface'!$AN$4:$AN$23,MATCH(('Adjustment Surface'!$O20),'Adjustment Surface'!$AN$4:$AN$23,1)+IF('Adjustment Surface'!$O21="",-1,1))-'Adjustment Surface'!$O20)*('Adjustment Surface'!W$3-INDEX('Adjustment Surface'!$AO$3:$BH$3,1,MATCH(('Adjustment Surface'!W$3),'Adjustment Surface'!$AO$3:$BH$3,1)))+INDEX($AO$4:$BH$23,MATCH(INDEX('Adjustment Surface'!$AN$4:$AN$23,MATCH(('Adjustment Surface'!$O20),'Adjustment Surface'!$AN$4:$AN$23,1)+IF('Adjustment Surface'!$O21="",-1,1)),$AN$4:$AN$23,0),MATCH(INDEX('Adjustment Surface'!$AO$3:$BH$3,1,MATCH(('Adjustment Surface'!W$3),'Adjustment Surface'!$AO$3:$BH$3,1)+IF('Adjustment Surface'!X$3="",-1,1)),$AO$3:$BH$3,0))*('Adjustment Surface'!$O20-INDEX('Adjustment Surface'!$AN$4:$AN$23,MATCH(('Adjustment Surface'!$O20),'Adjustment Surface'!$AN$4:$AN$23,1)))*('Adjustment Surface'!W$3-INDEX('Adjustment Surface'!$AO$3:$BH$3,1,MATCH(('Adjustment Surface'!W$3),'Adjustment Surface'!$AO$3:$BH$3,1)))))</f>
        <v/>
      </c>
      <c r="X20" s="181" t="str" cm="1">
        <f t="array" ref="X20">IF(OR(X$3="",$O20=""),"",1/((INDEX('Adjustment Surface'!$AN$4:$AN$23,MATCH(('Adjustment Surface'!$O20),'Adjustment Surface'!$AN$4:$AN$23,1)+IF('Adjustment Surface'!$O21="",-1,1))-INDEX('Adjustment Surface'!$AN$4:$AN$23,MATCH(('Adjustment Surface'!$O20),'Adjustment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Surface'!$O20),'Adjustment Surface'!$AN$4:$AN$23,1)),$AN$4:$AN$23,0),MATCH(INDEX('Adjustment Surface'!$AO$3:$BH$3,1,MATCH(('Adjustment Surface'!X$3),'Adjustment Surface'!$AO$3:$BH$3,1)),$AO$3:$BH$3,0))*(INDEX('Adjustment Surface'!$AN$4:$AN$23,MATCH(('Adjustment Surface'!$O20),'Adjustment Surface'!$AN$4:$AN$23,1)+IF('Adjustment Surface'!$O21="",-1,1))-'Adjustment Surface'!$O20)*(INDEX('Adjustment Surface'!$AO$3:$BH$3,1,MATCH(('Adjustment Surface'!X$3),'Adjustment Surface'!$AO$3:$BH$3,1)+IF('Adjustment Surface'!Y$3="",-1,1))-'Adjustment Surface'!X$3)+INDEX($AO$4:$BH$23,MATCH(INDEX('Adjustment Surface'!$AN$4:$AN$23,MATCH(('Adjustment Surface'!$O20),'Adjustment Surface'!$AN$4:$AN$23,1)+IF('Adjustment Surface'!$O21="",-1,1)),$AN$4:$AN$23,0),MATCH(INDEX('Adjustment Surface'!$AO$3:$BH$3,1,MATCH(('Adjustment Surface'!X$3),'Adjustment Surface'!$AO$3:$BH$3,1)),$AO$3:$BH$3,0))*('Adjustment Surface'!$O20-INDEX('Adjustment Surface'!$AN$4:$AN$23,MATCH(('Adjustment Surface'!$O20),'Adjustment Surface'!$AN$4:$AN$23,1)))*(INDEX('Adjustment Surface'!$AO$3:$BH$3,1,MATCH(('Adjustment Surface'!X$3),'Adjustment Surface'!$AO$3:$BH$3,1)+IF('Adjustment Surface'!Y$3="",-1,1))-'Adjustment Surface'!X$3)+INDEX($AO$4:$BH$23,MATCH(INDEX('Adjustment Surface'!$AN$4:$AN$23,MATCH(('Adjustment Surface'!$O20),'Adjustment Surface'!$AN$4:$AN$23,1)),$AN$4:$AN$23,0),MATCH(INDEX('Adjustment Surface'!$AO$3:$BH$3,1,MATCH(('Adjustment Surface'!X$3),'Adjustment Surface'!$AO$3:$BH$3,1)+IF('Adjustment Surface'!Y$3="",-1,1)),$AO$3:$BH$3,0))*(INDEX('Adjustment Surface'!$AN$4:$AN$23,MATCH(('Adjustment Surface'!$O20),'Adjustment Surface'!$AN$4:$AN$23,1)+IF('Adjustment Surface'!$O21="",-1,1))-'Adjustment Surface'!$O20)*('Adjustment Surface'!X$3-INDEX('Adjustment Surface'!$AO$3:$BH$3,1,MATCH(('Adjustment Surface'!X$3),'Adjustment Surface'!$AO$3:$BH$3,1)))+INDEX($AO$4:$BH$23,MATCH(INDEX('Adjustment Surface'!$AN$4:$AN$23,MATCH(('Adjustment Surface'!$O20),'Adjustment Surface'!$AN$4:$AN$23,1)+IF('Adjustment Surface'!$O21="",-1,1)),$AN$4:$AN$23,0),MATCH(INDEX('Adjustment Surface'!$AO$3:$BH$3,1,MATCH(('Adjustment Surface'!X$3),'Adjustment Surface'!$AO$3:$BH$3,1)+IF('Adjustment Surface'!Y$3="",-1,1)),$AO$3:$BH$3,0))*('Adjustment Surface'!$O20-INDEX('Adjustment Surface'!$AN$4:$AN$23,MATCH(('Adjustment Surface'!$O20),'Adjustment Surface'!$AN$4:$AN$23,1)))*('Adjustment Surface'!X$3-INDEX('Adjustment Surface'!$AO$3:$BH$3,1,MATCH(('Adjustment Surface'!X$3),'Adjustment Surface'!$AO$3:$BH$3,1)))))</f>
        <v/>
      </c>
      <c r="Y20" s="181" t="str" cm="1">
        <f t="array" ref="Y20">IF(OR(Y$3="",$O20=""),"",1/((INDEX('Adjustment Surface'!$AN$4:$AN$23,MATCH(('Adjustment Surface'!$O20),'Adjustment Surface'!$AN$4:$AN$23,1)+IF('Adjustment Surface'!$O21="",-1,1))-INDEX('Adjustment Surface'!$AN$4:$AN$23,MATCH(('Adjustment Surface'!$O20),'Adjustment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Surface'!$O20),'Adjustment Surface'!$AN$4:$AN$23,1)),$AN$4:$AN$23,0),MATCH(INDEX('Adjustment Surface'!$AO$3:$BH$3,1,MATCH(('Adjustment Surface'!Y$3),'Adjustment Surface'!$AO$3:$BH$3,1)),$AO$3:$BH$3,0))*(INDEX('Adjustment Surface'!$AN$4:$AN$23,MATCH(('Adjustment Surface'!$O20),'Adjustment Surface'!$AN$4:$AN$23,1)+IF('Adjustment Surface'!$O21="",-1,1))-'Adjustment Surface'!$O20)*(INDEX('Adjustment Surface'!$AO$3:$BH$3,1,MATCH(('Adjustment Surface'!Y$3),'Adjustment Surface'!$AO$3:$BH$3,1)+IF('Adjustment Surface'!Z$3="",-1,1))-'Adjustment Surface'!Y$3)+INDEX($AO$4:$BH$23,MATCH(INDEX('Adjustment Surface'!$AN$4:$AN$23,MATCH(('Adjustment Surface'!$O20),'Adjustment Surface'!$AN$4:$AN$23,1)+IF('Adjustment Surface'!$O21="",-1,1)),$AN$4:$AN$23,0),MATCH(INDEX('Adjustment Surface'!$AO$3:$BH$3,1,MATCH(('Adjustment Surface'!Y$3),'Adjustment Surface'!$AO$3:$BH$3,1)),$AO$3:$BH$3,0))*('Adjustment Surface'!$O20-INDEX('Adjustment Surface'!$AN$4:$AN$23,MATCH(('Adjustment Surface'!$O20),'Adjustment Surface'!$AN$4:$AN$23,1)))*(INDEX('Adjustment Surface'!$AO$3:$BH$3,1,MATCH(('Adjustment Surface'!Y$3),'Adjustment Surface'!$AO$3:$BH$3,1)+IF('Adjustment Surface'!Z$3="",-1,1))-'Adjustment Surface'!Y$3)+INDEX($AO$4:$BH$23,MATCH(INDEX('Adjustment Surface'!$AN$4:$AN$23,MATCH(('Adjustment Surface'!$O20),'Adjustment Surface'!$AN$4:$AN$23,1)),$AN$4:$AN$23,0),MATCH(INDEX('Adjustment Surface'!$AO$3:$BH$3,1,MATCH(('Adjustment Surface'!Y$3),'Adjustment Surface'!$AO$3:$BH$3,1)+IF('Adjustment Surface'!Z$3="",-1,1)),$AO$3:$BH$3,0))*(INDEX('Adjustment Surface'!$AN$4:$AN$23,MATCH(('Adjustment Surface'!$O20),'Adjustment Surface'!$AN$4:$AN$23,1)+IF('Adjustment Surface'!$O21="",-1,1))-'Adjustment Surface'!$O20)*('Adjustment Surface'!Y$3-INDEX('Adjustment Surface'!$AO$3:$BH$3,1,MATCH(('Adjustment Surface'!Y$3),'Adjustment Surface'!$AO$3:$BH$3,1)))+INDEX($AO$4:$BH$23,MATCH(INDEX('Adjustment Surface'!$AN$4:$AN$23,MATCH(('Adjustment Surface'!$O20),'Adjustment Surface'!$AN$4:$AN$23,1)+IF('Adjustment Surface'!$O21="",-1,1)),$AN$4:$AN$23,0),MATCH(INDEX('Adjustment Surface'!$AO$3:$BH$3,1,MATCH(('Adjustment Surface'!Y$3),'Adjustment Surface'!$AO$3:$BH$3,1)+IF('Adjustment Surface'!Z$3="",-1,1)),$AO$3:$BH$3,0))*('Adjustment Surface'!$O20-INDEX('Adjustment Surface'!$AN$4:$AN$23,MATCH(('Adjustment Surface'!$O20),'Adjustment Surface'!$AN$4:$AN$23,1)))*('Adjustment Surface'!Y$3-INDEX('Adjustment Surface'!$AO$3:$BH$3,1,MATCH(('Adjustment Surface'!Y$3),'Adjustment Surface'!$AO$3:$BH$3,1)))))</f>
        <v/>
      </c>
      <c r="Z20" s="181" t="str" cm="1">
        <f t="array" ref="Z20">IF(OR(Z$3="",$O20=""),"",1/((INDEX('Adjustment Surface'!$AN$4:$AN$23,MATCH(('Adjustment Surface'!$O20),'Adjustment Surface'!$AN$4:$AN$23,1)+IF('Adjustment Surface'!$O21="",-1,1))-INDEX('Adjustment Surface'!$AN$4:$AN$23,MATCH(('Adjustment Surface'!$O20),'Adjustment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Surface'!$O20),'Adjustment Surface'!$AN$4:$AN$23,1)),$AN$4:$AN$23,0),MATCH(INDEX('Adjustment Surface'!$AO$3:$BH$3,1,MATCH(('Adjustment Surface'!Z$3),'Adjustment Surface'!$AO$3:$BH$3,1)),$AO$3:$BH$3,0))*(INDEX('Adjustment Surface'!$AN$4:$AN$23,MATCH(('Adjustment Surface'!$O20),'Adjustment Surface'!$AN$4:$AN$23,1)+IF('Adjustment Surface'!$O21="",-1,1))-'Adjustment Surface'!$O20)*(INDEX('Adjustment Surface'!$AO$3:$BH$3,1,MATCH(('Adjustment Surface'!Z$3),'Adjustment Surface'!$AO$3:$BH$3,1)+IF('Adjustment Surface'!AA$3="",-1,1))-'Adjustment Surface'!Z$3)+INDEX($AO$4:$BH$23,MATCH(INDEX('Adjustment Surface'!$AN$4:$AN$23,MATCH(('Adjustment Surface'!$O20),'Adjustment Surface'!$AN$4:$AN$23,1)+IF('Adjustment Surface'!$O21="",-1,1)),$AN$4:$AN$23,0),MATCH(INDEX('Adjustment Surface'!$AO$3:$BH$3,1,MATCH(('Adjustment Surface'!Z$3),'Adjustment Surface'!$AO$3:$BH$3,1)),$AO$3:$BH$3,0))*('Adjustment Surface'!$O20-INDEX('Adjustment Surface'!$AN$4:$AN$23,MATCH(('Adjustment Surface'!$O20),'Adjustment Surface'!$AN$4:$AN$23,1)))*(INDEX('Adjustment Surface'!$AO$3:$BH$3,1,MATCH(('Adjustment Surface'!Z$3),'Adjustment Surface'!$AO$3:$BH$3,1)+IF('Adjustment Surface'!AA$3="",-1,1))-'Adjustment Surface'!Z$3)+INDEX($AO$4:$BH$23,MATCH(INDEX('Adjustment Surface'!$AN$4:$AN$23,MATCH(('Adjustment Surface'!$O20),'Adjustment Surface'!$AN$4:$AN$23,1)),$AN$4:$AN$23,0),MATCH(INDEX('Adjustment Surface'!$AO$3:$BH$3,1,MATCH(('Adjustment Surface'!Z$3),'Adjustment Surface'!$AO$3:$BH$3,1)+IF('Adjustment Surface'!AA$3="",-1,1)),$AO$3:$BH$3,0))*(INDEX('Adjustment Surface'!$AN$4:$AN$23,MATCH(('Adjustment Surface'!$O20),'Adjustment Surface'!$AN$4:$AN$23,1)+IF('Adjustment Surface'!$O21="",-1,1))-'Adjustment Surface'!$O20)*('Adjustment Surface'!Z$3-INDEX('Adjustment Surface'!$AO$3:$BH$3,1,MATCH(('Adjustment Surface'!Z$3),'Adjustment Surface'!$AO$3:$BH$3,1)))+INDEX($AO$4:$BH$23,MATCH(INDEX('Adjustment Surface'!$AN$4:$AN$23,MATCH(('Adjustment Surface'!$O20),'Adjustment Surface'!$AN$4:$AN$23,1)+IF('Adjustment Surface'!$O21="",-1,1)),$AN$4:$AN$23,0),MATCH(INDEX('Adjustment Surface'!$AO$3:$BH$3,1,MATCH(('Adjustment Surface'!Z$3),'Adjustment Surface'!$AO$3:$BH$3,1)+IF('Adjustment Surface'!AA$3="",-1,1)),$AO$3:$BH$3,0))*('Adjustment Surface'!$O20-INDEX('Adjustment Surface'!$AN$4:$AN$23,MATCH(('Adjustment Surface'!$O20),'Adjustment Surface'!$AN$4:$AN$23,1)))*('Adjustment Surface'!Z$3-INDEX('Adjustment Surface'!$AO$3:$BH$3,1,MATCH(('Adjustment Surface'!Z$3),'Adjustment Surface'!$AO$3:$BH$3,1)))))</f>
        <v/>
      </c>
      <c r="AA20" s="181" t="str" cm="1">
        <f t="array" ref="AA20">IF(OR(AA$3="",$O20=""),"",1/((INDEX('Adjustment Surface'!$AN$4:$AN$23,MATCH(('Adjustment Surface'!$O20),'Adjustment Surface'!$AN$4:$AN$23,1)+IF('Adjustment Surface'!$O21="",-1,1))-INDEX('Adjustment Surface'!$AN$4:$AN$23,MATCH(('Adjustment Surface'!$O20),'Adjustment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Surface'!$O20),'Adjustment Surface'!$AN$4:$AN$23,1)),$AN$4:$AN$23,0),MATCH(INDEX('Adjustment Surface'!$AO$3:$BH$3,1,MATCH(('Adjustment Surface'!AA$3),'Adjustment Surface'!$AO$3:$BH$3,1)),$AO$3:$BH$3,0))*(INDEX('Adjustment Surface'!$AN$4:$AN$23,MATCH(('Adjustment Surface'!$O20),'Adjustment Surface'!$AN$4:$AN$23,1)+IF('Adjustment Surface'!$O21="",-1,1))-'Adjustment Surface'!$O20)*(INDEX('Adjustment Surface'!$AO$3:$BH$3,1,MATCH(('Adjustment Surface'!AA$3),'Adjustment Surface'!$AO$3:$BH$3,1)+IF('Adjustment Surface'!AB$3="",-1,1))-'Adjustment Surface'!AA$3)+INDEX($AO$4:$BH$23,MATCH(INDEX('Adjustment Surface'!$AN$4:$AN$23,MATCH(('Adjustment Surface'!$O20),'Adjustment Surface'!$AN$4:$AN$23,1)+IF('Adjustment Surface'!$O21="",-1,1)),$AN$4:$AN$23,0),MATCH(INDEX('Adjustment Surface'!$AO$3:$BH$3,1,MATCH(('Adjustment Surface'!AA$3),'Adjustment Surface'!$AO$3:$BH$3,1)),$AO$3:$BH$3,0))*('Adjustment Surface'!$O20-INDEX('Adjustment Surface'!$AN$4:$AN$23,MATCH(('Adjustment Surface'!$O20),'Adjustment Surface'!$AN$4:$AN$23,1)))*(INDEX('Adjustment Surface'!$AO$3:$BH$3,1,MATCH(('Adjustment Surface'!AA$3),'Adjustment Surface'!$AO$3:$BH$3,1)+IF('Adjustment Surface'!AB$3="",-1,1))-'Adjustment Surface'!AA$3)+INDEX($AO$4:$BH$23,MATCH(INDEX('Adjustment Surface'!$AN$4:$AN$23,MATCH(('Adjustment Surface'!$O20),'Adjustment Surface'!$AN$4:$AN$23,1)),$AN$4:$AN$23,0),MATCH(INDEX('Adjustment Surface'!$AO$3:$BH$3,1,MATCH(('Adjustment Surface'!AA$3),'Adjustment Surface'!$AO$3:$BH$3,1)+IF('Adjustment Surface'!AB$3="",-1,1)),$AO$3:$BH$3,0))*(INDEX('Adjustment Surface'!$AN$4:$AN$23,MATCH(('Adjustment Surface'!$O20),'Adjustment Surface'!$AN$4:$AN$23,1)+IF('Adjustment Surface'!$O21="",-1,1))-'Adjustment Surface'!$O20)*('Adjustment Surface'!AA$3-INDEX('Adjustment Surface'!$AO$3:$BH$3,1,MATCH(('Adjustment Surface'!AA$3),'Adjustment Surface'!$AO$3:$BH$3,1)))+INDEX($AO$4:$BH$23,MATCH(INDEX('Adjustment Surface'!$AN$4:$AN$23,MATCH(('Adjustment Surface'!$O20),'Adjustment Surface'!$AN$4:$AN$23,1)+IF('Adjustment Surface'!$O21="",-1,1)),$AN$4:$AN$23,0),MATCH(INDEX('Adjustment Surface'!$AO$3:$BH$3,1,MATCH(('Adjustment Surface'!AA$3),'Adjustment Surface'!$AO$3:$BH$3,1)+IF('Adjustment Surface'!AB$3="",-1,1)),$AO$3:$BH$3,0))*('Adjustment Surface'!$O20-INDEX('Adjustment Surface'!$AN$4:$AN$23,MATCH(('Adjustment Surface'!$O20),'Adjustment Surface'!$AN$4:$AN$23,1)))*('Adjustment Surface'!AA$3-INDEX('Adjustment Surface'!$AO$3:$BH$3,1,MATCH(('Adjustment Surface'!AA$3),'Adjustment Surface'!$AO$3:$BH$3,1)))))</f>
        <v/>
      </c>
      <c r="AB20" s="181" t="str" cm="1">
        <f t="array" ref="AB20">IF(OR(AB$3="",$O20=""),"",1/((INDEX('Adjustment Surface'!$AN$4:$AN$23,MATCH(('Adjustment Surface'!$O20),'Adjustment Surface'!$AN$4:$AN$23,1)+IF('Adjustment Surface'!$O21="",-1,1))-INDEX('Adjustment Surface'!$AN$4:$AN$23,MATCH(('Adjustment Surface'!$O20),'Adjustment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Surface'!$O20),'Adjustment Surface'!$AN$4:$AN$23,1)),$AN$4:$AN$23,0),MATCH(INDEX('Adjustment Surface'!$AO$3:$BH$3,1,MATCH(('Adjustment Surface'!AB$3),'Adjustment Surface'!$AO$3:$BH$3,1)),$AO$3:$BH$3,0))*(INDEX('Adjustment Surface'!$AN$4:$AN$23,MATCH(('Adjustment Surface'!$O20),'Adjustment Surface'!$AN$4:$AN$23,1)+IF('Adjustment Surface'!$O21="",-1,1))-'Adjustment Surface'!$O20)*(INDEX('Adjustment Surface'!$AO$3:$BH$3,1,MATCH(('Adjustment Surface'!AB$3),'Adjustment Surface'!$AO$3:$BH$3,1)+IF('Adjustment Surface'!AC$3="",-1,1))-'Adjustment Surface'!AB$3)+INDEX($AO$4:$BH$23,MATCH(INDEX('Adjustment Surface'!$AN$4:$AN$23,MATCH(('Adjustment Surface'!$O20),'Adjustment Surface'!$AN$4:$AN$23,1)+IF('Adjustment Surface'!$O21="",-1,1)),$AN$4:$AN$23,0),MATCH(INDEX('Adjustment Surface'!$AO$3:$BH$3,1,MATCH(('Adjustment Surface'!AB$3),'Adjustment Surface'!$AO$3:$BH$3,1)),$AO$3:$BH$3,0))*('Adjustment Surface'!$O20-INDEX('Adjustment Surface'!$AN$4:$AN$23,MATCH(('Adjustment Surface'!$O20),'Adjustment Surface'!$AN$4:$AN$23,1)))*(INDEX('Adjustment Surface'!$AO$3:$BH$3,1,MATCH(('Adjustment Surface'!AB$3),'Adjustment Surface'!$AO$3:$BH$3,1)+IF('Adjustment Surface'!AC$3="",-1,1))-'Adjustment Surface'!AB$3)+INDEX($AO$4:$BH$23,MATCH(INDEX('Adjustment Surface'!$AN$4:$AN$23,MATCH(('Adjustment Surface'!$O20),'Adjustment Surface'!$AN$4:$AN$23,1)),$AN$4:$AN$23,0),MATCH(INDEX('Adjustment Surface'!$AO$3:$BH$3,1,MATCH(('Adjustment Surface'!AB$3),'Adjustment Surface'!$AO$3:$BH$3,1)+IF('Adjustment Surface'!AC$3="",-1,1)),$AO$3:$BH$3,0))*(INDEX('Adjustment Surface'!$AN$4:$AN$23,MATCH(('Adjustment Surface'!$O20),'Adjustment Surface'!$AN$4:$AN$23,1)+IF('Adjustment Surface'!$O21="",-1,1))-'Adjustment Surface'!$O20)*('Adjustment Surface'!AB$3-INDEX('Adjustment Surface'!$AO$3:$BH$3,1,MATCH(('Adjustment Surface'!AB$3),'Adjustment Surface'!$AO$3:$BH$3,1)))+INDEX($AO$4:$BH$23,MATCH(INDEX('Adjustment Surface'!$AN$4:$AN$23,MATCH(('Adjustment Surface'!$O20),'Adjustment Surface'!$AN$4:$AN$23,1)+IF('Adjustment Surface'!$O21="",-1,1)),$AN$4:$AN$23,0),MATCH(INDEX('Adjustment Surface'!$AO$3:$BH$3,1,MATCH(('Adjustment Surface'!AB$3),'Adjustment Surface'!$AO$3:$BH$3,1)+IF('Adjustment Surface'!AC$3="",-1,1)),$AO$3:$BH$3,0))*('Adjustment Surface'!$O20-INDEX('Adjustment Surface'!$AN$4:$AN$23,MATCH(('Adjustment Surface'!$O20),'Adjustment Surface'!$AN$4:$AN$23,1)))*('Adjustment Surface'!AB$3-INDEX('Adjustment Surface'!$AO$3:$BH$3,1,MATCH(('Adjustment Surface'!AB$3),'Adjustment Surface'!$AO$3:$BH$3,1)))))</f>
        <v/>
      </c>
      <c r="AC20" s="181" t="str" cm="1">
        <f t="array" ref="AC20">IF(OR(AC$3="",$O20=""),"",1/((INDEX('Adjustment Surface'!$AN$4:$AN$23,MATCH(('Adjustment Surface'!$O20),'Adjustment Surface'!$AN$4:$AN$23,1)+IF('Adjustment Surface'!$O21="",-1,1))-INDEX('Adjustment Surface'!$AN$4:$AN$23,MATCH(('Adjustment Surface'!$O20),'Adjustment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Surface'!$O20),'Adjustment Surface'!$AN$4:$AN$23,1)),$AN$4:$AN$23,0),MATCH(INDEX('Adjustment Surface'!$AO$3:$BH$3,1,MATCH(('Adjustment Surface'!AC$3),'Adjustment Surface'!$AO$3:$BH$3,1)),$AO$3:$BH$3,0))*(INDEX('Adjustment Surface'!$AN$4:$AN$23,MATCH(('Adjustment Surface'!$O20),'Adjustment Surface'!$AN$4:$AN$23,1)+IF('Adjustment Surface'!$O21="",-1,1))-'Adjustment Surface'!$O20)*(INDEX('Adjustment Surface'!$AO$3:$BH$3,1,MATCH(('Adjustment Surface'!AC$3),'Adjustment Surface'!$AO$3:$BH$3,1)+IF('Adjustment Surface'!AD$3="",-1,1))-'Adjustment Surface'!AC$3)+INDEX($AO$4:$BH$23,MATCH(INDEX('Adjustment Surface'!$AN$4:$AN$23,MATCH(('Adjustment Surface'!$O20),'Adjustment Surface'!$AN$4:$AN$23,1)+IF('Adjustment Surface'!$O21="",-1,1)),$AN$4:$AN$23,0),MATCH(INDEX('Adjustment Surface'!$AO$3:$BH$3,1,MATCH(('Adjustment Surface'!AC$3),'Adjustment Surface'!$AO$3:$BH$3,1)),$AO$3:$BH$3,0))*('Adjustment Surface'!$O20-INDEX('Adjustment Surface'!$AN$4:$AN$23,MATCH(('Adjustment Surface'!$O20),'Adjustment Surface'!$AN$4:$AN$23,1)))*(INDEX('Adjustment Surface'!$AO$3:$BH$3,1,MATCH(('Adjustment Surface'!AC$3),'Adjustment Surface'!$AO$3:$BH$3,1)+IF('Adjustment Surface'!AD$3="",-1,1))-'Adjustment Surface'!AC$3)+INDEX($AO$4:$BH$23,MATCH(INDEX('Adjustment Surface'!$AN$4:$AN$23,MATCH(('Adjustment Surface'!$O20),'Adjustment Surface'!$AN$4:$AN$23,1)),$AN$4:$AN$23,0),MATCH(INDEX('Adjustment Surface'!$AO$3:$BH$3,1,MATCH(('Adjustment Surface'!AC$3),'Adjustment Surface'!$AO$3:$BH$3,1)+IF('Adjustment Surface'!AD$3="",-1,1)),$AO$3:$BH$3,0))*(INDEX('Adjustment Surface'!$AN$4:$AN$23,MATCH(('Adjustment Surface'!$O20),'Adjustment Surface'!$AN$4:$AN$23,1)+IF('Adjustment Surface'!$O21="",-1,1))-'Adjustment Surface'!$O20)*('Adjustment Surface'!AC$3-INDEX('Adjustment Surface'!$AO$3:$BH$3,1,MATCH(('Adjustment Surface'!AC$3),'Adjustment Surface'!$AO$3:$BH$3,1)))+INDEX($AO$4:$BH$23,MATCH(INDEX('Adjustment Surface'!$AN$4:$AN$23,MATCH(('Adjustment Surface'!$O20),'Adjustment Surface'!$AN$4:$AN$23,1)+IF('Adjustment Surface'!$O21="",-1,1)),$AN$4:$AN$23,0),MATCH(INDEX('Adjustment Surface'!$AO$3:$BH$3,1,MATCH(('Adjustment Surface'!AC$3),'Adjustment Surface'!$AO$3:$BH$3,1)+IF('Adjustment Surface'!AD$3="",-1,1)),$AO$3:$BH$3,0))*('Adjustment Surface'!$O20-INDEX('Adjustment Surface'!$AN$4:$AN$23,MATCH(('Adjustment Surface'!$O20),'Adjustment Surface'!$AN$4:$AN$23,1)))*('Adjustment Surface'!AC$3-INDEX('Adjustment Surface'!$AO$3:$BH$3,1,MATCH(('Adjustment Surface'!AC$3),'Adjustment Surface'!$AO$3:$BH$3,1)))))</f>
        <v/>
      </c>
      <c r="AD20" s="181" t="str" cm="1">
        <f t="array" ref="AD20">IF(OR(AD$3="",$O20=""),"",1/((INDEX('Adjustment Surface'!$AN$4:$AN$23,MATCH(('Adjustment Surface'!$O20),'Adjustment Surface'!$AN$4:$AN$23,1)+IF('Adjustment Surface'!$O21="",-1,1))-INDEX('Adjustment Surface'!$AN$4:$AN$23,MATCH(('Adjustment Surface'!$O20),'Adjustment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Surface'!$O20),'Adjustment Surface'!$AN$4:$AN$23,1)),$AN$4:$AN$23,0),MATCH(INDEX('Adjustment Surface'!$AO$3:$BH$3,1,MATCH(('Adjustment Surface'!AD$3),'Adjustment Surface'!$AO$3:$BH$3,1)),$AO$3:$BH$3,0))*(INDEX('Adjustment Surface'!$AN$4:$AN$23,MATCH(('Adjustment Surface'!$O20),'Adjustment Surface'!$AN$4:$AN$23,1)+IF('Adjustment Surface'!$O21="",-1,1))-'Adjustment Surface'!$O20)*(INDEX('Adjustment Surface'!$AO$3:$BH$3,1,MATCH(('Adjustment Surface'!AD$3),'Adjustment Surface'!$AO$3:$BH$3,1)+IF('Adjustment Surface'!AE$3="",-1,1))-'Adjustment Surface'!AD$3)+INDEX($AO$4:$BH$23,MATCH(INDEX('Adjustment Surface'!$AN$4:$AN$23,MATCH(('Adjustment Surface'!$O20),'Adjustment Surface'!$AN$4:$AN$23,1)+IF('Adjustment Surface'!$O21="",-1,1)),$AN$4:$AN$23,0),MATCH(INDEX('Adjustment Surface'!$AO$3:$BH$3,1,MATCH(('Adjustment Surface'!AD$3),'Adjustment Surface'!$AO$3:$BH$3,1)),$AO$3:$BH$3,0))*('Adjustment Surface'!$O20-INDEX('Adjustment Surface'!$AN$4:$AN$23,MATCH(('Adjustment Surface'!$O20),'Adjustment Surface'!$AN$4:$AN$23,1)))*(INDEX('Adjustment Surface'!$AO$3:$BH$3,1,MATCH(('Adjustment Surface'!AD$3),'Adjustment Surface'!$AO$3:$BH$3,1)+IF('Adjustment Surface'!AE$3="",-1,1))-'Adjustment Surface'!AD$3)+INDEX($AO$4:$BH$23,MATCH(INDEX('Adjustment Surface'!$AN$4:$AN$23,MATCH(('Adjustment Surface'!$O20),'Adjustment Surface'!$AN$4:$AN$23,1)),$AN$4:$AN$23,0),MATCH(INDEX('Adjustment Surface'!$AO$3:$BH$3,1,MATCH(('Adjustment Surface'!AD$3),'Adjustment Surface'!$AO$3:$BH$3,1)+IF('Adjustment Surface'!AE$3="",-1,1)),$AO$3:$BH$3,0))*(INDEX('Adjustment Surface'!$AN$4:$AN$23,MATCH(('Adjustment Surface'!$O20),'Adjustment Surface'!$AN$4:$AN$23,1)+IF('Adjustment Surface'!$O21="",-1,1))-'Adjustment Surface'!$O20)*('Adjustment Surface'!AD$3-INDEX('Adjustment Surface'!$AO$3:$BH$3,1,MATCH(('Adjustment Surface'!AD$3),'Adjustment Surface'!$AO$3:$BH$3,1)))+INDEX($AO$4:$BH$23,MATCH(INDEX('Adjustment Surface'!$AN$4:$AN$23,MATCH(('Adjustment Surface'!$O20),'Adjustment Surface'!$AN$4:$AN$23,1)+IF('Adjustment Surface'!$O21="",-1,1)),$AN$4:$AN$23,0),MATCH(INDEX('Adjustment Surface'!$AO$3:$BH$3,1,MATCH(('Adjustment Surface'!AD$3),'Adjustment Surface'!$AO$3:$BH$3,1)+IF('Adjustment Surface'!AE$3="",-1,1)),$AO$3:$BH$3,0))*('Adjustment Surface'!$O20-INDEX('Adjustment Surface'!$AN$4:$AN$23,MATCH(('Adjustment Surface'!$O20),'Adjustment Surface'!$AN$4:$AN$23,1)))*('Adjustment Surface'!AD$3-INDEX('Adjustment Surface'!$AO$3:$BH$3,1,MATCH(('Adjustment Surface'!AD$3),'Adjustment Surface'!$AO$3:$BH$3,1)))))</f>
        <v/>
      </c>
      <c r="AE20" s="181" t="str" cm="1">
        <f t="array" ref="AE20">IF(OR(AE$3="",$O20=""),"",1/((INDEX('Adjustment Surface'!$AN$4:$AN$23,MATCH(('Adjustment Surface'!$O20),'Adjustment Surface'!$AN$4:$AN$23,1)+IF('Adjustment Surface'!$O21="",-1,1))-INDEX('Adjustment Surface'!$AN$4:$AN$23,MATCH(('Adjustment Surface'!$O20),'Adjustment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Surface'!$O20),'Adjustment Surface'!$AN$4:$AN$23,1)),$AN$4:$AN$23,0),MATCH(INDEX('Adjustment Surface'!$AO$3:$BH$3,1,MATCH(('Adjustment Surface'!AE$3),'Adjustment Surface'!$AO$3:$BH$3,1)),$AO$3:$BH$3,0))*(INDEX('Adjustment Surface'!$AN$4:$AN$23,MATCH(('Adjustment Surface'!$O20),'Adjustment Surface'!$AN$4:$AN$23,1)+IF('Adjustment Surface'!$O21="",-1,1))-'Adjustment Surface'!$O20)*(INDEX('Adjustment Surface'!$AO$3:$BH$3,1,MATCH(('Adjustment Surface'!AE$3),'Adjustment Surface'!$AO$3:$BH$3,1)+IF('Adjustment Surface'!AF$3="",-1,1))-'Adjustment Surface'!AE$3)+INDEX($AO$4:$BH$23,MATCH(INDEX('Adjustment Surface'!$AN$4:$AN$23,MATCH(('Adjustment Surface'!$O20),'Adjustment Surface'!$AN$4:$AN$23,1)+IF('Adjustment Surface'!$O21="",-1,1)),$AN$4:$AN$23,0),MATCH(INDEX('Adjustment Surface'!$AO$3:$BH$3,1,MATCH(('Adjustment Surface'!AE$3),'Adjustment Surface'!$AO$3:$BH$3,1)),$AO$3:$BH$3,0))*('Adjustment Surface'!$O20-INDEX('Adjustment Surface'!$AN$4:$AN$23,MATCH(('Adjustment Surface'!$O20),'Adjustment Surface'!$AN$4:$AN$23,1)))*(INDEX('Adjustment Surface'!$AO$3:$BH$3,1,MATCH(('Adjustment Surface'!AE$3),'Adjustment Surface'!$AO$3:$BH$3,1)+IF('Adjustment Surface'!AF$3="",-1,1))-'Adjustment Surface'!AE$3)+INDEX($AO$4:$BH$23,MATCH(INDEX('Adjustment Surface'!$AN$4:$AN$23,MATCH(('Adjustment Surface'!$O20),'Adjustment Surface'!$AN$4:$AN$23,1)),$AN$4:$AN$23,0),MATCH(INDEX('Adjustment Surface'!$AO$3:$BH$3,1,MATCH(('Adjustment Surface'!AE$3),'Adjustment Surface'!$AO$3:$BH$3,1)+IF('Adjustment Surface'!AF$3="",-1,1)),$AO$3:$BH$3,0))*(INDEX('Adjustment Surface'!$AN$4:$AN$23,MATCH(('Adjustment Surface'!$O20),'Adjustment Surface'!$AN$4:$AN$23,1)+IF('Adjustment Surface'!$O21="",-1,1))-'Adjustment Surface'!$O20)*('Adjustment Surface'!AE$3-INDEX('Adjustment Surface'!$AO$3:$BH$3,1,MATCH(('Adjustment Surface'!AE$3),'Adjustment Surface'!$AO$3:$BH$3,1)))+INDEX($AO$4:$BH$23,MATCH(INDEX('Adjustment Surface'!$AN$4:$AN$23,MATCH(('Adjustment Surface'!$O20),'Adjustment Surface'!$AN$4:$AN$23,1)+IF('Adjustment Surface'!$O21="",-1,1)),$AN$4:$AN$23,0),MATCH(INDEX('Adjustment Surface'!$AO$3:$BH$3,1,MATCH(('Adjustment Surface'!AE$3),'Adjustment Surface'!$AO$3:$BH$3,1)+IF('Adjustment Surface'!AF$3="",-1,1)),$AO$3:$BH$3,0))*('Adjustment Surface'!$O20-INDEX('Adjustment Surface'!$AN$4:$AN$23,MATCH(('Adjustment Surface'!$O20),'Adjustment Surface'!$AN$4:$AN$23,1)))*('Adjustment Surface'!AE$3-INDEX('Adjustment Surface'!$AO$3:$BH$3,1,MATCH(('Adjustment Surface'!AE$3),'Adjustment Surface'!$AO$3:$BH$3,1)))))</f>
        <v/>
      </c>
      <c r="AF20" s="181" t="str" cm="1">
        <f t="array" ref="AF20">IF(OR(AF$3="",$O20=""),"",1/((INDEX('Adjustment Surface'!$AN$4:$AN$23,MATCH(('Adjustment Surface'!$O20),'Adjustment Surface'!$AN$4:$AN$23,1)+IF('Adjustment Surface'!$O21="",-1,1))-INDEX('Adjustment Surface'!$AN$4:$AN$23,MATCH(('Adjustment Surface'!$O20),'Adjustment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Surface'!$O20),'Adjustment Surface'!$AN$4:$AN$23,1)),$AN$4:$AN$23,0),MATCH(INDEX('Adjustment Surface'!$AO$3:$BH$3,1,MATCH(('Adjustment Surface'!AF$3),'Adjustment Surface'!$AO$3:$BH$3,1)),$AO$3:$BH$3,0))*(INDEX('Adjustment Surface'!$AN$4:$AN$23,MATCH(('Adjustment Surface'!$O20),'Adjustment Surface'!$AN$4:$AN$23,1)+IF('Adjustment Surface'!$O21="",-1,1))-'Adjustment Surface'!$O20)*(INDEX('Adjustment Surface'!$AO$3:$BH$3,1,MATCH(('Adjustment Surface'!AF$3),'Adjustment Surface'!$AO$3:$BH$3,1)+IF('Adjustment Surface'!AG$3="",-1,1))-'Adjustment Surface'!AF$3)+INDEX($AO$4:$BH$23,MATCH(INDEX('Adjustment Surface'!$AN$4:$AN$23,MATCH(('Adjustment Surface'!$O20),'Adjustment Surface'!$AN$4:$AN$23,1)+IF('Adjustment Surface'!$O21="",-1,1)),$AN$4:$AN$23,0),MATCH(INDEX('Adjustment Surface'!$AO$3:$BH$3,1,MATCH(('Adjustment Surface'!AF$3),'Adjustment Surface'!$AO$3:$BH$3,1)),$AO$3:$BH$3,0))*('Adjustment Surface'!$O20-INDEX('Adjustment Surface'!$AN$4:$AN$23,MATCH(('Adjustment Surface'!$O20),'Adjustment Surface'!$AN$4:$AN$23,1)))*(INDEX('Adjustment Surface'!$AO$3:$BH$3,1,MATCH(('Adjustment Surface'!AF$3),'Adjustment Surface'!$AO$3:$BH$3,1)+IF('Adjustment Surface'!AG$3="",-1,1))-'Adjustment Surface'!AF$3)+INDEX($AO$4:$BH$23,MATCH(INDEX('Adjustment Surface'!$AN$4:$AN$23,MATCH(('Adjustment Surface'!$O20),'Adjustment Surface'!$AN$4:$AN$23,1)),$AN$4:$AN$23,0),MATCH(INDEX('Adjustment Surface'!$AO$3:$BH$3,1,MATCH(('Adjustment Surface'!AF$3),'Adjustment Surface'!$AO$3:$BH$3,1)+IF('Adjustment Surface'!AG$3="",-1,1)),$AO$3:$BH$3,0))*(INDEX('Adjustment Surface'!$AN$4:$AN$23,MATCH(('Adjustment Surface'!$O20),'Adjustment Surface'!$AN$4:$AN$23,1)+IF('Adjustment Surface'!$O21="",-1,1))-'Adjustment Surface'!$O20)*('Adjustment Surface'!AF$3-INDEX('Adjustment Surface'!$AO$3:$BH$3,1,MATCH(('Adjustment Surface'!AF$3),'Adjustment Surface'!$AO$3:$BH$3,1)))+INDEX($AO$4:$BH$23,MATCH(INDEX('Adjustment Surface'!$AN$4:$AN$23,MATCH(('Adjustment Surface'!$O20),'Adjustment Surface'!$AN$4:$AN$23,1)+IF('Adjustment Surface'!$O21="",-1,1)),$AN$4:$AN$23,0),MATCH(INDEX('Adjustment Surface'!$AO$3:$BH$3,1,MATCH(('Adjustment Surface'!AF$3),'Adjustment Surface'!$AO$3:$BH$3,1)+IF('Adjustment Surface'!AG$3="",-1,1)),$AO$3:$BH$3,0))*('Adjustment Surface'!$O20-INDEX('Adjustment Surface'!$AN$4:$AN$23,MATCH(('Adjustment Surface'!$O20),'Adjustment Surface'!$AN$4:$AN$23,1)))*('Adjustment Surface'!AF$3-INDEX('Adjustment Surface'!$AO$3:$BH$3,1,MATCH(('Adjustment Surface'!AF$3),'Adjustment Surface'!$AO$3:$BH$3,1)))))</f>
        <v/>
      </c>
      <c r="AG20" s="181" t="str" cm="1">
        <f t="array" ref="AG20">IF(OR(AG$3="",$O20=""),"",1/((INDEX('Adjustment Surface'!$AN$4:$AN$23,MATCH(('Adjustment Surface'!$O20),'Adjustment Surface'!$AN$4:$AN$23,1)+IF('Adjustment Surface'!$O21="",-1,1))-INDEX('Adjustment Surface'!$AN$4:$AN$23,MATCH(('Adjustment Surface'!$O20),'Adjustment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Surface'!$O20),'Adjustment Surface'!$AN$4:$AN$23,1)),$AN$4:$AN$23,0),MATCH(INDEX('Adjustment Surface'!$AO$3:$BH$3,1,MATCH(('Adjustment Surface'!AG$3),'Adjustment Surface'!$AO$3:$BH$3,1)),$AO$3:$BH$3,0))*(INDEX('Adjustment Surface'!$AN$4:$AN$23,MATCH(('Adjustment Surface'!$O20),'Adjustment Surface'!$AN$4:$AN$23,1)+IF('Adjustment Surface'!$O21="",-1,1))-'Adjustment Surface'!$O20)*(INDEX('Adjustment Surface'!$AO$3:$BH$3,1,MATCH(('Adjustment Surface'!AG$3),'Adjustment Surface'!$AO$3:$BH$3,1)+IF('Adjustment Surface'!AH$3="",-1,1))-'Adjustment Surface'!AG$3)+INDEX($AO$4:$BH$23,MATCH(INDEX('Adjustment Surface'!$AN$4:$AN$23,MATCH(('Adjustment Surface'!$O20),'Adjustment Surface'!$AN$4:$AN$23,1)+IF('Adjustment Surface'!$O21="",-1,1)),$AN$4:$AN$23,0),MATCH(INDEX('Adjustment Surface'!$AO$3:$BH$3,1,MATCH(('Adjustment Surface'!AG$3),'Adjustment Surface'!$AO$3:$BH$3,1)),$AO$3:$BH$3,0))*('Adjustment Surface'!$O20-INDEX('Adjustment Surface'!$AN$4:$AN$23,MATCH(('Adjustment Surface'!$O20),'Adjustment Surface'!$AN$4:$AN$23,1)))*(INDEX('Adjustment Surface'!$AO$3:$BH$3,1,MATCH(('Adjustment Surface'!AG$3),'Adjustment Surface'!$AO$3:$BH$3,1)+IF('Adjustment Surface'!AH$3="",-1,1))-'Adjustment Surface'!AG$3)+INDEX($AO$4:$BH$23,MATCH(INDEX('Adjustment Surface'!$AN$4:$AN$23,MATCH(('Adjustment Surface'!$O20),'Adjustment Surface'!$AN$4:$AN$23,1)),$AN$4:$AN$23,0),MATCH(INDEX('Adjustment Surface'!$AO$3:$BH$3,1,MATCH(('Adjustment Surface'!AG$3),'Adjustment Surface'!$AO$3:$BH$3,1)+IF('Adjustment Surface'!AH$3="",-1,1)),$AO$3:$BH$3,0))*(INDEX('Adjustment Surface'!$AN$4:$AN$23,MATCH(('Adjustment Surface'!$O20),'Adjustment Surface'!$AN$4:$AN$23,1)+IF('Adjustment Surface'!$O21="",-1,1))-'Adjustment Surface'!$O20)*('Adjustment Surface'!AG$3-INDEX('Adjustment Surface'!$AO$3:$BH$3,1,MATCH(('Adjustment Surface'!AG$3),'Adjustment Surface'!$AO$3:$BH$3,1)))+INDEX($AO$4:$BH$23,MATCH(INDEX('Adjustment Surface'!$AN$4:$AN$23,MATCH(('Adjustment Surface'!$O20),'Adjustment Surface'!$AN$4:$AN$23,1)+IF('Adjustment Surface'!$O21="",-1,1)),$AN$4:$AN$23,0),MATCH(INDEX('Adjustment Surface'!$AO$3:$BH$3,1,MATCH(('Adjustment Surface'!AG$3),'Adjustment Surface'!$AO$3:$BH$3,1)+IF('Adjustment Surface'!AH$3="",-1,1)),$AO$3:$BH$3,0))*('Adjustment Surface'!$O20-INDEX('Adjustment Surface'!$AN$4:$AN$23,MATCH(('Adjustment Surface'!$O20),'Adjustment Surface'!$AN$4:$AN$23,1)))*('Adjustment Surface'!AG$3-INDEX('Adjustment Surface'!$AO$3:$BH$3,1,MATCH(('Adjustment Surface'!AG$3),'Adjustment Surface'!$AO$3:$BH$3,1)))))</f>
        <v/>
      </c>
      <c r="AH20" s="181" t="str" cm="1">
        <f t="array" ref="AH20">IF(OR(AH$3="",$O20=""),"",1/((INDEX('Adjustment Surface'!$AN$4:$AN$23,MATCH(('Adjustment Surface'!$O20),'Adjustment Surface'!$AN$4:$AN$23,1)+IF('Adjustment Surface'!$O21="",-1,1))-INDEX('Adjustment Surface'!$AN$4:$AN$23,MATCH(('Adjustment Surface'!$O20),'Adjustment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Surface'!$O20),'Adjustment Surface'!$AN$4:$AN$23,1)),$AN$4:$AN$23,0),MATCH(INDEX('Adjustment Surface'!$AO$3:$BH$3,1,MATCH(('Adjustment Surface'!AH$3),'Adjustment Surface'!$AO$3:$BH$3,1)),$AO$3:$BH$3,0))*(INDEX('Adjustment Surface'!$AN$4:$AN$23,MATCH(('Adjustment Surface'!$O20),'Adjustment Surface'!$AN$4:$AN$23,1)+IF('Adjustment Surface'!$O21="",-1,1))-'Adjustment Surface'!$O20)*(INDEX('Adjustment Surface'!$AO$3:$BH$3,1,MATCH(('Adjustment Surface'!AH$3),'Adjustment Surface'!$AO$3:$BH$3,1)+IF('Adjustment Surface'!AI$3="",-1,1))-'Adjustment Surface'!AH$3)+INDEX($AO$4:$BH$23,MATCH(INDEX('Adjustment Surface'!$AN$4:$AN$23,MATCH(('Adjustment Surface'!$O20),'Adjustment Surface'!$AN$4:$AN$23,1)+IF('Adjustment Surface'!$O21="",-1,1)),$AN$4:$AN$23,0),MATCH(INDEX('Adjustment Surface'!$AO$3:$BH$3,1,MATCH(('Adjustment Surface'!AH$3),'Adjustment Surface'!$AO$3:$BH$3,1)),$AO$3:$BH$3,0))*('Adjustment Surface'!$O20-INDEX('Adjustment Surface'!$AN$4:$AN$23,MATCH(('Adjustment Surface'!$O20),'Adjustment Surface'!$AN$4:$AN$23,1)))*(INDEX('Adjustment Surface'!$AO$3:$BH$3,1,MATCH(('Adjustment Surface'!AH$3),'Adjustment Surface'!$AO$3:$BH$3,1)+IF('Adjustment Surface'!AI$3="",-1,1))-'Adjustment Surface'!AH$3)+INDEX($AO$4:$BH$23,MATCH(INDEX('Adjustment Surface'!$AN$4:$AN$23,MATCH(('Adjustment Surface'!$O20),'Adjustment Surface'!$AN$4:$AN$23,1)),$AN$4:$AN$23,0),MATCH(INDEX('Adjustment Surface'!$AO$3:$BH$3,1,MATCH(('Adjustment Surface'!AH$3),'Adjustment Surface'!$AO$3:$BH$3,1)+IF('Adjustment Surface'!AI$3="",-1,1)),$AO$3:$BH$3,0))*(INDEX('Adjustment Surface'!$AN$4:$AN$23,MATCH(('Adjustment Surface'!$O20),'Adjustment Surface'!$AN$4:$AN$23,1)+IF('Adjustment Surface'!$O21="",-1,1))-'Adjustment Surface'!$O20)*('Adjustment Surface'!AH$3-INDEX('Adjustment Surface'!$AO$3:$BH$3,1,MATCH(('Adjustment Surface'!AH$3),'Adjustment Surface'!$AO$3:$BH$3,1)))+INDEX($AO$4:$BH$23,MATCH(INDEX('Adjustment Surface'!$AN$4:$AN$23,MATCH(('Adjustment Surface'!$O20),'Adjustment Surface'!$AN$4:$AN$23,1)+IF('Adjustment Surface'!$O21="",-1,1)),$AN$4:$AN$23,0),MATCH(INDEX('Adjustment Surface'!$AO$3:$BH$3,1,MATCH(('Adjustment Surface'!AH$3),'Adjustment Surface'!$AO$3:$BH$3,1)+IF('Adjustment Surface'!AI$3="",-1,1)),$AO$3:$BH$3,0))*('Adjustment Surface'!$O20-INDEX('Adjustment Surface'!$AN$4:$AN$23,MATCH(('Adjustment Surface'!$O20),'Adjustment Surface'!$AN$4:$AN$23,1)))*('Adjustment Surface'!AH$3-INDEX('Adjustment Surface'!$AO$3:$BH$3,1,MATCH(('Adjustment Surface'!AH$3),'Adjustment Surface'!$AO$3:$BH$3,1)))))</f>
        <v/>
      </c>
      <c r="AI20" s="182" t="str" cm="1">
        <f t="array" ref="AI20">IF(OR(AI$3="",$O20=""),"",1/((INDEX('Adjustment Surface'!$AN$4:$AN$23,MATCH(('Adjustment Surface'!$O20),'Adjustment Surface'!$AN$4:$AN$23,1)+IF('Adjustment Surface'!$O21="",-1,1))-INDEX('Adjustment Surface'!$AN$4:$AN$23,MATCH(('Adjustment Surface'!$O20),'Adjustment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Surface'!$O20),'Adjustment Surface'!$AN$4:$AN$23,1)),$AN$4:$AN$23,0),MATCH(INDEX('Adjustment Surface'!$AO$3:$BH$3,1,MATCH(('Adjustment Surface'!AI$3),'Adjustment Surface'!$AO$3:$BH$3,1)),$AO$3:$BH$3,0))*(INDEX('Adjustment Surface'!$AN$4:$AN$23,MATCH(('Adjustment Surface'!$O20),'Adjustment Surface'!$AN$4:$AN$23,1)+IF('Adjustment Surface'!$O21="",-1,1))-'Adjustment Surface'!$O20)*(INDEX('Adjustment Surface'!$AO$3:$BH$3,1,MATCH(('Adjustment Surface'!AI$3),'Adjustment Surface'!$AO$3:$BH$3,1)+IF('Adjustment Surface'!AJ$3="",-1,1))-'Adjustment Surface'!AI$3)+INDEX($AO$4:$BH$23,MATCH(INDEX('Adjustment Surface'!$AN$4:$AN$23,MATCH(('Adjustment Surface'!$O20),'Adjustment Surface'!$AN$4:$AN$23,1)+IF('Adjustment Surface'!$O21="",-1,1)),$AN$4:$AN$23,0),MATCH(INDEX('Adjustment Surface'!$AO$3:$BH$3,1,MATCH(('Adjustment Surface'!AI$3),'Adjustment Surface'!$AO$3:$BH$3,1)),$AO$3:$BH$3,0))*('Adjustment Surface'!$O20-INDEX('Adjustment Surface'!$AN$4:$AN$23,MATCH(('Adjustment Surface'!$O20),'Adjustment Surface'!$AN$4:$AN$23,1)))*(INDEX('Adjustment Surface'!$AO$3:$BH$3,1,MATCH(('Adjustment Surface'!AI$3),'Adjustment Surface'!$AO$3:$BH$3,1)+IF('Adjustment Surface'!AJ$3="",-1,1))-'Adjustment Surface'!AI$3)+INDEX($AO$4:$BH$23,MATCH(INDEX('Adjustment Surface'!$AN$4:$AN$23,MATCH(('Adjustment Surface'!$O20),'Adjustment Surface'!$AN$4:$AN$23,1)),$AN$4:$AN$23,0),MATCH(INDEX('Adjustment Surface'!$AO$3:$BH$3,1,MATCH(('Adjustment Surface'!AI$3),'Adjustment Surface'!$AO$3:$BH$3,1)+IF('Adjustment Surface'!AJ$3="",-1,1)),$AO$3:$BH$3,0))*(INDEX('Adjustment Surface'!$AN$4:$AN$23,MATCH(('Adjustment Surface'!$O20),'Adjustment Surface'!$AN$4:$AN$23,1)+IF('Adjustment Surface'!$O21="",-1,1))-'Adjustment Surface'!$O20)*('Adjustment Surface'!AI$3-INDEX('Adjustment Surface'!$AO$3:$BH$3,1,MATCH(('Adjustment Surface'!AI$3),'Adjustment Surface'!$AO$3:$BH$3,1)))+INDEX($AO$4:$BH$23,MATCH(INDEX('Adjustment Surface'!$AN$4:$AN$23,MATCH(('Adjustment Surface'!$O20),'Adjustment Surface'!$AN$4:$AN$23,1)+IF('Adjustment Surface'!$O21="",-1,1)),$AN$4:$AN$23,0),MATCH(INDEX('Adjustment Surface'!$AO$3:$BH$3,1,MATCH(('Adjustment Surface'!AI$3),'Adjustment Surface'!$AO$3:$BH$3,1)+IF('Adjustment Surface'!AJ$3="",-1,1)),$AO$3:$BH$3,0))*('Adjustment Surface'!$O20-INDEX('Adjustment Surface'!$AN$4:$AN$23,MATCH(('Adjustment Surface'!$O20),'Adjustment Surface'!$AN$4:$AN$23,1)))*('Adjustment Surface'!AI$3-INDEX('Adjustment Surface'!$AO$3:$BH$3,1,MATCH(('Adjustment Surface'!AI$3),'Adjustment Surface'!$AO$3:$BH$3,1)))))</f>
        <v/>
      </c>
      <c r="AK20" s="203" t="str">
        <f>IF(OR(AK19=IF('Adjustment Surface'!$C$2='Data Validation'!$A$2,_xlfn.FLOOR.MATH(MAX('Bank Adjustments'!$C$4:$C$103),0.5%,2),IF('Adjustment Surface'!$C$2='Data Validation'!$A$3,_xlfn.FLOOR.MATH(MAX('Bank Adjustments'!$M$4:$M$103),0.5%,2),"Uknown Option Type")),AK19=""),"",AK19+0.5%)</f>
        <v/>
      </c>
      <c r="AL20" s="204"/>
      <c r="AN20" s="176"/>
      <c r="AO20" s="180" t="str" cm="1">
        <f t="array" ref="AO20">IF(OR(AO$3="",$AN20=""),"",INDEX(IF($C$2='Data Validation'!$A$2,'Bank Adjustments'!$H$4:$H$103,IF('Adjustment Surface'!$C$2='Data Validation'!$A$3,'Bank Adjustments'!$R$4:$R$103,"Unknown Option Type")),MATCH(1,($AN20=IF($C$2='Data Validation'!$A$2,'Bank Adjustments'!$C$4:$C$103,IF('Adjustment Surface'!$C$2='Data Validation'!$A$3,'Bank Adjustments'!$M$4:$M$103,"Unknown Option Type")))*(AO$3=IF($C$2='Data Validation'!$A$2,'Bank Adjustments'!$E$4:$E$103,IF('Adjustment Surface'!$C$2='Data Validation'!$A$3,'Bank Adjustments'!$O$4:$O$103,"Unknown Option Type"))),0)))</f>
        <v/>
      </c>
      <c r="AP20" s="181" t="str" cm="1">
        <f t="array" ref="AP20">IF(OR(AP$3="",$AN20=""),"",INDEX(IF($C$2='Data Validation'!$A$2,'Bank Adjustments'!$H$4:$H$103,IF('Adjustment Surface'!$C$2='Data Validation'!$A$3,'Bank Adjustments'!$R$4:$R$103,"Unknown Option Type")),MATCH(1,($AN20=IF($C$2='Data Validation'!$A$2,'Bank Adjustments'!$C$4:$C$103,IF('Adjustment Surface'!$C$2='Data Validation'!$A$3,'Bank Adjustments'!$M$4:$M$103,"Unknown Option Type")))*(AP$3=IF($C$2='Data Validation'!$A$2,'Bank Adjustments'!$E$4:$E$103,IF('Adjustment Surface'!$C$2='Data Validation'!$A$3,'Bank Adjustments'!$O$4:$O$103,"Unknown Option Type"))),0)))</f>
        <v/>
      </c>
      <c r="AQ20" s="181" t="str" cm="1">
        <f t="array" ref="AQ20">IF(OR(AQ$3="",$AN20=""),"",INDEX(IF($C$2='Data Validation'!$A$2,'Bank Adjustments'!$H$4:$H$103,IF('Adjustment Surface'!$C$2='Data Validation'!$A$3,'Bank Adjustments'!$R$4:$R$103,"Unknown Option Type")),MATCH(1,($AN20=IF($C$2='Data Validation'!$A$2,'Bank Adjustments'!$C$4:$C$103,IF('Adjustment Surface'!$C$2='Data Validation'!$A$3,'Bank Adjustments'!$M$4:$M$103,"Unknown Option Type")))*(AQ$3=IF($C$2='Data Validation'!$A$2,'Bank Adjustments'!$E$4:$E$103,IF('Adjustment Surface'!$C$2='Data Validation'!$A$3,'Bank Adjustments'!$O$4:$O$103,"Unknown Option Type"))),0)))</f>
        <v/>
      </c>
      <c r="AR20" s="181" t="str" cm="1">
        <f t="array" ref="AR20">IF(OR(AR$3="",$AN20=""),"",INDEX(IF($C$2='Data Validation'!$A$2,'Bank Adjustments'!$H$4:$H$103,IF('Adjustment Surface'!$C$2='Data Validation'!$A$3,'Bank Adjustments'!$R$4:$R$103,"Unknown Option Type")),MATCH(1,($AN20=IF($C$2='Data Validation'!$A$2,'Bank Adjustments'!$C$4:$C$103,IF('Adjustment Surface'!$C$2='Data Validation'!$A$3,'Bank Adjustments'!$M$4:$M$103,"Unknown Option Type")))*(AR$3=IF($C$2='Data Validation'!$A$2,'Bank Adjustments'!$E$4:$E$103,IF('Adjustment Surface'!$C$2='Data Validation'!$A$3,'Bank Adjustments'!$O$4:$O$103,"Unknown Option Type"))),0)))</f>
        <v/>
      </c>
      <c r="AS20" s="181" t="str" cm="1">
        <f t="array" ref="AS20">IF(OR(AS$3="",$AN20=""),"",INDEX(IF($C$2='Data Validation'!$A$2,'Bank Adjustments'!$H$4:$H$103,IF('Adjustment Surface'!$C$2='Data Validation'!$A$3,'Bank Adjustments'!$R$4:$R$103,"Unknown Option Type")),MATCH(1,($AN20=IF($C$2='Data Validation'!$A$2,'Bank Adjustments'!$C$4:$C$103,IF('Adjustment Surface'!$C$2='Data Validation'!$A$3,'Bank Adjustments'!$M$4:$M$103,"Unknown Option Type")))*(AS$3=IF($C$2='Data Validation'!$A$2,'Bank Adjustments'!$E$4:$E$103,IF('Adjustment Surface'!$C$2='Data Validation'!$A$3,'Bank Adjustments'!$O$4:$O$103,"Unknown Option Type"))),0)))</f>
        <v/>
      </c>
      <c r="AT20" s="181" t="str" cm="1">
        <f t="array" ref="AT20">IF(OR(AT$3="",$AN20=""),"",INDEX(IF($C$2='Data Validation'!$A$2,'Bank Adjustments'!$H$4:$H$103,IF('Adjustment Surface'!$C$2='Data Validation'!$A$3,'Bank Adjustments'!$R$4:$R$103,"Unknown Option Type")),MATCH(1,($AN20=IF($C$2='Data Validation'!$A$2,'Bank Adjustments'!$C$4:$C$103,IF('Adjustment Surface'!$C$2='Data Validation'!$A$3,'Bank Adjustments'!$M$4:$M$103,"Unknown Option Type")))*(AT$3=IF($C$2='Data Validation'!$A$2,'Bank Adjustments'!$E$4:$E$103,IF('Adjustment Surface'!$C$2='Data Validation'!$A$3,'Bank Adjustments'!$O$4:$O$103,"Unknown Option Type"))),0)))</f>
        <v/>
      </c>
      <c r="AU20" s="181" t="str" cm="1">
        <f t="array" ref="AU20">IF(OR(AU$3="",$AN20=""),"",INDEX(IF($C$2='Data Validation'!$A$2,'Bank Adjustments'!$H$4:$H$103,IF('Adjustment Surface'!$C$2='Data Validation'!$A$3,'Bank Adjustments'!$R$4:$R$103,"Unknown Option Type")),MATCH(1,($AN20=IF($C$2='Data Validation'!$A$2,'Bank Adjustments'!$C$4:$C$103,IF('Adjustment Surface'!$C$2='Data Validation'!$A$3,'Bank Adjustments'!$M$4:$M$103,"Unknown Option Type")))*(AU$3=IF($C$2='Data Validation'!$A$2,'Bank Adjustments'!$E$4:$E$103,IF('Adjustment Surface'!$C$2='Data Validation'!$A$3,'Bank Adjustments'!$O$4:$O$103,"Unknown Option Type"))),0)))</f>
        <v/>
      </c>
      <c r="AV20" s="181" t="str" cm="1">
        <f t="array" ref="AV20">IF(OR(AV$3="",$AN20=""),"",INDEX(IF($C$2='Data Validation'!$A$2,'Bank Adjustments'!$H$4:$H$103,IF('Adjustment Surface'!$C$2='Data Validation'!$A$3,'Bank Adjustments'!$R$4:$R$103,"Unknown Option Type")),MATCH(1,($AN20=IF($C$2='Data Validation'!$A$2,'Bank Adjustments'!$C$4:$C$103,IF('Adjustment Surface'!$C$2='Data Validation'!$A$3,'Bank Adjustments'!$M$4:$M$103,"Unknown Option Type")))*(AV$3=IF($C$2='Data Validation'!$A$2,'Bank Adjustments'!$E$4:$E$103,IF('Adjustment Surface'!$C$2='Data Validation'!$A$3,'Bank Adjustments'!$O$4:$O$103,"Unknown Option Type"))),0)))</f>
        <v/>
      </c>
      <c r="AW20" s="181" t="str" cm="1">
        <f t="array" ref="AW20">IF(OR(AW$3="",$AN20=""),"",INDEX(IF($C$2='Data Validation'!$A$2,'Bank Adjustments'!$H$4:$H$103,IF('Adjustment Surface'!$C$2='Data Validation'!$A$3,'Bank Adjustments'!$R$4:$R$103,"Unknown Option Type")),MATCH(1,($AN20=IF($C$2='Data Validation'!$A$2,'Bank Adjustments'!$C$4:$C$103,IF('Adjustment Surface'!$C$2='Data Validation'!$A$3,'Bank Adjustments'!$M$4:$M$103,"Unknown Option Type")))*(AW$3=IF($C$2='Data Validation'!$A$2,'Bank Adjustments'!$E$4:$E$103,IF('Adjustment Surface'!$C$2='Data Validation'!$A$3,'Bank Adjustments'!$O$4:$O$103,"Unknown Option Type"))),0)))</f>
        <v/>
      </c>
      <c r="AX20" s="181" t="str" cm="1">
        <f t="array" ref="AX20">IF(OR(AX$3="",$AN20=""),"",INDEX(IF($C$2='Data Validation'!$A$2,'Bank Adjustments'!$H$4:$H$103,IF('Adjustment Surface'!$C$2='Data Validation'!$A$3,'Bank Adjustments'!$R$4:$R$103,"Unknown Option Type")),MATCH(1,($AN20=IF($C$2='Data Validation'!$A$2,'Bank Adjustments'!$C$4:$C$103,IF('Adjustment Surface'!$C$2='Data Validation'!$A$3,'Bank Adjustments'!$M$4:$M$103,"Unknown Option Type")))*(AX$3=IF($C$2='Data Validation'!$A$2,'Bank Adjustments'!$E$4:$E$103,IF('Adjustment Surface'!$C$2='Data Validation'!$A$3,'Bank Adjustments'!$O$4:$O$103,"Unknown Option Type"))),0)))</f>
        <v/>
      </c>
      <c r="AY20" s="181" t="str" cm="1">
        <f t="array" ref="AY20">IF(OR(AY$3="",$AN20=""),"",INDEX(IF($C$2='Data Validation'!$A$2,'Bank Adjustments'!$H$4:$H$103,IF('Adjustment Surface'!$C$2='Data Validation'!$A$3,'Bank Adjustments'!$R$4:$R$103,"Unknown Option Type")),MATCH(1,($AN20=IF($C$2='Data Validation'!$A$2,'Bank Adjustments'!$C$4:$C$103,IF('Adjustment Surface'!$C$2='Data Validation'!$A$3,'Bank Adjustments'!$M$4:$M$103,"Unknown Option Type")))*(AY$3=IF($C$2='Data Validation'!$A$2,'Bank Adjustments'!$E$4:$E$103,IF('Adjustment Surface'!$C$2='Data Validation'!$A$3,'Bank Adjustments'!$O$4:$O$103,"Unknown Option Type"))),0)))</f>
        <v/>
      </c>
      <c r="AZ20" s="181" t="str" cm="1">
        <f t="array" ref="AZ20">IF(OR(AZ$3="",$AN20=""),"",INDEX(IF($C$2='Data Validation'!$A$2,'Bank Adjustments'!$H$4:$H$103,IF('Adjustment Surface'!$C$2='Data Validation'!$A$3,'Bank Adjustments'!$R$4:$R$103,"Unknown Option Type")),MATCH(1,($AN20=IF($C$2='Data Validation'!$A$2,'Bank Adjustments'!$C$4:$C$103,IF('Adjustment Surface'!$C$2='Data Validation'!$A$3,'Bank Adjustments'!$M$4:$M$103,"Unknown Option Type")))*(AZ$3=IF($C$2='Data Validation'!$A$2,'Bank Adjustments'!$E$4:$E$103,IF('Adjustment Surface'!$C$2='Data Validation'!$A$3,'Bank Adjustments'!$O$4:$O$103,"Unknown Option Type"))),0)))</f>
        <v/>
      </c>
      <c r="BA20" s="181" t="str" cm="1">
        <f t="array" ref="BA20">IF(OR(BA$3="",$AN20=""),"",INDEX(IF($C$2='Data Validation'!$A$2,'Bank Adjustments'!$H$4:$H$103,IF('Adjustment Surface'!$C$2='Data Validation'!$A$3,'Bank Adjustments'!$R$4:$R$103,"Unknown Option Type")),MATCH(1,($AN20=IF($C$2='Data Validation'!$A$2,'Bank Adjustments'!$C$4:$C$103,IF('Adjustment Surface'!$C$2='Data Validation'!$A$3,'Bank Adjustments'!$M$4:$M$103,"Unknown Option Type")))*(BA$3=IF($C$2='Data Validation'!$A$2,'Bank Adjustments'!$E$4:$E$103,IF('Adjustment Surface'!$C$2='Data Validation'!$A$3,'Bank Adjustments'!$O$4:$O$103,"Unknown Option Type"))),0)))</f>
        <v/>
      </c>
      <c r="BB20" s="181" t="str" cm="1">
        <f t="array" ref="BB20">IF(OR(BB$3="",$AN20=""),"",INDEX(IF($C$2='Data Validation'!$A$2,'Bank Adjustments'!$H$4:$H$103,IF('Adjustment Surface'!$C$2='Data Validation'!$A$3,'Bank Adjustments'!$R$4:$R$103,"Unknown Option Type")),MATCH(1,($AN20=IF($C$2='Data Validation'!$A$2,'Bank Adjustments'!$C$4:$C$103,IF('Adjustment Surface'!$C$2='Data Validation'!$A$3,'Bank Adjustments'!$M$4:$M$103,"Unknown Option Type")))*(BB$3=IF($C$2='Data Validation'!$A$2,'Bank Adjustments'!$E$4:$E$103,IF('Adjustment Surface'!$C$2='Data Validation'!$A$3,'Bank Adjustments'!$O$4:$O$103,"Unknown Option Type"))),0)))</f>
        <v/>
      </c>
      <c r="BC20" s="181" t="str" cm="1">
        <f t="array" ref="BC20">IF(OR(BC$3="",$AN20=""),"",INDEX(IF($C$2='Data Validation'!$A$2,'Bank Adjustments'!$H$4:$H$103,IF('Adjustment Surface'!$C$2='Data Validation'!$A$3,'Bank Adjustments'!$R$4:$R$103,"Unknown Option Type")),MATCH(1,($AN20=IF($C$2='Data Validation'!$A$2,'Bank Adjustments'!$C$4:$C$103,IF('Adjustment Surface'!$C$2='Data Validation'!$A$3,'Bank Adjustments'!$M$4:$M$103,"Unknown Option Type")))*(BC$3=IF($C$2='Data Validation'!$A$2,'Bank Adjustments'!$E$4:$E$103,IF('Adjustment Surface'!$C$2='Data Validation'!$A$3,'Bank Adjustments'!$O$4:$O$103,"Unknown Option Type"))),0)))</f>
        <v/>
      </c>
      <c r="BD20" s="181" t="str" cm="1">
        <f t="array" ref="BD20">IF(OR(BD$3="",$AN20=""),"",INDEX(IF($C$2='Data Validation'!$A$2,'Bank Adjustments'!$H$4:$H$103,IF('Adjustment Surface'!$C$2='Data Validation'!$A$3,'Bank Adjustments'!$R$4:$R$103,"Unknown Option Type")),MATCH(1,($AN20=IF($C$2='Data Validation'!$A$2,'Bank Adjustments'!$C$4:$C$103,IF('Adjustment Surface'!$C$2='Data Validation'!$A$3,'Bank Adjustments'!$M$4:$M$103,"Unknown Option Type")))*(BD$3=IF($C$2='Data Validation'!$A$2,'Bank Adjustments'!$E$4:$E$103,IF('Adjustment Surface'!$C$2='Data Validation'!$A$3,'Bank Adjustments'!$O$4:$O$103,"Unknown Option Type"))),0)))</f>
        <v/>
      </c>
      <c r="BE20" s="181" t="str" cm="1">
        <f t="array" ref="BE20">IF(OR(BE$3="",$AN20=""),"",INDEX(IF($C$2='Data Validation'!$A$2,'Bank Adjustments'!$H$4:$H$103,IF('Adjustment Surface'!$C$2='Data Validation'!$A$3,'Bank Adjustments'!$R$4:$R$103,"Unknown Option Type")),MATCH(1,($AN20=IF($C$2='Data Validation'!$A$2,'Bank Adjustments'!$C$4:$C$103,IF('Adjustment Surface'!$C$2='Data Validation'!$A$3,'Bank Adjustments'!$M$4:$M$103,"Unknown Option Type")))*(BE$3=IF($C$2='Data Validation'!$A$2,'Bank Adjustments'!$E$4:$E$103,IF('Adjustment Surface'!$C$2='Data Validation'!$A$3,'Bank Adjustments'!$O$4:$O$103,"Unknown Option Type"))),0)))</f>
        <v/>
      </c>
      <c r="BF20" s="181" t="str" cm="1">
        <f t="array" ref="BF20">IF(OR(BF$3="",$AN20=""),"",INDEX(IF($C$2='Data Validation'!$A$2,'Bank Adjustments'!$H$4:$H$103,IF('Adjustment Surface'!$C$2='Data Validation'!$A$3,'Bank Adjustments'!$R$4:$R$103,"Unknown Option Type")),MATCH(1,($AN20=IF($C$2='Data Validation'!$A$2,'Bank Adjustments'!$C$4:$C$103,IF('Adjustment Surface'!$C$2='Data Validation'!$A$3,'Bank Adjustments'!$M$4:$M$103,"Unknown Option Type")))*(BF$3=IF($C$2='Data Validation'!$A$2,'Bank Adjustments'!$E$4:$E$103,IF('Adjustment Surface'!$C$2='Data Validation'!$A$3,'Bank Adjustments'!$O$4:$O$103,"Unknown Option Type"))),0)))</f>
        <v/>
      </c>
      <c r="BG20" s="181" t="str" cm="1">
        <f t="array" ref="BG20">IF(OR(BG$3="",$AN20=""),"",INDEX(IF($C$2='Data Validation'!$A$2,'Bank Adjustments'!$H$4:$H$103,IF('Adjustment Surface'!$C$2='Data Validation'!$A$3,'Bank Adjustments'!$R$4:$R$103,"Unknown Option Type")),MATCH(1,($AN20=IF($C$2='Data Validation'!$A$2,'Bank Adjustments'!$C$4:$C$103,IF('Adjustment Surface'!$C$2='Data Validation'!$A$3,'Bank Adjustments'!$M$4:$M$103,"Unknown Option Type")))*(BG$3=IF($C$2='Data Validation'!$A$2,'Bank Adjustments'!$E$4:$E$103,IF('Adjustment Surface'!$C$2='Data Validation'!$A$3,'Bank Adjustments'!$O$4:$O$103,"Unknown Option Type"))),0)))</f>
        <v/>
      </c>
      <c r="BH20" s="182" t="str" cm="1">
        <f t="array" ref="BH20">IF(OR(BH$3="",$AN20=""),"",INDEX(IF($C$2='Data Validation'!$A$2,'Bank Adjustments'!$H$4:$H$103,IF('Adjustment Surface'!$C$2='Data Validation'!$A$3,'Bank Adjustments'!$R$4:$R$103,"Unknown Option Type")),MATCH(1,($AN20=IF($C$2='Data Validation'!$A$2,'Bank Adjustments'!$C$4:$C$103,IF('Adjustment Surface'!$C$2='Data Validation'!$A$3,'Bank Adjustments'!$M$4:$M$103,"Unknown Option Type")))*(BH$3=IF($C$2='Data Validation'!$A$2,'Bank Adjustments'!$E$4:$E$103,IF('Adjustment Surface'!$C$2='Data Validation'!$A$3,'Bank Adjustments'!$O$4:$O$103,"Unknown Option Type"))),0)))</f>
        <v/>
      </c>
    </row>
    <row r="21" spans="2:60" x14ac:dyDescent="0.25">
      <c r="B21" s="12" t="s">
        <v>6</v>
      </c>
      <c r="C21" s="74">
        <f>C14</f>
        <v>46429</v>
      </c>
      <c r="D21" s="74">
        <f t="shared" ref="D21:F21" si="2">D14</f>
        <v>46794</v>
      </c>
      <c r="E21" s="74">
        <f t="shared" si="2"/>
        <v>47160</v>
      </c>
      <c r="F21" s="74">
        <f t="shared" si="2"/>
        <v>47525</v>
      </c>
      <c r="H21" s="171"/>
      <c r="I21" s="61" t="str">
        <f t="shared" si="1"/>
        <v/>
      </c>
      <c r="J21" s="212" t="str">
        <f t="shared" si="1"/>
        <v/>
      </c>
      <c r="K21" s="212" t="str">
        <f t="shared" si="1"/>
        <v/>
      </c>
      <c r="L21" s="212" t="str">
        <f t="shared" si="1"/>
        <v/>
      </c>
      <c r="M21" s="63" t="str">
        <f t="shared" si="1"/>
        <v/>
      </c>
      <c r="O21" s="176"/>
      <c r="P21" s="180" t="str" cm="1">
        <f t="array" ref="P21">IF(OR(P$3="",$O21=""),"",1/((INDEX('Adjustment Surface'!$AN$4:$AN$23,MATCH(('Adjustment Surface'!$O21),'Adjustment Surface'!$AN$4:$AN$23,1)+IF('Adjustment Surface'!$O22="",-1,1))-INDEX('Adjustment Surface'!$AN$4:$AN$23,MATCH(('Adjustment Surface'!$O21),'Adjustment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Surface'!$O21),'Adjustment Surface'!$AN$4:$AN$23,1)),$AN$4:$AN$23,0),MATCH(INDEX('Adjustment Surface'!$AO$3:$BH$3,1,MATCH(('Adjustment Surface'!P$3),'Adjustment Surface'!$AO$3:$BH$3,1)),$AO$3:$BH$3,0))*(INDEX('Adjustment Surface'!$AN$4:$AN$23,MATCH(('Adjustment Surface'!$O21),'Adjustment Surface'!$AN$4:$AN$23,1)+IF('Adjustment Surface'!$O22="",-1,1))-'Adjustment Surface'!$O21)*(INDEX('Adjustment Surface'!$AO$3:$BH$3,1,MATCH(('Adjustment Surface'!P$3),'Adjustment Surface'!$AO$3:$BH$3,1)+IF('Adjustment Surface'!Q$3="",-1,1))-'Adjustment Surface'!P$3)+INDEX($AO$4:$BH$23,MATCH(INDEX('Adjustment Surface'!$AN$4:$AN$23,MATCH(('Adjustment Surface'!$O21),'Adjustment Surface'!$AN$4:$AN$23,1)+IF('Adjustment Surface'!$O22="",-1,1)),$AN$4:$AN$23,0),MATCH(INDEX('Adjustment Surface'!$AO$3:$BH$3,1,MATCH(('Adjustment Surface'!P$3),'Adjustment Surface'!$AO$3:$BH$3,1)),$AO$3:$BH$3,0))*('Adjustment Surface'!$O21-INDEX('Adjustment Surface'!$AN$4:$AN$23,MATCH(('Adjustment Surface'!$O21),'Adjustment Surface'!$AN$4:$AN$23,1)))*(INDEX('Adjustment Surface'!$AO$3:$BH$3,1,MATCH(('Adjustment Surface'!P$3),'Adjustment Surface'!$AO$3:$BH$3,1)+IF('Adjustment Surface'!Q$3="",-1,1))-'Adjustment Surface'!P$3)+INDEX($AO$4:$BH$23,MATCH(INDEX('Adjustment Surface'!$AN$4:$AN$23,MATCH(('Adjustment Surface'!$O21),'Adjustment Surface'!$AN$4:$AN$23,1)),$AN$4:$AN$23,0),MATCH(INDEX('Adjustment Surface'!$AO$3:$BH$3,1,MATCH(('Adjustment Surface'!P$3),'Adjustment Surface'!$AO$3:$BH$3,1)+IF('Adjustment Surface'!Q$3="",-1,1)),$AO$3:$BH$3,0))*(INDEX('Adjustment Surface'!$AN$4:$AN$23,MATCH(('Adjustment Surface'!$O21),'Adjustment Surface'!$AN$4:$AN$23,1)+IF('Adjustment Surface'!$O22="",-1,1))-'Adjustment Surface'!$O21)*('Adjustment Surface'!P$3-INDEX('Adjustment Surface'!$AO$3:$BH$3,1,MATCH(('Adjustment Surface'!P$3),'Adjustment Surface'!$AO$3:$BH$3,1)))+INDEX($AO$4:$BH$23,MATCH(INDEX('Adjustment Surface'!$AN$4:$AN$23,MATCH(('Adjustment Surface'!$O21),'Adjustment Surface'!$AN$4:$AN$23,1)+IF('Adjustment Surface'!$O22="",-1,1)),$AN$4:$AN$23,0),MATCH(INDEX('Adjustment Surface'!$AO$3:$BH$3,1,MATCH(('Adjustment Surface'!P$3),'Adjustment Surface'!$AO$3:$BH$3,1)+IF('Adjustment Surface'!Q$3="",-1,1)),$AO$3:$BH$3,0))*('Adjustment Surface'!$O21-INDEX('Adjustment Surface'!$AN$4:$AN$23,MATCH(('Adjustment Surface'!$O21),'Adjustment Surface'!$AN$4:$AN$23,1)))*('Adjustment Surface'!P$3-INDEX('Adjustment Surface'!$AO$3:$BH$3,1,MATCH(('Adjustment Surface'!P$3),'Adjustment Surface'!$AO$3:$BH$3,1)))))</f>
        <v/>
      </c>
      <c r="Q21" s="181" t="str" cm="1">
        <f t="array" ref="Q21">IF(OR(Q$3="",$O21=""),"",1/((INDEX('Adjustment Surface'!$AN$4:$AN$23,MATCH(('Adjustment Surface'!$O21),'Adjustment Surface'!$AN$4:$AN$23,1)+IF('Adjustment Surface'!$O22="",-1,1))-INDEX('Adjustment Surface'!$AN$4:$AN$23,MATCH(('Adjustment Surface'!$O21),'Adjustment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Surface'!$O21),'Adjustment Surface'!$AN$4:$AN$23,1)),$AN$4:$AN$23,0),MATCH(INDEX('Adjustment Surface'!$AO$3:$BH$3,1,MATCH(('Adjustment Surface'!Q$3),'Adjustment Surface'!$AO$3:$BH$3,1)),$AO$3:$BH$3,0))*(INDEX('Adjustment Surface'!$AN$4:$AN$23,MATCH(('Adjustment Surface'!$O21),'Adjustment Surface'!$AN$4:$AN$23,1)+IF('Adjustment Surface'!$O22="",-1,1))-'Adjustment Surface'!$O21)*(INDEX('Adjustment Surface'!$AO$3:$BH$3,1,MATCH(('Adjustment Surface'!Q$3),'Adjustment Surface'!$AO$3:$BH$3,1)+IF('Adjustment Surface'!R$3="",-1,1))-'Adjustment Surface'!Q$3)+INDEX($AO$4:$BH$23,MATCH(INDEX('Adjustment Surface'!$AN$4:$AN$23,MATCH(('Adjustment Surface'!$O21),'Adjustment Surface'!$AN$4:$AN$23,1)+IF('Adjustment Surface'!$O22="",-1,1)),$AN$4:$AN$23,0),MATCH(INDEX('Adjustment Surface'!$AO$3:$BH$3,1,MATCH(('Adjustment Surface'!Q$3),'Adjustment Surface'!$AO$3:$BH$3,1)),$AO$3:$BH$3,0))*('Adjustment Surface'!$O21-INDEX('Adjustment Surface'!$AN$4:$AN$23,MATCH(('Adjustment Surface'!$O21),'Adjustment Surface'!$AN$4:$AN$23,1)))*(INDEX('Adjustment Surface'!$AO$3:$BH$3,1,MATCH(('Adjustment Surface'!Q$3),'Adjustment Surface'!$AO$3:$BH$3,1)+IF('Adjustment Surface'!R$3="",-1,1))-'Adjustment Surface'!Q$3)+INDEX($AO$4:$BH$23,MATCH(INDEX('Adjustment Surface'!$AN$4:$AN$23,MATCH(('Adjustment Surface'!$O21),'Adjustment Surface'!$AN$4:$AN$23,1)),$AN$4:$AN$23,0),MATCH(INDEX('Adjustment Surface'!$AO$3:$BH$3,1,MATCH(('Adjustment Surface'!Q$3),'Adjustment Surface'!$AO$3:$BH$3,1)+IF('Adjustment Surface'!R$3="",-1,1)),$AO$3:$BH$3,0))*(INDEX('Adjustment Surface'!$AN$4:$AN$23,MATCH(('Adjustment Surface'!$O21),'Adjustment Surface'!$AN$4:$AN$23,1)+IF('Adjustment Surface'!$O22="",-1,1))-'Adjustment Surface'!$O21)*('Adjustment Surface'!Q$3-INDEX('Adjustment Surface'!$AO$3:$BH$3,1,MATCH(('Adjustment Surface'!Q$3),'Adjustment Surface'!$AO$3:$BH$3,1)))+INDEX($AO$4:$BH$23,MATCH(INDEX('Adjustment Surface'!$AN$4:$AN$23,MATCH(('Adjustment Surface'!$O21),'Adjustment Surface'!$AN$4:$AN$23,1)+IF('Adjustment Surface'!$O22="",-1,1)),$AN$4:$AN$23,0),MATCH(INDEX('Adjustment Surface'!$AO$3:$BH$3,1,MATCH(('Adjustment Surface'!Q$3),'Adjustment Surface'!$AO$3:$BH$3,1)+IF('Adjustment Surface'!R$3="",-1,1)),$AO$3:$BH$3,0))*('Adjustment Surface'!$O21-INDEX('Adjustment Surface'!$AN$4:$AN$23,MATCH(('Adjustment Surface'!$O21),'Adjustment Surface'!$AN$4:$AN$23,1)))*('Adjustment Surface'!Q$3-INDEX('Adjustment Surface'!$AO$3:$BH$3,1,MATCH(('Adjustment Surface'!Q$3),'Adjustment Surface'!$AO$3:$BH$3,1)))))</f>
        <v/>
      </c>
      <c r="R21" s="181" t="str" cm="1">
        <f t="array" ref="R21">IF(OR(R$3="",$O21=""),"",1/((INDEX('Adjustment Surface'!$AN$4:$AN$23,MATCH(('Adjustment Surface'!$O21),'Adjustment Surface'!$AN$4:$AN$23,1)+IF('Adjustment Surface'!$O22="",-1,1))-INDEX('Adjustment Surface'!$AN$4:$AN$23,MATCH(('Adjustment Surface'!$O21),'Adjustment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Surface'!$O21),'Adjustment Surface'!$AN$4:$AN$23,1)),$AN$4:$AN$23,0),MATCH(INDEX('Adjustment Surface'!$AO$3:$BH$3,1,MATCH(('Adjustment Surface'!R$3),'Adjustment Surface'!$AO$3:$BH$3,1)),$AO$3:$BH$3,0))*(INDEX('Adjustment Surface'!$AN$4:$AN$23,MATCH(('Adjustment Surface'!$O21),'Adjustment Surface'!$AN$4:$AN$23,1)+IF('Adjustment Surface'!$O22="",-1,1))-'Adjustment Surface'!$O21)*(INDEX('Adjustment Surface'!$AO$3:$BH$3,1,MATCH(('Adjustment Surface'!R$3),'Adjustment Surface'!$AO$3:$BH$3,1)+IF('Adjustment Surface'!S$3="",-1,1))-'Adjustment Surface'!R$3)+INDEX($AO$4:$BH$23,MATCH(INDEX('Adjustment Surface'!$AN$4:$AN$23,MATCH(('Adjustment Surface'!$O21),'Adjustment Surface'!$AN$4:$AN$23,1)+IF('Adjustment Surface'!$O22="",-1,1)),$AN$4:$AN$23,0),MATCH(INDEX('Adjustment Surface'!$AO$3:$BH$3,1,MATCH(('Adjustment Surface'!R$3),'Adjustment Surface'!$AO$3:$BH$3,1)),$AO$3:$BH$3,0))*('Adjustment Surface'!$O21-INDEX('Adjustment Surface'!$AN$4:$AN$23,MATCH(('Adjustment Surface'!$O21),'Adjustment Surface'!$AN$4:$AN$23,1)))*(INDEX('Adjustment Surface'!$AO$3:$BH$3,1,MATCH(('Adjustment Surface'!R$3),'Adjustment Surface'!$AO$3:$BH$3,1)+IF('Adjustment Surface'!S$3="",-1,1))-'Adjustment Surface'!R$3)+INDEX($AO$4:$BH$23,MATCH(INDEX('Adjustment Surface'!$AN$4:$AN$23,MATCH(('Adjustment Surface'!$O21),'Adjustment Surface'!$AN$4:$AN$23,1)),$AN$4:$AN$23,0),MATCH(INDEX('Adjustment Surface'!$AO$3:$BH$3,1,MATCH(('Adjustment Surface'!R$3),'Adjustment Surface'!$AO$3:$BH$3,1)+IF('Adjustment Surface'!S$3="",-1,1)),$AO$3:$BH$3,0))*(INDEX('Adjustment Surface'!$AN$4:$AN$23,MATCH(('Adjustment Surface'!$O21),'Adjustment Surface'!$AN$4:$AN$23,1)+IF('Adjustment Surface'!$O22="",-1,1))-'Adjustment Surface'!$O21)*('Adjustment Surface'!R$3-INDEX('Adjustment Surface'!$AO$3:$BH$3,1,MATCH(('Adjustment Surface'!R$3),'Adjustment Surface'!$AO$3:$BH$3,1)))+INDEX($AO$4:$BH$23,MATCH(INDEX('Adjustment Surface'!$AN$4:$AN$23,MATCH(('Adjustment Surface'!$O21),'Adjustment Surface'!$AN$4:$AN$23,1)+IF('Adjustment Surface'!$O22="",-1,1)),$AN$4:$AN$23,0),MATCH(INDEX('Adjustment Surface'!$AO$3:$BH$3,1,MATCH(('Adjustment Surface'!R$3),'Adjustment Surface'!$AO$3:$BH$3,1)+IF('Adjustment Surface'!S$3="",-1,1)),$AO$3:$BH$3,0))*('Adjustment Surface'!$O21-INDEX('Adjustment Surface'!$AN$4:$AN$23,MATCH(('Adjustment Surface'!$O21),'Adjustment Surface'!$AN$4:$AN$23,1)))*('Adjustment Surface'!R$3-INDEX('Adjustment Surface'!$AO$3:$BH$3,1,MATCH(('Adjustment Surface'!R$3),'Adjustment Surface'!$AO$3:$BH$3,1)))))</f>
        <v/>
      </c>
      <c r="S21" s="181" t="str" cm="1">
        <f t="array" ref="S21">IF(OR(S$3="",$O21=""),"",1/((INDEX('Adjustment Surface'!$AN$4:$AN$23,MATCH(('Adjustment Surface'!$O21),'Adjustment Surface'!$AN$4:$AN$23,1)+IF('Adjustment Surface'!$O22="",-1,1))-INDEX('Adjustment Surface'!$AN$4:$AN$23,MATCH(('Adjustment Surface'!$O21),'Adjustment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Surface'!$O21),'Adjustment Surface'!$AN$4:$AN$23,1)),$AN$4:$AN$23,0),MATCH(INDEX('Adjustment Surface'!$AO$3:$BH$3,1,MATCH(('Adjustment Surface'!S$3),'Adjustment Surface'!$AO$3:$BH$3,1)),$AO$3:$BH$3,0))*(INDEX('Adjustment Surface'!$AN$4:$AN$23,MATCH(('Adjustment Surface'!$O21),'Adjustment Surface'!$AN$4:$AN$23,1)+IF('Adjustment Surface'!$O22="",-1,1))-'Adjustment Surface'!$O21)*(INDEX('Adjustment Surface'!$AO$3:$BH$3,1,MATCH(('Adjustment Surface'!S$3),'Adjustment Surface'!$AO$3:$BH$3,1)+IF('Adjustment Surface'!T$3="",-1,1))-'Adjustment Surface'!S$3)+INDEX($AO$4:$BH$23,MATCH(INDEX('Adjustment Surface'!$AN$4:$AN$23,MATCH(('Adjustment Surface'!$O21),'Adjustment Surface'!$AN$4:$AN$23,1)+IF('Adjustment Surface'!$O22="",-1,1)),$AN$4:$AN$23,0),MATCH(INDEX('Adjustment Surface'!$AO$3:$BH$3,1,MATCH(('Adjustment Surface'!S$3),'Adjustment Surface'!$AO$3:$BH$3,1)),$AO$3:$BH$3,0))*('Adjustment Surface'!$O21-INDEX('Adjustment Surface'!$AN$4:$AN$23,MATCH(('Adjustment Surface'!$O21),'Adjustment Surface'!$AN$4:$AN$23,1)))*(INDEX('Adjustment Surface'!$AO$3:$BH$3,1,MATCH(('Adjustment Surface'!S$3),'Adjustment Surface'!$AO$3:$BH$3,1)+IF('Adjustment Surface'!T$3="",-1,1))-'Adjustment Surface'!S$3)+INDEX($AO$4:$BH$23,MATCH(INDEX('Adjustment Surface'!$AN$4:$AN$23,MATCH(('Adjustment Surface'!$O21),'Adjustment Surface'!$AN$4:$AN$23,1)),$AN$4:$AN$23,0),MATCH(INDEX('Adjustment Surface'!$AO$3:$BH$3,1,MATCH(('Adjustment Surface'!S$3),'Adjustment Surface'!$AO$3:$BH$3,1)+IF('Adjustment Surface'!T$3="",-1,1)),$AO$3:$BH$3,0))*(INDEX('Adjustment Surface'!$AN$4:$AN$23,MATCH(('Adjustment Surface'!$O21),'Adjustment Surface'!$AN$4:$AN$23,1)+IF('Adjustment Surface'!$O22="",-1,1))-'Adjustment Surface'!$O21)*('Adjustment Surface'!S$3-INDEX('Adjustment Surface'!$AO$3:$BH$3,1,MATCH(('Adjustment Surface'!S$3),'Adjustment Surface'!$AO$3:$BH$3,1)))+INDEX($AO$4:$BH$23,MATCH(INDEX('Adjustment Surface'!$AN$4:$AN$23,MATCH(('Adjustment Surface'!$O21),'Adjustment Surface'!$AN$4:$AN$23,1)+IF('Adjustment Surface'!$O22="",-1,1)),$AN$4:$AN$23,0),MATCH(INDEX('Adjustment Surface'!$AO$3:$BH$3,1,MATCH(('Adjustment Surface'!S$3),'Adjustment Surface'!$AO$3:$BH$3,1)+IF('Adjustment Surface'!T$3="",-1,1)),$AO$3:$BH$3,0))*('Adjustment Surface'!$O21-INDEX('Adjustment Surface'!$AN$4:$AN$23,MATCH(('Adjustment Surface'!$O21),'Adjustment Surface'!$AN$4:$AN$23,1)))*('Adjustment Surface'!S$3-INDEX('Adjustment Surface'!$AO$3:$BH$3,1,MATCH(('Adjustment Surface'!S$3),'Adjustment Surface'!$AO$3:$BH$3,1)))))</f>
        <v/>
      </c>
      <c r="T21" s="181" t="str" cm="1">
        <f t="array" ref="T21">IF(OR(T$3="",$O21=""),"",1/((INDEX('Adjustment Surface'!$AN$4:$AN$23,MATCH(('Adjustment Surface'!$O21),'Adjustment Surface'!$AN$4:$AN$23,1)+IF('Adjustment Surface'!$O22="",-1,1))-INDEX('Adjustment Surface'!$AN$4:$AN$23,MATCH(('Adjustment Surface'!$O21),'Adjustment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Surface'!$O21),'Adjustment Surface'!$AN$4:$AN$23,1)),$AN$4:$AN$23,0),MATCH(INDEX('Adjustment Surface'!$AO$3:$BH$3,1,MATCH(('Adjustment Surface'!T$3),'Adjustment Surface'!$AO$3:$BH$3,1)),$AO$3:$BH$3,0))*(INDEX('Adjustment Surface'!$AN$4:$AN$23,MATCH(('Adjustment Surface'!$O21),'Adjustment Surface'!$AN$4:$AN$23,1)+IF('Adjustment Surface'!$O22="",-1,1))-'Adjustment Surface'!$O21)*(INDEX('Adjustment Surface'!$AO$3:$BH$3,1,MATCH(('Adjustment Surface'!T$3),'Adjustment Surface'!$AO$3:$BH$3,1)+IF('Adjustment Surface'!U$3="",-1,1))-'Adjustment Surface'!T$3)+INDEX($AO$4:$BH$23,MATCH(INDEX('Adjustment Surface'!$AN$4:$AN$23,MATCH(('Adjustment Surface'!$O21),'Adjustment Surface'!$AN$4:$AN$23,1)+IF('Adjustment Surface'!$O22="",-1,1)),$AN$4:$AN$23,0),MATCH(INDEX('Adjustment Surface'!$AO$3:$BH$3,1,MATCH(('Adjustment Surface'!T$3),'Adjustment Surface'!$AO$3:$BH$3,1)),$AO$3:$BH$3,0))*('Adjustment Surface'!$O21-INDEX('Adjustment Surface'!$AN$4:$AN$23,MATCH(('Adjustment Surface'!$O21),'Adjustment Surface'!$AN$4:$AN$23,1)))*(INDEX('Adjustment Surface'!$AO$3:$BH$3,1,MATCH(('Adjustment Surface'!T$3),'Adjustment Surface'!$AO$3:$BH$3,1)+IF('Adjustment Surface'!U$3="",-1,1))-'Adjustment Surface'!T$3)+INDEX($AO$4:$BH$23,MATCH(INDEX('Adjustment Surface'!$AN$4:$AN$23,MATCH(('Adjustment Surface'!$O21),'Adjustment Surface'!$AN$4:$AN$23,1)),$AN$4:$AN$23,0),MATCH(INDEX('Adjustment Surface'!$AO$3:$BH$3,1,MATCH(('Adjustment Surface'!T$3),'Adjustment Surface'!$AO$3:$BH$3,1)+IF('Adjustment Surface'!U$3="",-1,1)),$AO$3:$BH$3,0))*(INDEX('Adjustment Surface'!$AN$4:$AN$23,MATCH(('Adjustment Surface'!$O21),'Adjustment Surface'!$AN$4:$AN$23,1)+IF('Adjustment Surface'!$O22="",-1,1))-'Adjustment Surface'!$O21)*('Adjustment Surface'!T$3-INDEX('Adjustment Surface'!$AO$3:$BH$3,1,MATCH(('Adjustment Surface'!T$3),'Adjustment Surface'!$AO$3:$BH$3,1)))+INDEX($AO$4:$BH$23,MATCH(INDEX('Adjustment Surface'!$AN$4:$AN$23,MATCH(('Adjustment Surface'!$O21),'Adjustment Surface'!$AN$4:$AN$23,1)+IF('Adjustment Surface'!$O22="",-1,1)),$AN$4:$AN$23,0),MATCH(INDEX('Adjustment Surface'!$AO$3:$BH$3,1,MATCH(('Adjustment Surface'!T$3),'Adjustment Surface'!$AO$3:$BH$3,1)+IF('Adjustment Surface'!U$3="",-1,1)),$AO$3:$BH$3,0))*('Adjustment Surface'!$O21-INDEX('Adjustment Surface'!$AN$4:$AN$23,MATCH(('Adjustment Surface'!$O21),'Adjustment Surface'!$AN$4:$AN$23,1)))*('Adjustment Surface'!T$3-INDEX('Adjustment Surface'!$AO$3:$BH$3,1,MATCH(('Adjustment Surface'!T$3),'Adjustment Surface'!$AO$3:$BH$3,1)))))</f>
        <v/>
      </c>
      <c r="U21" s="181" t="str" cm="1">
        <f t="array" ref="U21">IF(OR(U$3="",$O21=""),"",1/((INDEX('Adjustment Surface'!$AN$4:$AN$23,MATCH(('Adjustment Surface'!$O21),'Adjustment Surface'!$AN$4:$AN$23,1)+IF('Adjustment Surface'!$O22="",-1,1))-INDEX('Adjustment Surface'!$AN$4:$AN$23,MATCH(('Adjustment Surface'!$O21),'Adjustment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Surface'!$O21),'Adjustment Surface'!$AN$4:$AN$23,1)),$AN$4:$AN$23,0),MATCH(INDEX('Adjustment Surface'!$AO$3:$BH$3,1,MATCH(('Adjustment Surface'!U$3),'Adjustment Surface'!$AO$3:$BH$3,1)),$AO$3:$BH$3,0))*(INDEX('Adjustment Surface'!$AN$4:$AN$23,MATCH(('Adjustment Surface'!$O21),'Adjustment Surface'!$AN$4:$AN$23,1)+IF('Adjustment Surface'!$O22="",-1,1))-'Adjustment Surface'!$O21)*(INDEX('Adjustment Surface'!$AO$3:$BH$3,1,MATCH(('Adjustment Surface'!U$3),'Adjustment Surface'!$AO$3:$BH$3,1)+IF('Adjustment Surface'!V$3="",-1,1))-'Adjustment Surface'!U$3)+INDEX($AO$4:$BH$23,MATCH(INDEX('Adjustment Surface'!$AN$4:$AN$23,MATCH(('Adjustment Surface'!$O21),'Adjustment Surface'!$AN$4:$AN$23,1)+IF('Adjustment Surface'!$O22="",-1,1)),$AN$4:$AN$23,0),MATCH(INDEX('Adjustment Surface'!$AO$3:$BH$3,1,MATCH(('Adjustment Surface'!U$3),'Adjustment Surface'!$AO$3:$BH$3,1)),$AO$3:$BH$3,0))*('Adjustment Surface'!$O21-INDEX('Adjustment Surface'!$AN$4:$AN$23,MATCH(('Adjustment Surface'!$O21),'Adjustment Surface'!$AN$4:$AN$23,1)))*(INDEX('Adjustment Surface'!$AO$3:$BH$3,1,MATCH(('Adjustment Surface'!U$3),'Adjustment Surface'!$AO$3:$BH$3,1)+IF('Adjustment Surface'!V$3="",-1,1))-'Adjustment Surface'!U$3)+INDEX($AO$4:$BH$23,MATCH(INDEX('Adjustment Surface'!$AN$4:$AN$23,MATCH(('Adjustment Surface'!$O21),'Adjustment Surface'!$AN$4:$AN$23,1)),$AN$4:$AN$23,0),MATCH(INDEX('Adjustment Surface'!$AO$3:$BH$3,1,MATCH(('Adjustment Surface'!U$3),'Adjustment Surface'!$AO$3:$BH$3,1)+IF('Adjustment Surface'!V$3="",-1,1)),$AO$3:$BH$3,0))*(INDEX('Adjustment Surface'!$AN$4:$AN$23,MATCH(('Adjustment Surface'!$O21),'Adjustment Surface'!$AN$4:$AN$23,1)+IF('Adjustment Surface'!$O22="",-1,1))-'Adjustment Surface'!$O21)*('Adjustment Surface'!U$3-INDEX('Adjustment Surface'!$AO$3:$BH$3,1,MATCH(('Adjustment Surface'!U$3),'Adjustment Surface'!$AO$3:$BH$3,1)))+INDEX($AO$4:$BH$23,MATCH(INDEX('Adjustment Surface'!$AN$4:$AN$23,MATCH(('Adjustment Surface'!$O21),'Adjustment Surface'!$AN$4:$AN$23,1)+IF('Adjustment Surface'!$O22="",-1,1)),$AN$4:$AN$23,0),MATCH(INDEX('Adjustment Surface'!$AO$3:$BH$3,1,MATCH(('Adjustment Surface'!U$3),'Adjustment Surface'!$AO$3:$BH$3,1)+IF('Adjustment Surface'!V$3="",-1,1)),$AO$3:$BH$3,0))*('Adjustment Surface'!$O21-INDEX('Adjustment Surface'!$AN$4:$AN$23,MATCH(('Adjustment Surface'!$O21),'Adjustment Surface'!$AN$4:$AN$23,1)))*('Adjustment Surface'!U$3-INDEX('Adjustment Surface'!$AO$3:$BH$3,1,MATCH(('Adjustment Surface'!U$3),'Adjustment Surface'!$AO$3:$BH$3,1)))))</f>
        <v/>
      </c>
      <c r="V21" s="181" t="str" cm="1">
        <f t="array" ref="V21">IF(OR(V$3="",$O21=""),"",1/((INDEX('Adjustment Surface'!$AN$4:$AN$23,MATCH(('Adjustment Surface'!$O21),'Adjustment Surface'!$AN$4:$AN$23,1)+IF('Adjustment Surface'!$O22="",-1,1))-INDEX('Adjustment Surface'!$AN$4:$AN$23,MATCH(('Adjustment Surface'!$O21),'Adjustment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Surface'!$O21),'Adjustment Surface'!$AN$4:$AN$23,1)),$AN$4:$AN$23,0),MATCH(INDEX('Adjustment Surface'!$AO$3:$BH$3,1,MATCH(('Adjustment Surface'!V$3),'Adjustment Surface'!$AO$3:$BH$3,1)),$AO$3:$BH$3,0))*(INDEX('Adjustment Surface'!$AN$4:$AN$23,MATCH(('Adjustment Surface'!$O21),'Adjustment Surface'!$AN$4:$AN$23,1)+IF('Adjustment Surface'!$O22="",-1,1))-'Adjustment Surface'!$O21)*(INDEX('Adjustment Surface'!$AO$3:$BH$3,1,MATCH(('Adjustment Surface'!V$3),'Adjustment Surface'!$AO$3:$BH$3,1)+IF('Adjustment Surface'!W$3="",-1,1))-'Adjustment Surface'!V$3)+INDEX($AO$4:$BH$23,MATCH(INDEX('Adjustment Surface'!$AN$4:$AN$23,MATCH(('Adjustment Surface'!$O21),'Adjustment Surface'!$AN$4:$AN$23,1)+IF('Adjustment Surface'!$O22="",-1,1)),$AN$4:$AN$23,0),MATCH(INDEX('Adjustment Surface'!$AO$3:$BH$3,1,MATCH(('Adjustment Surface'!V$3),'Adjustment Surface'!$AO$3:$BH$3,1)),$AO$3:$BH$3,0))*('Adjustment Surface'!$O21-INDEX('Adjustment Surface'!$AN$4:$AN$23,MATCH(('Adjustment Surface'!$O21),'Adjustment Surface'!$AN$4:$AN$23,1)))*(INDEX('Adjustment Surface'!$AO$3:$BH$3,1,MATCH(('Adjustment Surface'!V$3),'Adjustment Surface'!$AO$3:$BH$3,1)+IF('Adjustment Surface'!W$3="",-1,1))-'Adjustment Surface'!V$3)+INDEX($AO$4:$BH$23,MATCH(INDEX('Adjustment Surface'!$AN$4:$AN$23,MATCH(('Adjustment Surface'!$O21),'Adjustment Surface'!$AN$4:$AN$23,1)),$AN$4:$AN$23,0),MATCH(INDEX('Adjustment Surface'!$AO$3:$BH$3,1,MATCH(('Adjustment Surface'!V$3),'Adjustment Surface'!$AO$3:$BH$3,1)+IF('Adjustment Surface'!W$3="",-1,1)),$AO$3:$BH$3,0))*(INDEX('Adjustment Surface'!$AN$4:$AN$23,MATCH(('Adjustment Surface'!$O21),'Adjustment Surface'!$AN$4:$AN$23,1)+IF('Adjustment Surface'!$O22="",-1,1))-'Adjustment Surface'!$O21)*('Adjustment Surface'!V$3-INDEX('Adjustment Surface'!$AO$3:$BH$3,1,MATCH(('Adjustment Surface'!V$3),'Adjustment Surface'!$AO$3:$BH$3,1)))+INDEX($AO$4:$BH$23,MATCH(INDEX('Adjustment Surface'!$AN$4:$AN$23,MATCH(('Adjustment Surface'!$O21),'Adjustment Surface'!$AN$4:$AN$23,1)+IF('Adjustment Surface'!$O22="",-1,1)),$AN$4:$AN$23,0),MATCH(INDEX('Adjustment Surface'!$AO$3:$BH$3,1,MATCH(('Adjustment Surface'!V$3),'Adjustment Surface'!$AO$3:$BH$3,1)+IF('Adjustment Surface'!W$3="",-1,1)),$AO$3:$BH$3,0))*('Adjustment Surface'!$O21-INDEX('Adjustment Surface'!$AN$4:$AN$23,MATCH(('Adjustment Surface'!$O21),'Adjustment Surface'!$AN$4:$AN$23,1)))*('Adjustment Surface'!V$3-INDEX('Adjustment Surface'!$AO$3:$BH$3,1,MATCH(('Adjustment Surface'!V$3),'Adjustment Surface'!$AO$3:$BH$3,1)))))</f>
        <v/>
      </c>
      <c r="W21" s="181" t="str" cm="1">
        <f t="array" ref="W21">IF(OR(W$3="",$O21=""),"",1/((INDEX('Adjustment Surface'!$AN$4:$AN$23,MATCH(('Adjustment Surface'!$O21),'Adjustment Surface'!$AN$4:$AN$23,1)+IF('Adjustment Surface'!$O22="",-1,1))-INDEX('Adjustment Surface'!$AN$4:$AN$23,MATCH(('Adjustment Surface'!$O21),'Adjustment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Surface'!$O21),'Adjustment Surface'!$AN$4:$AN$23,1)),$AN$4:$AN$23,0),MATCH(INDEX('Adjustment Surface'!$AO$3:$BH$3,1,MATCH(('Adjustment Surface'!W$3),'Adjustment Surface'!$AO$3:$BH$3,1)),$AO$3:$BH$3,0))*(INDEX('Adjustment Surface'!$AN$4:$AN$23,MATCH(('Adjustment Surface'!$O21),'Adjustment Surface'!$AN$4:$AN$23,1)+IF('Adjustment Surface'!$O22="",-1,1))-'Adjustment Surface'!$O21)*(INDEX('Adjustment Surface'!$AO$3:$BH$3,1,MATCH(('Adjustment Surface'!W$3),'Adjustment Surface'!$AO$3:$BH$3,1)+IF('Adjustment Surface'!X$3="",-1,1))-'Adjustment Surface'!W$3)+INDEX($AO$4:$BH$23,MATCH(INDEX('Adjustment Surface'!$AN$4:$AN$23,MATCH(('Adjustment Surface'!$O21),'Adjustment Surface'!$AN$4:$AN$23,1)+IF('Adjustment Surface'!$O22="",-1,1)),$AN$4:$AN$23,0),MATCH(INDEX('Adjustment Surface'!$AO$3:$BH$3,1,MATCH(('Adjustment Surface'!W$3),'Adjustment Surface'!$AO$3:$BH$3,1)),$AO$3:$BH$3,0))*('Adjustment Surface'!$O21-INDEX('Adjustment Surface'!$AN$4:$AN$23,MATCH(('Adjustment Surface'!$O21),'Adjustment Surface'!$AN$4:$AN$23,1)))*(INDEX('Adjustment Surface'!$AO$3:$BH$3,1,MATCH(('Adjustment Surface'!W$3),'Adjustment Surface'!$AO$3:$BH$3,1)+IF('Adjustment Surface'!X$3="",-1,1))-'Adjustment Surface'!W$3)+INDEX($AO$4:$BH$23,MATCH(INDEX('Adjustment Surface'!$AN$4:$AN$23,MATCH(('Adjustment Surface'!$O21),'Adjustment Surface'!$AN$4:$AN$23,1)),$AN$4:$AN$23,0),MATCH(INDEX('Adjustment Surface'!$AO$3:$BH$3,1,MATCH(('Adjustment Surface'!W$3),'Adjustment Surface'!$AO$3:$BH$3,1)+IF('Adjustment Surface'!X$3="",-1,1)),$AO$3:$BH$3,0))*(INDEX('Adjustment Surface'!$AN$4:$AN$23,MATCH(('Adjustment Surface'!$O21),'Adjustment Surface'!$AN$4:$AN$23,1)+IF('Adjustment Surface'!$O22="",-1,1))-'Adjustment Surface'!$O21)*('Adjustment Surface'!W$3-INDEX('Adjustment Surface'!$AO$3:$BH$3,1,MATCH(('Adjustment Surface'!W$3),'Adjustment Surface'!$AO$3:$BH$3,1)))+INDEX($AO$4:$BH$23,MATCH(INDEX('Adjustment Surface'!$AN$4:$AN$23,MATCH(('Adjustment Surface'!$O21),'Adjustment Surface'!$AN$4:$AN$23,1)+IF('Adjustment Surface'!$O22="",-1,1)),$AN$4:$AN$23,0),MATCH(INDEX('Adjustment Surface'!$AO$3:$BH$3,1,MATCH(('Adjustment Surface'!W$3),'Adjustment Surface'!$AO$3:$BH$3,1)+IF('Adjustment Surface'!X$3="",-1,1)),$AO$3:$BH$3,0))*('Adjustment Surface'!$O21-INDEX('Adjustment Surface'!$AN$4:$AN$23,MATCH(('Adjustment Surface'!$O21),'Adjustment Surface'!$AN$4:$AN$23,1)))*('Adjustment Surface'!W$3-INDEX('Adjustment Surface'!$AO$3:$BH$3,1,MATCH(('Adjustment Surface'!W$3),'Adjustment Surface'!$AO$3:$BH$3,1)))))</f>
        <v/>
      </c>
      <c r="X21" s="181" t="str" cm="1">
        <f t="array" ref="X21">IF(OR(X$3="",$O21=""),"",1/((INDEX('Adjustment Surface'!$AN$4:$AN$23,MATCH(('Adjustment Surface'!$O21),'Adjustment Surface'!$AN$4:$AN$23,1)+IF('Adjustment Surface'!$O22="",-1,1))-INDEX('Adjustment Surface'!$AN$4:$AN$23,MATCH(('Adjustment Surface'!$O21),'Adjustment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Surface'!$O21),'Adjustment Surface'!$AN$4:$AN$23,1)),$AN$4:$AN$23,0),MATCH(INDEX('Adjustment Surface'!$AO$3:$BH$3,1,MATCH(('Adjustment Surface'!X$3),'Adjustment Surface'!$AO$3:$BH$3,1)),$AO$3:$BH$3,0))*(INDEX('Adjustment Surface'!$AN$4:$AN$23,MATCH(('Adjustment Surface'!$O21),'Adjustment Surface'!$AN$4:$AN$23,1)+IF('Adjustment Surface'!$O22="",-1,1))-'Adjustment Surface'!$O21)*(INDEX('Adjustment Surface'!$AO$3:$BH$3,1,MATCH(('Adjustment Surface'!X$3),'Adjustment Surface'!$AO$3:$BH$3,1)+IF('Adjustment Surface'!Y$3="",-1,1))-'Adjustment Surface'!X$3)+INDEX($AO$4:$BH$23,MATCH(INDEX('Adjustment Surface'!$AN$4:$AN$23,MATCH(('Adjustment Surface'!$O21),'Adjustment Surface'!$AN$4:$AN$23,1)+IF('Adjustment Surface'!$O22="",-1,1)),$AN$4:$AN$23,0),MATCH(INDEX('Adjustment Surface'!$AO$3:$BH$3,1,MATCH(('Adjustment Surface'!X$3),'Adjustment Surface'!$AO$3:$BH$3,1)),$AO$3:$BH$3,0))*('Adjustment Surface'!$O21-INDEX('Adjustment Surface'!$AN$4:$AN$23,MATCH(('Adjustment Surface'!$O21),'Adjustment Surface'!$AN$4:$AN$23,1)))*(INDEX('Adjustment Surface'!$AO$3:$BH$3,1,MATCH(('Adjustment Surface'!X$3),'Adjustment Surface'!$AO$3:$BH$3,1)+IF('Adjustment Surface'!Y$3="",-1,1))-'Adjustment Surface'!X$3)+INDEX($AO$4:$BH$23,MATCH(INDEX('Adjustment Surface'!$AN$4:$AN$23,MATCH(('Adjustment Surface'!$O21),'Adjustment Surface'!$AN$4:$AN$23,1)),$AN$4:$AN$23,0),MATCH(INDEX('Adjustment Surface'!$AO$3:$BH$3,1,MATCH(('Adjustment Surface'!X$3),'Adjustment Surface'!$AO$3:$BH$3,1)+IF('Adjustment Surface'!Y$3="",-1,1)),$AO$3:$BH$3,0))*(INDEX('Adjustment Surface'!$AN$4:$AN$23,MATCH(('Adjustment Surface'!$O21),'Adjustment Surface'!$AN$4:$AN$23,1)+IF('Adjustment Surface'!$O22="",-1,1))-'Adjustment Surface'!$O21)*('Adjustment Surface'!X$3-INDEX('Adjustment Surface'!$AO$3:$BH$3,1,MATCH(('Adjustment Surface'!X$3),'Adjustment Surface'!$AO$3:$BH$3,1)))+INDEX($AO$4:$BH$23,MATCH(INDEX('Adjustment Surface'!$AN$4:$AN$23,MATCH(('Adjustment Surface'!$O21),'Adjustment Surface'!$AN$4:$AN$23,1)+IF('Adjustment Surface'!$O22="",-1,1)),$AN$4:$AN$23,0),MATCH(INDEX('Adjustment Surface'!$AO$3:$BH$3,1,MATCH(('Adjustment Surface'!X$3),'Adjustment Surface'!$AO$3:$BH$3,1)+IF('Adjustment Surface'!Y$3="",-1,1)),$AO$3:$BH$3,0))*('Adjustment Surface'!$O21-INDEX('Adjustment Surface'!$AN$4:$AN$23,MATCH(('Adjustment Surface'!$O21),'Adjustment Surface'!$AN$4:$AN$23,1)))*('Adjustment Surface'!X$3-INDEX('Adjustment Surface'!$AO$3:$BH$3,1,MATCH(('Adjustment Surface'!X$3),'Adjustment Surface'!$AO$3:$BH$3,1)))))</f>
        <v/>
      </c>
      <c r="Y21" s="181" t="str" cm="1">
        <f t="array" ref="Y21">IF(OR(Y$3="",$O21=""),"",1/((INDEX('Adjustment Surface'!$AN$4:$AN$23,MATCH(('Adjustment Surface'!$O21),'Adjustment Surface'!$AN$4:$AN$23,1)+IF('Adjustment Surface'!$O22="",-1,1))-INDEX('Adjustment Surface'!$AN$4:$AN$23,MATCH(('Adjustment Surface'!$O21),'Adjustment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Surface'!$O21),'Adjustment Surface'!$AN$4:$AN$23,1)),$AN$4:$AN$23,0),MATCH(INDEX('Adjustment Surface'!$AO$3:$BH$3,1,MATCH(('Adjustment Surface'!Y$3),'Adjustment Surface'!$AO$3:$BH$3,1)),$AO$3:$BH$3,0))*(INDEX('Adjustment Surface'!$AN$4:$AN$23,MATCH(('Adjustment Surface'!$O21),'Adjustment Surface'!$AN$4:$AN$23,1)+IF('Adjustment Surface'!$O22="",-1,1))-'Adjustment Surface'!$O21)*(INDEX('Adjustment Surface'!$AO$3:$BH$3,1,MATCH(('Adjustment Surface'!Y$3),'Adjustment Surface'!$AO$3:$BH$3,1)+IF('Adjustment Surface'!Z$3="",-1,1))-'Adjustment Surface'!Y$3)+INDEX($AO$4:$BH$23,MATCH(INDEX('Adjustment Surface'!$AN$4:$AN$23,MATCH(('Adjustment Surface'!$O21),'Adjustment Surface'!$AN$4:$AN$23,1)+IF('Adjustment Surface'!$O22="",-1,1)),$AN$4:$AN$23,0),MATCH(INDEX('Adjustment Surface'!$AO$3:$BH$3,1,MATCH(('Adjustment Surface'!Y$3),'Adjustment Surface'!$AO$3:$BH$3,1)),$AO$3:$BH$3,0))*('Adjustment Surface'!$O21-INDEX('Adjustment Surface'!$AN$4:$AN$23,MATCH(('Adjustment Surface'!$O21),'Adjustment Surface'!$AN$4:$AN$23,1)))*(INDEX('Adjustment Surface'!$AO$3:$BH$3,1,MATCH(('Adjustment Surface'!Y$3),'Adjustment Surface'!$AO$3:$BH$3,1)+IF('Adjustment Surface'!Z$3="",-1,1))-'Adjustment Surface'!Y$3)+INDEX($AO$4:$BH$23,MATCH(INDEX('Adjustment Surface'!$AN$4:$AN$23,MATCH(('Adjustment Surface'!$O21),'Adjustment Surface'!$AN$4:$AN$23,1)),$AN$4:$AN$23,0),MATCH(INDEX('Adjustment Surface'!$AO$3:$BH$3,1,MATCH(('Adjustment Surface'!Y$3),'Adjustment Surface'!$AO$3:$BH$3,1)+IF('Adjustment Surface'!Z$3="",-1,1)),$AO$3:$BH$3,0))*(INDEX('Adjustment Surface'!$AN$4:$AN$23,MATCH(('Adjustment Surface'!$O21),'Adjustment Surface'!$AN$4:$AN$23,1)+IF('Adjustment Surface'!$O22="",-1,1))-'Adjustment Surface'!$O21)*('Adjustment Surface'!Y$3-INDEX('Adjustment Surface'!$AO$3:$BH$3,1,MATCH(('Adjustment Surface'!Y$3),'Adjustment Surface'!$AO$3:$BH$3,1)))+INDEX($AO$4:$BH$23,MATCH(INDEX('Adjustment Surface'!$AN$4:$AN$23,MATCH(('Adjustment Surface'!$O21),'Adjustment Surface'!$AN$4:$AN$23,1)+IF('Adjustment Surface'!$O22="",-1,1)),$AN$4:$AN$23,0),MATCH(INDEX('Adjustment Surface'!$AO$3:$BH$3,1,MATCH(('Adjustment Surface'!Y$3),'Adjustment Surface'!$AO$3:$BH$3,1)+IF('Adjustment Surface'!Z$3="",-1,1)),$AO$3:$BH$3,0))*('Adjustment Surface'!$O21-INDEX('Adjustment Surface'!$AN$4:$AN$23,MATCH(('Adjustment Surface'!$O21),'Adjustment Surface'!$AN$4:$AN$23,1)))*('Adjustment Surface'!Y$3-INDEX('Adjustment Surface'!$AO$3:$BH$3,1,MATCH(('Adjustment Surface'!Y$3),'Adjustment Surface'!$AO$3:$BH$3,1)))))</f>
        <v/>
      </c>
      <c r="Z21" s="181" t="str" cm="1">
        <f t="array" ref="Z21">IF(OR(Z$3="",$O21=""),"",1/((INDEX('Adjustment Surface'!$AN$4:$AN$23,MATCH(('Adjustment Surface'!$O21),'Adjustment Surface'!$AN$4:$AN$23,1)+IF('Adjustment Surface'!$O22="",-1,1))-INDEX('Adjustment Surface'!$AN$4:$AN$23,MATCH(('Adjustment Surface'!$O21),'Adjustment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Surface'!$O21),'Adjustment Surface'!$AN$4:$AN$23,1)),$AN$4:$AN$23,0),MATCH(INDEX('Adjustment Surface'!$AO$3:$BH$3,1,MATCH(('Adjustment Surface'!Z$3),'Adjustment Surface'!$AO$3:$BH$3,1)),$AO$3:$BH$3,0))*(INDEX('Adjustment Surface'!$AN$4:$AN$23,MATCH(('Adjustment Surface'!$O21),'Adjustment Surface'!$AN$4:$AN$23,1)+IF('Adjustment Surface'!$O22="",-1,1))-'Adjustment Surface'!$O21)*(INDEX('Adjustment Surface'!$AO$3:$BH$3,1,MATCH(('Adjustment Surface'!Z$3),'Adjustment Surface'!$AO$3:$BH$3,1)+IF('Adjustment Surface'!AA$3="",-1,1))-'Adjustment Surface'!Z$3)+INDEX($AO$4:$BH$23,MATCH(INDEX('Adjustment Surface'!$AN$4:$AN$23,MATCH(('Adjustment Surface'!$O21),'Adjustment Surface'!$AN$4:$AN$23,1)+IF('Adjustment Surface'!$O22="",-1,1)),$AN$4:$AN$23,0),MATCH(INDEX('Adjustment Surface'!$AO$3:$BH$3,1,MATCH(('Adjustment Surface'!Z$3),'Adjustment Surface'!$AO$3:$BH$3,1)),$AO$3:$BH$3,0))*('Adjustment Surface'!$O21-INDEX('Adjustment Surface'!$AN$4:$AN$23,MATCH(('Adjustment Surface'!$O21),'Adjustment Surface'!$AN$4:$AN$23,1)))*(INDEX('Adjustment Surface'!$AO$3:$BH$3,1,MATCH(('Adjustment Surface'!Z$3),'Adjustment Surface'!$AO$3:$BH$3,1)+IF('Adjustment Surface'!AA$3="",-1,1))-'Adjustment Surface'!Z$3)+INDEX($AO$4:$BH$23,MATCH(INDEX('Adjustment Surface'!$AN$4:$AN$23,MATCH(('Adjustment Surface'!$O21),'Adjustment Surface'!$AN$4:$AN$23,1)),$AN$4:$AN$23,0),MATCH(INDEX('Adjustment Surface'!$AO$3:$BH$3,1,MATCH(('Adjustment Surface'!Z$3),'Adjustment Surface'!$AO$3:$BH$3,1)+IF('Adjustment Surface'!AA$3="",-1,1)),$AO$3:$BH$3,0))*(INDEX('Adjustment Surface'!$AN$4:$AN$23,MATCH(('Adjustment Surface'!$O21),'Adjustment Surface'!$AN$4:$AN$23,1)+IF('Adjustment Surface'!$O22="",-1,1))-'Adjustment Surface'!$O21)*('Adjustment Surface'!Z$3-INDEX('Adjustment Surface'!$AO$3:$BH$3,1,MATCH(('Adjustment Surface'!Z$3),'Adjustment Surface'!$AO$3:$BH$3,1)))+INDEX($AO$4:$BH$23,MATCH(INDEX('Adjustment Surface'!$AN$4:$AN$23,MATCH(('Adjustment Surface'!$O21),'Adjustment Surface'!$AN$4:$AN$23,1)+IF('Adjustment Surface'!$O22="",-1,1)),$AN$4:$AN$23,0),MATCH(INDEX('Adjustment Surface'!$AO$3:$BH$3,1,MATCH(('Adjustment Surface'!Z$3),'Adjustment Surface'!$AO$3:$BH$3,1)+IF('Adjustment Surface'!AA$3="",-1,1)),$AO$3:$BH$3,0))*('Adjustment Surface'!$O21-INDEX('Adjustment Surface'!$AN$4:$AN$23,MATCH(('Adjustment Surface'!$O21),'Adjustment Surface'!$AN$4:$AN$23,1)))*('Adjustment Surface'!Z$3-INDEX('Adjustment Surface'!$AO$3:$BH$3,1,MATCH(('Adjustment Surface'!Z$3),'Adjustment Surface'!$AO$3:$BH$3,1)))))</f>
        <v/>
      </c>
      <c r="AA21" s="181" t="str" cm="1">
        <f t="array" ref="AA21">IF(OR(AA$3="",$O21=""),"",1/((INDEX('Adjustment Surface'!$AN$4:$AN$23,MATCH(('Adjustment Surface'!$O21),'Adjustment Surface'!$AN$4:$AN$23,1)+IF('Adjustment Surface'!$O22="",-1,1))-INDEX('Adjustment Surface'!$AN$4:$AN$23,MATCH(('Adjustment Surface'!$O21),'Adjustment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Surface'!$O21),'Adjustment Surface'!$AN$4:$AN$23,1)),$AN$4:$AN$23,0),MATCH(INDEX('Adjustment Surface'!$AO$3:$BH$3,1,MATCH(('Adjustment Surface'!AA$3),'Adjustment Surface'!$AO$3:$BH$3,1)),$AO$3:$BH$3,0))*(INDEX('Adjustment Surface'!$AN$4:$AN$23,MATCH(('Adjustment Surface'!$O21),'Adjustment Surface'!$AN$4:$AN$23,1)+IF('Adjustment Surface'!$O22="",-1,1))-'Adjustment Surface'!$O21)*(INDEX('Adjustment Surface'!$AO$3:$BH$3,1,MATCH(('Adjustment Surface'!AA$3),'Adjustment Surface'!$AO$3:$BH$3,1)+IF('Adjustment Surface'!AB$3="",-1,1))-'Adjustment Surface'!AA$3)+INDEX($AO$4:$BH$23,MATCH(INDEX('Adjustment Surface'!$AN$4:$AN$23,MATCH(('Adjustment Surface'!$O21),'Adjustment Surface'!$AN$4:$AN$23,1)+IF('Adjustment Surface'!$O22="",-1,1)),$AN$4:$AN$23,0),MATCH(INDEX('Adjustment Surface'!$AO$3:$BH$3,1,MATCH(('Adjustment Surface'!AA$3),'Adjustment Surface'!$AO$3:$BH$3,1)),$AO$3:$BH$3,0))*('Adjustment Surface'!$O21-INDEX('Adjustment Surface'!$AN$4:$AN$23,MATCH(('Adjustment Surface'!$O21),'Adjustment Surface'!$AN$4:$AN$23,1)))*(INDEX('Adjustment Surface'!$AO$3:$BH$3,1,MATCH(('Adjustment Surface'!AA$3),'Adjustment Surface'!$AO$3:$BH$3,1)+IF('Adjustment Surface'!AB$3="",-1,1))-'Adjustment Surface'!AA$3)+INDEX($AO$4:$BH$23,MATCH(INDEX('Adjustment Surface'!$AN$4:$AN$23,MATCH(('Adjustment Surface'!$O21),'Adjustment Surface'!$AN$4:$AN$23,1)),$AN$4:$AN$23,0),MATCH(INDEX('Adjustment Surface'!$AO$3:$BH$3,1,MATCH(('Adjustment Surface'!AA$3),'Adjustment Surface'!$AO$3:$BH$3,1)+IF('Adjustment Surface'!AB$3="",-1,1)),$AO$3:$BH$3,0))*(INDEX('Adjustment Surface'!$AN$4:$AN$23,MATCH(('Adjustment Surface'!$O21),'Adjustment Surface'!$AN$4:$AN$23,1)+IF('Adjustment Surface'!$O22="",-1,1))-'Adjustment Surface'!$O21)*('Adjustment Surface'!AA$3-INDEX('Adjustment Surface'!$AO$3:$BH$3,1,MATCH(('Adjustment Surface'!AA$3),'Adjustment Surface'!$AO$3:$BH$3,1)))+INDEX($AO$4:$BH$23,MATCH(INDEX('Adjustment Surface'!$AN$4:$AN$23,MATCH(('Adjustment Surface'!$O21),'Adjustment Surface'!$AN$4:$AN$23,1)+IF('Adjustment Surface'!$O22="",-1,1)),$AN$4:$AN$23,0),MATCH(INDEX('Adjustment Surface'!$AO$3:$BH$3,1,MATCH(('Adjustment Surface'!AA$3),'Adjustment Surface'!$AO$3:$BH$3,1)+IF('Adjustment Surface'!AB$3="",-1,1)),$AO$3:$BH$3,0))*('Adjustment Surface'!$O21-INDEX('Adjustment Surface'!$AN$4:$AN$23,MATCH(('Adjustment Surface'!$O21),'Adjustment Surface'!$AN$4:$AN$23,1)))*('Adjustment Surface'!AA$3-INDEX('Adjustment Surface'!$AO$3:$BH$3,1,MATCH(('Adjustment Surface'!AA$3),'Adjustment Surface'!$AO$3:$BH$3,1)))))</f>
        <v/>
      </c>
      <c r="AB21" s="181" t="str" cm="1">
        <f t="array" ref="AB21">IF(OR(AB$3="",$O21=""),"",1/((INDEX('Adjustment Surface'!$AN$4:$AN$23,MATCH(('Adjustment Surface'!$O21),'Adjustment Surface'!$AN$4:$AN$23,1)+IF('Adjustment Surface'!$O22="",-1,1))-INDEX('Adjustment Surface'!$AN$4:$AN$23,MATCH(('Adjustment Surface'!$O21),'Adjustment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Surface'!$O21),'Adjustment Surface'!$AN$4:$AN$23,1)),$AN$4:$AN$23,0),MATCH(INDEX('Adjustment Surface'!$AO$3:$BH$3,1,MATCH(('Adjustment Surface'!AB$3),'Adjustment Surface'!$AO$3:$BH$3,1)),$AO$3:$BH$3,0))*(INDEX('Adjustment Surface'!$AN$4:$AN$23,MATCH(('Adjustment Surface'!$O21),'Adjustment Surface'!$AN$4:$AN$23,1)+IF('Adjustment Surface'!$O22="",-1,1))-'Adjustment Surface'!$O21)*(INDEX('Adjustment Surface'!$AO$3:$BH$3,1,MATCH(('Adjustment Surface'!AB$3),'Adjustment Surface'!$AO$3:$BH$3,1)+IF('Adjustment Surface'!AC$3="",-1,1))-'Adjustment Surface'!AB$3)+INDEX($AO$4:$BH$23,MATCH(INDEX('Adjustment Surface'!$AN$4:$AN$23,MATCH(('Adjustment Surface'!$O21),'Adjustment Surface'!$AN$4:$AN$23,1)+IF('Adjustment Surface'!$O22="",-1,1)),$AN$4:$AN$23,0),MATCH(INDEX('Adjustment Surface'!$AO$3:$BH$3,1,MATCH(('Adjustment Surface'!AB$3),'Adjustment Surface'!$AO$3:$BH$3,1)),$AO$3:$BH$3,0))*('Adjustment Surface'!$O21-INDEX('Adjustment Surface'!$AN$4:$AN$23,MATCH(('Adjustment Surface'!$O21),'Adjustment Surface'!$AN$4:$AN$23,1)))*(INDEX('Adjustment Surface'!$AO$3:$BH$3,1,MATCH(('Adjustment Surface'!AB$3),'Adjustment Surface'!$AO$3:$BH$3,1)+IF('Adjustment Surface'!AC$3="",-1,1))-'Adjustment Surface'!AB$3)+INDEX($AO$4:$BH$23,MATCH(INDEX('Adjustment Surface'!$AN$4:$AN$23,MATCH(('Adjustment Surface'!$O21),'Adjustment Surface'!$AN$4:$AN$23,1)),$AN$4:$AN$23,0),MATCH(INDEX('Adjustment Surface'!$AO$3:$BH$3,1,MATCH(('Adjustment Surface'!AB$3),'Adjustment Surface'!$AO$3:$BH$3,1)+IF('Adjustment Surface'!AC$3="",-1,1)),$AO$3:$BH$3,0))*(INDEX('Adjustment Surface'!$AN$4:$AN$23,MATCH(('Adjustment Surface'!$O21),'Adjustment Surface'!$AN$4:$AN$23,1)+IF('Adjustment Surface'!$O22="",-1,1))-'Adjustment Surface'!$O21)*('Adjustment Surface'!AB$3-INDEX('Adjustment Surface'!$AO$3:$BH$3,1,MATCH(('Adjustment Surface'!AB$3),'Adjustment Surface'!$AO$3:$BH$3,1)))+INDEX($AO$4:$BH$23,MATCH(INDEX('Adjustment Surface'!$AN$4:$AN$23,MATCH(('Adjustment Surface'!$O21),'Adjustment Surface'!$AN$4:$AN$23,1)+IF('Adjustment Surface'!$O22="",-1,1)),$AN$4:$AN$23,0),MATCH(INDEX('Adjustment Surface'!$AO$3:$BH$3,1,MATCH(('Adjustment Surface'!AB$3),'Adjustment Surface'!$AO$3:$BH$3,1)+IF('Adjustment Surface'!AC$3="",-1,1)),$AO$3:$BH$3,0))*('Adjustment Surface'!$O21-INDEX('Adjustment Surface'!$AN$4:$AN$23,MATCH(('Adjustment Surface'!$O21),'Adjustment Surface'!$AN$4:$AN$23,1)))*('Adjustment Surface'!AB$3-INDEX('Adjustment Surface'!$AO$3:$BH$3,1,MATCH(('Adjustment Surface'!AB$3),'Adjustment Surface'!$AO$3:$BH$3,1)))))</f>
        <v/>
      </c>
      <c r="AC21" s="181" t="str" cm="1">
        <f t="array" ref="AC21">IF(OR(AC$3="",$O21=""),"",1/((INDEX('Adjustment Surface'!$AN$4:$AN$23,MATCH(('Adjustment Surface'!$O21),'Adjustment Surface'!$AN$4:$AN$23,1)+IF('Adjustment Surface'!$O22="",-1,1))-INDEX('Adjustment Surface'!$AN$4:$AN$23,MATCH(('Adjustment Surface'!$O21),'Adjustment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Surface'!$O21),'Adjustment Surface'!$AN$4:$AN$23,1)),$AN$4:$AN$23,0),MATCH(INDEX('Adjustment Surface'!$AO$3:$BH$3,1,MATCH(('Adjustment Surface'!AC$3),'Adjustment Surface'!$AO$3:$BH$3,1)),$AO$3:$BH$3,0))*(INDEX('Adjustment Surface'!$AN$4:$AN$23,MATCH(('Adjustment Surface'!$O21),'Adjustment Surface'!$AN$4:$AN$23,1)+IF('Adjustment Surface'!$O22="",-1,1))-'Adjustment Surface'!$O21)*(INDEX('Adjustment Surface'!$AO$3:$BH$3,1,MATCH(('Adjustment Surface'!AC$3),'Adjustment Surface'!$AO$3:$BH$3,1)+IF('Adjustment Surface'!AD$3="",-1,1))-'Adjustment Surface'!AC$3)+INDEX($AO$4:$BH$23,MATCH(INDEX('Adjustment Surface'!$AN$4:$AN$23,MATCH(('Adjustment Surface'!$O21),'Adjustment Surface'!$AN$4:$AN$23,1)+IF('Adjustment Surface'!$O22="",-1,1)),$AN$4:$AN$23,0),MATCH(INDEX('Adjustment Surface'!$AO$3:$BH$3,1,MATCH(('Adjustment Surface'!AC$3),'Adjustment Surface'!$AO$3:$BH$3,1)),$AO$3:$BH$3,0))*('Adjustment Surface'!$O21-INDEX('Adjustment Surface'!$AN$4:$AN$23,MATCH(('Adjustment Surface'!$O21),'Adjustment Surface'!$AN$4:$AN$23,1)))*(INDEX('Adjustment Surface'!$AO$3:$BH$3,1,MATCH(('Adjustment Surface'!AC$3),'Adjustment Surface'!$AO$3:$BH$3,1)+IF('Adjustment Surface'!AD$3="",-1,1))-'Adjustment Surface'!AC$3)+INDEX($AO$4:$BH$23,MATCH(INDEX('Adjustment Surface'!$AN$4:$AN$23,MATCH(('Adjustment Surface'!$O21),'Adjustment Surface'!$AN$4:$AN$23,1)),$AN$4:$AN$23,0),MATCH(INDEX('Adjustment Surface'!$AO$3:$BH$3,1,MATCH(('Adjustment Surface'!AC$3),'Adjustment Surface'!$AO$3:$BH$3,1)+IF('Adjustment Surface'!AD$3="",-1,1)),$AO$3:$BH$3,0))*(INDEX('Adjustment Surface'!$AN$4:$AN$23,MATCH(('Adjustment Surface'!$O21),'Adjustment Surface'!$AN$4:$AN$23,1)+IF('Adjustment Surface'!$O22="",-1,1))-'Adjustment Surface'!$O21)*('Adjustment Surface'!AC$3-INDEX('Adjustment Surface'!$AO$3:$BH$3,1,MATCH(('Adjustment Surface'!AC$3),'Adjustment Surface'!$AO$3:$BH$3,1)))+INDEX($AO$4:$BH$23,MATCH(INDEX('Adjustment Surface'!$AN$4:$AN$23,MATCH(('Adjustment Surface'!$O21),'Adjustment Surface'!$AN$4:$AN$23,1)+IF('Adjustment Surface'!$O22="",-1,1)),$AN$4:$AN$23,0),MATCH(INDEX('Adjustment Surface'!$AO$3:$BH$3,1,MATCH(('Adjustment Surface'!AC$3),'Adjustment Surface'!$AO$3:$BH$3,1)+IF('Adjustment Surface'!AD$3="",-1,1)),$AO$3:$BH$3,0))*('Adjustment Surface'!$O21-INDEX('Adjustment Surface'!$AN$4:$AN$23,MATCH(('Adjustment Surface'!$O21),'Adjustment Surface'!$AN$4:$AN$23,1)))*('Adjustment Surface'!AC$3-INDEX('Adjustment Surface'!$AO$3:$BH$3,1,MATCH(('Adjustment Surface'!AC$3),'Adjustment Surface'!$AO$3:$BH$3,1)))))</f>
        <v/>
      </c>
      <c r="AD21" s="181" t="str" cm="1">
        <f t="array" ref="AD21">IF(OR(AD$3="",$O21=""),"",1/((INDEX('Adjustment Surface'!$AN$4:$AN$23,MATCH(('Adjustment Surface'!$O21),'Adjustment Surface'!$AN$4:$AN$23,1)+IF('Adjustment Surface'!$O22="",-1,1))-INDEX('Adjustment Surface'!$AN$4:$AN$23,MATCH(('Adjustment Surface'!$O21),'Adjustment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Surface'!$O21),'Adjustment Surface'!$AN$4:$AN$23,1)),$AN$4:$AN$23,0),MATCH(INDEX('Adjustment Surface'!$AO$3:$BH$3,1,MATCH(('Adjustment Surface'!AD$3),'Adjustment Surface'!$AO$3:$BH$3,1)),$AO$3:$BH$3,0))*(INDEX('Adjustment Surface'!$AN$4:$AN$23,MATCH(('Adjustment Surface'!$O21),'Adjustment Surface'!$AN$4:$AN$23,1)+IF('Adjustment Surface'!$O22="",-1,1))-'Adjustment Surface'!$O21)*(INDEX('Adjustment Surface'!$AO$3:$BH$3,1,MATCH(('Adjustment Surface'!AD$3),'Adjustment Surface'!$AO$3:$BH$3,1)+IF('Adjustment Surface'!AE$3="",-1,1))-'Adjustment Surface'!AD$3)+INDEX($AO$4:$BH$23,MATCH(INDEX('Adjustment Surface'!$AN$4:$AN$23,MATCH(('Adjustment Surface'!$O21),'Adjustment Surface'!$AN$4:$AN$23,1)+IF('Adjustment Surface'!$O22="",-1,1)),$AN$4:$AN$23,0),MATCH(INDEX('Adjustment Surface'!$AO$3:$BH$3,1,MATCH(('Adjustment Surface'!AD$3),'Adjustment Surface'!$AO$3:$BH$3,1)),$AO$3:$BH$3,0))*('Adjustment Surface'!$O21-INDEX('Adjustment Surface'!$AN$4:$AN$23,MATCH(('Adjustment Surface'!$O21),'Adjustment Surface'!$AN$4:$AN$23,1)))*(INDEX('Adjustment Surface'!$AO$3:$BH$3,1,MATCH(('Adjustment Surface'!AD$3),'Adjustment Surface'!$AO$3:$BH$3,1)+IF('Adjustment Surface'!AE$3="",-1,1))-'Adjustment Surface'!AD$3)+INDEX($AO$4:$BH$23,MATCH(INDEX('Adjustment Surface'!$AN$4:$AN$23,MATCH(('Adjustment Surface'!$O21),'Adjustment Surface'!$AN$4:$AN$23,1)),$AN$4:$AN$23,0),MATCH(INDEX('Adjustment Surface'!$AO$3:$BH$3,1,MATCH(('Adjustment Surface'!AD$3),'Adjustment Surface'!$AO$3:$BH$3,1)+IF('Adjustment Surface'!AE$3="",-1,1)),$AO$3:$BH$3,0))*(INDEX('Adjustment Surface'!$AN$4:$AN$23,MATCH(('Adjustment Surface'!$O21),'Adjustment Surface'!$AN$4:$AN$23,1)+IF('Adjustment Surface'!$O22="",-1,1))-'Adjustment Surface'!$O21)*('Adjustment Surface'!AD$3-INDEX('Adjustment Surface'!$AO$3:$BH$3,1,MATCH(('Adjustment Surface'!AD$3),'Adjustment Surface'!$AO$3:$BH$3,1)))+INDEX($AO$4:$BH$23,MATCH(INDEX('Adjustment Surface'!$AN$4:$AN$23,MATCH(('Adjustment Surface'!$O21),'Adjustment Surface'!$AN$4:$AN$23,1)+IF('Adjustment Surface'!$O22="",-1,1)),$AN$4:$AN$23,0),MATCH(INDEX('Adjustment Surface'!$AO$3:$BH$3,1,MATCH(('Adjustment Surface'!AD$3),'Adjustment Surface'!$AO$3:$BH$3,1)+IF('Adjustment Surface'!AE$3="",-1,1)),$AO$3:$BH$3,0))*('Adjustment Surface'!$O21-INDEX('Adjustment Surface'!$AN$4:$AN$23,MATCH(('Adjustment Surface'!$O21),'Adjustment Surface'!$AN$4:$AN$23,1)))*('Adjustment Surface'!AD$3-INDEX('Adjustment Surface'!$AO$3:$BH$3,1,MATCH(('Adjustment Surface'!AD$3),'Adjustment Surface'!$AO$3:$BH$3,1)))))</f>
        <v/>
      </c>
      <c r="AE21" s="181" t="str" cm="1">
        <f t="array" ref="AE21">IF(OR(AE$3="",$O21=""),"",1/((INDEX('Adjustment Surface'!$AN$4:$AN$23,MATCH(('Adjustment Surface'!$O21),'Adjustment Surface'!$AN$4:$AN$23,1)+IF('Adjustment Surface'!$O22="",-1,1))-INDEX('Adjustment Surface'!$AN$4:$AN$23,MATCH(('Adjustment Surface'!$O21),'Adjustment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Surface'!$O21),'Adjustment Surface'!$AN$4:$AN$23,1)),$AN$4:$AN$23,0),MATCH(INDEX('Adjustment Surface'!$AO$3:$BH$3,1,MATCH(('Adjustment Surface'!AE$3),'Adjustment Surface'!$AO$3:$BH$3,1)),$AO$3:$BH$3,0))*(INDEX('Adjustment Surface'!$AN$4:$AN$23,MATCH(('Adjustment Surface'!$O21),'Adjustment Surface'!$AN$4:$AN$23,1)+IF('Adjustment Surface'!$O22="",-1,1))-'Adjustment Surface'!$O21)*(INDEX('Adjustment Surface'!$AO$3:$BH$3,1,MATCH(('Adjustment Surface'!AE$3),'Adjustment Surface'!$AO$3:$BH$3,1)+IF('Adjustment Surface'!AF$3="",-1,1))-'Adjustment Surface'!AE$3)+INDEX($AO$4:$BH$23,MATCH(INDEX('Adjustment Surface'!$AN$4:$AN$23,MATCH(('Adjustment Surface'!$O21),'Adjustment Surface'!$AN$4:$AN$23,1)+IF('Adjustment Surface'!$O22="",-1,1)),$AN$4:$AN$23,0),MATCH(INDEX('Adjustment Surface'!$AO$3:$BH$3,1,MATCH(('Adjustment Surface'!AE$3),'Adjustment Surface'!$AO$3:$BH$3,1)),$AO$3:$BH$3,0))*('Adjustment Surface'!$O21-INDEX('Adjustment Surface'!$AN$4:$AN$23,MATCH(('Adjustment Surface'!$O21),'Adjustment Surface'!$AN$4:$AN$23,1)))*(INDEX('Adjustment Surface'!$AO$3:$BH$3,1,MATCH(('Adjustment Surface'!AE$3),'Adjustment Surface'!$AO$3:$BH$3,1)+IF('Adjustment Surface'!AF$3="",-1,1))-'Adjustment Surface'!AE$3)+INDEX($AO$4:$BH$23,MATCH(INDEX('Adjustment Surface'!$AN$4:$AN$23,MATCH(('Adjustment Surface'!$O21),'Adjustment Surface'!$AN$4:$AN$23,1)),$AN$4:$AN$23,0),MATCH(INDEX('Adjustment Surface'!$AO$3:$BH$3,1,MATCH(('Adjustment Surface'!AE$3),'Adjustment Surface'!$AO$3:$BH$3,1)+IF('Adjustment Surface'!AF$3="",-1,1)),$AO$3:$BH$3,0))*(INDEX('Adjustment Surface'!$AN$4:$AN$23,MATCH(('Adjustment Surface'!$O21),'Adjustment Surface'!$AN$4:$AN$23,1)+IF('Adjustment Surface'!$O22="",-1,1))-'Adjustment Surface'!$O21)*('Adjustment Surface'!AE$3-INDEX('Adjustment Surface'!$AO$3:$BH$3,1,MATCH(('Adjustment Surface'!AE$3),'Adjustment Surface'!$AO$3:$BH$3,1)))+INDEX($AO$4:$BH$23,MATCH(INDEX('Adjustment Surface'!$AN$4:$AN$23,MATCH(('Adjustment Surface'!$O21),'Adjustment Surface'!$AN$4:$AN$23,1)+IF('Adjustment Surface'!$O22="",-1,1)),$AN$4:$AN$23,0),MATCH(INDEX('Adjustment Surface'!$AO$3:$BH$3,1,MATCH(('Adjustment Surface'!AE$3),'Adjustment Surface'!$AO$3:$BH$3,1)+IF('Adjustment Surface'!AF$3="",-1,1)),$AO$3:$BH$3,0))*('Adjustment Surface'!$O21-INDEX('Adjustment Surface'!$AN$4:$AN$23,MATCH(('Adjustment Surface'!$O21),'Adjustment Surface'!$AN$4:$AN$23,1)))*('Adjustment Surface'!AE$3-INDEX('Adjustment Surface'!$AO$3:$BH$3,1,MATCH(('Adjustment Surface'!AE$3),'Adjustment Surface'!$AO$3:$BH$3,1)))))</f>
        <v/>
      </c>
      <c r="AF21" s="181" t="str" cm="1">
        <f t="array" ref="AF21">IF(OR(AF$3="",$O21=""),"",1/((INDEX('Adjustment Surface'!$AN$4:$AN$23,MATCH(('Adjustment Surface'!$O21),'Adjustment Surface'!$AN$4:$AN$23,1)+IF('Adjustment Surface'!$O22="",-1,1))-INDEX('Adjustment Surface'!$AN$4:$AN$23,MATCH(('Adjustment Surface'!$O21),'Adjustment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Surface'!$O21),'Adjustment Surface'!$AN$4:$AN$23,1)),$AN$4:$AN$23,0),MATCH(INDEX('Adjustment Surface'!$AO$3:$BH$3,1,MATCH(('Adjustment Surface'!AF$3),'Adjustment Surface'!$AO$3:$BH$3,1)),$AO$3:$BH$3,0))*(INDEX('Adjustment Surface'!$AN$4:$AN$23,MATCH(('Adjustment Surface'!$O21),'Adjustment Surface'!$AN$4:$AN$23,1)+IF('Adjustment Surface'!$O22="",-1,1))-'Adjustment Surface'!$O21)*(INDEX('Adjustment Surface'!$AO$3:$BH$3,1,MATCH(('Adjustment Surface'!AF$3),'Adjustment Surface'!$AO$3:$BH$3,1)+IF('Adjustment Surface'!AG$3="",-1,1))-'Adjustment Surface'!AF$3)+INDEX($AO$4:$BH$23,MATCH(INDEX('Adjustment Surface'!$AN$4:$AN$23,MATCH(('Adjustment Surface'!$O21),'Adjustment Surface'!$AN$4:$AN$23,1)+IF('Adjustment Surface'!$O22="",-1,1)),$AN$4:$AN$23,0),MATCH(INDEX('Adjustment Surface'!$AO$3:$BH$3,1,MATCH(('Adjustment Surface'!AF$3),'Adjustment Surface'!$AO$3:$BH$3,1)),$AO$3:$BH$3,0))*('Adjustment Surface'!$O21-INDEX('Adjustment Surface'!$AN$4:$AN$23,MATCH(('Adjustment Surface'!$O21),'Adjustment Surface'!$AN$4:$AN$23,1)))*(INDEX('Adjustment Surface'!$AO$3:$BH$3,1,MATCH(('Adjustment Surface'!AF$3),'Adjustment Surface'!$AO$3:$BH$3,1)+IF('Adjustment Surface'!AG$3="",-1,1))-'Adjustment Surface'!AF$3)+INDEX($AO$4:$BH$23,MATCH(INDEX('Adjustment Surface'!$AN$4:$AN$23,MATCH(('Adjustment Surface'!$O21),'Adjustment Surface'!$AN$4:$AN$23,1)),$AN$4:$AN$23,0),MATCH(INDEX('Adjustment Surface'!$AO$3:$BH$3,1,MATCH(('Adjustment Surface'!AF$3),'Adjustment Surface'!$AO$3:$BH$3,1)+IF('Adjustment Surface'!AG$3="",-1,1)),$AO$3:$BH$3,0))*(INDEX('Adjustment Surface'!$AN$4:$AN$23,MATCH(('Adjustment Surface'!$O21),'Adjustment Surface'!$AN$4:$AN$23,1)+IF('Adjustment Surface'!$O22="",-1,1))-'Adjustment Surface'!$O21)*('Adjustment Surface'!AF$3-INDEX('Adjustment Surface'!$AO$3:$BH$3,1,MATCH(('Adjustment Surface'!AF$3),'Adjustment Surface'!$AO$3:$BH$3,1)))+INDEX($AO$4:$BH$23,MATCH(INDEX('Adjustment Surface'!$AN$4:$AN$23,MATCH(('Adjustment Surface'!$O21),'Adjustment Surface'!$AN$4:$AN$23,1)+IF('Adjustment Surface'!$O22="",-1,1)),$AN$4:$AN$23,0),MATCH(INDEX('Adjustment Surface'!$AO$3:$BH$3,1,MATCH(('Adjustment Surface'!AF$3),'Adjustment Surface'!$AO$3:$BH$3,1)+IF('Adjustment Surface'!AG$3="",-1,1)),$AO$3:$BH$3,0))*('Adjustment Surface'!$O21-INDEX('Adjustment Surface'!$AN$4:$AN$23,MATCH(('Adjustment Surface'!$O21),'Adjustment Surface'!$AN$4:$AN$23,1)))*('Adjustment Surface'!AF$3-INDEX('Adjustment Surface'!$AO$3:$BH$3,1,MATCH(('Adjustment Surface'!AF$3),'Adjustment Surface'!$AO$3:$BH$3,1)))))</f>
        <v/>
      </c>
      <c r="AG21" s="181" t="str" cm="1">
        <f t="array" ref="AG21">IF(OR(AG$3="",$O21=""),"",1/((INDEX('Adjustment Surface'!$AN$4:$AN$23,MATCH(('Adjustment Surface'!$O21),'Adjustment Surface'!$AN$4:$AN$23,1)+IF('Adjustment Surface'!$O22="",-1,1))-INDEX('Adjustment Surface'!$AN$4:$AN$23,MATCH(('Adjustment Surface'!$O21),'Adjustment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Surface'!$O21),'Adjustment Surface'!$AN$4:$AN$23,1)),$AN$4:$AN$23,0),MATCH(INDEX('Adjustment Surface'!$AO$3:$BH$3,1,MATCH(('Adjustment Surface'!AG$3),'Adjustment Surface'!$AO$3:$BH$3,1)),$AO$3:$BH$3,0))*(INDEX('Adjustment Surface'!$AN$4:$AN$23,MATCH(('Adjustment Surface'!$O21),'Adjustment Surface'!$AN$4:$AN$23,1)+IF('Adjustment Surface'!$O22="",-1,1))-'Adjustment Surface'!$O21)*(INDEX('Adjustment Surface'!$AO$3:$BH$3,1,MATCH(('Adjustment Surface'!AG$3),'Adjustment Surface'!$AO$3:$BH$3,1)+IF('Adjustment Surface'!AH$3="",-1,1))-'Adjustment Surface'!AG$3)+INDEX($AO$4:$BH$23,MATCH(INDEX('Adjustment Surface'!$AN$4:$AN$23,MATCH(('Adjustment Surface'!$O21),'Adjustment Surface'!$AN$4:$AN$23,1)+IF('Adjustment Surface'!$O22="",-1,1)),$AN$4:$AN$23,0),MATCH(INDEX('Adjustment Surface'!$AO$3:$BH$3,1,MATCH(('Adjustment Surface'!AG$3),'Adjustment Surface'!$AO$3:$BH$3,1)),$AO$3:$BH$3,0))*('Adjustment Surface'!$O21-INDEX('Adjustment Surface'!$AN$4:$AN$23,MATCH(('Adjustment Surface'!$O21),'Adjustment Surface'!$AN$4:$AN$23,1)))*(INDEX('Adjustment Surface'!$AO$3:$BH$3,1,MATCH(('Adjustment Surface'!AG$3),'Adjustment Surface'!$AO$3:$BH$3,1)+IF('Adjustment Surface'!AH$3="",-1,1))-'Adjustment Surface'!AG$3)+INDEX($AO$4:$BH$23,MATCH(INDEX('Adjustment Surface'!$AN$4:$AN$23,MATCH(('Adjustment Surface'!$O21),'Adjustment Surface'!$AN$4:$AN$23,1)),$AN$4:$AN$23,0),MATCH(INDEX('Adjustment Surface'!$AO$3:$BH$3,1,MATCH(('Adjustment Surface'!AG$3),'Adjustment Surface'!$AO$3:$BH$3,1)+IF('Adjustment Surface'!AH$3="",-1,1)),$AO$3:$BH$3,0))*(INDEX('Adjustment Surface'!$AN$4:$AN$23,MATCH(('Adjustment Surface'!$O21),'Adjustment Surface'!$AN$4:$AN$23,1)+IF('Adjustment Surface'!$O22="",-1,1))-'Adjustment Surface'!$O21)*('Adjustment Surface'!AG$3-INDEX('Adjustment Surface'!$AO$3:$BH$3,1,MATCH(('Adjustment Surface'!AG$3),'Adjustment Surface'!$AO$3:$BH$3,1)))+INDEX($AO$4:$BH$23,MATCH(INDEX('Adjustment Surface'!$AN$4:$AN$23,MATCH(('Adjustment Surface'!$O21),'Adjustment Surface'!$AN$4:$AN$23,1)+IF('Adjustment Surface'!$O22="",-1,1)),$AN$4:$AN$23,0),MATCH(INDEX('Adjustment Surface'!$AO$3:$BH$3,1,MATCH(('Adjustment Surface'!AG$3),'Adjustment Surface'!$AO$3:$BH$3,1)+IF('Adjustment Surface'!AH$3="",-1,1)),$AO$3:$BH$3,0))*('Adjustment Surface'!$O21-INDEX('Adjustment Surface'!$AN$4:$AN$23,MATCH(('Adjustment Surface'!$O21),'Adjustment Surface'!$AN$4:$AN$23,1)))*('Adjustment Surface'!AG$3-INDEX('Adjustment Surface'!$AO$3:$BH$3,1,MATCH(('Adjustment Surface'!AG$3),'Adjustment Surface'!$AO$3:$BH$3,1)))))</f>
        <v/>
      </c>
      <c r="AH21" s="181" t="str" cm="1">
        <f t="array" ref="AH21">IF(OR(AH$3="",$O21=""),"",1/((INDEX('Adjustment Surface'!$AN$4:$AN$23,MATCH(('Adjustment Surface'!$O21),'Adjustment Surface'!$AN$4:$AN$23,1)+IF('Adjustment Surface'!$O22="",-1,1))-INDEX('Adjustment Surface'!$AN$4:$AN$23,MATCH(('Adjustment Surface'!$O21),'Adjustment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Surface'!$O21),'Adjustment Surface'!$AN$4:$AN$23,1)),$AN$4:$AN$23,0),MATCH(INDEX('Adjustment Surface'!$AO$3:$BH$3,1,MATCH(('Adjustment Surface'!AH$3),'Adjustment Surface'!$AO$3:$BH$3,1)),$AO$3:$BH$3,0))*(INDEX('Adjustment Surface'!$AN$4:$AN$23,MATCH(('Adjustment Surface'!$O21),'Adjustment Surface'!$AN$4:$AN$23,1)+IF('Adjustment Surface'!$O22="",-1,1))-'Adjustment Surface'!$O21)*(INDEX('Adjustment Surface'!$AO$3:$BH$3,1,MATCH(('Adjustment Surface'!AH$3),'Adjustment Surface'!$AO$3:$BH$3,1)+IF('Adjustment Surface'!AI$3="",-1,1))-'Adjustment Surface'!AH$3)+INDEX($AO$4:$BH$23,MATCH(INDEX('Adjustment Surface'!$AN$4:$AN$23,MATCH(('Adjustment Surface'!$O21),'Adjustment Surface'!$AN$4:$AN$23,1)+IF('Adjustment Surface'!$O22="",-1,1)),$AN$4:$AN$23,0),MATCH(INDEX('Adjustment Surface'!$AO$3:$BH$3,1,MATCH(('Adjustment Surface'!AH$3),'Adjustment Surface'!$AO$3:$BH$3,1)),$AO$3:$BH$3,0))*('Adjustment Surface'!$O21-INDEX('Adjustment Surface'!$AN$4:$AN$23,MATCH(('Adjustment Surface'!$O21),'Adjustment Surface'!$AN$4:$AN$23,1)))*(INDEX('Adjustment Surface'!$AO$3:$BH$3,1,MATCH(('Adjustment Surface'!AH$3),'Adjustment Surface'!$AO$3:$BH$3,1)+IF('Adjustment Surface'!AI$3="",-1,1))-'Adjustment Surface'!AH$3)+INDEX($AO$4:$BH$23,MATCH(INDEX('Adjustment Surface'!$AN$4:$AN$23,MATCH(('Adjustment Surface'!$O21),'Adjustment Surface'!$AN$4:$AN$23,1)),$AN$4:$AN$23,0),MATCH(INDEX('Adjustment Surface'!$AO$3:$BH$3,1,MATCH(('Adjustment Surface'!AH$3),'Adjustment Surface'!$AO$3:$BH$3,1)+IF('Adjustment Surface'!AI$3="",-1,1)),$AO$3:$BH$3,0))*(INDEX('Adjustment Surface'!$AN$4:$AN$23,MATCH(('Adjustment Surface'!$O21),'Adjustment Surface'!$AN$4:$AN$23,1)+IF('Adjustment Surface'!$O22="",-1,1))-'Adjustment Surface'!$O21)*('Adjustment Surface'!AH$3-INDEX('Adjustment Surface'!$AO$3:$BH$3,1,MATCH(('Adjustment Surface'!AH$3),'Adjustment Surface'!$AO$3:$BH$3,1)))+INDEX($AO$4:$BH$23,MATCH(INDEX('Adjustment Surface'!$AN$4:$AN$23,MATCH(('Adjustment Surface'!$O21),'Adjustment Surface'!$AN$4:$AN$23,1)+IF('Adjustment Surface'!$O22="",-1,1)),$AN$4:$AN$23,0),MATCH(INDEX('Adjustment Surface'!$AO$3:$BH$3,1,MATCH(('Adjustment Surface'!AH$3),'Adjustment Surface'!$AO$3:$BH$3,1)+IF('Adjustment Surface'!AI$3="",-1,1)),$AO$3:$BH$3,0))*('Adjustment Surface'!$O21-INDEX('Adjustment Surface'!$AN$4:$AN$23,MATCH(('Adjustment Surface'!$O21),'Adjustment Surface'!$AN$4:$AN$23,1)))*('Adjustment Surface'!AH$3-INDEX('Adjustment Surface'!$AO$3:$BH$3,1,MATCH(('Adjustment Surface'!AH$3),'Adjustment Surface'!$AO$3:$BH$3,1)))))</f>
        <v/>
      </c>
      <c r="AI21" s="182" t="str" cm="1">
        <f t="array" ref="AI21">IF(OR(AI$3="",$O21=""),"",1/((INDEX('Adjustment Surface'!$AN$4:$AN$23,MATCH(('Adjustment Surface'!$O21),'Adjustment Surface'!$AN$4:$AN$23,1)+IF('Adjustment Surface'!$O22="",-1,1))-INDEX('Adjustment Surface'!$AN$4:$AN$23,MATCH(('Adjustment Surface'!$O21),'Adjustment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Surface'!$O21),'Adjustment Surface'!$AN$4:$AN$23,1)),$AN$4:$AN$23,0),MATCH(INDEX('Adjustment Surface'!$AO$3:$BH$3,1,MATCH(('Adjustment Surface'!AI$3),'Adjustment Surface'!$AO$3:$BH$3,1)),$AO$3:$BH$3,0))*(INDEX('Adjustment Surface'!$AN$4:$AN$23,MATCH(('Adjustment Surface'!$O21),'Adjustment Surface'!$AN$4:$AN$23,1)+IF('Adjustment Surface'!$O22="",-1,1))-'Adjustment Surface'!$O21)*(INDEX('Adjustment Surface'!$AO$3:$BH$3,1,MATCH(('Adjustment Surface'!AI$3),'Adjustment Surface'!$AO$3:$BH$3,1)+IF('Adjustment Surface'!AJ$3="",-1,1))-'Adjustment Surface'!AI$3)+INDEX($AO$4:$BH$23,MATCH(INDEX('Adjustment Surface'!$AN$4:$AN$23,MATCH(('Adjustment Surface'!$O21),'Adjustment Surface'!$AN$4:$AN$23,1)+IF('Adjustment Surface'!$O22="",-1,1)),$AN$4:$AN$23,0),MATCH(INDEX('Adjustment Surface'!$AO$3:$BH$3,1,MATCH(('Adjustment Surface'!AI$3),'Adjustment Surface'!$AO$3:$BH$3,1)),$AO$3:$BH$3,0))*('Adjustment Surface'!$O21-INDEX('Adjustment Surface'!$AN$4:$AN$23,MATCH(('Adjustment Surface'!$O21),'Adjustment Surface'!$AN$4:$AN$23,1)))*(INDEX('Adjustment Surface'!$AO$3:$BH$3,1,MATCH(('Adjustment Surface'!AI$3),'Adjustment Surface'!$AO$3:$BH$3,1)+IF('Adjustment Surface'!AJ$3="",-1,1))-'Adjustment Surface'!AI$3)+INDEX($AO$4:$BH$23,MATCH(INDEX('Adjustment Surface'!$AN$4:$AN$23,MATCH(('Adjustment Surface'!$O21),'Adjustment Surface'!$AN$4:$AN$23,1)),$AN$4:$AN$23,0),MATCH(INDEX('Adjustment Surface'!$AO$3:$BH$3,1,MATCH(('Adjustment Surface'!AI$3),'Adjustment Surface'!$AO$3:$BH$3,1)+IF('Adjustment Surface'!AJ$3="",-1,1)),$AO$3:$BH$3,0))*(INDEX('Adjustment Surface'!$AN$4:$AN$23,MATCH(('Adjustment Surface'!$O21),'Adjustment Surface'!$AN$4:$AN$23,1)+IF('Adjustment Surface'!$O22="",-1,1))-'Adjustment Surface'!$O21)*('Adjustment Surface'!AI$3-INDEX('Adjustment Surface'!$AO$3:$BH$3,1,MATCH(('Adjustment Surface'!AI$3),'Adjustment Surface'!$AO$3:$BH$3,1)))+INDEX($AO$4:$BH$23,MATCH(INDEX('Adjustment Surface'!$AN$4:$AN$23,MATCH(('Adjustment Surface'!$O21),'Adjustment Surface'!$AN$4:$AN$23,1)+IF('Adjustment Surface'!$O22="",-1,1)),$AN$4:$AN$23,0),MATCH(INDEX('Adjustment Surface'!$AO$3:$BH$3,1,MATCH(('Adjustment Surface'!AI$3),'Adjustment Surface'!$AO$3:$BH$3,1)+IF('Adjustment Surface'!AJ$3="",-1,1)),$AO$3:$BH$3,0))*('Adjustment Surface'!$O21-INDEX('Adjustment Surface'!$AN$4:$AN$23,MATCH(('Adjustment Surface'!$O21),'Adjustment Surface'!$AN$4:$AN$23,1)))*('Adjustment Surface'!AI$3-INDEX('Adjustment Surface'!$AO$3:$BH$3,1,MATCH(('Adjustment Surface'!AI$3),'Adjustment Surface'!$AO$3:$BH$3,1)))))</f>
        <v/>
      </c>
      <c r="AK21" s="203" t="str">
        <f>IF(OR(AK20=IF('Adjustment Surface'!$C$2='Data Validation'!$A$2,_xlfn.FLOOR.MATH(MAX('Bank Adjustments'!$C$4:$C$103),0.5%,2),IF('Adjustment Surface'!$C$2='Data Validation'!$A$3,_xlfn.FLOOR.MATH(MAX('Bank Adjustments'!$M$4:$M$103),0.5%,2),"Uknown Option Type")),AK20=""),"",AK20+0.5%)</f>
        <v/>
      </c>
      <c r="AL21" s="204"/>
      <c r="AN21" s="176"/>
      <c r="AO21" s="180" t="str" cm="1">
        <f t="array" ref="AO21">IF(OR(AO$3="",$AN21=""),"",INDEX(IF($C$2='Data Validation'!$A$2,'Bank Adjustments'!$H$4:$H$103,IF('Adjustment Surface'!$C$2='Data Validation'!$A$3,'Bank Adjustments'!$R$4:$R$103,"Unknown Option Type")),MATCH(1,($AN21=IF($C$2='Data Validation'!$A$2,'Bank Adjustments'!$C$4:$C$103,IF('Adjustment Surface'!$C$2='Data Validation'!$A$3,'Bank Adjustments'!$M$4:$M$103,"Unknown Option Type")))*(AO$3=IF($C$2='Data Validation'!$A$2,'Bank Adjustments'!$E$4:$E$103,IF('Adjustment Surface'!$C$2='Data Validation'!$A$3,'Bank Adjustments'!$O$4:$O$103,"Unknown Option Type"))),0)))</f>
        <v/>
      </c>
      <c r="AP21" s="181" t="str" cm="1">
        <f t="array" ref="AP21">IF(OR(AP$3="",$AN21=""),"",INDEX(IF($C$2='Data Validation'!$A$2,'Bank Adjustments'!$H$4:$H$103,IF('Adjustment Surface'!$C$2='Data Validation'!$A$3,'Bank Adjustments'!$R$4:$R$103,"Unknown Option Type")),MATCH(1,($AN21=IF($C$2='Data Validation'!$A$2,'Bank Adjustments'!$C$4:$C$103,IF('Adjustment Surface'!$C$2='Data Validation'!$A$3,'Bank Adjustments'!$M$4:$M$103,"Unknown Option Type")))*(AP$3=IF($C$2='Data Validation'!$A$2,'Bank Adjustments'!$E$4:$E$103,IF('Adjustment Surface'!$C$2='Data Validation'!$A$3,'Bank Adjustments'!$O$4:$O$103,"Unknown Option Type"))),0)))</f>
        <v/>
      </c>
      <c r="AQ21" s="181" t="str" cm="1">
        <f t="array" ref="AQ21">IF(OR(AQ$3="",$AN21=""),"",INDEX(IF($C$2='Data Validation'!$A$2,'Bank Adjustments'!$H$4:$H$103,IF('Adjustment Surface'!$C$2='Data Validation'!$A$3,'Bank Adjustments'!$R$4:$R$103,"Unknown Option Type")),MATCH(1,($AN21=IF($C$2='Data Validation'!$A$2,'Bank Adjustments'!$C$4:$C$103,IF('Adjustment Surface'!$C$2='Data Validation'!$A$3,'Bank Adjustments'!$M$4:$M$103,"Unknown Option Type")))*(AQ$3=IF($C$2='Data Validation'!$A$2,'Bank Adjustments'!$E$4:$E$103,IF('Adjustment Surface'!$C$2='Data Validation'!$A$3,'Bank Adjustments'!$O$4:$O$103,"Unknown Option Type"))),0)))</f>
        <v/>
      </c>
      <c r="AR21" s="181" t="str" cm="1">
        <f t="array" ref="AR21">IF(OR(AR$3="",$AN21=""),"",INDEX(IF($C$2='Data Validation'!$A$2,'Bank Adjustments'!$H$4:$H$103,IF('Adjustment Surface'!$C$2='Data Validation'!$A$3,'Bank Adjustments'!$R$4:$R$103,"Unknown Option Type")),MATCH(1,($AN21=IF($C$2='Data Validation'!$A$2,'Bank Adjustments'!$C$4:$C$103,IF('Adjustment Surface'!$C$2='Data Validation'!$A$3,'Bank Adjustments'!$M$4:$M$103,"Unknown Option Type")))*(AR$3=IF($C$2='Data Validation'!$A$2,'Bank Adjustments'!$E$4:$E$103,IF('Adjustment Surface'!$C$2='Data Validation'!$A$3,'Bank Adjustments'!$O$4:$O$103,"Unknown Option Type"))),0)))</f>
        <v/>
      </c>
      <c r="AS21" s="181" t="str" cm="1">
        <f t="array" ref="AS21">IF(OR(AS$3="",$AN21=""),"",INDEX(IF($C$2='Data Validation'!$A$2,'Bank Adjustments'!$H$4:$H$103,IF('Adjustment Surface'!$C$2='Data Validation'!$A$3,'Bank Adjustments'!$R$4:$R$103,"Unknown Option Type")),MATCH(1,($AN21=IF($C$2='Data Validation'!$A$2,'Bank Adjustments'!$C$4:$C$103,IF('Adjustment Surface'!$C$2='Data Validation'!$A$3,'Bank Adjustments'!$M$4:$M$103,"Unknown Option Type")))*(AS$3=IF($C$2='Data Validation'!$A$2,'Bank Adjustments'!$E$4:$E$103,IF('Adjustment Surface'!$C$2='Data Validation'!$A$3,'Bank Adjustments'!$O$4:$O$103,"Unknown Option Type"))),0)))</f>
        <v/>
      </c>
      <c r="AT21" s="181" t="str" cm="1">
        <f t="array" ref="AT21">IF(OR(AT$3="",$AN21=""),"",INDEX(IF($C$2='Data Validation'!$A$2,'Bank Adjustments'!$H$4:$H$103,IF('Adjustment Surface'!$C$2='Data Validation'!$A$3,'Bank Adjustments'!$R$4:$R$103,"Unknown Option Type")),MATCH(1,($AN21=IF($C$2='Data Validation'!$A$2,'Bank Adjustments'!$C$4:$C$103,IF('Adjustment Surface'!$C$2='Data Validation'!$A$3,'Bank Adjustments'!$M$4:$M$103,"Unknown Option Type")))*(AT$3=IF($C$2='Data Validation'!$A$2,'Bank Adjustments'!$E$4:$E$103,IF('Adjustment Surface'!$C$2='Data Validation'!$A$3,'Bank Adjustments'!$O$4:$O$103,"Unknown Option Type"))),0)))</f>
        <v/>
      </c>
      <c r="AU21" s="181" t="str" cm="1">
        <f t="array" ref="AU21">IF(OR(AU$3="",$AN21=""),"",INDEX(IF($C$2='Data Validation'!$A$2,'Bank Adjustments'!$H$4:$H$103,IF('Adjustment Surface'!$C$2='Data Validation'!$A$3,'Bank Adjustments'!$R$4:$R$103,"Unknown Option Type")),MATCH(1,($AN21=IF($C$2='Data Validation'!$A$2,'Bank Adjustments'!$C$4:$C$103,IF('Adjustment Surface'!$C$2='Data Validation'!$A$3,'Bank Adjustments'!$M$4:$M$103,"Unknown Option Type")))*(AU$3=IF($C$2='Data Validation'!$A$2,'Bank Adjustments'!$E$4:$E$103,IF('Adjustment Surface'!$C$2='Data Validation'!$A$3,'Bank Adjustments'!$O$4:$O$103,"Unknown Option Type"))),0)))</f>
        <v/>
      </c>
      <c r="AV21" s="181" t="str" cm="1">
        <f t="array" ref="AV21">IF(OR(AV$3="",$AN21=""),"",INDEX(IF($C$2='Data Validation'!$A$2,'Bank Adjustments'!$H$4:$H$103,IF('Adjustment Surface'!$C$2='Data Validation'!$A$3,'Bank Adjustments'!$R$4:$R$103,"Unknown Option Type")),MATCH(1,($AN21=IF($C$2='Data Validation'!$A$2,'Bank Adjustments'!$C$4:$C$103,IF('Adjustment Surface'!$C$2='Data Validation'!$A$3,'Bank Adjustments'!$M$4:$M$103,"Unknown Option Type")))*(AV$3=IF($C$2='Data Validation'!$A$2,'Bank Adjustments'!$E$4:$E$103,IF('Adjustment Surface'!$C$2='Data Validation'!$A$3,'Bank Adjustments'!$O$4:$O$103,"Unknown Option Type"))),0)))</f>
        <v/>
      </c>
      <c r="AW21" s="181" t="str" cm="1">
        <f t="array" ref="AW21">IF(OR(AW$3="",$AN21=""),"",INDEX(IF($C$2='Data Validation'!$A$2,'Bank Adjustments'!$H$4:$H$103,IF('Adjustment Surface'!$C$2='Data Validation'!$A$3,'Bank Adjustments'!$R$4:$R$103,"Unknown Option Type")),MATCH(1,($AN21=IF($C$2='Data Validation'!$A$2,'Bank Adjustments'!$C$4:$C$103,IF('Adjustment Surface'!$C$2='Data Validation'!$A$3,'Bank Adjustments'!$M$4:$M$103,"Unknown Option Type")))*(AW$3=IF($C$2='Data Validation'!$A$2,'Bank Adjustments'!$E$4:$E$103,IF('Adjustment Surface'!$C$2='Data Validation'!$A$3,'Bank Adjustments'!$O$4:$O$103,"Unknown Option Type"))),0)))</f>
        <v/>
      </c>
      <c r="AX21" s="181" t="str" cm="1">
        <f t="array" ref="AX21">IF(OR(AX$3="",$AN21=""),"",INDEX(IF($C$2='Data Validation'!$A$2,'Bank Adjustments'!$H$4:$H$103,IF('Adjustment Surface'!$C$2='Data Validation'!$A$3,'Bank Adjustments'!$R$4:$R$103,"Unknown Option Type")),MATCH(1,($AN21=IF($C$2='Data Validation'!$A$2,'Bank Adjustments'!$C$4:$C$103,IF('Adjustment Surface'!$C$2='Data Validation'!$A$3,'Bank Adjustments'!$M$4:$M$103,"Unknown Option Type")))*(AX$3=IF($C$2='Data Validation'!$A$2,'Bank Adjustments'!$E$4:$E$103,IF('Adjustment Surface'!$C$2='Data Validation'!$A$3,'Bank Adjustments'!$O$4:$O$103,"Unknown Option Type"))),0)))</f>
        <v/>
      </c>
      <c r="AY21" s="181" t="str" cm="1">
        <f t="array" ref="AY21">IF(OR(AY$3="",$AN21=""),"",INDEX(IF($C$2='Data Validation'!$A$2,'Bank Adjustments'!$H$4:$H$103,IF('Adjustment Surface'!$C$2='Data Validation'!$A$3,'Bank Adjustments'!$R$4:$R$103,"Unknown Option Type")),MATCH(1,($AN21=IF($C$2='Data Validation'!$A$2,'Bank Adjustments'!$C$4:$C$103,IF('Adjustment Surface'!$C$2='Data Validation'!$A$3,'Bank Adjustments'!$M$4:$M$103,"Unknown Option Type")))*(AY$3=IF($C$2='Data Validation'!$A$2,'Bank Adjustments'!$E$4:$E$103,IF('Adjustment Surface'!$C$2='Data Validation'!$A$3,'Bank Adjustments'!$O$4:$O$103,"Unknown Option Type"))),0)))</f>
        <v/>
      </c>
      <c r="AZ21" s="181" t="str" cm="1">
        <f t="array" ref="AZ21">IF(OR(AZ$3="",$AN21=""),"",INDEX(IF($C$2='Data Validation'!$A$2,'Bank Adjustments'!$H$4:$H$103,IF('Adjustment Surface'!$C$2='Data Validation'!$A$3,'Bank Adjustments'!$R$4:$R$103,"Unknown Option Type")),MATCH(1,($AN21=IF($C$2='Data Validation'!$A$2,'Bank Adjustments'!$C$4:$C$103,IF('Adjustment Surface'!$C$2='Data Validation'!$A$3,'Bank Adjustments'!$M$4:$M$103,"Unknown Option Type")))*(AZ$3=IF($C$2='Data Validation'!$A$2,'Bank Adjustments'!$E$4:$E$103,IF('Adjustment Surface'!$C$2='Data Validation'!$A$3,'Bank Adjustments'!$O$4:$O$103,"Unknown Option Type"))),0)))</f>
        <v/>
      </c>
      <c r="BA21" s="181" t="str" cm="1">
        <f t="array" ref="BA21">IF(OR(BA$3="",$AN21=""),"",INDEX(IF($C$2='Data Validation'!$A$2,'Bank Adjustments'!$H$4:$H$103,IF('Adjustment Surface'!$C$2='Data Validation'!$A$3,'Bank Adjustments'!$R$4:$R$103,"Unknown Option Type")),MATCH(1,($AN21=IF($C$2='Data Validation'!$A$2,'Bank Adjustments'!$C$4:$C$103,IF('Adjustment Surface'!$C$2='Data Validation'!$A$3,'Bank Adjustments'!$M$4:$M$103,"Unknown Option Type")))*(BA$3=IF($C$2='Data Validation'!$A$2,'Bank Adjustments'!$E$4:$E$103,IF('Adjustment Surface'!$C$2='Data Validation'!$A$3,'Bank Adjustments'!$O$4:$O$103,"Unknown Option Type"))),0)))</f>
        <v/>
      </c>
      <c r="BB21" s="181" t="str" cm="1">
        <f t="array" ref="BB21">IF(OR(BB$3="",$AN21=""),"",INDEX(IF($C$2='Data Validation'!$A$2,'Bank Adjustments'!$H$4:$H$103,IF('Adjustment Surface'!$C$2='Data Validation'!$A$3,'Bank Adjustments'!$R$4:$R$103,"Unknown Option Type")),MATCH(1,($AN21=IF($C$2='Data Validation'!$A$2,'Bank Adjustments'!$C$4:$C$103,IF('Adjustment Surface'!$C$2='Data Validation'!$A$3,'Bank Adjustments'!$M$4:$M$103,"Unknown Option Type")))*(BB$3=IF($C$2='Data Validation'!$A$2,'Bank Adjustments'!$E$4:$E$103,IF('Adjustment Surface'!$C$2='Data Validation'!$A$3,'Bank Adjustments'!$O$4:$O$103,"Unknown Option Type"))),0)))</f>
        <v/>
      </c>
      <c r="BC21" s="181" t="str" cm="1">
        <f t="array" ref="BC21">IF(OR(BC$3="",$AN21=""),"",INDEX(IF($C$2='Data Validation'!$A$2,'Bank Adjustments'!$H$4:$H$103,IF('Adjustment Surface'!$C$2='Data Validation'!$A$3,'Bank Adjustments'!$R$4:$R$103,"Unknown Option Type")),MATCH(1,($AN21=IF($C$2='Data Validation'!$A$2,'Bank Adjustments'!$C$4:$C$103,IF('Adjustment Surface'!$C$2='Data Validation'!$A$3,'Bank Adjustments'!$M$4:$M$103,"Unknown Option Type")))*(BC$3=IF($C$2='Data Validation'!$A$2,'Bank Adjustments'!$E$4:$E$103,IF('Adjustment Surface'!$C$2='Data Validation'!$A$3,'Bank Adjustments'!$O$4:$O$103,"Unknown Option Type"))),0)))</f>
        <v/>
      </c>
      <c r="BD21" s="181" t="str" cm="1">
        <f t="array" ref="BD21">IF(OR(BD$3="",$AN21=""),"",INDEX(IF($C$2='Data Validation'!$A$2,'Bank Adjustments'!$H$4:$H$103,IF('Adjustment Surface'!$C$2='Data Validation'!$A$3,'Bank Adjustments'!$R$4:$R$103,"Unknown Option Type")),MATCH(1,($AN21=IF($C$2='Data Validation'!$A$2,'Bank Adjustments'!$C$4:$C$103,IF('Adjustment Surface'!$C$2='Data Validation'!$A$3,'Bank Adjustments'!$M$4:$M$103,"Unknown Option Type")))*(BD$3=IF($C$2='Data Validation'!$A$2,'Bank Adjustments'!$E$4:$E$103,IF('Adjustment Surface'!$C$2='Data Validation'!$A$3,'Bank Adjustments'!$O$4:$O$103,"Unknown Option Type"))),0)))</f>
        <v/>
      </c>
      <c r="BE21" s="181" t="str" cm="1">
        <f t="array" ref="BE21">IF(OR(BE$3="",$AN21=""),"",INDEX(IF($C$2='Data Validation'!$A$2,'Bank Adjustments'!$H$4:$H$103,IF('Adjustment Surface'!$C$2='Data Validation'!$A$3,'Bank Adjustments'!$R$4:$R$103,"Unknown Option Type")),MATCH(1,($AN21=IF($C$2='Data Validation'!$A$2,'Bank Adjustments'!$C$4:$C$103,IF('Adjustment Surface'!$C$2='Data Validation'!$A$3,'Bank Adjustments'!$M$4:$M$103,"Unknown Option Type")))*(BE$3=IF($C$2='Data Validation'!$A$2,'Bank Adjustments'!$E$4:$E$103,IF('Adjustment Surface'!$C$2='Data Validation'!$A$3,'Bank Adjustments'!$O$4:$O$103,"Unknown Option Type"))),0)))</f>
        <v/>
      </c>
      <c r="BF21" s="181" t="str" cm="1">
        <f t="array" ref="BF21">IF(OR(BF$3="",$AN21=""),"",INDEX(IF($C$2='Data Validation'!$A$2,'Bank Adjustments'!$H$4:$H$103,IF('Adjustment Surface'!$C$2='Data Validation'!$A$3,'Bank Adjustments'!$R$4:$R$103,"Unknown Option Type")),MATCH(1,($AN21=IF($C$2='Data Validation'!$A$2,'Bank Adjustments'!$C$4:$C$103,IF('Adjustment Surface'!$C$2='Data Validation'!$A$3,'Bank Adjustments'!$M$4:$M$103,"Unknown Option Type")))*(BF$3=IF($C$2='Data Validation'!$A$2,'Bank Adjustments'!$E$4:$E$103,IF('Adjustment Surface'!$C$2='Data Validation'!$A$3,'Bank Adjustments'!$O$4:$O$103,"Unknown Option Type"))),0)))</f>
        <v/>
      </c>
      <c r="BG21" s="181" t="str" cm="1">
        <f t="array" ref="BG21">IF(OR(BG$3="",$AN21=""),"",INDEX(IF($C$2='Data Validation'!$A$2,'Bank Adjustments'!$H$4:$H$103,IF('Adjustment Surface'!$C$2='Data Validation'!$A$3,'Bank Adjustments'!$R$4:$R$103,"Unknown Option Type")),MATCH(1,($AN21=IF($C$2='Data Validation'!$A$2,'Bank Adjustments'!$C$4:$C$103,IF('Adjustment Surface'!$C$2='Data Validation'!$A$3,'Bank Adjustments'!$M$4:$M$103,"Unknown Option Type")))*(BG$3=IF($C$2='Data Validation'!$A$2,'Bank Adjustments'!$E$4:$E$103,IF('Adjustment Surface'!$C$2='Data Validation'!$A$3,'Bank Adjustments'!$O$4:$O$103,"Unknown Option Type"))),0)))</f>
        <v/>
      </c>
      <c r="BH21" s="182" t="str" cm="1">
        <f t="array" ref="BH21">IF(OR(BH$3="",$AN21=""),"",INDEX(IF($C$2='Data Validation'!$A$2,'Bank Adjustments'!$H$4:$H$103,IF('Adjustment Surface'!$C$2='Data Validation'!$A$3,'Bank Adjustments'!$R$4:$R$103,"Unknown Option Type")),MATCH(1,($AN21=IF($C$2='Data Validation'!$A$2,'Bank Adjustments'!$C$4:$C$103,IF('Adjustment Surface'!$C$2='Data Validation'!$A$3,'Bank Adjustments'!$M$4:$M$103,"Unknown Option Type")))*(BH$3=IF($C$2='Data Validation'!$A$2,'Bank Adjustments'!$E$4:$E$103,IF('Adjustment Surface'!$C$2='Data Validation'!$A$3,'Bank Adjustments'!$O$4:$O$103,"Unknown Option Type"))),0)))</f>
        <v/>
      </c>
    </row>
    <row r="22" spans="2:60" x14ac:dyDescent="0.25">
      <c r="B22" s="75">
        <f>B15</f>
        <v>0.03</v>
      </c>
      <c r="C22" s="14">
        <f>'Bachelier Model'!C11</f>
        <v>490.52211634920224</v>
      </c>
      <c r="D22" s="14">
        <f>'Bachelier Model'!D11</f>
        <v>1607.103273886461</v>
      </c>
      <c r="E22" s="14">
        <f>'Bachelier Model'!E11</f>
        <v>2927.2761598013476</v>
      </c>
      <c r="F22" s="14">
        <f>'Bachelier Model'!F11</f>
        <v>4333.2968845514233</v>
      </c>
      <c r="H22" s="173"/>
      <c r="I22" s="61" t="str">
        <f t="shared" si="1"/>
        <v/>
      </c>
      <c r="J22" s="62" t="str">
        <f t="shared" si="1"/>
        <v/>
      </c>
      <c r="K22" s="62" t="str">
        <f t="shared" si="1"/>
        <v/>
      </c>
      <c r="L22" s="62" t="str">
        <f t="shared" si="1"/>
        <v/>
      </c>
      <c r="M22" s="63" t="str">
        <f t="shared" si="1"/>
        <v/>
      </c>
      <c r="O22" s="176"/>
      <c r="P22" s="180" t="str" cm="1">
        <f t="array" ref="P22">IF(OR(P$3="",$O22=""),"",1/((INDEX('Adjustment Surface'!$AN$4:$AN$23,MATCH(('Adjustment Surface'!$O22),'Adjustment Surface'!$AN$4:$AN$23,1)+IF('Adjustment Surface'!$O23="",-1,1))-INDEX('Adjustment Surface'!$AN$4:$AN$23,MATCH(('Adjustment Surface'!$O22),'Adjustment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Surface'!$O22),'Adjustment Surface'!$AN$4:$AN$23,1)),$AN$4:$AN$23,0),MATCH(INDEX('Adjustment Surface'!$AO$3:$BH$3,1,MATCH(('Adjustment Surface'!P$3),'Adjustment Surface'!$AO$3:$BH$3,1)),$AO$3:$BH$3,0))*(INDEX('Adjustment Surface'!$AN$4:$AN$23,MATCH(('Adjustment Surface'!$O22),'Adjustment Surface'!$AN$4:$AN$23,1)+IF('Adjustment Surface'!$O23="",-1,1))-'Adjustment Surface'!$O22)*(INDEX('Adjustment Surface'!$AO$3:$BH$3,1,MATCH(('Adjustment Surface'!P$3),'Adjustment Surface'!$AO$3:$BH$3,1)+IF('Adjustment Surface'!Q$3="",-1,1))-'Adjustment Surface'!P$3)+INDEX($AO$4:$BH$23,MATCH(INDEX('Adjustment Surface'!$AN$4:$AN$23,MATCH(('Adjustment Surface'!$O22),'Adjustment Surface'!$AN$4:$AN$23,1)+IF('Adjustment Surface'!$O23="",-1,1)),$AN$4:$AN$23,0),MATCH(INDEX('Adjustment Surface'!$AO$3:$BH$3,1,MATCH(('Adjustment Surface'!P$3),'Adjustment Surface'!$AO$3:$BH$3,1)),$AO$3:$BH$3,0))*('Adjustment Surface'!$O22-INDEX('Adjustment Surface'!$AN$4:$AN$23,MATCH(('Adjustment Surface'!$O22),'Adjustment Surface'!$AN$4:$AN$23,1)))*(INDEX('Adjustment Surface'!$AO$3:$BH$3,1,MATCH(('Adjustment Surface'!P$3),'Adjustment Surface'!$AO$3:$BH$3,1)+IF('Adjustment Surface'!Q$3="",-1,1))-'Adjustment Surface'!P$3)+INDEX($AO$4:$BH$23,MATCH(INDEX('Adjustment Surface'!$AN$4:$AN$23,MATCH(('Adjustment Surface'!$O22),'Adjustment Surface'!$AN$4:$AN$23,1)),$AN$4:$AN$23,0),MATCH(INDEX('Adjustment Surface'!$AO$3:$BH$3,1,MATCH(('Adjustment Surface'!P$3),'Adjustment Surface'!$AO$3:$BH$3,1)+IF('Adjustment Surface'!Q$3="",-1,1)),$AO$3:$BH$3,0))*(INDEX('Adjustment Surface'!$AN$4:$AN$23,MATCH(('Adjustment Surface'!$O22),'Adjustment Surface'!$AN$4:$AN$23,1)+IF('Adjustment Surface'!$O23="",-1,1))-'Adjustment Surface'!$O22)*('Adjustment Surface'!P$3-INDEX('Adjustment Surface'!$AO$3:$BH$3,1,MATCH(('Adjustment Surface'!P$3),'Adjustment Surface'!$AO$3:$BH$3,1)))+INDEX($AO$4:$BH$23,MATCH(INDEX('Adjustment Surface'!$AN$4:$AN$23,MATCH(('Adjustment Surface'!$O22),'Adjustment Surface'!$AN$4:$AN$23,1)+IF('Adjustment Surface'!$O23="",-1,1)),$AN$4:$AN$23,0),MATCH(INDEX('Adjustment Surface'!$AO$3:$BH$3,1,MATCH(('Adjustment Surface'!P$3),'Adjustment Surface'!$AO$3:$BH$3,1)+IF('Adjustment Surface'!Q$3="",-1,1)),$AO$3:$BH$3,0))*('Adjustment Surface'!$O22-INDEX('Adjustment Surface'!$AN$4:$AN$23,MATCH(('Adjustment Surface'!$O22),'Adjustment Surface'!$AN$4:$AN$23,1)))*('Adjustment Surface'!P$3-INDEX('Adjustment Surface'!$AO$3:$BH$3,1,MATCH(('Adjustment Surface'!P$3),'Adjustment Surface'!$AO$3:$BH$3,1)))))</f>
        <v/>
      </c>
      <c r="Q22" s="181" t="str" cm="1">
        <f t="array" ref="Q22">IF(OR(Q$3="",$O22=""),"",1/((INDEX('Adjustment Surface'!$AN$4:$AN$23,MATCH(('Adjustment Surface'!$O22),'Adjustment Surface'!$AN$4:$AN$23,1)+IF('Adjustment Surface'!$O23="",-1,1))-INDEX('Adjustment Surface'!$AN$4:$AN$23,MATCH(('Adjustment Surface'!$O22),'Adjustment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Surface'!$O22),'Adjustment Surface'!$AN$4:$AN$23,1)),$AN$4:$AN$23,0),MATCH(INDEX('Adjustment Surface'!$AO$3:$BH$3,1,MATCH(('Adjustment Surface'!Q$3),'Adjustment Surface'!$AO$3:$BH$3,1)),$AO$3:$BH$3,0))*(INDEX('Adjustment Surface'!$AN$4:$AN$23,MATCH(('Adjustment Surface'!$O22),'Adjustment Surface'!$AN$4:$AN$23,1)+IF('Adjustment Surface'!$O23="",-1,1))-'Adjustment Surface'!$O22)*(INDEX('Adjustment Surface'!$AO$3:$BH$3,1,MATCH(('Adjustment Surface'!Q$3),'Adjustment Surface'!$AO$3:$BH$3,1)+IF('Adjustment Surface'!R$3="",-1,1))-'Adjustment Surface'!Q$3)+INDEX($AO$4:$BH$23,MATCH(INDEX('Adjustment Surface'!$AN$4:$AN$23,MATCH(('Adjustment Surface'!$O22),'Adjustment Surface'!$AN$4:$AN$23,1)+IF('Adjustment Surface'!$O23="",-1,1)),$AN$4:$AN$23,0),MATCH(INDEX('Adjustment Surface'!$AO$3:$BH$3,1,MATCH(('Adjustment Surface'!Q$3),'Adjustment Surface'!$AO$3:$BH$3,1)),$AO$3:$BH$3,0))*('Adjustment Surface'!$O22-INDEX('Adjustment Surface'!$AN$4:$AN$23,MATCH(('Adjustment Surface'!$O22),'Adjustment Surface'!$AN$4:$AN$23,1)))*(INDEX('Adjustment Surface'!$AO$3:$BH$3,1,MATCH(('Adjustment Surface'!Q$3),'Adjustment Surface'!$AO$3:$BH$3,1)+IF('Adjustment Surface'!R$3="",-1,1))-'Adjustment Surface'!Q$3)+INDEX($AO$4:$BH$23,MATCH(INDEX('Adjustment Surface'!$AN$4:$AN$23,MATCH(('Adjustment Surface'!$O22),'Adjustment Surface'!$AN$4:$AN$23,1)),$AN$4:$AN$23,0),MATCH(INDEX('Adjustment Surface'!$AO$3:$BH$3,1,MATCH(('Adjustment Surface'!Q$3),'Adjustment Surface'!$AO$3:$BH$3,1)+IF('Adjustment Surface'!R$3="",-1,1)),$AO$3:$BH$3,0))*(INDEX('Adjustment Surface'!$AN$4:$AN$23,MATCH(('Adjustment Surface'!$O22),'Adjustment Surface'!$AN$4:$AN$23,1)+IF('Adjustment Surface'!$O23="",-1,1))-'Adjustment Surface'!$O22)*('Adjustment Surface'!Q$3-INDEX('Adjustment Surface'!$AO$3:$BH$3,1,MATCH(('Adjustment Surface'!Q$3),'Adjustment Surface'!$AO$3:$BH$3,1)))+INDEX($AO$4:$BH$23,MATCH(INDEX('Adjustment Surface'!$AN$4:$AN$23,MATCH(('Adjustment Surface'!$O22),'Adjustment Surface'!$AN$4:$AN$23,1)+IF('Adjustment Surface'!$O23="",-1,1)),$AN$4:$AN$23,0),MATCH(INDEX('Adjustment Surface'!$AO$3:$BH$3,1,MATCH(('Adjustment Surface'!Q$3),'Adjustment Surface'!$AO$3:$BH$3,1)+IF('Adjustment Surface'!R$3="",-1,1)),$AO$3:$BH$3,0))*('Adjustment Surface'!$O22-INDEX('Adjustment Surface'!$AN$4:$AN$23,MATCH(('Adjustment Surface'!$O22),'Adjustment Surface'!$AN$4:$AN$23,1)))*('Adjustment Surface'!Q$3-INDEX('Adjustment Surface'!$AO$3:$BH$3,1,MATCH(('Adjustment Surface'!Q$3),'Adjustment Surface'!$AO$3:$BH$3,1)))))</f>
        <v/>
      </c>
      <c r="R22" s="181" t="str" cm="1">
        <f t="array" ref="R22">IF(OR(R$3="",$O22=""),"",1/((INDEX('Adjustment Surface'!$AN$4:$AN$23,MATCH(('Adjustment Surface'!$O22),'Adjustment Surface'!$AN$4:$AN$23,1)+IF('Adjustment Surface'!$O23="",-1,1))-INDEX('Adjustment Surface'!$AN$4:$AN$23,MATCH(('Adjustment Surface'!$O22),'Adjustment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Surface'!$O22),'Adjustment Surface'!$AN$4:$AN$23,1)),$AN$4:$AN$23,0),MATCH(INDEX('Adjustment Surface'!$AO$3:$BH$3,1,MATCH(('Adjustment Surface'!R$3),'Adjustment Surface'!$AO$3:$BH$3,1)),$AO$3:$BH$3,0))*(INDEX('Adjustment Surface'!$AN$4:$AN$23,MATCH(('Adjustment Surface'!$O22),'Adjustment Surface'!$AN$4:$AN$23,1)+IF('Adjustment Surface'!$O23="",-1,1))-'Adjustment Surface'!$O22)*(INDEX('Adjustment Surface'!$AO$3:$BH$3,1,MATCH(('Adjustment Surface'!R$3),'Adjustment Surface'!$AO$3:$BH$3,1)+IF('Adjustment Surface'!S$3="",-1,1))-'Adjustment Surface'!R$3)+INDEX($AO$4:$BH$23,MATCH(INDEX('Adjustment Surface'!$AN$4:$AN$23,MATCH(('Adjustment Surface'!$O22),'Adjustment Surface'!$AN$4:$AN$23,1)+IF('Adjustment Surface'!$O23="",-1,1)),$AN$4:$AN$23,0),MATCH(INDEX('Adjustment Surface'!$AO$3:$BH$3,1,MATCH(('Adjustment Surface'!R$3),'Adjustment Surface'!$AO$3:$BH$3,1)),$AO$3:$BH$3,0))*('Adjustment Surface'!$O22-INDEX('Adjustment Surface'!$AN$4:$AN$23,MATCH(('Adjustment Surface'!$O22),'Adjustment Surface'!$AN$4:$AN$23,1)))*(INDEX('Adjustment Surface'!$AO$3:$BH$3,1,MATCH(('Adjustment Surface'!R$3),'Adjustment Surface'!$AO$3:$BH$3,1)+IF('Adjustment Surface'!S$3="",-1,1))-'Adjustment Surface'!R$3)+INDEX($AO$4:$BH$23,MATCH(INDEX('Adjustment Surface'!$AN$4:$AN$23,MATCH(('Adjustment Surface'!$O22),'Adjustment Surface'!$AN$4:$AN$23,1)),$AN$4:$AN$23,0),MATCH(INDEX('Adjustment Surface'!$AO$3:$BH$3,1,MATCH(('Adjustment Surface'!R$3),'Adjustment Surface'!$AO$3:$BH$3,1)+IF('Adjustment Surface'!S$3="",-1,1)),$AO$3:$BH$3,0))*(INDEX('Adjustment Surface'!$AN$4:$AN$23,MATCH(('Adjustment Surface'!$O22),'Adjustment Surface'!$AN$4:$AN$23,1)+IF('Adjustment Surface'!$O23="",-1,1))-'Adjustment Surface'!$O22)*('Adjustment Surface'!R$3-INDEX('Adjustment Surface'!$AO$3:$BH$3,1,MATCH(('Adjustment Surface'!R$3),'Adjustment Surface'!$AO$3:$BH$3,1)))+INDEX($AO$4:$BH$23,MATCH(INDEX('Adjustment Surface'!$AN$4:$AN$23,MATCH(('Adjustment Surface'!$O22),'Adjustment Surface'!$AN$4:$AN$23,1)+IF('Adjustment Surface'!$O23="",-1,1)),$AN$4:$AN$23,0),MATCH(INDEX('Adjustment Surface'!$AO$3:$BH$3,1,MATCH(('Adjustment Surface'!R$3),'Adjustment Surface'!$AO$3:$BH$3,1)+IF('Adjustment Surface'!S$3="",-1,1)),$AO$3:$BH$3,0))*('Adjustment Surface'!$O22-INDEX('Adjustment Surface'!$AN$4:$AN$23,MATCH(('Adjustment Surface'!$O22),'Adjustment Surface'!$AN$4:$AN$23,1)))*('Adjustment Surface'!R$3-INDEX('Adjustment Surface'!$AO$3:$BH$3,1,MATCH(('Adjustment Surface'!R$3),'Adjustment Surface'!$AO$3:$BH$3,1)))))</f>
        <v/>
      </c>
      <c r="S22" s="181" t="str" cm="1">
        <f t="array" ref="S22">IF(OR(S$3="",$O22=""),"",1/((INDEX('Adjustment Surface'!$AN$4:$AN$23,MATCH(('Adjustment Surface'!$O22),'Adjustment Surface'!$AN$4:$AN$23,1)+IF('Adjustment Surface'!$O23="",-1,1))-INDEX('Adjustment Surface'!$AN$4:$AN$23,MATCH(('Adjustment Surface'!$O22),'Adjustment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Surface'!$O22),'Adjustment Surface'!$AN$4:$AN$23,1)),$AN$4:$AN$23,0),MATCH(INDEX('Adjustment Surface'!$AO$3:$BH$3,1,MATCH(('Adjustment Surface'!S$3),'Adjustment Surface'!$AO$3:$BH$3,1)),$AO$3:$BH$3,0))*(INDEX('Adjustment Surface'!$AN$4:$AN$23,MATCH(('Adjustment Surface'!$O22),'Adjustment Surface'!$AN$4:$AN$23,1)+IF('Adjustment Surface'!$O23="",-1,1))-'Adjustment Surface'!$O22)*(INDEX('Adjustment Surface'!$AO$3:$BH$3,1,MATCH(('Adjustment Surface'!S$3),'Adjustment Surface'!$AO$3:$BH$3,1)+IF('Adjustment Surface'!T$3="",-1,1))-'Adjustment Surface'!S$3)+INDEX($AO$4:$BH$23,MATCH(INDEX('Adjustment Surface'!$AN$4:$AN$23,MATCH(('Adjustment Surface'!$O22),'Adjustment Surface'!$AN$4:$AN$23,1)+IF('Adjustment Surface'!$O23="",-1,1)),$AN$4:$AN$23,0),MATCH(INDEX('Adjustment Surface'!$AO$3:$BH$3,1,MATCH(('Adjustment Surface'!S$3),'Adjustment Surface'!$AO$3:$BH$3,1)),$AO$3:$BH$3,0))*('Adjustment Surface'!$O22-INDEX('Adjustment Surface'!$AN$4:$AN$23,MATCH(('Adjustment Surface'!$O22),'Adjustment Surface'!$AN$4:$AN$23,1)))*(INDEX('Adjustment Surface'!$AO$3:$BH$3,1,MATCH(('Adjustment Surface'!S$3),'Adjustment Surface'!$AO$3:$BH$3,1)+IF('Adjustment Surface'!T$3="",-1,1))-'Adjustment Surface'!S$3)+INDEX($AO$4:$BH$23,MATCH(INDEX('Adjustment Surface'!$AN$4:$AN$23,MATCH(('Adjustment Surface'!$O22),'Adjustment Surface'!$AN$4:$AN$23,1)),$AN$4:$AN$23,0),MATCH(INDEX('Adjustment Surface'!$AO$3:$BH$3,1,MATCH(('Adjustment Surface'!S$3),'Adjustment Surface'!$AO$3:$BH$3,1)+IF('Adjustment Surface'!T$3="",-1,1)),$AO$3:$BH$3,0))*(INDEX('Adjustment Surface'!$AN$4:$AN$23,MATCH(('Adjustment Surface'!$O22),'Adjustment Surface'!$AN$4:$AN$23,1)+IF('Adjustment Surface'!$O23="",-1,1))-'Adjustment Surface'!$O22)*('Adjustment Surface'!S$3-INDEX('Adjustment Surface'!$AO$3:$BH$3,1,MATCH(('Adjustment Surface'!S$3),'Adjustment Surface'!$AO$3:$BH$3,1)))+INDEX($AO$4:$BH$23,MATCH(INDEX('Adjustment Surface'!$AN$4:$AN$23,MATCH(('Adjustment Surface'!$O22),'Adjustment Surface'!$AN$4:$AN$23,1)+IF('Adjustment Surface'!$O23="",-1,1)),$AN$4:$AN$23,0),MATCH(INDEX('Adjustment Surface'!$AO$3:$BH$3,1,MATCH(('Adjustment Surface'!S$3),'Adjustment Surface'!$AO$3:$BH$3,1)+IF('Adjustment Surface'!T$3="",-1,1)),$AO$3:$BH$3,0))*('Adjustment Surface'!$O22-INDEX('Adjustment Surface'!$AN$4:$AN$23,MATCH(('Adjustment Surface'!$O22),'Adjustment Surface'!$AN$4:$AN$23,1)))*('Adjustment Surface'!S$3-INDEX('Adjustment Surface'!$AO$3:$BH$3,1,MATCH(('Adjustment Surface'!S$3),'Adjustment Surface'!$AO$3:$BH$3,1)))))</f>
        <v/>
      </c>
      <c r="T22" s="181" t="str" cm="1">
        <f t="array" ref="T22">IF(OR(T$3="",$O22=""),"",1/((INDEX('Adjustment Surface'!$AN$4:$AN$23,MATCH(('Adjustment Surface'!$O22),'Adjustment Surface'!$AN$4:$AN$23,1)+IF('Adjustment Surface'!$O23="",-1,1))-INDEX('Adjustment Surface'!$AN$4:$AN$23,MATCH(('Adjustment Surface'!$O22),'Adjustment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Surface'!$O22),'Adjustment Surface'!$AN$4:$AN$23,1)),$AN$4:$AN$23,0),MATCH(INDEX('Adjustment Surface'!$AO$3:$BH$3,1,MATCH(('Adjustment Surface'!T$3),'Adjustment Surface'!$AO$3:$BH$3,1)),$AO$3:$BH$3,0))*(INDEX('Adjustment Surface'!$AN$4:$AN$23,MATCH(('Adjustment Surface'!$O22),'Adjustment Surface'!$AN$4:$AN$23,1)+IF('Adjustment Surface'!$O23="",-1,1))-'Adjustment Surface'!$O22)*(INDEX('Adjustment Surface'!$AO$3:$BH$3,1,MATCH(('Adjustment Surface'!T$3),'Adjustment Surface'!$AO$3:$BH$3,1)+IF('Adjustment Surface'!U$3="",-1,1))-'Adjustment Surface'!T$3)+INDEX($AO$4:$BH$23,MATCH(INDEX('Adjustment Surface'!$AN$4:$AN$23,MATCH(('Adjustment Surface'!$O22),'Adjustment Surface'!$AN$4:$AN$23,1)+IF('Adjustment Surface'!$O23="",-1,1)),$AN$4:$AN$23,0),MATCH(INDEX('Adjustment Surface'!$AO$3:$BH$3,1,MATCH(('Adjustment Surface'!T$3),'Adjustment Surface'!$AO$3:$BH$3,1)),$AO$3:$BH$3,0))*('Adjustment Surface'!$O22-INDEX('Adjustment Surface'!$AN$4:$AN$23,MATCH(('Adjustment Surface'!$O22),'Adjustment Surface'!$AN$4:$AN$23,1)))*(INDEX('Adjustment Surface'!$AO$3:$BH$3,1,MATCH(('Adjustment Surface'!T$3),'Adjustment Surface'!$AO$3:$BH$3,1)+IF('Adjustment Surface'!U$3="",-1,1))-'Adjustment Surface'!T$3)+INDEX($AO$4:$BH$23,MATCH(INDEX('Adjustment Surface'!$AN$4:$AN$23,MATCH(('Adjustment Surface'!$O22),'Adjustment Surface'!$AN$4:$AN$23,1)),$AN$4:$AN$23,0),MATCH(INDEX('Adjustment Surface'!$AO$3:$BH$3,1,MATCH(('Adjustment Surface'!T$3),'Adjustment Surface'!$AO$3:$BH$3,1)+IF('Adjustment Surface'!U$3="",-1,1)),$AO$3:$BH$3,0))*(INDEX('Adjustment Surface'!$AN$4:$AN$23,MATCH(('Adjustment Surface'!$O22),'Adjustment Surface'!$AN$4:$AN$23,1)+IF('Adjustment Surface'!$O23="",-1,1))-'Adjustment Surface'!$O22)*('Adjustment Surface'!T$3-INDEX('Adjustment Surface'!$AO$3:$BH$3,1,MATCH(('Adjustment Surface'!T$3),'Adjustment Surface'!$AO$3:$BH$3,1)))+INDEX($AO$4:$BH$23,MATCH(INDEX('Adjustment Surface'!$AN$4:$AN$23,MATCH(('Adjustment Surface'!$O22),'Adjustment Surface'!$AN$4:$AN$23,1)+IF('Adjustment Surface'!$O23="",-1,1)),$AN$4:$AN$23,0),MATCH(INDEX('Adjustment Surface'!$AO$3:$BH$3,1,MATCH(('Adjustment Surface'!T$3),'Adjustment Surface'!$AO$3:$BH$3,1)+IF('Adjustment Surface'!U$3="",-1,1)),$AO$3:$BH$3,0))*('Adjustment Surface'!$O22-INDEX('Adjustment Surface'!$AN$4:$AN$23,MATCH(('Adjustment Surface'!$O22),'Adjustment Surface'!$AN$4:$AN$23,1)))*('Adjustment Surface'!T$3-INDEX('Adjustment Surface'!$AO$3:$BH$3,1,MATCH(('Adjustment Surface'!T$3),'Adjustment Surface'!$AO$3:$BH$3,1)))))</f>
        <v/>
      </c>
      <c r="U22" s="181" t="str" cm="1">
        <f t="array" ref="U22">IF(OR(U$3="",$O22=""),"",1/((INDEX('Adjustment Surface'!$AN$4:$AN$23,MATCH(('Adjustment Surface'!$O22),'Adjustment Surface'!$AN$4:$AN$23,1)+IF('Adjustment Surface'!$O23="",-1,1))-INDEX('Adjustment Surface'!$AN$4:$AN$23,MATCH(('Adjustment Surface'!$O22),'Adjustment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Surface'!$O22),'Adjustment Surface'!$AN$4:$AN$23,1)),$AN$4:$AN$23,0),MATCH(INDEX('Adjustment Surface'!$AO$3:$BH$3,1,MATCH(('Adjustment Surface'!U$3),'Adjustment Surface'!$AO$3:$BH$3,1)),$AO$3:$BH$3,0))*(INDEX('Adjustment Surface'!$AN$4:$AN$23,MATCH(('Adjustment Surface'!$O22),'Adjustment Surface'!$AN$4:$AN$23,1)+IF('Adjustment Surface'!$O23="",-1,1))-'Adjustment Surface'!$O22)*(INDEX('Adjustment Surface'!$AO$3:$BH$3,1,MATCH(('Adjustment Surface'!U$3),'Adjustment Surface'!$AO$3:$BH$3,1)+IF('Adjustment Surface'!V$3="",-1,1))-'Adjustment Surface'!U$3)+INDEX($AO$4:$BH$23,MATCH(INDEX('Adjustment Surface'!$AN$4:$AN$23,MATCH(('Adjustment Surface'!$O22),'Adjustment Surface'!$AN$4:$AN$23,1)+IF('Adjustment Surface'!$O23="",-1,1)),$AN$4:$AN$23,0),MATCH(INDEX('Adjustment Surface'!$AO$3:$BH$3,1,MATCH(('Adjustment Surface'!U$3),'Adjustment Surface'!$AO$3:$BH$3,1)),$AO$3:$BH$3,0))*('Adjustment Surface'!$O22-INDEX('Adjustment Surface'!$AN$4:$AN$23,MATCH(('Adjustment Surface'!$O22),'Adjustment Surface'!$AN$4:$AN$23,1)))*(INDEX('Adjustment Surface'!$AO$3:$BH$3,1,MATCH(('Adjustment Surface'!U$3),'Adjustment Surface'!$AO$3:$BH$3,1)+IF('Adjustment Surface'!V$3="",-1,1))-'Adjustment Surface'!U$3)+INDEX($AO$4:$BH$23,MATCH(INDEX('Adjustment Surface'!$AN$4:$AN$23,MATCH(('Adjustment Surface'!$O22),'Adjustment Surface'!$AN$4:$AN$23,1)),$AN$4:$AN$23,0),MATCH(INDEX('Adjustment Surface'!$AO$3:$BH$3,1,MATCH(('Adjustment Surface'!U$3),'Adjustment Surface'!$AO$3:$BH$3,1)+IF('Adjustment Surface'!V$3="",-1,1)),$AO$3:$BH$3,0))*(INDEX('Adjustment Surface'!$AN$4:$AN$23,MATCH(('Adjustment Surface'!$O22),'Adjustment Surface'!$AN$4:$AN$23,1)+IF('Adjustment Surface'!$O23="",-1,1))-'Adjustment Surface'!$O22)*('Adjustment Surface'!U$3-INDEX('Adjustment Surface'!$AO$3:$BH$3,1,MATCH(('Adjustment Surface'!U$3),'Adjustment Surface'!$AO$3:$BH$3,1)))+INDEX($AO$4:$BH$23,MATCH(INDEX('Adjustment Surface'!$AN$4:$AN$23,MATCH(('Adjustment Surface'!$O22),'Adjustment Surface'!$AN$4:$AN$23,1)+IF('Adjustment Surface'!$O23="",-1,1)),$AN$4:$AN$23,0),MATCH(INDEX('Adjustment Surface'!$AO$3:$BH$3,1,MATCH(('Adjustment Surface'!U$3),'Adjustment Surface'!$AO$3:$BH$3,1)+IF('Adjustment Surface'!V$3="",-1,1)),$AO$3:$BH$3,0))*('Adjustment Surface'!$O22-INDEX('Adjustment Surface'!$AN$4:$AN$23,MATCH(('Adjustment Surface'!$O22),'Adjustment Surface'!$AN$4:$AN$23,1)))*('Adjustment Surface'!U$3-INDEX('Adjustment Surface'!$AO$3:$BH$3,1,MATCH(('Adjustment Surface'!U$3),'Adjustment Surface'!$AO$3:$BH$3,1)))))</f>
        <v/>
      </c>
      <c r="V22" s="181" t="str" cm="1">
        <f t="array" ref="V22">IF(OR(V$3="",$O22=""),"",1/((INDEX('Adjustment Surface'!$AN$4:$AN$23,MATCH(('Adjustment Surface'!$O22),'Adjustment Surface'!$AN$4:$AN$23,1)+IF('Adjustment Surface'!$O23="",-1,1))-INDEX('Adjustment Surface'!$AN$4:$AN$23,MATCH(('Adjustment Surface'!$O22),'Adjustment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Surface'!$O22),'Adjustment Surface'!$AN$4:$AN$23,1)),$AN$4:$AN$23,0),MATCH(INDEX('Adjustment Surface'!$AO$3:$BH$3,1,MATCH(('Adjustment Surface'!V$3),'Adjustment Surface'!$AO$3:$BH$3,1)),$AO$3:$BH$3,0))*(INDEX('Adjustment Surface'!$AN$4:$AN$23,MATCH(('Adjustment Surface'!$O22),'Adjustment Surface'!$AN$4:$AN$23,1)+IF('Adjustment Surface'!$O23="",-1,1))-'Adjustment Surface'!$O22)*(INDEX('Adjustment Surface'!$AO$3:$BH$3,1,MATCH(('Adjustment Surface'!V$3),'Adjustment Surface'!$AO$3:$BH$3,1)+IF('Adjustment Surface'!W$3="",-1,1))-'Adjustment Surface'!V$3)+INDEX($AO$4:$BH$23,MATCH(INDEX('Adjustment Surface'!$AN$4:$AN$23,MATCH(('Adjustment Surface'!$O22),'Adjustment Surface'!$AN$4:$AN$23,1)+IF('Adjustment Surface'!$O23="",-1,1)),$AN$4:$AN$23,0),MATCH(INDEX('Adjustment Surface'!$AO$3:$BH$3,1,MATCH(('Adjustment Surface'!V$3),'Adjustment Surface'!$AO$3:$BH$3,1)),$AO$3:$BH$3,0))*('Adjustment Surface'!$O22-INDEX('Adjustment Surface'!$AN$4:$AN$23,MATCH(('Adjustment Surface'!$O22),'Adjustment Surface'!$AN$4:$AN$23,1)))*(INDEX('Adjustment Surface'!$AO$3:$BH$3,1,MATCH(('Adjustment Surface'!V$3),'Adjustment Surface'!$AO$3:$BH$3,1)+IF('Adjustment Surface'!W$3="",-1,1))-'Adjustment Surface'!V$3)+INDEX($AO$4:$BH$23,MATCH(INDEX('Adjustment Surface'!$AN$4:$AN$23,MATCH(('Adjustment Surface'!$O22),'Adjustment Surface'!$AN$4:$AN$23,1)),$AN$4:$AN$23,0),MATCH(INDEX('Adjustment Surface'!$AO$3:$BH$3,1,MATCH(('Adjustment Surface'!V$3),'Adjustment Surface'!$AO$3:$BH$3,1)+IF('Adjustment Surface'!W$3="",-1,1)),$AO$3:$BH$3,0))*(INDEX('Adjustment Surface'!$AN$4:$AN$23,MATCH(('Adjustment Surface'!$O22),'Adjustment Surface'!$AN$4:$AN$23,1)+IF('Adjustment Surface'!$O23="",-1,1))-'Adjustment Surface'!$O22)*('Adjustment Surface'!V$3-INDEX('Adjustment Surface'!$AO$3:$BH$3,1,MATCH(('Adjustment Surface'!V$3),'Adjustment Surface'!$AO$3:$BH$3,1)))+INDEX($AO$4:$BH$23,MATCH(INDEX('Adjustment Surface'!$AN$4:$AN$23,MATCH(('Adjustment Surface'!$O22),'Adjustment Surface'!$AN$4:$AN$23,1)+IF('Adjustment Surface'!$O23="",-1,1)),$AN$4:$AN$23,0),MATCH(INDEX('Adjustment Surface'!$AO$3:$BH$3,1,MATCH(('Adjustment Surface'!V$3),'Adjustment Surface'!$AO$3:$BH$3,1)+IF('Adjustment Surface'!W$3="",-1,1)),$AO$3:$BH$3,0))*('Adjustment Surface'!$O22-INDEX('Adjustment Surface'!$AN$4:$AN$23,MATCH(('Adjustment Surface'!$O22),'Adjustment Surface'!$AN$4:$AN$23,1)))*('Adjustment Surface'!V$3-INDEX('Adjustment Surface'!$AO$3:$BH$3,1,MATCH(('Adjustment Surface'!V$3),'Adjustment Surface'!$AO$3:$BH$3,1)))))</f>
        <v/>
      </c>
      <c r="W22" s="181" t="str" cm="1">
        <f t="array" ref="W22">IF(OR(W$3="",$O22=""),"",1/((INDEX('Adjustment Surface'!$AN$4:$AN$23,MATCH(('Adjustment Surface'!$O22),'Adjustment Surface'!$AN$4:$AN$23,1)+IF('Adjustment Surface'!$O23="",-1,1))-INDEX('Adjustment Surface'!$AN$4:$AN$23,MATCH(('Adjustment Surface'!$O22),'Adjustment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Surface'!$O22),'Adjustment Surface'!$AN$4:$AN$23,1)),$AN$4:$AN$23,0),MATCH(INDEX('Adjustment Surface'!$AO$3:$BH$3,1,MATCH(('Adjustment Surface'!W$3),'Adjustment Surface'!$AO$3:$BH$3,1)),$AO$3:$BH$3,0))*(INDEX('Adjustment Surface'!$AN$4:$AN$23,MATCH(('Adjustment Surface'!$O22),'Adjustment Surface'!$AN$4:$AN$23,1)+IF('Adjustment Surface'!$O23="",-1,1))-'Adjustment Surface'!$O22)*(INDEX('Adjustment Surface'!$AO$3:$BH$3,1,MATCH(('Adjustment Surface'!W$3),'Adjustment Surface'!$AO$3:$BH$3,1)+IF('Adjustment Surface'!X$3="",-1,1))-'Adjustment Surface'!W$3)+INDEX($AO$4:$BH$23,MATCH(INDEX('Adjustment Surface'!$AN$4:$AN$23,MATCH(('Adjustment Surface'!$O22),'Adjustment Surface'!$AN$4:$AN$23,1)+IF('Adjustment Surface'!$O23="",-1,1)),$AN$4:$AN$23,0),MATCH(INDEX('Adjustment Surface'!$AO$3:$BH$3,1,MATCH(('Adjustment Surface'!W$3),'Adjustment Surface'!$AO$3:$BH$3,1)),$AO$3:$BH$3,0))*('Adjustment Surface'!$O22-INDEX('Adjustment Surface'!$AN$4:$AN$23,MATCH(('Adjustment Surface'!$O22),'Adjustment Surface'!$AN$4:$AN$23,1)))*(INDEX('Adjustment Surface'!$AO$3:$BH$3,1,MATCH(('Adjustment Surface'!W$3),'Adjustment Surface'!$AO$3:$BH$3,1)+IF('Adjustment Surface'!X$3="",-1,1))-'Adjustment Surface'!W$3)+INDEX($AO$4:$BH$23,MATCH(INDEX('Adjustment Surface'!$AN$4:$AN$23,MATCH(('Adjustment Surface'!$O22),'Adjustment Surface'!$AN$4:$AN$23,1)),$AN$4:$AN$23,0),MATCH(INDEX('Adjustment Surface'!$AO$3:$BH$3,1,MATCH(('Adjustment Surface'!W$3),'Adjustment Surface'!$AO$3:$BH$3,1)+IF('Adjustment Surface'!X$3="",-1,1)),$AO$3:$BH$3,0))*(INDEX('Adjustment Surface'!$AN$4:$AN$23,MATCH(('Adjustment Surface'!$O22),'Adjustment Surface'!$AN$4:$AN$23,1)+IF('Adjustment Surface'!$O23="",-1,1))-'Adjustment Surface'!$O22)*('Adjustment Surface'!W$3-INDEX('Adjustment Surface'!$AO$3:$BH$3,1,MATCH(('Adjustment Surface'!W$3),'Adjustment Surface'!$AO$3:$BH$3,1)))+INDEX($AO$4:$BH$23,MATCH(INDEX('Adjustment Surface'!$AN$4:$AN$23,MATCH(('Adjustment Surface'!$O22),'Adjustment Surface'!$AN$4:$AN$23,1)+IF('Adjustment Surface'!$O23="",-1,1)),$AN$4:$AN$23,0),MATCH(INDEX('Adjustment Surface'!$AO$3:$BH$3,1,MATCH(('Adjustment Surface'!W$3),'Adjustment Surface'!$AO$3:$BH$3,1)+IF('Adjustment Surface'!X$3="",-1,1)),$AO$3:$BH$3,0))*('Adjustment Surface'!$O22-INDEX('Adjustment Surface'!$AN$4:$AN$23,MATCH(('Adjustment Surface'!$O22),'Adjustment Surface'!$AN$4:$AN$23,1)))*('Adjustment Surface'!W$3-INDEX('Adjustment Surface'!$AO$3:$BH$3,1,MATCH(('Adjustment Surface'!W$3),'Adjustment Surface'!$AO$3:$BH$3,1)))))</f>
        <v/>
      </c>
      <c r="X22" s="181" t="str" cm="1">
        <f t="array" ref="X22">IF(OR(X$3="",$O22=""),"",1/((INDEX('Adjustment Surface'!$AN$4:$AN$23,MATCH(('Adjustment Surface'!$O22),'Adjustment Surface'!$AN$4:$AN$23,1)+IF('Adjustment Surface'!$O23="",-1,1))-INDEX('Adjustment Surface'!$AN$4:$AN$23,MATCH(('Adjustment Surface'!$O22),'Adjustment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Surface'!$O22),'Adjustment Surface'!$AN$4:$AN$23,1)),$AN$4:$AN$23,0),MATCH(INDEX('Adjustment Surface'!$AO$3:$BH$3,1,MATCH(('Adjustment Surface'!X$3),'Adjustment Surface'!$AO$3:$BH$3,1)),$AO$3:$BH$3,0))*(INDEX('Adjustment Surface'!$AN$4:$AN$23,MATCH(('Adjustment Surface'!$O22),'Adjustment Surface'!$AN$4:$AN$23,1)+IF('Adjustment Surface'!$O23="",-1,1))-'Adjustment Surface'!$O22)*(INDEX('Adjustment Surface'!$AO$3:$BH$3,1,MATCH(('Adjustment Surface'!X$3),'Adjustment Surface'!$AO$3:$BH$3,1)+IF('Adjustment Surface'!Y$3="",-1,1))-'Adjustment Surface'!X$3)+INDEX($AO$4:$BH$23,MATCH(INDEX('Adjustment Surface'!$AN$4:$AN$23,MATCH(('Adjustment Surface'!$O22),'Adjustment Surface'!$AN$4:$AN$23,1)+IF('Adjustment Surface'!$O23="",-1,1)),$AN$4:$AN$23,0),MATCH(INDEX('Adjustment Surface'!$AO$3:$BH$3,1,MATCH(('Adjustment Surface'!X$3),'Adjustment Surface'!$AO$3:$BH$3,1)),$AO$3:$BH$3,0))*('Adjustment Surface'!$O22-INDEX('Adjustment Surface'!$AN$4:$AN$23,MATCH(('Adjustment Surface'!$O22),'Adjustment Surface'!$AN$4:$AN$23,1)))*(INDEX('Adjustment Surface'!$AO$3:$BH$3,1,MATCH(('Adjustment Surface'!X$3),'Adjustment Surface'!$AO$3:$BH$3,1)+IF('Adjustment Surface'!Y$3="",-1,1))-'Adjustment Surface'!X$3)+INDEX($AO$4:$BH$23,MATCH(INDEX('Adjustment Surface'!$AN$4:$AN$23,MATCH(('Adjustment Surface'!$O22),'Adjustment Surface'!$AN$4:$AN$23,1)),$AN$4:$AN$23,0),MATCH(INDEX('Adjustment Surface'!$AO$3:$BH$3,1,MATCH(('Adjustment Surface'!X$3),'Adjustment Surface'!$AO$3:$BH$3,1)+IF('Adjustment Surface'!Y$3="",-1,1)),$AO$3:$BH$3,0))*(INDEX('Adjustment Surface'!$AN$4:$AN$23,MATCH(('Adjustment Surface'!$O22),'Adjustment Surface'!$AN$4:$AN$23,1)+IF('Adjustment Surface'!$O23="",-1,1))-'Adjustment Surface'!$O22)*('Adjustment Surface'!X$3-INDEX('Adjustment Surface'!$AO$3:$BH$3,1,MATCH(('Adjustment Surface'!X$3),'Adjustment Surface'!$AO$3:$BH$3,1)))+INDEX($AO$4:$BH$23,MATCH(INDEX('Adjustment Surface'!$AN$4:$AN$23,MATCH(('Adjustment Surface'!$O22),'Adjustment Surface'!$AN$4:$AN$23,1)+IF('Adjustment Surface'!$O23="",-1,1)),$AN$4:$AN$23,0),MATCH(INDEX('Adjustment Surface'!$AO$3:$BH$3,1,MATCH(('Adjustment Surface'!X$3),'Adjustment Surface'!$AO$3:$BH$3,1)+IF('Adjustment Surface'!Y$3="",-1,1)),$AO$3:$BH$3,0))*('Adjustment Surface'!$O22-INDEX('Adjustment Surface'!$AN$4:$AN$23,MATCH(('Adjustment Surface'!$O22),'Adjustment Surface'!$AN$4:$AN$23,1)))*('Adjustment Surface'!X$3-INDEX('Adjustment Surface'!$AO$3:$BH$3,1,MATCH(('Adjustment Surface'!X$3),'Adjustment Surface'!$AO$3:$BH$3,1)))))</f>
        <v/>
      </c>
      <c r="Y22" s="181" t="str" cm="1">
        <f t="array" ref="Y22">IF(OR(Y$3="",$O22=""),"",1/((INDEX('Adjustment Surface'!$AN$4:$AN$23,MATCH(('Adjustment Surface'!$O22),'Adjustment Surface'!$AN$4:$AN$23,1)+IF('Adjustment Surface'!$O23="",-1,1))-INDEX('Adjustment Surface'!$AN$4:$AN$23,MATCH(('Adjustment Surface'!$O22),'Adjustment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Surface'!$O22),'Adjustment Surface'!$AN$4:$AN$23,1)),$AN$4:$AN$23,0),MATCH(INDEX('Adjustment Surface'!$AO$3:$BH$3,1,MATCH(('Adjustment Surface'!Y$3),'Adjustment Surface'!$AO$3:$BH$3,1)),$AO$3:$BH$3,0))*(INDEX('Adjustment Surface'!$AN$4:$AN$23,MATCH(('Adjustment Surface'!$O22),'Adjustment Surface'!$AN$4:$AN$23,1)+IF('Adjustment Surface'!$O23="",-1,1))-'Adjustment Surface'!$O22)*(INDEX('Adjustment Surface'!$AO$3:$BH$3,1,MATCH(('Adjustment Surface'!Y$3),'Adjustment Surface'!$AO$3:$BH$3,1)+IF('Adjustment Surface'!Z$3="",-1,1))-'Adjustment Surface'!Y$3)+INDEX($AO$4:$BH$23,MATCH(INDEX('Adjustment Surface'!$AN$4:$AN$23,MATCH(('Adjustment Surface'!$O22),'Adjustment Surface'!$AN$4:$AN$23,1)+IF('Adjustment Surface'!$O23="",-1,1)),$AN$4:$AN$23,0),MATCH(INDEX('Adjustment Surface'!$AO$3:$BH$3,1,MATCH(('Adjustment Surface'!Y$3),'Adjustment Surface'!$AO$3:$BH$3,1)),$AO$3:$BH$3,0))*('Adjustment Surface'!$O22-INDEX('Adjustment Surface'!$AN$4:$AN$23,MATCH(('Adjustment Surface'!$O22),'Adjustment Surface'!$AN$4:$AN$23,1)))*(INDEX('Adjustment Surface'!$AO$3:$BH$3,1,MATCH(('Adjustment Surface'!Y$3),'Adjustment Surface'!$AO$3:$BH$3,1)+IF('Adjustment Surface'!Z$3="",-1,1))-'Adjustment Surface'!Y$3)+INDEX($AO$4:$BH$23,MATCH(INDEX('Adjustment Surface'!$AN$4:$AN$23,MATCH(('Adjustment Surface'!$O22),'Adjustment Surface'!$AN$4:$AN$23,1)),$AN$4:$AN$23,0),MATCH(INDEX('Adjustment Surface'!$AO$3:$BH$3,1,MATCH(('Adjustment Surface'!Y$3),'Adjustment Surface'!$AO$3:$BH$3,1)+IF('Adjustment Surface'!Z$3="",-1,1)),$AO$3:$BH$3,0))*(INDEX('Adjustment Surface'!$AN$4:$AN$23,MATCH(('Adjustment Surface'!$O22),'Adjustment Surface'!$AN$4:$AN$23,1)+IF('Adjustment Surface'!$O23="",-1,1))-'Adjustment Surface'!$O22)*('Adjustment Surface'!Y$3-INDEX('Adjustment Surface'!$AO$3:$BH$3,1,MATCH(('Adjustment Surface'!Y$3),'Adjustment Surface'!$AO$3:$BH$3,1)))+INDEX($AO$4:$BH$23,MATCH(INDEX('Adjustment Surface'!$AN$4:$AN$23,MATCH(('Adjustment Surface'!$O22),'Adjustment Surface'!$AN$4:$AN$23,1)+IF('Adjustment Surface'!$O23="",-1,1)),$AN$4:$AN$23,0),MATCH(INDEX('Adjustment Surface'!$AO$3:$BH$3,1,MATCH(('Adjustment Surface'!Y$3),'Adjustment Surface'!$AO$3:$BH$3,1)+IF('Adjustment Surface'!Z$3="",-1,1)),$AO$3:$BH$3,0))*('Adjustment Surface'!$O22-INDEX('Adjustment Surface'!$AN$4:$AN$23,MATCH(('Adjustment Surface'!$O22),'Adjustment Surface'!$AN$4:$AN$23,1)))*('Adjustment Surface'!Y$3-INDEX('Adjustment Surface'!$AO$3:$BH$3,1,MATCH(('Adjustment Surface'!Y$3),'Adjustment Surface'!$AO$3:$BH$3,1)))))</f>
        <v/>
      </c>
      <c r="Z22" s="181" t="str" cm="1">
        <f t="array" ref="Z22">IF(OR(Z$3="",$O22=""),"",1/((INDEX('Adjustment Surface'!$AN$4:$AN$23,MATCH(('Adjustment Surface'!$O22),'Adjustment Surface'!$AN$4:$AN$23,1)+IF('Adjustment Surface'!$O23="",-1,1))-INDEX('Adjustment Surface'!$AN$4:$AN$23,MATCH(('Adjustment Surface'!$O22),'Adjustment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Surface'!$O22),'Adjustment Surface'!$AN$4:$AN$23,1)),$AN$4:$AN$23,0),MATCH(INDEX('Adjustment Surface'!$AO$3:$BH$3,1,MATCH(('Adjustment Surface'!Z$3),'Adjustment Surface'!$AO$3:$BH$3,1)),$AO$3:$BH$3,0))*(INDEX('Adjustment Surface'!$AN$4:$AN$23,MATCH(('Adjustment Surface'!$O22),'Adjustment Surface'!$AN$4:$AN$23,1)+IF('Adjustment Surface'!$O23="",-1,1))-'Adjustment Surface'!$O22)*(INDEX('Adjustment Surface'!$AO$3:$BH$3,1,MATCH(('Adjustment Surface'!Z$3),'Adjustment Surface'!$AO$3:$BH$3,1)+IF('Adjustment Surface'!AA$3="",-1,1))-'Adjustment Surface'!Z$3)+INDEX($AO$4:$BH$23,MATCH(INDEX('Adjustment Surface'!$AN$4:$AN$23,MATCH(('Adjustment Surface'!$O22),'Adjustment Surface'!$AN$4:$AN$23,1)+IF('Adjustment Surface'!$O23="",-1,1)),$AN$4:$AN$23,0),MATCH(INDEX('Adjustment Surface'!$AO$3:$BH$3,1,MATCH(('Adjustment Surface'!Z$3),'Adjustment Surface'!$AO$3:$BH$3,1)),$AO$3:$BH$3,0))*('Adjustment Surface'!$O22-INDEX('Adjustment Surface'!$AN$4:$AN$23,MATCH(('Adjustment Surface'!$O22),'Adjustment Surface'!$AN$4:$AN$23,1)))*(INDEX('Adjustment Surface'!$AO$3:$BH$3,1,MATCH(('Adjustment Surface'!Z$3),'Adjustment Surface'!$AO$3:$BH$3,1)+IF('Adjustment Surface'!AA$3="",-1,1))-'Adjustment Surface'!Z$3)+INDEX($AO$4:$BH$23,MATCH(INDEX('Adjustment Surface'!$AN$4:$AN$23,MATCH(('Adjustment Surface'!$O22),'Adjustment Surface'!$AN$4:$AN$23,1)),$AN$4:$AN$23,0),MATCH(INDEX('Adjustment Surface'!$AO$3:$BH$3,1,MATCH(('Adjustment Surface'!Z$3),'Adjustment Surface'!$AO$3:$BH$3,1)+IF('Adjustment Surface'!AA$3="",-1,1)),$AO$3:$BH$3,0))*(INDEX('Adjustment Surface'!$AN$4:$AN$23,MATCH(('Adjustment Surface'!$O22),'Adjustment Surface'!$AN$4:$AN$23,1)+IF('Adjustment Surface'!$O23="",-1,1))-'Adjustment Surface'!$O22)*('Adjustment Surface'!Z$3-INDEX('Adjustment Surface'!$AO$3:$BH$3,1,MATCH(('Adjustment Surface'!Z$3),'Adjustment Surface'!$AO$3:$BH$3,1)))+INDEX($AO$4:$BH$23,MATCH(INDEX('Adjustment Surface'!$AN$4:$AN$23,MATCH(('Adjustment Surface'!$O22),'Adjustment Surface'!$AN$4:$AN$23,1)+IF('Adjustment Surface'!$O23="",-1,1)),$AN$4:$AN$23,0),MATCH(INDEX('Adjustment Surface'!$AO$3:$BH$3,1,MATCH(('Adjustment Surface'!Z$3),'Adjustment Surface'!$AO$3:$BH$3,1)+IF('Adjustment Surface'!AA$3="",-1,1)),$AO$3:$BH$3,0))*('Adjustment Surface'!$O22-INDEX('Adjustment Surface'!$AN$4:$AN$23,MATCH(('Adjustment Surface'!$O22),'Adjustment Surface'!$AN$4:$AN$23,1)))*('Adjustment Surface'!Z$3-INDEX('Adjustment Surface'!$AO$3:$BH$3,1,MATCH(('Adjustment Surface'!Z$3),'Adjustment Surface'!$AO$3:$BH$3,1)))))</f>
        <v/>
      </c>
      <c r="AA22" s="181" t="str" cm="1">
        <f t="array" ref="AA22">IF(OR(AA$3="",$O22=""),"",1/((INDEX('Adjustment Surface'!$AN$4:$AN$23,MATCH(('Adjustment Surface'!$O22),'Adjustment Surface'!$AN$4:$AN$23,1)+IF('Adjustment Surface'!$O23="",-1,1))-INDEX('Adjustment Surface'!$AN$4:$AN$23,MATCH(('Adjustment Surface'!$O22),'Adjustment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Surface'!$O22),'Adjustment Surface'!$AN$4:$AN$23,1)),$AN$4:$AN$23,0),MATCH(INDEX('Adjustment Surface'!$AO$3:$BH$3,1,MATCH(('Adjustment Surface'!AA$3),'Adjustment Surface'!$AO$3:$BH$3,1)),$AO$3:$BH$3,0))*(INDEX('Adjustment Surface'!$AN$4:$AN$23,MATCH(('Adjustment Surface'!$O22),'Adjustment Surface'!$AN$4:$AN$23,1)+IF('Adjustment Surface'!$O23="",-1,1))-'Adjustment Surface'!$O22)*(INDEX('Adjustment Surface'!$AO$3:$BH$3,1,MATCH(('Adjustment Surface'!AA$3),'Adjustment Surface'!$AO$3:$BH$3,1)+IF('Adjustment Surface'!AB$3="",-1,1))-'Adjustment Surface'!AA$3)+INDEX($AO$4:$BH$23,MATCH(INDEX('Adjustment Surface'!$AN$4:$AN$23,MATCH(('Adjustment Surface'!$O22),'Adjustment Surface'!$AN$4:$AN$23,1)+IF('Adjustment Surface'!$O23="",-1,1)),$AN$4:$AN$23,0),MATCH(INDEX('Adjustment Surface'!$AO$3:$BH$3,1,MATCH(('Adjustment Surface'!AA$3),'Adjustment Surface'!$AO$3:$BH$3,1)),$AO$3:$BH$3,0))*('Adjustment Surface'!$O22-INDEX('Adjustment Surface'!$AN$4:$AN$23,MATCH(('Adjustment Surface'!$O22),'Adjustment Surface'!$AN$4:$AN$23,1)))*(INDEX('Adjustment Surface'!$AO$3:$BH$3,1,MATCH(('Adjustment Surface'!AA$3),'Adjustment Surface'!$AO$3:$BH$3,1)+IF('Adjustment Surface'!AB$3="",-1,1))-'Adjustment Surface'!AA$3)+INDEX($AO$4:$BH$23,MATCH(INDEX('Adjustment Surface'!$AN$4:$AN$23,MATCH(('Adjustment Surface'!$O22),'Adjustment Surface'!$AN$4:$AN$23,1)),$AN$4:$AN$23,0),MATCH(INDEX('Adjustment Surface'!$AO$3:$BH$3,1,MATCH(('Adjustment Surface'!AA$3),'Adjustment Surface'!$AO$3:$BH$3,1)+IF('Adjustment Surface'!AB$3="",-1,1)),$AO$3:$BH$3,0))*(INDEX('Adjustment Surface'!$AN$4:$AN$23,MATCH(('Adjustment Surface'!$O22),'Adjustment Surface'!$AN$4:$AN$23,1)+IF('Adjustment Surface'!$O23="",-1,1))-'Adjustment Surface'!$O22)*('Adjustment Surface'!AA$3-INDEX('Adjustment Surface'!$AO$3:$BH$3,1,MATCH(('Adjustment Surface'!AA$3),'Adjustment Surface'!$AO$3:$BH$3,1)))+INDEX($AO$4:$BH$23,MATCH(INDEX('Adjustment Surface'!$AN$4:$AN$23,MATCH(('Adjustment Surface'!$O22),'Adjustment Surface'!$AN$4:$AN$23,1)+IF('Adjustment Surface'!$O23="",-1,1)),$AN$4:$AN$23,0),MATCH(INDEX('Adjustment Surface'!$AO$3:$BH$3,1,MATCH(('Adjustment Surface'!AA$3),'Adjustment Surface'!$AO$3:$BH$3,1)+IF('Adjustment Surface'!AB$3="",-1,1)),$AO$3:$BH$3,0))*('Adjustment Surface'!$O22-INDEX('Adjustment Surface'!$AN$4:$AN$23,MATCH(('Adjustment Surface'!$O22),'Adjustment Surface'!$AN$4:$AN$23,1)))*('Adjustment Surface'!AA$3-INDEX('Adjustment Surface'!$AO$3:$BH$3,1,MATCH(('Adjustment Surface'!AA$3),'Adjustment Surface'!$AO$3:$BH$3,1)))))</f>
        <v/>
      </c>
      <c r="AB22" s="181" t="str" cm="1">
        <f t="array" ref="AB22">IF(OR(AB$3="",$O22=""),"",1/((INDEX('Adjustment Surface'!$AN$4:$AN$23,MATCH(('Adjustment Surface'!$O22),'Adjustment Surface'!$AN$4:$AN$23,1)+IF('Adjustment Surface'!$O23="",-1,1))-INDEX('Adjustment Surface'!$AN$4:$AN$23,MATCH(('Adjustment Surface'!$O22),'Adjustment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Surface'!$O22),'Adjustment Surface'!$AN$4:$AN$23,1)),$AN$4:$AN$23,0),MATCH(INDEX('Adjustment Surface'!$AO$3:$BH$3,1,MATCH(('Adjustment Surface'!AB$3),'Adjustment Surface'!$AO$3:$BH$3,1)),$AO$3:$BH$3,0))*(INDEX('Adjustment Surface'!$AN$4:$AN$23,MATCH(('Adjustment Surface'!$O22),'Adjustment Surface'!$AN$4:$AN$23,1)+IF('Adjustment Surface'!$O23="",-1,1))-'Adjustment Surface'!$O22)*(INDEX('Adjustment Surface'!$AO$3:$BH$3,1,MATCH(('Adjustment Surface'!AB$3),'Adjustment Surface'!$AO$3:$BH$3,1)+IF('Adjustment Surface'!AC$3="",-1,1))-'Adjustment Surface'!AB$3)+INDEX($AO$4:$BH$23,MATCH(INDEX('Adjustment Surface'!$AN$4:$AN$23,MATCH(('Adjustment Surface'!$O22),'Adjustment Surface'!$AN$4:$AN$23,1)+IF('Adjustment Surface'!$O23="",-1,1)),$AN$4:$AN$23,0),MATCH(INDEX('Adjustment Surface'!$AO$3:$BH$3,1,MATCH(('Adjustment Surface'!AB$3),'Adjustment Surface'!$AO$3:$BH$3,1)),$AO$3:$BH$3,0))*('Adjustment Surface'!$O22-INDEX('Adjustment Surface'!$AN$4:$AN$23,MATCH(('Adjustment Surface'!$O22),'Adjustment Surface'!$AN$4:$AN$23,1)))*(INDEX('Adjustment Surface'!$AO$3:$BH$3,1,MATCH(('Adjustment Surface'!AB$3),'Adjustment Surface'!$AO$3:$BH$3,1)+IF('Adjustment Surface'!AC$3="",-1,1))-'Adjustment Surface'!AB$3)+INDEX($AO$4:$BH$23,MATCH(INDEX('Adjustment Surface'!$AN$4:$AN$23,MATCH(('Adjustment Surface'!$O22),'Adjustment Surface'!$AN$4:$AN$23,1)),$AN$4:$AN$23,0),MATCH(INDEX('Adjustment Surface'!$AO$3:$BH$3,1,MATCH(('Adjustment Surface'!AB$3),'Adjustment Surface'!$AO$3:$BH$3,1)+IF('Adjustment Surface'!AC$3="",-1,1)),$AO$3:$BH$3,0))*(INDEX('Adjustment Surface'!$AN$4:$AN$23,MATCH(('Adjustment Surface'!$O22),'Adjustment Surface'!$AN$4:$AN$23,1)+IF('Adjustment Surface'!$O23="",-1,1))-'Adjustment Surface'!$O22)*('Adjustment Surface'!AB$3-INDEX('Adjustment Surface'!$AO$3:$BH$3,1,MATCH(('Adjustment Surface'!AB$3),'Adjustment Surface'!$AO$3:$BH$3,1)))+INDEX($AO$4:$BH$23,MATCH(INDEX('Adjustment Surface'!$AN$4:$AN$23,MATCH(('Adjustment Surface'!$O22),'Adjustment Surface'!$AN$4:$AN$23,1)+IF('Adjustment Surface'!$O23="",-1,1)),$AN$4:$AN$23,0),MATCH(INDEX('Adjustment Surface'!$AO$3:$BH$3,1,MATCH(('Adjustment Surface'!AB$3),'Adjustment Surface'!$AO$3:$BH$3,1)+IF('Adjustment Surface'!AC$3="",-1,1)),$AO$3:$BH$3,0))*('Adjustment Surface'!$O22-INDEX('Adjustment Surface'!$AN$4:$AN$23,MATCH(('Adjustment Surface'!$O22),'Adjustment Surface'!$AN$4:$AN$23,1)))*('Adjustment Surface'!AB$3-INDEX('Adjustment Surface'!$AO$3:$BH$3,1,MATCH(('Adjustment Surface'!AB$3),'Adjustment Surface'!$AO$3:$BH$3,1)))))</f>
        <v/>
      </c>
      <c r="AC22" s="181" t="str" cm="1">
        <f t="array" ref="AC22">IF(OR(AC$3="",$O22=""),"",1/((INDEX('Adjustment Surface'!$AN$4:$AN$23,MATCH(('Adjustment Surface'!$O22),'Adjustment Surface'!$AN$4:$AN$23,1)+IF('Adjustment Surface'!$O23="",-1,1))-INDEX('Adjustment Surface'!$AN$4:$AN$23,MATCH(('Adjustment Surface'!$O22),'Adjustment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Surface'!$O22),'Adjustment Surface'!$AN$4:$AN$23,1)),$AN$4:$AN$23,0),MATCH(INDEX('Adjustment Surface'!$AO$3:$BH$3,1,MATCH(('Adjustment Surface'!AC$3),'Adjustment Surface'!$AO$3:$BH$3,1)),$AO$3:$BH$3,0))*(INDEX('Adjustment Surface'!$AN$4:$AN$23,MATCH(('Adjustment Surface'!$O22),'Adjustment Surface'!$AN$4:$AN$23,1)+IF('Adjustment Surface'!$O23="",-1,1))-'Adjustment Surface'!$O22)*(INDEX('Adjustment Surface'!$AO$3:$BH$3,1,MATCH(('Adjustment Surface'!AC$3),'Adjustment Surface'!$AO$3:$BH$3,1)+IF('Adjustment Surface'!AD$3="",-1,1))-'Adjustment Surface'!AC$3)+INDEX($AO$4:$BH$23,MATCH(INDEX('Adjustment Surface'!$AN$4:$AN$23,MATCH(('Adjustment Surface'!$O22),'Adjustment Surface'!$AN$4:$AN$23,1)+IF('Adjustment Surface'!$O23="",-1,1)),$AN$4:$AN$23,0),MATCH(INDEX('Adjustment Surface'!$AO$3:$BH$3,1,MATCH(('Adjustment Surface'!AC$3),'Adjustment Surface'!$AO$3:$BH$3,1)),$AO$3:$BH$3,0))*('Adjustment Surface'!$O22-INDEX('Adjustment Surface'!$AN$4:$AN$23,MATCH(('Adjustment Surface'!$O22),'Adjustment Surface'!$AN$4:$AN$23,1)))*(INDEX('Adjustment Surface'!$AO$3:$BH$3,1,MATCH(('Adjustment Surface'!AC$3),'Adjustment Surface'!$AO$3:$BH$3,1)+IF('Adjustment Surface'!AD$3="",-1,1))-'Adjustment Surface'!AC$3)+INDEX($AO$4:$BH$23,MATCH(INDEX('Adjustment Surface'!$AN$4:$AN$23,MATCH(('Adjustment Surface'!$O22),'Adjustment Surface'!$AN$4:$AN$23,1)),$AN$4:$AN$23,0),MATCH(INDEX('Adjustment Surface'!$AO$3:$BH$3,1,MATCH(('Adjustment Surface'!AC$3),'Adjustment Surface'!$AO$3:$BH$3,1)+IF('Adjustment Surface'!AD$3="",-1,1)),$AO$3:$BH$3,0))*(INDEX('Adjustment Surface'!$AN$4:$AN$23,MATCH(('Adjustment Surface'!$O22),'Adjustment Surface'!$AN$4:$AN$23,1)+IF('Adjustment Surface'!$O23="",-1,1))-'Adjustment Surface'!$O22)*('Adjustment Surface'!AC$3-INDEX('Adjustment Surface'!$AO$3:$BH$3,1,MATCH(('Adjustment Surface'!AC$3),'Adjustment Surface'!$AO$3:$BH$3,1)))+INDEX($AO$4:$BH$23,MATCH(INDEX('Adjustment Surface'!$AN$4:$AN$23,MATCH(('Adjustment Surface'!$O22),'Adjustment Surface'!$AN$4:$AN$23,1)+IF('Adjustment Surface'!$O23="",-1,1)),$AN$4:$AN$23,0),MATCH(INDEX('Adjustment Surface'!$AO$3:$BH$3,1,MATCH(('Adjustment Surface'!AC$3),'Adjustment Surface'!$AO$3:$BH$3,1)+IF('Adjustment Surface'!AD$3="",-1,1)),$AO$3:$BH$3,0))*('Adjustment Surface'!$O22-INDEX('Adjustment Surface'!$AN$4:$AN$23,MATCH(('Adjustment Surface'!$O22),'Adjustment Surface'!$AN$4:$AN$23,1)))*('Adjustment Surface'!AC$3-INDEX('Adjustment Surface'!$AO$3:$BH$3,1,MATCH(('Adjustment Surface'!AC$3),'Adjustment Surface'!$AO$3:$BH$3,1)))))</f>
        <v/>
      </c>
      <c r="AD22" s="181" t="str" cm="1">
        <f t="array" ref="AD22">IF(OR(AD$3="",$O22=""),"",1/((INDEX('Adjustment Surface'!$AN$4:$AN$23,MATCH(('Adjustment Surface'!$O22),'Adjustment Surface'!$AN$4:$AN$23,1)+IF('Adjustment Surface'!$O23="",-1,1))-INDEX('Adjustment Surface'!$AN$4:$AN$23,MATCH(('Adjustment Surface'!$O22),'Adjustment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Surface'!$O22),'Adjustment Surface'!$AN$4:$AN$23,1)),$AN$4:$AN$23,0),MATCH(INDEX('Adjustment Surface'!$AO$3:$BH$3,1,MATCH(('Adjustment Surface'!AD$3),'Adjustment Surface'!$AO$3:$BH$3,1)),$AO$3:$BH$3,0))*(INDEX('Adjustment Surface'!$AN$4:$AN$23,MATCH(('Adjustment Surface'!$O22),'Adjustment Surface'!$AN$4:$AN$23,1)+IF('Adjustment Surface'!$O23="",-1,1))-'Adjustment Surface'!$O22)*(INDEX('Adjustment Surface'!$AO$3:$BH$3,1,MATCH(('Adjustment Surface'!AD$3),'Adjustment Surface'!$AO$3:$BH$3,1)+IF('Adjustment Surface'!AE$3="",-1,1))-'Adjustment Surface'!AD$3)+INDEX($AO$4:$BH$23,MATCH(INDEX('Adjustment Surface'!$AN$4:$AN$23,MATCH(('Adjustment Surface'!$O22),'Adjustment Surface'!$AN$4:$AN$23,1)+IF('Adjustment Surface'!$O23="",-1,1)),$AN$4:$AN$23,0),MATCH(INDEX('Adjustment Surface'!$AO$3:$BH$3,1,MATCH(('Adjustment Surface'!AD$3),'Adjustment Surface'!$AO$3:$BH$3,1)),$AO$3:$BH$3,0))*('Adjustment Surface'!$O22-INDEX('Adjustment Surface'!$AN$4:$AN$23,MATCH(('Adjustment Surface'!$O22),'Adjustment Surface'!$AN$4:$AN$23,1)))*(INDEX('Adjustment Surface'!$AO$3:$BH$3,1,MATCH(('Adjustment Surface'!AD$3),'Adjustment Surface'!$AO$3:$BH$3,1)+IF('Adjustment Surface'!AE$3="",-1,1))-'Adjustment Surface'!AD$3)+INDEX($AO$4:$BH$23,MATCH(INDEX('Adjustment Surface'!$AN$4:$AN$23,MATCH(('Adjustment Surface'!$O22),'Adjustment Surface'!$AN$4:$AN$23,1)),$AN$4:$AN$23,0),MATCH(INDEX('Adjustment Surface'!$AO$3:$BH$3,1,MATCH(('Adjustment Surface'!AD$3),'Adjustment Surface'!$AO$3:$BH$3,1)+IF('Adjustment Surface'!AE$3="",-1,1)),$AO$3:$BH$3,0))*(INDEX('Adjustment Surface'!$AN$4:$AN$23,MATCH(('Adjustment Surface'!$O22),'Adjustment Surface'!$AN$4:$AN$23,1)+IF('Adjustment Surface'!$O23="",-1,1))-'Adjustment Surface'!$O22)*('Adjustment Surface'!AD$3-INDEX('Adjustment Surface'!$AO$3:$BH$3,1,MATCH(('Adjustment Surface'!AD$3),'Adjustment Surface'!$AO$3:$BH$3,1)))+INDEX($AO$4:$BH$23,MATCH(INDEX('Adjustment Surface'!$AN$4:$AN$23,MATCH(('Adjustment Surface'!$O22),'Adjustment Surface'!$AN$4:$AN$23,1)+IF('Adjustment Surface'!$O23="",-1,1)),$AN$4:$AN$23,0),MATCH(INDEX('Adjustment Surface'!$AO$3:$BH$3,1,MATCH(('Adjustment Surface'!AD$3),'Adjustment Surface'!$AO$3:$BH$3,1)+IF('Adjustment Surface'!AE$3="",-1,1)),$AO$3:$BH$3,0))*('Adjustment Surface'!$O22-INDEX('Adjustment Surface'!$AN$4:$AN$23,MATCH(('Adjustment Surface'!$O22),'Adjustment Surface'!$AN$4:$AN$23,1)))*('Adjustment Surface'!AD$3-INDEX('Adjustment Surface'!$AO$3:$BH$3,1,MATCH(('Adjustment Surface'!AD$3),'Adjustment Surface'!$AO$3:$BH$3,1)))))</f>
        <v/>
      </c>
      <c r="AE22" s="181" t="str" cm="1">
        <f t="array" ref="AE22">IF(OR(AE$3="",$O22=""),"",1/((INDEX('Adjustment Surface'!$AN$4:$AN$23,MATCH(('Adjustment Surface'!$O22),'Adjustment Surface'!$AN$4:$AN$23,1)+IF('Adjustment Surface'!$O23="",-1,1))-INDEX('Adjustment Surface'!$AN$4:$AN$23,MATCH(('Adjustment Surface'!$O22),'Adjustment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Surface'!$O22),'Adjustment Surface'!$AN$4:$AN$23,1)),$AN$4:$AN$23,0),MATCH(INDEX('Adjustment Surface'!$AO$3:$BH$3,1,MATCH(('Adjustment Surface'!AE$3),'Adjustment Surface'!$AO$3:$BH$3,1)),$AO$3:$BH$3,0))*(INDEX('Adjustment Surface'!$AN$4:$AN$23,MATCH(('Adjustment Surface'!$O22),'Adjustment Surface'!$AN$4:$AN$23,1)+IF('Adjustment Surface'!$O23="",-1,1))-'Adjustment Surface'!$O22)*(INDEX('Adjustment Surface'!$AO$3:$BH$3,1,MATCH(('Adjustment Surface'!AE$3),'Adjustment Surface'!$AO$3:$BH$3,1)+IF('Adjustment Surface'!AF$3="",-1,1))-'Adjustment Surface'!AE$3)+INDEX($AO$4:$BH$23,MATCH(INDEX('Adjustment Surface'!$AN$4:$AN$23,MATCH(('Adjustment Surface'!$O22),'Adjustment Surface'!$AN$4:$AN$23,1)+IF('Adjustment Surface'!$O23="",-1,1)),$AN$4:$AN$23,0),MATCH(INDEX('Adjustment Surface'!$AO$3:$BH$3,1,MATCH(('Adjustment Surface'!AE$3),'Adjustment Surface'!$AO$3:$BH$3,1)),$AO$3:$BH$3,0))*('Adjustment Surface'!$O22-INDEX('Adjustment Surface'!$AN$4:$AN$23,MATCH(('Adjustment Surface'!$O22),'Adjustment Surface'!$AN$4:$AN$23,1)))*(INDEX('Adjustment Surface'!$AO$3:$BH$3,1,MATCH(('Adjustment Surface'!AE$3),'Adjustment Surface'!$AO$3:$BH$3,1)+IF('Adjustment Surface'!AF$3="",-1,1))-'Adjustment Surface'!AE$3)+INDEX($AO$4:$BH$23,MATCH(INDEX('Adjustment Surface'!$AN$4:$AN$23,MATCH(('Adjustment Surface'!$O22),'Adjustment Surface'!$AN$4:$AN$23,1)),$AN$4:$AN$23,0),MATCH(INDEX('Adjustment Surface'!$AO$3:$BH$3,1,MATCH(('Adjustment Surface'!AE$3),'Adjustment Surface'!$AO$3:$BH$3,1)+IF('Adjustment Surface'!AF$3="",-1,1)),$AO$3:$BH$3,0))*(INDEX('Adjustment Surface'!$AN$4:$AN$23,MATCH(('Adjustment Surface'!$O22),'Adjustment Surface'!$AN$4:$AN$23,1)+IF('Adjustment Surface'!$O23="",-1,1))-'Adjustment Surface'!$O22)*('Adjustment Surface'!AE$3-INDEX('Adjustment Surface'!$AO$3:$BH$3,1,MATCH(('Adjustment Surface'!AE$3),'Adjustment Surface'!$AO$3:$BH$3,1)))+INDEX($AO$4:$BH$23,MATCH(INDEX('Adjustment Surface'!$AN$4:$AN$23,MATCH(('Adjustment Surface'!$O22),'Adjustment Surface'!$AN$4:$AN$23,1)+IF('Adjustment Surface'!$O23="",-1,1)),$AN$4:$AN$23,0),MATCH(INDEX('Adjustment Surface'!$AO$3:$BH$3,1,MATCH(('Adjustment Surface'!AE$3),'Adjustment Surface'!$AO$3:$BH$3,1)+IF('Adjustment Surface'!AF$3="",-1,1)),$AO$3:$BH$3,0))*('Adjustment Surface'!$O22-INDEX('Adjustment Surface'!$AN$4:$AN$23,MATCH(('Adjustment Surface'!$O22),'Adjustment Surface'!$AN$4:$AN$23,1)))*('Adjustment Surface'!AE$3-INDEX('Adjustment Surface'!$AO$3:$BH$3,1,MATCH(('Adjustment Surface'!AE$3),'Adjustment Surface'!$AO$3:$BH$3,1)))))</f>
        <v/>
      </c>
      <c r="AF22" s="181" t="str" cm="1">
        <f t="array" ref="AF22">IF(OR(AF$3="",$O22=""),"",1/((INDEX('Adjustment Surface'!$AN$4:$AN$23,MATCH(('Adjustment Surface'!$O22),'Adjustment Surface'!$AN$4:$AN$23,1)+IF('Adjustment Surface'!$O23="",-1,1))-INDEX('Adjustment Surface'!$AN$4:$AN$23,MATCH(('Adjustment Surface'!$O22),'Adjustment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Surface'!$O22),'Adjustment Surface'!$AN$4:$AN$23,1)),$AN$4:$AN$23,0),MATCH(INDEX('Adjustment Surface'!$AO$3:$BH$3,1,MATCH(('Adjustment Surface'!AF$3),'Adjustment Surface'!$AO$3:$BH$3,1)),$AO$3:$BH$3,0))*(INDEX('Adjustment Surface'!$AN$4:$AN$23,MATCH(('Adjustment Surface'!$O22),'Adjustment Surface'!$AN$4:$AN$23,1)+IF('Adjustment Surface'!$O23="",-1,1))-'Adjustment Surface'!$O22)*(INDEX('Adjustment Surface'!$AO$3:$BH$3,1,MATCH(('Adjustment Surface'!AF$3),'Adjustment Surface'!$AO$3:$BH$3,1)+IF('Adjustment Surface'!AG$3="",-1,1))-'Adjustment Surface'!AF$3)+INDEX($AO$4:$BH$23,MATCH(INDEX('Adjustment Surface'!$AN$4:$AN$23,MATCH(('Adjustment Surface'!$O22),'Adjustment Surface'!$AN$4:$AN$23,1)+IF('Adjustment Surface'!$O23="",-1,1)),$AN$4:$AN$23,0),MATCH(INDEX('Adjustment Surface'!$AO$3:$BH$3,1,MATCH(('Adjustment Surface'!AF$3),'Adjustment Surface'!$AO$3:$BH$3,1)),$AO$3:$BH$3,0))*('Adjustment Surface'!$O22-INDEX('Adjustment Surface'!$AN$4:$AN$23,MATCH(('Adjustment Surface'!$O22),'Adjustment Surface'!$AN$4:$AN$23,1)))*(INDEX('Adjustment Surface'!$AO$3:$BH$3,1,MATCH(('Adjustment Surface'!AF$3),'Adjustment Surface'!$AO$3:$BH$3,1)+IF('Adjustment Surface'!AG$3="",-1,1))-'Adjustment Surface'!AF$3)+INDEX($AO$4:$BH$23,MATCH(INDEX('Adjustment Surface'!$AN$4:$AN$23,MATCH(('Adjustment Surface'!$O22),'Adjustment Surface'!$AN$4:$AN$23,1)),$AN$4:$AN$23,0),MATCH(INDEX('Adjustment Surface'!$AO$3:$BH$3,1,MATCH(('Adjustment Surface'!AF$3),'Adjustment Surface'!$AO$3:$BH$3,1)+IF('Adjustment Surface'!AG$3="",-1,1)),$AO$3:$BH$3,0))*(INDEX('Adjustment Surface'!$AN$4:$AN$23,MATCH(('Adjustment Surface'!$O22),'Adjustment Surface'!$AN$4:$AN$23,1)+IF('Adjustment Surface'!$O23="",-1,1))-'Adjustment Surface'!$O22)*('Adjustment Surface'!AF$3-INDEX('Adjustment Surface'!$AO$3:$BH$3,1,MATCH(('Adjustment Surface'!AF$3),'Adjustment Surface'!$AO$3:$BH$3,1)))+INDEX($AO$4:$BH$23,MATCH(INDEX('Adjustment Surface'!$AN$4:$AN$23,MATCH(('Adjustment Surface'!$O22),'Adjustment Surface'!$AN$4:$AN$23,1)+IF('Adjustment Surface'!$O23="",-1,1)),$AN$4:$AN$23,0),MATCH(INDEX('Adjustment Surface'!$AO$3:$BH$3,1,MATCH(('Adjustment Surface'!AF$3),'Adjustment Surface'!$AO$3:$BH$3,1)+IF('Adjustment Surface'!AG$3="",-1,1)),$AO$3:$BH$3,0))*('Adjustment Surface'!$O22-INDEX('Adjustment Surface'!$AN$4:$AN$23,MATCH(('Adjustment Surface'!$O22),'Adjustment Surface'!$AN$4:$AN$23,1)))*('Adjustment Surface'!AF$3-INDEX('Adjustment Surface'!$AO$3:$BH$3,1,MATCH(('Adjustment Surface'!AF$3),'Adjustment Surface'!$AO$3:$BH$3,1)))))</f>
        <v/>
      </c>
      <c r="AG22" s="181" t="str" cm="1">
        <f t="array" ref="AG22">IF(OR(AG$3="",$O22=""),"",1/((INDEX('Adjustment Surface'!$AN$4:$AN$23,MATCH(('Adjustment Surface'!$O22),'Adjustment Surface'!$AN$4:$AN$23,1)+IF('Adjustment Surface'!$O23="",-1,1))-INDEX('Adjustment Surface'!$AN$4:$AN$23,MATCH(('Adjustment Surface'!$O22),'Adjustment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Surface'!$O22),'Adjustment Surface'!$AN$4:$AN$23,1)),$AN$4:$AN$23,0),MATCH(INDEX('Adjustment Surface'!$AO$3:$BH$3,1,MATCH(('Adjustment Surface'!AG$3),'Adjustment Surface'!$AO$3:$BH$3,1)),$AO$3:$BH$3,0))*(INDEX('Adjustment Surface'!$AN$4:$AN$23,MATCH(('Adjustment Surface'!$O22),'Adjustment Surface'!$AN$4:$AN$23,1)+IF('Adjustment Surface'!$O23="",-1,1))-'Adjustment Surface'!$O22)*(INDEX('Adjustment Surface'!$AO$3:$BH$3,1,MATCH(('Adjustment Surface'!AG$3),'Adjustment Surface'!$AO$3:$BH$3,1)+IF('Adjustment Surface'!AH$3="",-1,1))-'Adjustment Surface'!AG$3)+INDEX($AO$4:$BH$23,MATCH(INDEX('Adjustment Surface'!$AN$4:$AN$23,MATCH(('Adjustment Surface'!$O22),'Adjustment Surface'!$AN$4:$AN$23,1)+IF('Adjustment Surface'!$O23="",-1,1)),$AN$4:$AN$23,0),MATCH(INDEX('Adjustment Surface'!$AO$3:$BH$3,1,MATCH(('Adjustment Surface'!AG$3),'Adjustment Surface'!$AO$3:$BH$3,1)),$AO$3:$BH$3,0))*('Adjustment Surface'!$O22-INDEX('Adjustment Surface'!$AN$4:$AN$23,MATCH(('Adjustment Surface'!$O22),'Adjustment Surface'!$AN$4:$AN$23,1)))*(INDEX('Adjustment Surface'!$AO$3:$BH$3,1,MATCH(('Adjustment Surface'!AG$3),'Adjustment Surface'!$AO$3:$BH$3,1)+IF('Adjustment Surface'!AH$3="",-1,1))-'Adjustment Surface'!AG$3)+INDEX($AO$4:$BH$23,MATCH(INDEX('Adjustment Surface'!$AN$4:$AN$23,MATCH(('Adjustment Surface'!$O22),'Adjustment Surface'!$AN$4:$AN$23,1)),$AN$4:$AN$23,0),MATCH(INDEX('Adjustment Surface'!$AO$3:$BH$3,1,MATCH(('Adjustment Surface'!AG$3),'Adjustment Surface'!$AO$3:$BH$3,1)+IF('Adjustment Surface'!AH$3="",-1,1)),$AO$3:$BH$3,0))*(INDEX('Adjustment Surface'!$AN$4:$AN$23,MATCH(('Adjustment Surface'!$O22),'Adjustment Surface'!$AN$4:$AN$23,1)+IF('Adjustment Surface'!$O23="",-1,1))-'Adjustment Surface'!$O22)*('Adjustment Surface'!AG$3-INDEX('Adjustment Surface'!$AO$3:$BH$3,1,MATCH(('Adjustment Surface'!AG$3),'Adjustment Surface'!$AO$3:$BH$3,1)))+INDEX($AO$4:$BH$23,MATCH(INDEX('Adjustment Surface'!$AN$4:$AN$23,MATCH(('Adjustment Surface'!$O22),'Adjustment Surface'!$AN$4:$AN$23,1)+IF('Adjustment Surface'!$O23="",-1,1)),$AN$4:$AN$23,0),MATCH(INDEX('Adjustment Surface'!$AO$3:$BH$3,1,MATCH(('Adjustment Surface'!AG$3),'Adjustment Surface'!$AO$3:$BH$3,1)+IF('Adjustment Surface'!AH$3="",-1,1)),$AO$3:$BH$3,0))*('Adjustment Surface'!$O22-INDEX('Adjustment Surface'!$AN$4:$AN$23,MATCH(('Adjustment Surface'!$O22),'Adjustment Surface'!$AN$4:$AN$23,1)))*('Adjustment Surface'!AG$3-INDEX('Adjustment Surface'!$AO$3:$BH$3,1,MATCH(('Adjustment Surface'!AG$3),'Adjustment Surface'!$AO$3:$BH$3,1)))))</f>
        <v/>
      </c>
      <c r="AH22" s="181" t="str" cm="1">
        <f t="array" ref="AH22">IF(OR(AH$3="",$O22=""),"",1/((INDEX('Adjustment Surface'!$AN$4:$AN$23,MATCH(('Adjustment Surface'!$O22),'Adjustment Surface'!$AN$4:$AN$23,1)+IF('Adjustment Surface'!$O23="",-1,1))-INDEX('Adjustment Surface'!$AN$4:$AN$23,MATCH(('Adjustment Surface'!$O22),'Adjustment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Surface'!$O22),'Adjustment Surface'!$AN$4:$AN$23,1)),$AN$4:$AN$23,0),MATCH(INDEX('Adjustment Surface'!$AO$3:$BH$3,1,MATCH(('Adjustment Surface'!AH$3),'Adjustment Surface'!$AO$3:$BH$3,1)),$AO$3:$BH$3,0))*(INDEX('Adjustment Surface'!$AN$4:$AN$23,MATCH(('Adjustment Surface'!$O22),'Adjustment Surface'!$AN$4:$AN$23,1)+IF('Adjustment Surface'!$O23="",-1,1))-'Adjustment Surface'!$O22)*(INDEX('Adjustment Surface'!$AO$3:$BH$3,1,MATCH(('Adjustment Surface'!AH$3),'Adjustment Surface'!$AO$3:$BH$3,1)+IF('Adjustment Surface'!AI$3="",-1,1))-'Adjustment Surface'!AH$3)+INDEX($AO$4:$BH$23,MATCH(INDEX('Adjustment Surface'!$AN$4:$AN$23,MATCH(('Adjustment Surface'!$O22),'Adjustment Surface'!$AN$4:$AN$23,1)+IF('Adjustment Surface'!$O23="",-1,1)),$AN$4:$AN$23,0),MATCH(INDEX('Adjustment Surface'!$AO$3:$BH$3,1,MATCH(('Adjustment Surface'!AH$3),'Adjustment Surface'!$AO$3:$BH$3,1)),$AO$3:$BH$3,0))*('Adjustment Surface'!$O22-INDEX('Adjustment Surface'!$AN$4:$AN$23,MATCH(('Adjustment Surface'!$O22),'Adjustment Surface'!$AN$4:$AN$23,1)))*(INDEX('Adjustment Surface'!$AO$3:$BH$3,1,MATCH(('Adjustment Surface'!AH$3),'Adjustment Surface'!$AO$3:$BH$3,1)+IF('Adjustment Surface'!AI$3="",-1,1))-'Adjustment Surface'!AH$3)+INDEX($AO$4:$BH$23,MATCH(INDEX('Adjustment Surface'!$AN$4:$AN$23,MATCH(('Adjustment Surface'!$O22),'Adjustment Surface'!$AN$4:$AN$23,1)),$AN$4:$AN$23,0),MATCH(INDEX('Adjustment Surface'!$AO$3:$BH$3,1,MATCH(('Adjustment Surface'!AH$3),'Adjustment Surface'!$AO$3:$BH$3,1)+IF('Adjustment Surface'!AI$3="",-1,1)),$AO$3:$BH$3,0))*(INDEX('Adjustment Surface'!$AN$4:$AN$23,MATCH(('Adjustment Surface'!$O22),'Adjustment Surface'!$AN$4:$AN$23,1)+IF('Adjustment Surface'!$O23="",-1,1))-'Adjustment Surface'!$O22)*('Adjustment Surface'!AH$3-INDEX('Adjustment Surface'!$AO$3:$BH$3,1,MATCH(('Adjustment Surface'!AH$3),'Adjustment Surface'!$AO$3:$BH$3,1)))+INDEX($AO$4:$BH$23,MATCH(INDEX('Adjustment Surface'!$AN$4:$AN$23,MATCH(('Adjustment Surface'!$O22),'Adjustment Surface'!$AN$4:$AN$23,1)+IF('Adjustment Surface'!$O23="",-1,1)),$AN$4:$AN$23,0),MATCH(INDEX('Adjustment Surface'!$AO$3:$BH$3,1,MATCH(('Adjustment Surface'!AH$3),'Adjustment Surface'!$AO$3:$BH$3,1)+IF('Adjustment Surface'!AI$3="",-1,1)),$AO$3:$BH$3,0))*('Adjustment Surface'!$O22-INDEX('Adjustment Surface'!$AN$4:$AN$23,MATCH(('Adjustment Surface'!$O22),'Adjustment Surface'!$AN$4:$AN$23,1)))*('Adjustment Surface'!AH$3-INDEX('Adjustment Surface'!$AO$3:$BH$3,1,MATCH(('Adjustment Surface'!AH$3),'Adjustment Surface'!$AO$3:$BH$3,1)))))</f>
        <v/>
      </c>
      <c r="AI22" s="182" t="str" cm="1">
        <f t="array" ref="AI22">IF(OR(AI$3="",$O22=""),"",1/((INDEX('Adjustment Surface'!$AN$4:$AN$23,MATCH(('Adjustment Surface'!$O22),'Adjustment Surface'!$AN$4:$AN$23,1)+IF('Adjustment Surface'!$O23="",-1,1))-INDEX('Adjustment Surface'!$AN$4:$AN$23,MATCH(('Adjustment Surface'!$O22),'Adjustment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Surface'!$O22),'Adjustment Surface'!$AN$4:$AN$23,1)),$AN$4:$AN$23,0),MATCH(INDEX('Adjustment Surface'!$AO$3:$BH$3,1,MATCH(('Adjustment Surface'!AI$3),'Adjustment Surface'!$AO$3:$BH$3,1)),$AO$3:$BH$3,0))*(INDEX('Adjustment Surface'!$AN$4:$AN$23,MATCH(('Adjustment Surface'!$O22),'Adjustment Surface'!$AN$4:$AN$23,1)+IF('Adjustment Surface'!$O23="",-1,1))-'Adjustment Surface'!$O22)*(INDEX('Adjustment Surface'!$AO$3:$BH$3,1,MATCH(('Adjustment Surface'!AI$3),'Adjustment Surface'!$AO$3:$BH$3,1)+IF('Adjustment Surface'!AJ$3="",-1,1))-'Adjustment Surface'!AI$3)+INDEX($AO$4:$BH$23,MATCH(INDEX('Adjustment Surface'!$AN$4:$AN$23,MATCH(('Adjustment Surface'!$O22),'Adjustment Surface'!$AN$4:$AN$23,1)+IF('Adjustment Surface'!$O23="",-1,1)),$AN$4:$AN$23,0),MATCH(INDEX('Adjustment Surface'!$AO$3:$BH$3,1,MATCH(('Adjustment Surface'!AI$3),'Adjustment Surface'!$AO$3:$BH$3,1)),$AO$3:$BH$3,0))*('Adjustment Surface'!$O22-INDEX('Adjustment Surface'!$AN$4:$AN$23,MATCH(('Adjustment Surface'!$O22),'Adjustment Surface'!$AN$4:$AN$23,1)))*(INDEX('Adjustment Surface'!$AO$3:$BH$3,1,MATCH(('Adjustment Surface'!AI$3),'Adjustment Surface'!$AO$3:$BH$3,1)+IF('Adjustment Surface'!AJ$3="",-1,1))-'Adjustment Surface'!AI$3)+INDEX($AO$4:$BH$23,MATCH(INDEX('Adjustment Surface'!$AN$4:$AN$23,MATCH(('Adjustment Surface'!$O22),'Adjustment Surface'!$AN$4:$AN$23,1)),$AN$4:$AN$23,0),MATCH(INDEX('Adjustment Surface'!$AO$3:$BH$3,1,MATCH(('Adjustment Surface'!AI$3),'Adjustment Surface'!$AO$3:$BH$3,1)+IF('Adjustment Surface'!AJ$3="",-1,1)),$AO$3:$BH$3,0))*(INDEX('Adjustment Surface'!$AN$4:$AN$23,MATCH(('Adjustment Surface'!$O22),'Adjustment Surface'!$AN$4:$AN$23,1)+IF('Adjustment Surface'!$O23="",-1,1))-'Adjustment Surface'!$O22)*('Adjustment Surface'!AI$3-INDEX('Adjustment Surface'!$AO$3:$BH$3,1,MATCH(('Adjustment Surface'!AI$3),'Adjustment Surface'!$AO$3:$BH$3,1)))+INDEX($AO$4:$BH$23,MATCH(INDEX('Adjustment Surface'!$AN$4:$AN$23,MATCH(('Adjustment Surface'!$O22),'Adjustment Surface'!$AN$4:$AN$23,1)+IF('Adjustment Surface'!$O23="",-1,1)),$AN$4:$AN$23,0),MATCH(INDEX('Adjustment Surface'!$AO$3:$BH$3,1,MATCH(('Adjustment Surface'!AI$3),'Adjustment Surface'!$AO$3:$BH$3,1)+IF('Adjustment Surface'!AJ$3="",-1,1)),$AO$3:$BH$3,0))*('Adjustment Surface'!$O22-INDEX('Adjustment Surface'!$AN$4:$AN$23,MATCH(('Adjustment Surface'!$O22),'Adjustment Surface'!$AN$4:$AN$23,1)))*('Adjustment Surface'!AI$3-INDEX('Adjustment Surface'!$AO$3:$BH$3,1,MATCH(('Adjustment Surface'!AI$3),'Adjustment Surface'!$AO$3:$BH$3,1)))))</f>
        <v/>
      </c>
      <c r="AK22" s="203" t="str">
        <f>IF(OR(AK21=IF('Adjustment Surface'!$C$2='Data Validation'!$A$2,_xlfn.FLOOR.MATH(MAX('Bank Adjustments'!$C$4:$C$103),0.5%,2),IF('Adjustment Surface'!$C$2='Data Validation'!$A$3,_xlfn.FLOOR.MATH(MAX('Bank Adjustments'!$M$4:$M$103),0.5%,2),"Uknown Option Type")),AK21=""),"",AK21+0.5%)</f>
        <v/>
      </c>
      <c r="AL22" s="204"/>
      <c r="AN22" s="176"/>
      <c r="AO22" s="180" t="str" cm="1">
        <f t="array" ref="AO22">IF(OR(AO$3="",$AN22=""),"",INDEX(IF($C$2='Data Validation'!$A$2,'Bank Adjustments'!$H$4:$H$103,IF('Adjustment Surface'!$C$2='Data Validation'!$A$3,'Bank Adjustments'!$R$4:$R$103,"Unknown Option Type")),MATCH(1,($AN22=IF($C$2='Data Validation'!$A$2,'Bank Adjustments'!$C$4:$C$103,IF('Adjustment Surface'!$C$2='Data Validation'!$A$3,'Bank Adjustments'!$M$4:$M$103,"Unknown Option Type")))*(AO$3=IF($C$2='Data Validation'!$A$2,'Bank Adjustments'!$E$4:$E$103,IF('Adjustment Surface'!$C$2='Data Validation'!$A$3,'Bank Adjustments'!$O$4:$O$103,"Unknown Option Type"))),0)))</f>
        <v/>
      </c>
      <c r="AP22" s="181" t="str" cm="1">
        <f t="array" ref="AP22">IF(OR(AP$3="",$AN22=""),"",INDEX(IF($C$2='Data Validation'!$A$2,'Bank Adjustments'!$H$4:$H$103,IF('Adjustment Surface'!$C$2='Data Validation'!$A$3,'Bank Adjustments'!$R$4:$R$103,"Unknown Option Type")),MATCH(1,($AN22=IF($C$2='Data Validation'!$A$2,'Bank Adjustments'!$C$4:$C$103,IF('Adjustment Surface'!$C$2='Data Validation'!$A$3,'Bank Adjustments'!$M$4:$M$103,"Unknown Option Type")))*(AP$3=IF($C$2='Data Validation'!$A$2,'Bank Adjustments'!$E$4:$E$103,IF('Adjustment Surface'!$C$2='Data Validation'!$A$3,'Bank Adjustments'!$O$4:$O$103,"Unknown Option Type"))),0)))</f>
        <v/>
      </c>
      <c r="AQ22" s="181" t="str" cm="1">
        <f t="array" ref="AQ22">IF(OR(AQ$3="",$AN22=""),"",INDEX(IF($C$2='Data Validation'!$A$2,'Bank Adjustments'!$H$4:$H$103,IF('Adjustment Surface'!$C$2='Data Validation'!$A$3,'Bank Adjustments'!$R$4:$R$103,"Unknown Option Type")),MATCH(1,($AN22=IF($C$2='Data Validation'!$A$2,'Bank Adjustments'!$C$4:$C$103,IF('Adjustment Surface'!$C$2='Data Validation'!$A$3,'Bank Adjustments'!$M$4:$M$103,"Unknown Option Type")))*(AQ$3=IF($C$2='Data Validation'!$A$2,'Bank Adjustments'!$E$4:$E$103,IF('Adjustment Surface'!$C$2='Data Validation'!$A$3,'Bank Adjustments'!$O$4:$O$103,"Unknown Option Type"))),0)))</f>
        <v/>
      </c>
      <c r="AR22" s="181" t="str" cm="1">
        <f t="array" ref="AR22">IF(OR(AR$3="",$AN22=""),"",INDEX(IF($C$2='Data Validation'!$A$2,'Bank Adjustments'!$H$4:$H$103,IF('Adjustment Surface'!$C$2='Data Validation'!$A$3,'Bank Adjustments'!$R$4:$R$103,"Unknown Option Type")),MATCH(1,($AN22=IF($C$2='Data Validation'!$A$2,'Bank Adjustments'!$C$4:$C$103,IF('Adjustment Surface'!$C$2='Data Validation'!$A$3,'Bank Adjustments'!$M$4:$M$103,"Unknown Option Type")))*(AR$3=IF($C$2='Data Validation'!$A$2,'Bank Adjustments'!$E$4:$E$103,IF('Adjustment Surface'!$C$2='Data Validation'!$A$3,'Bank Adjustments'!$O$4:$O$103,"Unknown Option Type"))),0)))</f>
        <v/>
      </c>
      <c r="AS22" s="181" t="str" cm="1">
        <f t="array" ref="AS22">IF(OR(AS$3="",$AN22=""),"",INDEX(IF($C$2='Data Validation'!$A$2,'Bank Adjustments'!$H$4:$H$103,IF('Adjustment Surface'!$C$2='Data Validation'!$A$3,'Bank Adjustments'!$R$4:$R$103,"Unknown Option Type")),MATCH(1,($AN22=IF($C$2='Data Validation'!$A$2,'Bank Adjustments'!$C$4:$C$103,IF('Adjustment Surface'!$C$2='Data Validation'!$A$3,'Bank Adjustments'!$M$4:$M$103,"Unknown Option Type")))*(AS$3=IF($C$2='Data Validation'!$A$2,'Bank Adjustments'!$E$4:$E$103,IF('Adjustment Surface'!$C$2='Data Validation'!$A$3,'Bank Adjustments'!$O$4:$O$103,"Unknown Option Type"))),0)))</f>
        <v/>
      </c>
      <c r="AT22" s="181" t="str" cm="1">
        <f t="array" ref="AT22">IF(OR(AT$3="",$AN22=""),"",INDEX(IF($C$2='Data Validation'!$A$2,'Bank Adjustments'!$H$4:$H$103,IF('Adjustment Surface'!$C$2='Data Validation'!$A$3,'Bank Adjustments'!$R$4:$R$103,"Unknown Option Type")),MATCH(1,($AN22=IF($C$2='Data Validation'!$A$2,'Bank Adjustments'!$C$4:$C$103,IF('Adjustment Surface'!$C$2='Data Validation'!$A$3,'Bank Adjustments'!$M$4:$M$103,"Unknown Option Type")))*(AT$3=IF($C$2='Data Validation'!$A$2,'Bank Adjustments'!$E$4:$E$103,IF('Adjustment Surface'!$C$2='Data Validation'!$A$3,'Bank Adjustments'!$O$4:$O$103,"Unknown Option Type"))),0)))</f>
        <v/>
      </c>
      <c r="AU22" s="181" t="str" cm="1">
        <f t="array" ref="AU22">IF(OR(AU$3="",$AN22=""),"",INDEX(IF($C$2='Data Validation'!$A$2,'Bank Adjustments'!$H$4:$H$103,IF('Adjustment Surface'!$C$2='Data Validation'!$A$3,'Bank Adjustments'!$R$4:$R$103,"Unknown Option Type")),MATCH(1,($AN22=IF($C$2='Data Validation'!$A$2,'Bank Adjustments'!$C$4:$C$103,IF('Adjustment Surface'!$C$2='Data Validation'!$A$3,'Bank Adjustments'!$M$4:$M$103,"Unknown Option Type")))*(AU$3=IF($C$2='Data Validation'!$A$2,'Bank Adjustments'!$E$4:$E$103,IF('Adjustment Surface'!$C$2='Data Validation'!$A$3,'Bank Adjustments'!$O$4:$O$103,"Unknown Option Type"))),0)))</f>
        <v/>
      </c>
      <c r="AV22" s="181" t="str" cm="1">
        <f t="array" ref="AV22">IF(OR(AV$3="",$AN22=""),"",INDEX(IF($C$2='Data Validation'!$A$2,'Bank Adjustments'!$H$4:$H$103,IF('Adjustment Surface'!$C$2='Data Validation'!$A$3,'Bank Adjustments'!$R$4:$R$103,"Unknown Option Type")),MATCH(1,($AN22=IF($C$2='Data Validation'!$A$2,'Bank Adjustments'!$C$4:$C$103,IF('Adjustment Surface'!$C$2='Data Validation'!$A$3,'Bank Adjustments'!$M$4:$M$103,"Unknown Option Type")))*(AV$3=IF($C$2='Data Validation'!$A$2,'Bank Adjustments'!$E$4:$E$103,IF('Adjustment Surface'!$C$2='Data Validation'!$A$3,'Bank Adjustments'!$O$4:$O$103,"Unknown Option Type"))),0)))</f>
        <v/>
      </c>
      <c r="AW22" s="181" t="str" cm="1">
        <f t="array" ref="AW22">IF(OR(AW$3="",$AN22=""),"",INDEX(IF($C$2='Data Validation'!$A$2,'Bank Adjustments'!$H$4:$H$103,IF('Adjustment Surface'!$C$2='Data Validation'!$A$3,'Bank Adjustments'!$R$4:$R$103,"Unknown Option Type")),MATCH(1,($AN22=IF($C$2='Data Validation'!$A$2,'Bank Adjustments'!$C$4:$C$103,IF('Adjustment Surface'!$C$2='Data Validation'!$A$3,'Bank Adjustments'!$M$4:$M$103,"Unknown Option Type")))*(AW$3=IF($C$2='Data Validation'!$A$2,'Bank Adjustments'!$E$4:$E$103,IF('Adjustment Surface'!$C$2='Data Validation'!$A$3,'Bank Adjustments'!$O$4:$O$103,"Unknown Option Type"))),0)))</f>
        <v/>
      </c>
      <c r="AX22" s="181" t="str" cm="1">
        <f t="array" ref="AX22">IF(OR(AX$3="",$AN22=""),"",INDEX(IF($C$2='Data Validation'!$A$2,'Bank Adjustments'!$H$4:$H$103,IF('Adjustment Surface'!$C$2='Data Validation'!$A$3,'Bank Adjustments'!$R$4:$R$103,"Unknown Option Type")),MATCH(1,($AN22=IF($C$2='Data Validation'!$A$2,'Bank Adjustments'!$C$4:$C$103,IF('Adjustment Surface'!$C$2='Data Validation'!$A$3,'Bank Adjustments'!$M$4:$M$103,"Unknown Option Type")))*(AX$3=IF($C$2='Data Validation'!$A$2,'Bank Adjustments'!$E$4:$E$103,IF('Adjustment Surface'!$C$2='Data Validation'!$A$3,'Bank Adjustments'!$O$4:$O$103,"Unknown Option Type"))),0)))</f>
        <v/>
      </c>
      <c r="AY22" s="181" t="str" cm="1">
        <f t="array" ref="AY22">IF(OR(AY$3="",$AN22=""),"",INDEX(IF($C$2='Data Validation'!$A$2,'Bank Adjustments'!$H$4:$H$103,IF('Adjustment Surface'!$C$2='Data Validation'!$A$3,'Bank Adjustments'!$R$4:$R$103,"Unknown Option Type")),MATCH(1,($AN22=IF($C$2='Data Validation'!$A$2,'Bank Adjustments'!$C$4:$C$103,IF('Adjustment Surface'!$C$2='Data Validation'!$A$3,'Bank Adjustments'!$M$4:$M$103,"Unknown Option Type")))*(AY$3=IF($C$2='Data Validation'!$A$2,'Bank Adjustments'!$E$4:$E$103,IF('Adjustment Surface'!$C$2='Data Validation'!$A$3,'Bank Adjustments'!$O$4:$O$103,"Unknown Option Type"))),0)))</f>
        <v/>
      </c>
      <c r="AZ22" s="181" t="str" cm="1">
        <f t="array" ref="AZ22">IF(OR(AZ$3="",$AN22=""),"",INDEX(IF($C$2='Data Validation'!$A$2,'Bank Adjustments'!$H$4:$H$103,IF('Adjustment Surface'!$C$2='Data Validation'!$A$3,'Bank Adjustments'!$R$4:$R$103,"Unknown Option Type")),MATCH(1,($AN22=IF($C$2='Data Validation'!$A$2,'Bank Adjustments'!$C$4:$C$103,IF('Adjustment Surface'!$C$2='Data Validation'!$A$3,'Bank Adjustments'!$M$4:$M$103,"Unknown Option Type")))*(AZ$3=IF($C$2='Data Validation'!$A$2,'Bank Adjustments'!$E$4:$E$103,IF('Adjustment Surface'!$C$2='Data Validation'!$A$3,'Bank Adjustments'!$O$4:$O$103,"Unknown Option Type"))),0)))</f>
        <v/>
      </c>
      <c r="BA22" s="181" t="str" cm="1">
        <f t="array" ref="BA22">IF(OR(BA$3="",$AN22=""),"",INDEX(IF($C$2='Data Validation'!$A$2,'Bank Adjustments'!$H$4:$H$103,IF('Adjustment Surface'!$C$2='Data Validation'!$A$3,'Bank Adjustments'!$R$4:$R$103,"Unknown Option Type")),MATCH(1,($AN22=IF($C$2='Data Validation'!$A$2,'Bank Adjustments'!$C$4:$C$103,IF('Adjustment Surface'!$C$2='Data Validation'!$A$3,'Bank Adjustments'!$M$4:$M$103,"Unknown Option Type")))*(BA$3=IF($C$2='Data Validation'!$A$2,'Bank Adjustments'!$E$4:$E$103,IF('Adjustment Surface'!$C$2='Data Validation'!$A$3,'Bank Adjustments'!$O$4:$O$103,"Unknown Option Type"))),0)))</f>
        <v/>
      </c>
      <c r="BB22" s="181" t="str" cm="1">
        <f t="array" ref="BB22">IF(OR(BB$3="",$AN22=""),"",INDEX(IF($C$2='Data Validation'!$A$2,'Bank Adjustments'!$H$4:$H$103,IF('Adjustment Surface'!$C$2='Data Validation'!$A$3,'Bank Adjustments'!$R$4:$R$103,"Unknown Option Type")),MATCH(1,($AN22=IF($C$2='Data Validation'!$A$2,'Bank Adjustments'!$C$4:$C$103,IF('Adjustment Surface'!$C$2='Data Validation'!$A$3,'Bank Adjustments'!$M$4:$M$103,"Unknown Option Type")))*(BB$3=IF($C$2='Data Validation'!$A$2,'Bank Adjustments'!$E$4:$E$103,IF('Adjustment Surface'!$C$2='Data Validation'!$A$3,'Bank Adjustments'!$O$4:$O$103,"Unknown Option Type"))),0)))</f>
        <v/>
      </c>
      <c r="BC22" s="181" t="str" cm="1">
        <f t="array" ref="BC22">IF(OR(BC$3="",$AN22=""),"",INDEX(IF($C$2='Data Validation'!$A$2,'Bank Adjustments'!$H$4:$H$103,IF('Adjustment Surface'!$C$2='Data Validation'!$A$3,'Bank Adjustments'!$R$4:$R$103,"Unknown Option Type")),MATCH(1,($AN22=IF($C$2='Data Validation'!$A$2,'Bank Adjustments'!$C$4:$C$103,IF('Adjustment Surface'!$C$2='Data Validation'!$A$3,'Bank Adjustments'!$M$4:$M$103,"Unknown Option Type")))*(BC$3=IF($C$2='Data Validation'!$A$2,'Bank Adjustments'!$E$4:$E$103,IF('Adjustment Surface'!$C$2='Data Validation'!$A$3,'Bank Adjustments'!$O$4:$O$103,"Unknown Option Type"))),0)))</f>
        <v/>
      </c>
      <c r="BD22" s="181" t="str" cm="1">
        <f t="array" ref="BD22">IF(OR(BD$3="",$AN22=""),"",INDEX(IF($C$2='Data Validation'!$A$2,'Bank Adjustments'!$H$4:$H$103,IF('Adjustment Surface'!$C$2='Data Validation'!$A$3,'Bank Adjustments'!$R$4:$R$103,"Unknown Option Type")),MATCH(1,($AN22=IF($C$2='Data Validation'!$A$2,'Bank Adjustments'!$C$4:$C$103,IF('Adjustment Surface'!$C$2='Data Validation'!$A$3,'Bank Adjustments'!$M$4:$M$103,"Unknown Option Type")))*(BD$3=IF($C$2='Data Validation'!$A$2,'Bank Adjustments'!$E$4:$E$103,IF('Adjustment Surface'!$C$2='Data Validation'!$A$3,'Bank Adjustments'!$O$4:$O$103,"Unknown Option Type"))),0)))</f>
        <v/>
      </c>
      <c r="BE22" s="181" t="str" cm="1">
        <f t="array" ref="BE22">IF(OR(BE$3="",$AN22=""),"",INDEX(IF($C$2='Data Validation'!$A$2,'Bank Adjustments'!$H$4:$H$103,IF('Adjustment Surface'!$C$2='Data Validation'!$A$3,'Bank Adjustments'!$R$4:$R$103,"Unknown Option Type")),MATCH(1,($AN22=IF($C$2='Data Validation'!$A$2,'Bank Adjustments'!$C$4:$C$103,IF('Adjustment Surface'!$C$2='Data Validation'!$A$3,'Bank Adjustments'!$M$4:$M$103,"Unknown Option Type")))*(BE$3=IF($C$2='Data Validation'!$A$2,'Bank Adjustments'!$E$4:$E$103,IF('Adjustment Surface'!$C$2='Data Validation'!$A$3,'Bank Adjustments'!$O$4:$O$103,"Unknown Option Type"))),0)))</f>
        <v/>
      </c>
      <c r="BF22" s="181" t="str" cm="1">
        <f t="array" ref="BF22">IF(OR(BF$3="",$AN22=""),"",INDEX(IF($C$2='Data Validation'!$A$2,'Bank Adjustments'!$H$4:$H$103,IF('Adjustment Surface'!$C$2='Data Validation'!$A$3,'Bank Adjustments'!$R$4:$R$103,"Unknown Option Type")),MATCH(1,($AN22=IF($C$2='Data Validation'!$A$2,'Bank Adjustments'!$C$4:$C$103,IF('Adjustment Surface'!$C$2='Data Validation'!$A$3,'Bank Adjustments'!$M$4:$M$103,"Unknown Option Type")))*(BF$3=IF($C$2='Data Validation'!$A$2,'Bank Adjustments'!$E$4:$E$103,IF('Adjustment Surface'!$C$2='Data Validation'!$A$3,'Bank Adjustments'!$O$4:$O$103,"Unknown Option Type"))),0)))</f>
        <v/>
      </c>
      <c r="BG22" s="181" t="str" cm="1">
        <f t="array" ref="BG22">IF(OR(BG$3="",$AN22=""),"",INDEX(IF($C$2='Data Validation'!$A$2,'Bank Adjustments'!$H$4:$H$103,IF('Adjustment Surface'!$C$2='Data Validation'!$A$3,'Bank Adjustments'!$R$4:$R$103,"Unknown Option Type")),MATCH(1,($AN22=IF($C$2='Data Validation'!$A$2,'Bank Adjustments'!$C$4:$C$103,IF('Adjustment Surface'!$C$2='Data Validation'!$A$3,'Bank Adjustments'!$M$4:$M$103,"Unknown Option Type")))*(BG$3=IF($C$2='Data Validation'!$A$2,'Bank Adjustments'!$E$4:$E$103,IF('Adjustment Surface'!$C$2='Data Validation'!$A$3,'Bank Adjustments'!$O$4:$O$103,"Unknown Option Type"))),0)))</f>
        <v/>
      </c>
      <c r="BH22" s="182" t="str" cm="1">
        <f t="array" ref="BH22">IF(OR(BH$3="",$AN22=""),"",INDEX(IF($C$2='Data Validation'!$A$2,'Bank Adjustments'!$H$4:$H$103,IF('Adjustment Surface'!$C$2='Data Validation'!$A$3,'Bank Adjustments'!$R$4:$R$103,"Unknown Option Type")),MATCH(1,($AN22=IF($C$2='Data Validation'!$A$2,'Bank Adjustments'!$C$4:$C$103,IF('Adjustment Surface'!$C$2='Data Validation'!$A$3,'Bank Adjustments'!$M$4:$M$103,"Unknown Option Type")))*(BH$3=IF($C$2='Data Validation'!$A$2,'Bank Adjustments'!$E$4:$E$103,IF('Adjustment Surface'!$C$2='Data Validation'!$A$3,'Bank Adjustments'!$O$4:$O$103,"Unknown Option Type"))),0)))</f>
        <v/>
      </c>
    </row>
    <row r="23" spans="2:60" x14ac:dyDescent="0.25">
      <c r="B23" s="75">
        <f t="shared" ref="B23:B24" si="3">B16</f>
        <v>0.04</v>
      </c>
      <c r="C23" s="14">
        <f>'Bachelier Model'!C12</f>
        <v>302.44346193241211</v>
      </c>
      <c r="D23" s="14">
        <f>'Bachelier Model'!D12</f>
        <v>1092.24475692906</v>
      </c>
      <c r="E23" s="14">
        <f>'Bachelier Model'!E12</f>
        <v>2313.703031559291</v>
      </c>
      <c r="F23" s="14">
        <f>'Bachelier Model'!F12</f>
        <v>3745.4077809344108</v>
      </c>
      <c r="H23" s="173"/>
      <c r="I23" s="213" t="str">
        <f t="shared" si="1"/>
        <v/>
      </c>
      <c r="J23" s="214" t="str">
        <f t="shared" si="1"/>
        <v/>
      </c>
      <c r="K23" s="214" t="str">
        <f t="shared" si="1"/>
        <v/>
      </c>
      <c r="L23" s="214" t="str">
        <f t="shared" si="1"/>
        <v/>
      </c>
      <c r="M23" s="215" t="str">
        <f t="shared" si="1"/>
        <v/>
      </c>
      <c r="O23" s="176"/>
      <c r="P23" s="183" t="str" cm="1">
        <f t="array" ref="P23">IF(OR(P$3="",$O23=""),"",1/((INDEX('Adjustment Surface'!$AN$4:$AN$23,MATCH(('Adjustment Surface'!$O23),'Adjustment Surface'!$AN$4:$AN$23,1)+IF('Adjustment Surface'!$O24="",-1,1))-INDEX('Adjustment Surface'!$AN$4:$AN$23,MATCH(('Adjustment Surface'!$O23),'Adjustment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Surface'!$O23),'Adjustment Surface'!$AN$4:$AN$23,1)),$AN$4:$AN$23,0),MATCH(INDEX('Adjustment Surface'!$AO$3:$BH$3,1,MATCH(('Adjustment Surface'!P$3),'Adjustment Surface'!$AO$3:$BH$3,1)),$AO$3:$BH$3,0))*(INDEX('Adjustment Surface'!$AN$4:$AN$23,MATCH(('Adjustment Surface'!$O23),'Adjustment Surface'!$AN$4:$AN$23,1)+IF('Adjustment Surface'!$O24="",-1,1))-'Adjustment Surface'!$O23)*(INDEX('Adjustment Surface'!$AO$3:$BH$3,1,MATCH(('Adjustment Surface'!P$3),'Adjustment Surface'!$AO$3:$BH$3,1)+IF('Adjustment Surface'!Q$3="",-1,1))-'Adjustment Surface'!P$3)+INDEX($AO$4:$BH$23,MATCH(INDEX('Adjustment Surface'!$AN$4:$AN$23,MATCH(('Adjustment Surface'!$O23),'Adjustment Surface'!$AN$4:$AN$23,1)+IF('Adjustment Surface'!$O24="",-1,1)),$AN$4:$AN$23,0),MATCH(INDEX('Adjustment Surface'!$AO$3:$BH$3,1,MATCH(('Adjustment Surface'!P$3),'Adjustment Surface'!$AO$3:$BH$3,1)),$AO$3:$BH$3,0))*('Adjustment Surface'!$O23-INDEX('Adjustment Surface'!$AN$4:$AN$23,MATCH(('Adjustment Surface'!$O23),'Adjustment Surface'!$AN$4:$AN$23,1)))*(INDEX('Adjustment Surface'!$AO$3:$BH$3,1,MATCH(('Adjustment Surface'!P$3),'Adjustment Surface'!$AO$3:$BH$3,1)+IF('Adjustment Surface'!Q$3="",-1,1))-'Adjustment Surface'!P$3)+INDEX($AO$4:$BH$23,MATCH(INDEX('Adjustment Surface'!$AN$4:$AN$23,MATCH(('Adjustment Surface'!$O23),'Adjustment Surface'!$AN$4:$AN$23,1)),$AN$4:$AN$23,0),MATCH(INDEX('Adjustment Surface'!$AO$3:$BH$3,1,MATCH(('Adjustment Surface'!P$3),'Adjustment Surface'!$AO$3:$BH$3,1)+IF('Adjustment Surface'!Q$3="",-1,1)),$AO$3:$BH$3,0))*(INDEX('Adjustment Surface'!$AN$4:$AN$23,MATCH(('Adjustment Surface'!$O23),'Adjustment Surface'!$AN$4:$AN$23,1)+IF('Adjustment Surface'!$O24="",-1,1))-'Adjustment Surface'!$O23)*('Adjustment Surface'!P$3-INDEX('Adjustment Surface'!$AO$3:$BH$3,1,MATCH(('Adjustment Surface'!P$3),'Adjustment Surface'!$AO$3:$BH$3,1)))+INDEX($AO$4:$BH$23,MATCH(INDEX('Adjustment Surface'!$AN$4:$AN$23,MATCH(('Adjustment Surface'!$O23),'Adjustment Surface'!$AN$4:$AN$23,1)+IF('Adjustment Surface'!$O24="",-1,1)),$AN$4:$AN$23,0),MATCH(INDEX('Adjustment Surface'!$AO$3:$BH$3,1,MATCH(('Adjustment Surface'!P$3),'Adjustment Surface'!$AO$3:$BH$3,1)+IF('Adjustment Surface'!Q$3="",-1,1)),$AO$3:$BH$3,0))*('Adjustment Surface'!$O23-INDEX('Adjustment Surface'!$AN$4:$AN$23,MATCH(('Adjustment Surface'!$O23),'Adjustment Surface'!$AN$4:$AN$23,1)))*('Adjustment Surface'!P$3-INDEX('Adjustment Surface'!$AO$3:$BH$3,1,MATCH(('Adjustment Surface'!P$3),'Adjustment Surface'!$AO$3:$BH$3,1)))))</f>
        <v/>
      </c>
      <c r="Q23" s="184" t="str" cm="1">
        <f t="array" ref="Q23">IF(OR(Q$3="",$O23=""),"",1/((INDEX('Adjustment Surface'!$AN$4:$AN$23,MATCH(('Adjustment Surface'!$O23),'Adjustment Surface'!$AN$4:$AN$23,1)+IF('Adjustment Surface'!$O24="",-1,1))-INDEX('Adjustment Surface'!$AN$4:$AN$23,MATCH(('Adjustment Surface'!$O23),'Adjustment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Surface'!$O23),'Adjustment Surface'!$AN$4:$AN$23,1)),$AN$4:$AN$23,0),MATCH(INDEX('Adjustment Surface'!$AO$3:$BH$3,1,MATCH(('Adjustment Surface'!Q$3),'Adjustment Surface'!$AO$3:$BH$3,1)),$AO$3:$BH$3,0))*(INDEX('Adjustment Surface'!$AN$4:$AN$23,MATCH(('Adjustment Surface'!$O23),'Adjustment Surface'!$AN$4:$AN$23,1)+IF('Adjustment Surface'!$O24="",-1,1))-'Adjustment Surface'!$O23)*(INDEX('Adjustment Surface'!$AO$3:$BH$3,1,MATCH(('Adjustment Surface'!Q$3),'Adjustment Surface'!$AO$3:$BH$3,1)+IF('Adjustment Surface'!R$3="",-1,1))-'Adjustment Surface'!Q$3)+INDEX($AO$4:$BH$23,MATCH(INDEX('Adjustment Surface'!$AN$4:$AN$23,MATCH(('Adjustment Surface'!$O23),'Adjustment Surface'!$AN$4:$AN$23,1)+IF('Adjustment Surface'!$O24="",-1,1)),$AN$4:$AN$23,0),MATCH(INDEX('Adjustment Surface'!$AO$3:$BH$3,1,MATCH(('Adjustment Surface'!Q$3),'Adjustment Surface'!$AO$3:$BH$3,1)),$AO$3:$BH$3,0))*('Adjustment Surface'!$O23-INDEX('Adjustment Surface'!$AN$4:$AN$23,MATCH(('Adjustment Surface'!$O23),'Adjustment Surface'!$AN$4:$AN$23,1)))*(INDEX('Adjustment Surface'!$AO$3:$BH$3,1,MATCH(('Adjustment Surface'!Q$3),'Adjustment Surface'!$AO$3:$BH$3,1)+IF('Adjustment Surface'!R$3="",-1,1))-'Adjustment Surface'!Q$3)+INDEX($AO$4:$BH$23,MATCH(INDEX('Adjustment Surface'!$AN$4:$AN$23,MATCH(('Adjustment Surface'!$O23),'Adjustment Surface'!$AN$4:$AN$23,1)),$AN$4:$AN$23,0),MATCH(INDEX('Adjustment Surface'!$AO$3:$BH$3,1,MATCH(('Adjustment Surface'!Q$3),'Adjustment Surface'!$AO$3:$BH$3,1)+IF('Adjustment Surface'!R$3="",-1,1)),$AO$3:$BH$3,0))*(INDEX('Adjustment Surface'!$AN$4:$AN$23,MATCH(('Adjustment Surface'!$O23),'Adjustment Surface'!$AN$4:$AN$23,1)+IF('Adjustment Surface'!$O24="",-1,1))-'Adjustment Surface'!$O23)*('Adjustment Surface'!Q$3-INDEX('Adjustment Surface'!$AO$3:$BH$3,1,MATCH(('Adjustment Surface'!Q$3),'Adjustment Surface'!$AO$3:$BH$3,1)))+INDEX($AO$4:$BH$23,MATCH(INDEX('Adjustment Surface'!$AN$4:$AN$23,MATCH(('Adjustment Surface'!$O23),'Adjustment Surface'!$AN$4:$AN$23,1)+IF('Adjustment Surface'!$O24="",-1,1)),$AN$4:$AN$23,0),MATCH(INDEX('Adjustment Surface'!$AO$3:$BH$3,1,MATCH(('Adjustment Surface'!Q$3),'Adjustment Surface'!$AO$3:$BH$3,1)+IF('Adjustment Surface'!R$3="",-1,1)),$AO$3:$BH$3,0))*('Adjustment Surface'!$O23-INDEX('Adjustment Surface'!$AN$4:$AN$23,MATCH(('Adjustment Surface'!$O23),'Adjustment Surface'!$AN$4:$AN$23,1)))*('Adjustment Surface'!Q$3-INDEX('Adjustment Surface'!$AO$3:$BH$3,1,MATCH(('Adjustment Surface'!Q$3),'Adjustment Surface'!$AO$3:$BH$3,1)))))</f>
        <v/>
      </c>
      <c r="R23" s="184" t="str" cm="1">
        <f t="array" ref="R23">IF(OR(R$3="",$O23=""),"",1/((INDEX('Adjustment Surface'!$AN$4:$AN$23,MATCH(('Adjustment Surface'!$O23),'Adjustment Surface'!$AN$4:$AN$23,1)+IF('Adjustment Surface'!$O24="",-1,1))-INDEX('Adjustment Surface'!$AN$4:$AN$23,MATCH(('Adjustment Surface'!$O23),'Adjustment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Surface'!$O23),'Adjustment Surface'!$AN$4:$AN$23,1)),$AN$4:$AN$23,0),MATCH(INDEX('Adjustment Surface'!$AO$3:$BH$3,1,MATCH(('Adjustment Surface'!R$3),'Adjustment Surface'!$AO$3:$BH$3,1)),$AO$3:$BH$3,0))*(INDEX('Adjustment Surface'!$AN$4:$AN$23,MATCH(('Adjustment Surface'!$O23),'Adjustment Surface'!$AN$4:$AN$23,1)+IF('Adjustment Surface'!$O24="",-1,1))-'Adjustment Surface'!$O23)*(INDEX('Adjustment Surface'!$AO$3:$BH$3,1,MATCH(('Adjustment Surface'!R$3),'Adjustment Surface'!$AO$3:$BH$3,1)+IF('Adjustment Surface'!S$3="",-1,1))-'Adjustment Surface'!R$3)+INDEX($AO$4:$BH$23,MATCH(INDEX('Adjustment Surface'!$AN$4:$AN$23,MATCH(('Adjustment Surface'!$O23),'Adjustment Surface'!$AN$4:$AN$23,1)+IF('Adjustment Surface'!$O24="",-1,1)),$AN$4:$AN$23,0),MATCH(INDEX('Adjustment Surface'!$AO$3:$BH$3,1,MATCH(('Adjustment Surface'!R$3),'Adjustment Surface'!$AO$3:$BH$3,1)),$AO$3:$BH$3,0))*('Adjustment Surface'!$O23-INDEX('Adjustment Surface'!$AN$4:$AN$23,MATCH(('Adjustment Surface'!$O23),'Adjustment Surface'!$AN$4:$AN$23,1)))*(INDEX('Adjustment Surface'!$AO$3:$BH$3,1,MATCH(('Adjustment Surface'!R$3),'Adjustment Surface'!$AO$3:$BH$3,1)+IF('Adjustment Surface'!S$3="",-1,1))-'Adjustment Surface'!R$3)+INDEX($AO$4:$BH$23,MATCH(INDEX('Adjustment Surface'!$AN$4:$AN$23,MATCH(('Adjustment Surface'!$O23),'Adjustment Surface'!$AN$4:$AN$23,1)),$AN$4:$AN$23,0),MATCH(INDEX('Adjustment Surface'!$AO$3:$BH$3,1,MATCH(('Adjustment Surface'!R$3),'Adjustment Surface'!$AO$3:$BH$3,1)+IF('Adjustment Surface'!S$3="",-1,1)),$AO$3:$BH$3,0))*(INDEX('Adjustment Surface'!$AN$4:$AN$23,MATCH(('Adjustment Surface'!$O23),'Adjustment Surface'!$AN$4:$AN$23,1)+IF('Adjustment Surface'!$O24="",-1,1))-'Adjustment Surface'!$O23)*('Adjustment Surface'!R$3-INDEX('Adjustment Surface'!$AO$3:$BH$3,1,MATCH(('Adjustment Surface'!R$3),'Adjustment Surface'!$AO$3:$BH$3,1)))+INDEX($AO$4:$BH$23,MATCH(INDEX('Adjustment Surface'!$AN$4:$AN$23,MATCH(('Adjustment Surface'!$O23),'Adjustment Surface'!$AN$4:$AN$23,1)+IF('Adjustment Surface'!$O24="",-1,1)),$AN$4:$AN$23,0),MATCH(INDEX('Adjustment Surface'!$AO$3:$BH$3,1,MATCH(('Adjustment Surface'!R$3),'Adjustment Surface'!$AO$3:$BH$3,1)+IF('Adjustment Surface'!S$3="",-1,1)),$AO$3:$BH$3,0))*('Adjustment Surface'!$O23-INDEX('Adjustment Surface'!$AN$4:$AN$23,MATCH(('Adjustment Surface'!$O23),'Adjustment Surface'!$AN$4:$AN$23,1)))*('Adjustment Surface'!R$3-INDEX('Adjustment Surface'!$AO$3:$BH$3,1,MATCH(('Adjustment Surface'!R$3),'Adjustment Surface'!$AO$3:$BH$3,1)))))</f>
        <v/>
      </c>
      <c r="S23" s="184" t="str" cm="1">
        <f t="array" ref="S23">IF(OR(S$3="",$O23=""),"",1/((INDEX('Adjustment Surface'!$AN$4:$AN$23,MATCH(('Adjustment Surface'!$O23),'Adjustment Surface'!$AN$4:$AN$23,1)+IF('Adjustment Surface'!$O24="",-1,1))-INDEX('Adjustment Surface'!$AN$4:$AN$23,MATCH(('Adjustment Surface'!$O23),'Adjustment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Surface'!$O23),'Adjustment Surface'!$AN$4:$AN$23,1)),$AN$4:$AN$23,0),MATCH(INDEX('Adjustment Surface'!$AO$3:$BH$3,1,MATCH(('Adjustment Surface'!S$3),'Adjustment Surface'!$AO$3:$BH$3,1)),$AO$3:$BH$3,0))*(INDEX('Adjustment Surface'!$AN$4:$AN$23,MATCH(('Adjustment Surface'!$O23),'Adjustment Surface'!$AN$4:$AN$23,1)+IF('Adjustment Surface'!$O24="",-1,1))-'Adjustment Surface'!$O23)*(INDEX('Adjustment Surface'!$AO$3:$BH$3,1,MATCH(('Adjustment Surface'!S$3),'Adjustment Surface'!$AO$3:$BH$3,1)+IF('Adjustment Surface'!T$3="",-1,1))-'Adjustment Surface'!S$3)+INDEX($AO$4:$BH$23,MATCH(INDEX('Adjustment Surface'!$AN$4:$AN$23,MATCH(('Adjustment Surface'!$O23),'Adjustment Surface'!$AN$4:$AN$23,1)+IF('Adjustment Surface'!$O24="",-1,1)),$AN$4:$AN$23,0),MATCH(INDEX('Adjustment Surface'!$AO$3:$BH$3,1,MATCH(('Adjustment Surface'!S$3),'Adjustment Surface'!$AO$3:$BH$3,1)),$AO$3:$BH$3,0))*('Adjustment Surface'!$O23-INDEX('Adjustment Surface'!$AN$4:$AN$23,MATCH(('Adjustment Surface'!$O23),'Adjustment Surface'!$AN$4:$AN$23,1)))*(INDEX('Adjustment Surface'!$AO$3:$BH$3,1,MATCH(('Adjustment Surface'!S$3),'Adjustment Surface'!$AO$3:$BH$3,1)+IF('Adjustment Surface'!T$3="",-1,1))-'Adjustment Surface'!S$3)+INDEX($AO$4:$BH$23,MATCH(INDEX('Adjustment Surface'!$AN$4:$AN$23,MATCH(('Adjustment Surface'!$O23),'Adjustment Surface'!$AN$4:$AN$23,1)),$AN$4:$AN$23,0),MATCH(INDEX('Adjustment Surface'!$AO$3:$BH$3,1,MATCH(('Adjustment Surface'!S$3),'Adjustment Surface'!$AO$3:$BH$3,1)+IF('Adjustment Surface'!T$3="",-1,1)),$AO$3:$BH$3,0))*(INDEX('Adjustment Surface'!$AN$4:$AN$23,MATCH(('Adjustment Surface'!$O23),'Adjustment Surface'!$AN$4:$AN$23,1)+IF('Adjustment Surface'!$O24="",-1,1))-'Adjustment Surface'!$O23)*('Adjustment Surface'!S$3-INDEX('Adjustment Surface'!$AO$3:$BH$3,1,MATCH(('Adjustment Surface'!S$3),'Adjustment Surface'!$AO$3:$BH$3,1)))+INDEX($AO$4:$BH$23,MATCH(INDEX('Adjustment Surface'!$AN$4:$AN$23,MATCH(('Adjustment Surface'!$O23),'Adjustment Surface'!$AN$4:$AN$23,1)+IF('Adjustment Surface'!$O24="",-1,1)),$AN$4:$AN$23,0),MATCH(INDEX('Adjustment Surface'!$AO$3:$BH$3,1,MATCH(('Adjustment Surface'!S$3),'Adjustment Surface'!$AO$3:$BH$3,1)+IF('Adjustment Surface'!T$3="",-1,1)),$AO$3:$BH$3,0))*('Adjustment Surface'!$O23-INDEX('Adjustment Surface'!$AN$4:$AN$23,MATCH(('Adjustment Surface'!$O23),'Adjustment Surface'!$AN$4:$AN$23,1)))*('Adjustment Surface'!S$3-INDEX('Adjustment Surface'!$AO$3:$BH$3,1,MATCH(('Adjustment Surface'!S$3),'Adjustment Surface'!$AO$3:$BH$3,1)))))</f>
        <v/>
      </c>
      <c r="T23" s="184" t="str" cm="1">
        <f t="array" ref="T23">IF(OR(T$3="",$O23=""),"",1/((INDEX('Adjustment Surface'!$AN$4:$AN$23,MATCH(('Adjustment Surface'!$O23),'Adjustment Surface'!$AN$4:$AN$23,1)+IF('Adjustment Surface'!$O24="",-1,1))-INDEX('Adjustment Surface'!$AN$4:$AN$23,MATCH(('Adjustment Surface'!$O23),'Adjustment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Surface'!$O23),'Adjustment Surface'!$AN$4:$AN$23,1)),$AN$4:$AN$23,0),MATCH(INDEX('Adjustment Surface'!$AO$3:$BH$3,1,MATCH(('Adjustment Surface'!T$3),'Adjustment Surface'!$AO$3:$BH$3,1)),$AO$3:$BH$3,0))*(INDEX('Adjustment Surface'!$AN$4:$AN$23,MATCH(('Adjustment Surface'!$O23),'Adjustment Surface'!$AN$4:$AN$23,1)+IF('Adjustment Surface'!$O24="",-1,1))-'Adjustment Surface'!$O23)*(INDEX('Adjustment Surface'!$AO$3:$BH$3,1,MATCH(('Adjustment Surface'!T$3),'Adjustment Surface'!$AO$3:$BH$3,1)+IF('Adjustment Surface'!U$3="",-1,1))-'Adjustment Surface'!T$3)+INDEX($AO$4:$BH$23,MATCH(INDEX('Adjustment Surface'!$AN$4:$AN$23,MATCH(('Adjustment Surface'!$O23),'Adjustment Surface'!$AN$4:$AN$23,1)+IF('Adjustment Surface'!$O24="",-1,1)),$AN$4:$AN$23,0),MATCH(INDEX('Adjustment Surface'!$AO$3:$BH$3,1,MATCH(('Adjustment Surface'!T$3),'Adjustment Surface'!$AO$3:$BH$3,1)),$AO$3:$BH$3,0))*('Adjustment Surface'!$O23-INDEX('Adjustment Surface'!$AN$4:$AN$23,MATCH(('Adjustment Surface'!$O23),'Adjustment Surface'!$AN$4:$AN$23,1)))*(INDEX('Adjustment Surface'!$AO$3:$BH$3,1,MATCH(('Adjustment Surface'!T$3),'Adjustment Surface'!$AO$3:$BH$3,1)+IF('Adjustment Surface'!U$3="",-1,1))-'Adjustment Surface'!T$3)+INDEX($AO$4:$BH$23,MATCH(INDEX('Adjustment Surface'!$AN$4:$AN$23,MATCH(('Adjustment Surface'!$O23),'Adjustment Surface'!$AN$4:$AN$23,1)),$AN$4:$AN$23,0),MATCH(INDEX('Adjustment Surface'!$AO$3:$BH$3,1,MATCH(('Adjustment Surface'!T$3),'Adjustment Surface'!$AO$3:$BH$3,1)+IF('Adjustment Surface'!U$3="",-1,1)),$AO$3:$BH$3,0))*(INDEX('Adjustment Surface'!$AN$4:$AN$23,MATCH(('Adjustment Surface'!$O23),'Adjustment Surface'!$AN$4:$AN$23,1)+IF('Adjustment Surface'!$O24="",-1,1))-'Adjustment Surface'!$O23)*('Adjustment Surface'!T$3-INDEX('Adjustment Surface'!$AO$3:$BH$3,1,MATCH(('Adjustment Surface'!T$3),'Adjustment Surface'!$AO$3:$BH$3,1)))+INDEX($AO$4:$BH$23,MATCH(INDEX('Adjustment Surface'!$AN$4:$AN$23,MATCH(('Adjustment Surface'!$O23),'Adjustment Surface'!$AN$4:$AN$23,1)+IF('Adjustment Surface'!$O24="",-1,1)),$AN$4:$AN$23,0),MATCH(INDEX('Adjustment Surface'!$AO$3:$BH$3,1,MATCH(('Adjustment Surface'!T$3),'Adjustment Surface'!$AO$3:$BH$3,1)+IF('Adjustment Surface'!U$3="",-1,1)),$AO$3:$BH$3,0))*('Adjustment Surface'!$O23-INDEX('Adjustment Surface'!$AN$4:$AN$23,MATCH(('Adjustment Surface'!$O23),'Adjustment Surface'!$AN$4:$AN$23,1)))*('Adjustment Surface'!T$3-INDEX('Adjustment Surface'!$AO$3:$BH$3,1,MATCH(('Adjustment Surface'!T$3),'Adjustment Surface'!$AO$3:$BH$3,1)))))</f>
        <v/>
      </c>
      <c r="U23" s="184" t="str" cm="1">
        <f t="array" ref="U23">IF(OR(U$3="",$O23=""),"",1/((INDEX('Adjustment Surface'!$AN$4:$AN$23,MATCH(('Adjustment Surface'!$O23),'Adjustment Surface'!$AN$4:$AN$23,1)+IF('Adjustment Surface'!$O24="",-1,1))-INDEX('Adjustment Surface'!$AN$4:$AN$23,MATCH(('Adjustment Surface'!$O23),'Adjustment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Surface'!$O23),'Adjustment Surface'!$AN$4:$AN$23,1)),$AN$4:$AN$23,0),MATCH(INDEX('Adjustment Surface'!$AO$3:$BH$3,1,MATCH(('Adjustment Surface'!U$3),'Adjustment Surface'!$AO$3:$BH$3,1)),$AO$3:$BH$3,0))*(INDEX('Adjustment Surface'!$AN$4:$AN$23,MATCH(('Adjustment Surface'!$O23),'Adjustment Surface'!$AN$4:$AN$23,1)+IF('Adjustment Surface'!$O24="",-1,1))-'Adjustment Surface'!$O23)*(INDEX('Adjustment Surface'!$AO$3:$BH$3,1,MATCH(('Adjustment Surface'!U$3),'Adjustment Surface'!$AO$3:$BH$3,1)+IF('Adjustment Surface'!V$3="",-1,1))-'Adjustment Surface'!U$3)+INDEX($AO$4:$BH$23,MATCH(INDEX('Adjustment Surface'!$AN$4:$AN$23,MATCH(('Adjustment Surface'!$O23),'Adjustment Surface'!$AN$4:$AN$23,1)+IF('Adjustment Surface'!$O24="",-1,1)),$AN$4:$AN$23,0),MATCH(INDEX('Adjustment Surface'!$AO$3:$BH$3,1,MATCH(('Adjustment Surface'!U$3),'Adjustment Surface'!$AO$3:$BH$3,1)),$AO$3:$BH$3,0))*('Adjustment Surface'!$O23-INDEX('Adjustment Surface'!$AN$4:$AN$23,MATCH(('Adjustment Surface'!$O23),'Adjustment Surface'!$AN$4:$AN$23,1)))*(INDEX('Adjustment Surface'!$AO$3:$BH$3,1,MATCH(('Adjustment Surface'!U$3),'Adjustment Surface'!$AO$3:$BH$3,1)+IF('Adjustment Surface'!V$3="",-1,1))-'Adjustment Surface'!U$3)+INDEX($AO$4:$BH$23,MATCH(INDEX('Adjustment Surface'!$AN$4:$AN$23,MATCH(('Adjustment Surface'!$O23),'Adjustment Surface'!$AN$4:$AN$23,1)),$AN$4:$AN$23,0),MATCH(INDEX('Adjustment Surface'!$AO$3:$BH$3,1,MATCH(('Adjustment Surface'!U$3),'Adjustment Surface'!$AO$3:$BH$3,1)+IF('Adjustment Surface'!V$3="",-1,1)),$AO$3:$BH$3,0))*(INDEX('Adjustment Surface'!$AN$4:$AN$23,MATCH(('Adjustment Surface'!$O23),'Adjustment Surface'!$AN$4:$AN$23,1)+IF('Adjustment Surface'!$O24="",-1,1))-'Adjustment Surface'!$O23)*('Adjustment Surface'!U$3-INDEX('Adjustment Surface'!$AO$3:$BH$3,1,MATCH(('Adjustment Surface'!U$3),'Adjustment Surface'!$AO$3:$BH$3,1)))+INDEX($AO$4:$BH$23,MATCH(INDEX('Adjustment Surface'!$AN$4:$AN$23,MATCH(('Adjustment Surface'!$O23),'Adjustment Surface'!$AN$4:$AN$23,1)+IF('Adjustment Surface'!$O24="",-1,1)),$AN$4:$AN$23,0),MATCH(INDEX('Adjustment Surface'!$AO$3:$BH$3,1,MATCH(('Adjustment Surface'!U$3),'Adjustment Surface'!$AO$3:$BH$3,1)+IF('Adjustment Surface'!V$3="",-1,1)),$AO$3:$BH$3,0))*('Adjustment Surface'!$O23-INDEX('Adjustment Surface'!$AN$4:$AN$23,MATCH(('Adjustment Surface'!$O23),'Adjustment Surface'!$AN$4:$AN$23,1)))*('Adjustment Surface'!U$3-INDEX('Adjustment Surface'!$AO$3:$BH$3,1,MATCH(('Adjustment Surface'!U$3),'Adjustment Surface'!$AO$3:$BH$3,1)))))</f>
        <v/>
      </c>
      <c r="V23" s="184" t="str" cm="1">
        <f t="array" ref="V23">IF(OR(V$3="",$O23=""),"",1/((INDEX('Adjustment Surface'!$AN$4:$AN$23,MATCH(('Adjustment Surface'!$O23),'Adjustment Surface'!$AN$4:$AN$23,1)+IF('Adjustment Surface'!$O24="",-1,1))-INDEX('Adjustment Surface'!$AN$4:$AN$23,MATCH(('Adjustment Surface'!$O23),'Adjustment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Surface'!$O23),'Adjustment Surface'!$AN$4:$AN$23,1)),$AN$4:$AN$23,0),MATCH(INDEX('Adjustment Surface'!$AO$3:$BH$3,1,MATCH(('Adjustment Surface'!V$3),'Adjustment Surface'!$AO$3:$BH$3,1)),$AO$3:$BH$3,0))*(INDEX('Adjustment Surface'!$AN$4:$AN$23,MATCH(('Adjustment Surface'!$O23),'Adjustment Surface'!$AN$4:$AN$23,1)+IF('Adjustment Surface'!$O24="",-1,1))-'Adjustment Surface'!$O23)*(INDEX('Adjustment Surface'!$AO$3:$BH$3,1,MATCH(('Adjustment Surface'!V$3),'Adjustment Surface'!$AO$3:$BH$3,1)+IF('Adjustment Surface'!W$3="",-1,1))-'Adjustment Surface'!V$3)+INDEX($AO$4:$BH$23,MATCH(INDEX('Adjustment Surface'!$AN$4:$AN$23,MATCH(('Adjustment Surface'!$O23),'Adjustment Surface'!$AN$4:$AN$23,1)+IF('Adjustment Surface'!$O24="",-1,1)),$AN$4:$AN$23,0),MATCH(INDEX('Adjustment Surface'!$AO$3:$BH$3,1,MATCH(('Adjustment Surface'!V$3),'Adjustment Surface'!$AO$3:$BH$3,1)),$AO$3:$BH$3,0))*('Adjustment Surface'!$O23-INDEX('Adjustment Surface'!$AN$4:$AN$23,MATCH(('Adjustment Surface'!$O23),'Adjustment Surface'!$AN$4:$AN$23,1)))*(INDEX('Adjustment Surface'!$AO$3:$BH$3,1,MATCH(('Adjustment Surface'!V$3),'Adjustment Surface'!$AO$3:$BH$3,1)+IF('Adjustment Surface'!W$3="",-1,1))-'Adjustment Surface'!V$3)+INDEX($AO$4:$BH$23,MATCH(INDEX('Adjustment Surface'!$AN$4:$AN$23,MATCH(('Adjustment Surface'!$O23),'Adjustment Surface'!$AN$4:$AN$23,1)),$AN$4:$AN$23,0),MATCH(INDEX('Adjustment Surface'!$AO$3:$BH$3,1,MATCH(('Adjustment Surface'!V$3),'Adjustment Surface'!$AO$3:$BH$3,1)+IF('Adjustment Surface'!W$3="",-1,1)),$AO$3:$BH$3,0))*(INDEX('Adjustment Surface'!$AN$4:$AN$23,MATCH(('Adjustment Surface'!$O23),'Adjustment Surface'!$AN$4:$AN$23,1)+IF('Adjustment Surface'!$O24="",-1,1))-'Adjustment Surface'!$O23)*('Adjustment Surface'!V$3-INDEX('Adjustment Surface'!$AO$3:$BH$3,1,MATCH(('Adjustment Surface'!V$3),'Adjustment Surface'!$AO$3:$BH$3,1)))+INDEX($AO$4:$BH$23,MATCH(INDEX('Adjustment Surface'!$AN$4:$AN$23,MATCH(('Adjustment Surface'!$O23),'Adjustment Surface'!$AN$4:$AN$23,1)+IF('Adjustment Surface'!$O24="",-1,1)),$AN$4:$AN$23,0),MATCH(INDEX('Adjustment Surface'!$AO$3:$BH$3,1,MATCH(('Adjustment Surface'!V$3),'Adjustment Surface'!$AO$3:$BH$3,1)+IF('Adjustment Surface'!W$3="",-1,1)),$AO$3:$BH$3,0))*('Adjustment Surface'!$O23-INDEX('Adjustment Surface'!$AN$4:$AN$23,MATCH(('Adjustment Surface'!$O23),'Adjustment Surface'!$AN$4:$AN$23,1)))*('Adjustment Surface'!V$3-INDEX('Adjustment Surface'!$AO$3:$BH$3,1,MATCH(('Adjustment Surface'!V$3),'Adjustment Surface'!$AO$3:$BH$3,1)))))</f>
        <v/>
      </c>
      <c r="W23" s="184" t="str" cm="1">
        <f t="array" ref="W23">IF(OR(W$3="",$O23=""),"",1/((INDEX('Adjustment Surface'!$AN$4:$AN$23,MATCH(('Adjustment Surface'!$O23),'Adjustment Surface'!$AN$4:$AN$23,1)+IF('Adjustment Surface'!$O24="",-1,1))-INDEX('Adjustment Surface'!$AN$4:$AN$23,MATCH(('Adjustment Surface'!$O23),'Adjustment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Surface'!$O23),'Adjustment Surface'!$AN$4:$AN$23,1)),$AN$4:$AN$23,0),MATCH(INDEX('Adjustment Surface'!$AO$3:$BH$3,1,MATCH(('Adjustment Surface'!W$3),'Adjustment Surface'!$AO$3:$BH$3,1)),$AO$3:$BH$3,0))*(INDEX('Adjustment Surface'!$AN$4:$AN$23,MATCH(('Adjustment Surface'!$O23),'Adjustment Surface'!$AN$4:$AN$23,1)+IF('Adjustment Surface'!$O24="",-1,1))-'Adjustment Surface'!$O23)*(INDEX('Adjustment Surface'!$AO$3:$BH$3,1,MATCH(('Adjustment Surface'!W$3),'Adjustment Surface'!$AO$3:$BH$3,1)+IF('Adjustment Surface'!X$3="",-1,1))-'Adjustment Surface'!W$3)+INDEX($AO$4:$BH$23,MATCH(INDEX('Adjustment Surface'!$AN$4:$AN$23,MATCH(('Adjustment Surface'!$O23),'Adjustment Surface'!$AN$4:$AN$23,1)+IF('Adjustment Surface'!$O24="",-1,1)),$AN$4:$AN$23,0),MATCH(INDEX('Adjustment Surface'!$AO$3:$BH$3,1,MATCH(('Adjustment Surface'!W$3),'Adjustment Surface'!$AO$3:$BH$3,1)),$AO$3:$BH$3,0))*('Adjustment Surface'!$O23-INDEX('Adjustment Surface'!$AN$4:$AN$23,MATCH(('Adjustment Surface'!$O23),'Adjustment Surface'!$AN$4:$AN$23,1)))*(INDEX('Adjustment Surface'!$AO$3:$BH$3,1,MATCH(('Adjustment Surface'!W$3),'Adjustment Surface'!$AO$3:$BH$3,1)+IF('Adjustment Surface'!X$3="",-1,1))-'Adjustment Surface'!W$3)+INDEX($AO$4:$BH$23,MATCH(INDEX('Adjustment Surface'!$AN$4:$AN$23,MATCH(('Adjustment Surface'!$O23),'Adjustment Surface'!$AN$4:$AN$23,1)),$AN$4:$AN$23,0),MATCH(INDEX('Adjustment Surface'!$AO$3:$BH$3,1,MATCH(('Adjustment Surface'!W$3),'Adjustment Surface'!$AO$3:$BH$3,1)+IF('Adjustment Surface'!X$3="",-1,1)),$AO$3:$BH$3,0))*(INDEX('Adjustment Surface'!$AN$4:$AN$23,MATCH(('Adjustment Surface'!$O23),'Adjustment Surface'!$AN$4:$AN$23,1)+IF('Adjustment Surface'!$O24="",-1,1))-'Adjustment Surface'!$O23)*('Adjustment Surface'!W$3-INDEX('Adjustment Surface'!$AO$3:$BH$3,1,MATCH(('Adjustment Surface'!W$3),'Adjustment Surface'!$AO$3:$BH$3,1)))+INDEX($AO$4:$BH$23,MATCH(INDEX('Adjustment Surface'!$AN$4:$AN$23,MATCH(('Adjustment Surface'!$O23),'Adjustment Surface'!$AN$4:$AN$23,1)+IF('Adjustment Surface'!$O24="",-1,1)),$AN$4:$AN$23,0),MATCH(INDEX('Adjustment Surface'!$AO$3:$BH$3,1,MATCH(('Adjustment Surface'!W$3),'Adjustment Surface'!$AO$3:$BH$3,1)+IF('Adjustment Surface'!X$3="",-1,1)),$AO$3:$BH$3,0))*('Adjustment Surface'!$O23-INDEX('Adjustment Surface'!$AN$4:$AN$23,MATCH(('Adjustment Surface'!$O23),'Adjustment Surface'!$AN$4:$AN$23,1)))*('Adjustment Surface'!W$3-INDEX('Adjustment Surface'!$AO$3:$BH$3,1,MATCH(('Adjustment Surface'!W$3),'Adjustment Surface'!$AO$3:$BH$3,1)))))</f>
        <v/>
      </c>
      <c r="X23" s="184" t="str" cm="1">
        <f t="array" ref="X23">IF(OR(X$3="",$O23=""),"",1/((INDEX('Adjustment Surface'!$AN$4:$AN$23,MATCH(('Adjustment Surface'!$O23),'Adjustment Surface'!$AN$4:$AN$23,1)+IF('Adjustment Surface'!$O24="",-1,1))-INDEX('Adjustment Surface'!$AN$4:$AN$23,MATCH(('Adjustment Surface'!$O23),'Adjustment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Surface'!$O23),'Adjustment Surface'!$AN$4:$AN$23,1)),$AN$4:$AN$23,0),MATCH(INDEX('Adjustment Surface'!$AO$3:$BH$3,1,MATCH(('Adjustment Surface'!X$3),'Adjustment Surface'!$AO$3:$BH$3,1)),$AO$3:$BH$3,0))*(INDEX('Adjustment Surface'!$AN$4:$AN$23,MATCH(('Adjustment Surface'!$O23),'Adjustment Surface'!$AN$4:$AN$23,1)+IF('Adjustment Surface'!$O24="",-1,1))-'Adjustment Surface'!$O23)*(INDEX('Adjustment Surface'!$AO$3:$BH$3,1,MATCH(('Adjustment Surface'!X$3),'Adjustment Surface'!$AO$3:$BH$3,1)+IF('Adjustment Surface'!Y$3="",-1,1))-'Adjustment Surface'!X$3)+INDEX($AO$4:$BH$23,MATCH(INDEX('Adjustment Surface'!$AN$4:$AN$23,MATCH(('Adjustment Surface'!$O23),'Adjustment Surface'!$AN$4:$AN$23,1)+IF('Adjustment Surface'!$O24="",-1,1)),$AN$4:$AN$23,0),MATCH(INDEX('Adjustment Surface'!$AO$3:$BH$3,1,MATCH(('Adjustment Surface'!X$3),'Adjustment Surface'!$AO$3:$BH$3,1)),$AO$3:$BH$3,0))*('Adjustment Surface'!$O23-INDEX('Adjustment Surface'!$AN$4:$AN$23,MATCH(('Adjustment Surface'!$O23),'Adjustment Surface'!$AN$4:$AN$23,1)))*(INDEX('Adjustment Surface'!$AO$3:$BH$3,1,MATCH(('Adjustment Surface'!X$3),'Adjustment Surface'!$AO$3:$BH$3,1)+IF('Adjustment Surface'!Y$3="",-1,1))-'Adjustment Surface'!X$3)+INDEX($AO$4:$BH$23,MATCH(INDEX('Adjustment Surface'!$AN$4:$AN$23,MATCH(('Adjustment Surface'!$O23),'Adjustment Surface'!$AN$4:$AN$23,1)),$AN$4:$AN$23,0),MATCH(INDEX('Adjustment Surface'!$AO$3:$BH$3,1,MATCH(('Adjustment Surface'!X$3),'Adjustment Surface'!$AO$3:$BH$3,1)+IF('Adjustment Surface'!Y$3="",-1,1)),$AO$3:$BH$3,0))*(INDEX('Adjustment Surface'!$AN$4:$AN$23,MATCH(('Adjustment Surface'!$O23),'Adjustment Surface'!$AN$4:$AN$23,1)+IF('Adjustment Surface'!$O24="",-1,1))-'Adjustment Surface'!$O23)*('Adjustment Surface'!X$3-INDEX('Adjustment Surface'!$AO$3:$BH$3,1,MATCH(('Adjustment Surface'!X$3),'Adjustment Surface'!$AO$3:$BH$3,1)))+INDEX($AO$4:$BH$23,MATCH(INDEX('Adjustment Surface'!$AN$4:$AN$23,MATCH(('Adjustment Surface'!$O23),'Adjustment Surface'!$AN$4:$AN$23,1)+IF('Adjustment Surface'!$O24="",-1,1)),$AN$4:$AN$23,0),MATCH(INDEX('Adjustment Surface'!$AO$3:$BH$3,1,MATCH(('Adjustment Surface'!X$3),'Adjustment Surface'!$AO$3:$BH$3,1)+IF('Adjustment Surface'!Y$3="",-1,1)),$AO$3:$BH$3,0))*('Adjustment Surface'!$O23-INDEX('Adjustment Surface'!$AN$4:$AN$23,MATCH(('Adjustment Surface'!$O23),'Adjustment Surface'!$AN$4:$AN$23,1)))*('Adjustment Surface'!X$3-INDEX('Adjustment Surface'!$AO$3:$BH$3,1,MATCH(('Adjustment Surface'!X$3),'Adjustment Surface'!$AO$3:$BH$3,1)))))</f>
        <v/>
      </c>
      <c r="Y23" s="184" t="str" cm="1">
        <f t="array" ref="Y23">IF(OR(Y$3="",$O23=""),"",1/((INDEX('Adjustment Surface'!$AN$4:$AN$23,MATCH(('Adjustment Surface'!$O23),'Adjustment Surface'!$AN$4:$AN$23,1)+IF('Adjustment Surface'!$O24="",-1,1))-INDEX('Adjustment Surface'!$AN$4:$AN$23,MATCH(('Adjustment Surface'!$O23),'Adjustment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Surface'!$O23),'Adjustment Surface'!$AN$4:$AN$23,1)),$AN$4:$AN$23,0),MATCH(INDEX('Adjustment Surface'!$AO$3:$BH$3,1,MATCH(('Adjustment Surface'!Y$3),'Adjustment Surface'!$AO$3:$BH$3,1)),$AO$3:$BH$3,0))*(INDEX('Adjustment Surface'!$AN$4:$AN$23,MATCH(('Adjustment Surface'!$O23),'Adjustment Surface'!$AN$4:$AN$23,1)+IF('Adjustment Surface'!$O24="",-1,1))-'Adjustment Surface'!$O23)*(INDEX('Adjustment Surface'!$AO$3:$BH$3,1,MATCH(('Adjustment Surface'!Y$3),'Adjustment Surface'!$AO$3:$BH$3,1)+IF('Adjustment Surface'!Z$3="",-1,1))-'Adjustment Surface'!Y$3)+INDEX($AO$4:$BH$23,MATCH(INDEX('Adjustment Surface'!$AN$4:$AN$23,MATCH(('Adjustment Surface'!$O23),'Adjustment Surface'!$AN$4:$AN$23,1)+IF('Adjustment Surface'!$O24="",-1,1)),$AN$4:$AN$23,0),MATCH(INDEX('Adjustment Surface'!$AO$3:$BH$3,1,MATCH(('Adjustment Surface'!Y$3),'Adjustment Surface'!$AO$3:$BH$3,1)),$AO$3:$BH$3,0))*('Adjustment Surface'!$O23-INDEX('Adjustment Surface'!$AN$4:$AN$23,MATCH(('Adjustment Surface'!$O23),'Adjustment Surface'!$AN$4:$AN$23,1)))*(INDEX('Adjustment Surface'!$AO$3:$BH$3,1,MATCH(('Adjustment Surface'!Y$3),'Adjustment Surface'!$AO$3:$BH$3,1)+IF('Adjustment Surface'!Z$3="",-1,1))-'Adjustment Surface'!Y$3)+INDEX($AO$4:$BH$23,MATCH(INDEX('Adjustment Surface'!$AN$4:$AN$23,MATCH(('Adjustment Surface'!$O23),'Adjustment Surface'!$AN$4:$AN$23,1)),$AN$4:$AN$23,0),MATCH(INDEX('Adjustment Surface'!$AO$3:$BH$3,1,MATCH(('Adjustment Surface'!Y$3),'Adjustment Surface'!$AO$3:$BH$3,1)+IF('Adjustment Surface'!Z$3="",-1,1)),$AO$3:$BH$3,0))*(INDEX('Adjustment Surface'!$AN$4:$AN$23,MATCH(('Adjustment Surface'!$O23),'Adjustment Surface'!$AN$4:$AN$23,1)+IF('Adjustment Surface'!$O24="",-1,1))-'Adjustment Surface'!$O23)*('Adjustment Surface'!Y$3-INDEX('Adjustment Surface'!$AO$3:$BH$3,1,MATCH(('Adjustment Surface'!Y$3),'Adjustment Surface'!$AO$3:$BH$3,1)))+INDEX($AO$4:$BH$23,MATCH(INDEX('Adjustment Surface'!$AN$4:$AN$23,MATCH(('Adjustment Surface'!$O23),'Adjustment Surface'!$AN$4:$AN$23,1)+IF('Adjustment Surface'!$O24="",-1,1)),$AN$4:$AN$23,0),MATCH(INDEX('Adjustment Surface'!$AO$3:$BH$3,1,MATCH(('Adjustment Surface'!Y$3),'Adjustment Surface'!$AO$3:$BH$3,1)+IF('Adjustment Surface'!Z$3="",-1,1)),$AO$3:$BH$3,0))*('Adjustment Surface'!$O23-INDEX('Adjustment Surface'!$AN$4:$AN$23,MATCH(('Adjustment Surface'!$O23),'Adjustment Surface'!$AN$4:$AN$23,1)))*('Adjustment Surface'!Y$3-INDEX('Adjustment Surface'!$AO$3:$BH$3,1,MATCH(('Adjustment Surface'!Y$3),'Adjustment Surface'!$AO$3:$BH$3,1)))))</f>
        <v/>
      </c>
      <c r="Z23" s="184" t="str" cm="1">
        <f t="array" ref="Z23">IF(OR(Z$3="",$O23=""),"",1/((INDEX('Adjustment Surface'!$AN$4:$AN$23,MATCH(('Adjustment Surface'!$O23),'Adjustment Surface'!$AN$4:$AN$23,1)+IF('Adjustment Surface'!$O24="",-1,1))-INDEX('Adjustment Surface'!$AN$4:$AN$23,MATCH(('Adjustment Surface'!$O23),'Adjustment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Surface'!$O23),'Adjustment Surface'!$AN$4:$AN$23,1)),$AN$4:$AN$23,0),MATCH(INDEX('Adjustment Surface'!$AO$3:$BH$3,1,MATCH(('Adjustment Surface'!Z$3),'Adjustment Surface'!$AO$3:$BH$3,1)),$AO$3:$BH$3,0))*(INDEX('Adjustment Surface'!$AN$4:$AN$23,MATCH(('Adjustment Surface'!$O23),'Adjustment Surface'!$AN$4:$AN$23,1)+IF('Adjustment Surface'!$O24="",-1,1))-'Adjustment Surface'!$O23)*(INDEX('Adjustment Surface'!$AO$3:$BH$3,1,MATCH(('Adjustment Surface'!Z$3),'Adjustment Surface'!$AO$3:$BH$3,1)+IF('Adjustment Surface'!AA$3="",-1,1))-'Adjustment Surface'!Z$3)+INDEX($AO$4:$BH$23,MATCH(INDEX('Adjustment Surface'!$AN$4:$AN$23,MATCH(('Adjustment Surface'!$O23),'Adjustment Surface'!$AN$4:$AN$23,1)+IF('Adjustment Surface'!$O24="",-1,1)),$AN$4:$AN$23,0),MATCH(INDEX('Adjustment Surface'!$AO$3:$BH$3,1,MATCH(('Adjustment Surface'!Z$3),'Adjustment Surface'!$AO$3:$BH$3,1)),$AO$3:$BH$3,0))*('Adjustment Surface'!$O23-INDEX('Adjustment Surface'!$AN$4:$AN$23,MATCH(('Adjustment Surface'!$O23),'Adjustment Surface'!$AN$4:$AN$23,1)))*(INDEX('Adjustment Surface'!$AO$3:$BH$3,1,MATCH(('Adjustment Surface'!Z$3),'Adjustment Surface'!$AO$3:$BH$3,1)+IF('Adjustment Surface'!AA$3="",-1,1))-'Adjustment Surface'!Z$3)+INDEX($AO$4:$BH$23,MATCH(INDEX('Adjustment Surface'!$AN$4:$AN$23,MATCH(('Adjustment Surface'!$O23),'Adjustment Surface'!$AN$4:$AN$23,1)),$AN$4:$AN$23,0),MATCH(INDEX('Adjustment Surface'!$AO$3:$BH$3,1,MATCH(('Adjustment Surface'!Z$3),'Adjustment Surface'!$AO$3:$BH$3,1)+IF('Adjustment Surface'!AA$3="",-1,1)),$AO$3:$BH$3,0))*(INDEX('Adjustment Surface'!$AN$4:$AN$23,MATCH(('Adjustment Surface'!$O23),'Adjustment Surface'!$AN$4:$AN$23,1)+IF('Adjustment Surface'!$O24="",-1,1))-'Adjustment Surface'!$O23)*('Adjustment Surface'!Z$3-INDEX('Adjustment Surface'!$AO$3:$BH$3,1,MATCH(('Adjustment Surface'!Z$3),'Adjustment Surface'!$AO$3:$BH$3,1)))+INDEX($AO$4:$BH$23,MATCH(INDEX('Adjustment Surface'!$AN$4:$AN$23,MATCH(('Adjustment Surface'!$O23),'Adjustment Surface'!$AN$4:$AN$23,1)+IF('Adjustment Surface'!$O24="",-1,1)),$AN$4:$AN$23,0),MATCH(INDEX('Adjustment Surface'!$AO$3:$BH$3,1,MATCH(('Adjustment Surface'!Z$3),'Adjustment Surface'!$AO$3:$BH$3,1)+IF('Adjustment Surface'!AA$3="",-1,1)),$AO$3:$BH$3,0))*('Adjustment Surface'!$O23-INDEX('Adjustment Surface'!$AN$4:$AN$23,MATCH(('Adjustment Surface'!$O23),'Adjustment Surface'!$AN$4:$AN$23,1)))*('Adjustment Surface'!Z$3-INDEX('Adjustment Surface'!$AO$3:$BH$3,1,MATCH(('Adjustment Surface'!Z$3),'Adjustment Surface'!$AO$3:$BH$3,1)))))</f>
        <v/>
      </c>
      <c r="AA23" s="184" t="str" cm="1">
        <f t="array" ref="AA23">IF(OR(AA$3="",$O23=""),"",1/((INDEX('Adjustment Surface'!$AN$4:$AN$23,MATCH(('Adjustment Surface'!$O23),'Adjustment Surface'!$AN$4:$AN$23,1)+IF('Adjustment Surface'!$O24="",-1,1))-INDEX('Adjustment Surface'!$AN$4:$AN$23,MATCH(('Adjustment Surface'!$O23),'Adjustment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Surface'!$O23),'Adjustment Surface'!$AN$4:$AN$23,1)),$AN$4:$AN$23,0),MATCH(INDEX('Adjustment Surface'!$AO$3:$BH$3,1,MATCH(('Adjustment Surface'!AA$3),'Adjustment Surface'!$AO$3:$BH$3,1)),$AO$3:$BH$3,0))*(INDEX('Adjustment Surface'!$AN$4:$AN$23,MATCH(('Adjustment Surface'!$O23),'Adjustment Surface'!$AN$4:$AN$23,1)+IF('Adjustment Surface'!$O24="",-1,1))-'Adjustment Surface'!$O23)*(INDEX('Adjustment Surface'!$AO$3:$BH$3,1,MATCH(('Adjustment Surface'!AA$3),'Adjustment Surface'!$AO$3:$BH$3,1)+IF('Adjustment Surface'!AB$3="",-1,1))-'Adjustment Surface'!AA$3)+INDEX($AO$4:$BH$23,MATCH(INDEX('Adjustment Surface'!$AN$4:$AN$23,MATCH(('Adjustment Surface'!$O23),'Adjustment Surface'!$AN$4:$AN$23,1)+IF('Adjustment Surface'!$O24="",-1,1)),$AN$4:$AN$23,0),MATCH(INDEX('Adjustment Surface'!$AO$3:$BH$3,1,MATCH(('Adjustment Surface'!AA$3),'Adjustment Surface'!$AO$3:$BH$3,1)),$AO$3:$BH$3,0))*('Adjustment Surface'!$O23-INDEX('Adjustment Surface'!$AN$4:$AN$23,MATCH(('Adjustment Surface'!$O23),'Adjustment Surface'!$AN$4:$AN$23,1)))*(INDEX('Adjustment Surface'!$AO$3:$BH$3,1,MATCH(('Adjustment Surface'!AA$3),'Adjustment Surface'!$AO$3:$BH$3,1)+IF('Adjustment Surface'!AB$3="",-1,1))-'Adjustment Surface'!AA$3)+INDEX($AO$4:$BH$23,MATCH(INDEX('Adjustment Surface'!$AN$4:$AN$23,MATCH(('Adjustment Surface'!$O23),'Adjustment Surface'!$AN$4:$AN$23,1)),$AN$4:$AN$23,0),MATCH(INDEX('Adjustment Surface'!$AO$3:$BH$3,1,MATCH(('Adjustment Surface'!AA$3),'Adjustment Surface'!$AO$3:$BH$3,1)+IF('Adjustment Surface'!AB$3="",-1,1)),$AO$3:$BH$3,0))*(INDEX('Adjustment Surface'!$AN$4:$AN$23,MATCH(('Adjustment Surface'!$O23),'Adjustment Surface'!$AN$4:$AN$23,1)+IF('Adjustment Surface'!$O24="",-1,1))-'Adjustment Surface'!$O23)*('Adjustment Surface'!AA$3-INDEX('Adjustment Surface'!$AO$3:$BH$3,1,MATCH(('Adjustment Surface'!AA$3),'Adjustment Surface'!$AO$3:$BH$3,1)))+INDEX($AO$4:$BH$23,MATCH(INDEX('Adjustment Surface'!$AN$4:$AN$23,MATCH(('Adjustment Surface'!$O23),'Adjustment Surface'!$AN$4:$AN$23,1)+IF('Adjustment Surface'!$O24="",-1,1)),$AN$4:$AN$23,0),MATCH(INDEX('Adjustment Surface'!$AO$3:$BH$3,1,MATCH(('Adjustment Surface'!AA$3),'Adjustment Surface'!$AO$3:$BH$3,1)+IF('Adjustment Surface'!AB$3="",-1,1)),$AO$3:$BH$3,0))*('Adjustment Surface'!$O23-INDEX('Adjustment Surface'!$AN$4:$AN$23,MATCH(('Adjustment Surface'!$O23),'Adjustment Surface'!$AN$4:$AN$23,1)))*('Adjustment Surface'!AA$3-INDEX('Adjustment Surface'!$AO$3:$BH$3,1,MATCH(('Adjustment Surface'!AA$3),'Adjustment Surface'!$AO$3:$BH$3,1)))))</f>
        <v/>
      </c>
      <c r="AB23" s="184" t="str" cm="1">
        <f t="array" ref="AB23">IF(OR(AB$3="",$O23=""),"",1/((INDEX('Adjustment Surface'!$AN$4:$AN$23,MATCH(('Adjustment Surface'!$O23),'Adjustment Surface'!$AN$4:$AN$23,1)+IF('Adjustment Surface'!$O24="",-1,1))-INDEX('Adjustment Surface'!$AN$4:$AN$23,MATCH(('Adjustment Surface'!$O23),'Adjustment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Surface'!$O23),'Adjustment Surface'!$AN$4:$AN$23,1)),$AN$4:$AN$23,0),MATCH(INDEX('Adjustment Surface'!$AO$3:$BH$3,1,MATCH(('Adjustment Surface'!AB$3),'Adjustment Surface'!$AO$3:$BH$3,1)),$AO$3:$BH$3,0))*(INDEX('Adjustment Surface'!$AN$4:$AN$23,MATCH(('Adjustment Surface'!$O23),'Adjustment Surface'!$AN$4:$AN$23,1)+IF('Adjustment Surface'!$O24="",-1,1))-'Adjustment Surface'!$O23)*(INDEX('Adjustment Surface'!$AO$3:$BH$3,1,MATCH(('Adjustment Surface'!AB$3),'Adjustment Surface'!$AO$3:$BH$3,1)+IF('Adjustment Surface'!AC$3="",-1,1))-'Adjustment Surface'!AB$3)+INDEX($AO$4:$BH$23,MATCH(INDEX('Adjustment Surface'!$AN$4:$AN$23,MATCH(('Adjustment Surface'!$O23),'Adjustment Surface'!$AN$4:$AN$23,1)+IF('Adjustment Surface'!$O24="",-1,1)),$AN$4:$AN$23,0),MATCH(INDEX('Adjustment Surface'!$AO$3:$BH$3,1,MATCH(('Adjustment Surface'!AB$3),'Adjustment Surface'!$AO$3:$BH$3,1)),$AO$3:$BH$3,0))*('Adjustment Surface'!$O23-INDEX('Adjustment Surface'!$AN$4:$AN$23,MATCH(('Adjustment Surface'!$O23),'Adjustment Surface'!$AN$4:$AN$23,1)))*(INDEX('Adjustment Surface'!$AO$3:$BH$3,1,MATCH(('Adjustment Surface'!AB$3),'Adjustment Surface'!$AO$3:$BH$3,1)+IF('Adjustment Surface'!AC$3="",-1,1))-'Adjustment Surface'!AB$3)+INDEX($AO$4:$BH$23,MATCH(INDEX('Adjustment Surface'!$AN$4:$AN$23,MATCH(('Adjustment Surface'!$O23),'Adjustment Surface'!$AN$4:$AN$23,1)),$AN$4:$AN$23,0),MATCH(INDEX('Adjustment Surface'!$AO$3:$BH$3,1,MATCH(('Adjustment Surface'!AB$3),'Adjustment Surface'!$AO$3:$BH$3,1)+IF('Adjustment Surface'!AC$3="",-1,1)),$AO$3:$BH$3,0))*(INDEX('Adjustment Surface'!$AN$4:$AN$23,MATCH(('Adjustment Surface'!$O23),'Adjustment Surface'!$AN$4:$AN$23,1)+IF('Adjustment Surface'!$O24="",-1,1))-'Adjustment Surface'!$O23)*('Adjustment Surface'!AB$3-INDEX('Adjustment Surface'!$AO$3:$BH$3,1,MATCH(('Adjustment Surface'!AB$3),'Adjustment Surface'!$AO$3:$BH$3,1)))+INDEX($AO$4:$BH$23,MATCH(INDEX('Adjustment Surface'!$AN$4:$AN$23,MATCH(('Adjustment Surface'!$O23),'Adjustment Surface'!$AN$4:$AN$23,1)+IF('Adjustment Surface'!$O24="",-1,1)),$AN$4:$AN$23,0),MATCH(INDEX('Adjustment Surface'!$AO$3:$BH$3,1,MATCH(('Adjustment Surface'!AB$3),'Adjustment Surface'!$AO$3:$BH$3,1)+IF('Adjustment Surface'!AC$3="",-1,1)),$AO$3:$BH$3,0))*('Adjustment Surface'!$O23-INDEX('Adjustment Surface'!$AN$4:$AN$23,MATCH(('Adjustment Surface'!$O23),'Adjustment Surface'!$AN$4:$AN$23,1)))*('Adjustment Surface'!AB$3-INDEX('Adjustment Surface'!$AO$3:$BH$3,1,MATCH(('Adjustment Surface'!AB$3),'Adjustment Surface'!$AO$3:$BH$3,1)))))</f>
        <v/>
      </c>
      <c r="AC23" s="184" t="str" cm="1">
        <f t="array" ref="AC23">IF(OR(AC$3="",$O23=""),"",1/((INDEX('Adjustment Surface'!$AN$4:$AN$23,MATCH(('Adjustment Surface'!$O23),'Adjustment Surface'!$AN$4:$AN$23,1)+IF('Adjustment Surface'!$O24="",-1,1))-INDEX('Adjustment Surface'!$AN$4:$AN$23,MATCH(('Adjustment Surface'!$O23),'Adjustment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Surface'!$O23),'Adjustment Surface'!$AN$4:$AN$23,1)),$AN$4:$AN$23,0),MATCH(INDEX('Adjustment Surface'!$AO$3:$BH$3,1,MATCH(('Adjustment Surface'!AC$3),'Adjustment Surface'!$AO$3:$BH$3,1)),$AO$3:$BH$3,0))*(INDEX('Adjustment Surface'!$AN$4:$AN$23,MATCH(('Adjustment Surface'!$O23),'Adjustment Surface'!$AN$4:$AN$23,1)+IF('Adjustment Surface'!$O24="",-1,1))-'Adjustment Surface'!$O23)*(INDEX('Adjustment Surface'!$AO$3:$BH$3,1,MATCH(('Adjustment Surface'!AC$3),'Adjustment Surface'!$AO$3:$BH$3,1)+IF('Adjustment Surface'!AD$3="",-1,1))-'Adjustment Surface'!AC$3)+INDEX($AO$4:$BH$23,MATCH(INDEX('Adjustment Surface'!$AN$4:$AN$23,MATCH(('Adjustment Surface'!$O23),'Adjustment Surface'!$AN$4:$AN$23,1)+IF('Adjustment Surface'!$O24="",-1,1)),$AN$4:$AN$23,0),MATCH(INDEX('Adjustment Surface'!$AO$3:$BH$3,1,MATCH(('Adjustment Surface'!AC$3),'Adjustment Surface'!$AO$3:$BH$3,1)),$AO$3:$BH$3,0))*('Adjustment Surface'!$O23-INDEX('Adjustment Surface'!$AN$4:$AN$23,MATCH(('Adjustment Surface'!$O23),'Adjustment Surface'!$AN$4:$AN$23,1)))*(INDEX('Adjustment Surface'!$AO$3:$BH$3,1,MATCH(('Adjustment Surface'!AC$3),'Adjustment Surface'!$AO$3:$BH$3,1)+IF('Adjustment Surface'!AD$3="",-1,1))-'Adjustment Surface'!AC$3)+INDEX($AO$4:$BH$23,MATCH(INDEX('Adjustment Surface'!$AN$4:$AN$23,MATCH(('Adjustment Surface'!$O23),'Adjustment Surface'!$AN$4:$AN$23,1)),$AN$4:$AN$23,0),MATCH(INDEX('Adjustment Surface'!$AO$3:$BH$3,1,MATCH(('Adjustment Surface'!AC$3),'Adjustment Surface'!$AO$3:$BH$3,1)+IF('Adjustment Surface'!AD$3="",-1,1)),$AO$3:$BH$3,0))*(INDEX('Adjustment Surface'!$AN$4:$AN$23,MATCH(('Adjustment Surface'!$O23),'Adjustment Surface'!$AN$4:$AN$23,1)+IF('Adjustment Surface'!$O24="",-1,1))-'Adjustment Surface'!$O23)*('Adjustment Surface'!AC$3-INDEX('Adjustment Surface'!$AO$3:$BH$3,1,MATCH(('Adjustment Surface'!AC$3),'Adjustment Surface'!$AO$3:$BH$3,1)))+INDEX($AO$4:$BH$23,MATCH(INDEX('Adjustment Surface'!$AN$4:$AN$23,MATCH(('Adjustment Surface'!$O23),'Adjustment Surface'!$AN$4:$AN$23,1)+IF('Adjustment Surface'!$O24="",-1,1)),$AN$4:$AN$23,0),MATCH(INDEX('Adjustment Surface'!$AO$3:$BH$3,1,MATCH(('Adjustment Surface'!AC$3),'Adjustment Surface'!$AO$3:$BH$3,1)+IF('Adjustment Surface'!AD$3="",-1,1)),$AO$3:$BH$3,0))*('Adjustment Surface'!$O23-INDEX('Adjustment Surface'!$AN$4:$AN$23,MATCH(('Adjustment Surface'!$O23),'Adjustment Surface'!$AN$4:$AN$23,1)))*('Adjustment Surface'!AC$3-INDEX('Adjustment Surface'!$AO$3:$BH$3,1,MATCH(('Adjustment Surface'!AC$3),'Adjustment Surface'!$AO$3:$BH$3,1)))))</f>
        <v/>
      </c>
      <c r="AD23" s="184" t="str" cm="1">
        <f t="array" ref="AD23">IF(OR(AD$3="",$O23=""),"",1/((INDEX('Adjustment Surface'!$AN$4:$AN$23,MATCH(('Adjustment Surface'!$O23),'Adjustment Surface'!$AN$4:$AN$23,1)+IF('Adjustment Surface'!$O24="",-1,1))-INDEX('Adjustment Surface'!$AN$4:$AN$23,MATCH(('Adjustment Surface'!$O23),'Adjustment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Surface'!$O23),'Adjustment Surface'!$AN$4:$AN$23,1)),$AN$4:$AN$23,0),MATCH(INDEX('Adjustment Surface'!$AO$3:$BH$3,1,MATCH(('Adjustment Surface'!AD$3),'Adjustment Surface'!$AO$3:$BH$3,1)),$AO$3:$BH$3,0))*(INDEX('Adjustment Surface'!$AN$4:$AN$23,MATCH(('Adjustment Surface'!$O23),'Adjustment Surface'!$AN$4:$AN$23,1)+IF('Adjustment Surface'!$O24="",-1,1))-'Adjustment Surface'!$O23)*(INDEX('Adjustment Surface'!$AO$3:$BH$3,1,MATCH(('Adjustment Surface'!AD$3),'Adjustment Surface'!$AO$3:$BH$3,1)+IF('Adjustment Surface'!AE$3="",-1,1))-'Adjustment Surface'!AD$3)+INDEX($AO$4:$BH$23,MATCH(INDEX('Adjustment Surface'!$AN$4:$AN$23,MATCH(('Adjustment Surface'!$O23),'Adjustment Surface'!$AN$4:$AN$23,1)+IF('Adjustment Surface'!$O24="",-1,1)),$AN$4:$AN$23,0),MATCH(INDEX('Adjustment Surface'!$AO$3:$BH$3,1,MATCH(('Adjustment Surface'!AD$3),'Adjustment Surface'!$AO$3:$BH$3,1)),$AO$3:$BH$3,0))*('Adjustment Surface'!$O23-INDEX('Adjustment Surface'!$AN$4:$AN$23,MATCH(('Adjustment Surface'!$O23),'Adjustment Surface'!$AN$4:$AN$23,1)))*(INDEX('Adjustment Surface'!$AO$3:$BH$3,1,MATCH(('Adjustment Surface'!AD$3),'Adjustment Surface'!$AO$3:$BH$3,1)+IF('Adjustment Surface'!AE$3="",-1,1))-'Adjustment Surface'!AD$3)+INDEX($AO$4:$BH$23,MATCH(INDEX('Adjustment Surface'!$AN$4:$AN$23,MATCH(('Adjustment Surface'!$O23),'Adjustment Surface'!$AN$4:$AN$23,1)),$AN$4:$AN$23,0),MATCH(INDEX('Adjustment Surface'!$AO$3:$BH$3,1,MATCH(('Adjustment Surface'!AD$3),'Adjustment Surface'!$AO$3:$BH$3,1)+IF('Adjustment Surface'!AE$3="",-1,1)),$AO$3:$BH$3,0))*(INDEX('Adjustment Surface'!$AN$4:$AN$23,MATCH(('Adjustment Surface'!$O23),'Adjustment Surface'!$AN$4:$AN$23,1)+IF('Adjustment Surface'!$O24="",-1,1))-'Adjustment Surface'!$O23)*('Adjustment Surface'!AD$3-INDEX('Adjustment Surface'!$AO$3:$BH$3,1,MATCH(('Adjustment Surface'!AD$3),'Adjustment Surface'!$AO$3:$BH$3,1)))+INDEX($AO$4:$BH$23,MATCH(INDEX('Adjustment Surface'!$AN$4:$AN$23,MATCH(('Adjustment Surface'!$O23),'Adjustment Surface'!$AN$4:$AN$23,1)+IF('Adjustment Surface'!$O24="",-1,1)),$AN$4:$AN$23,0),MATCH(INDEX('Adjustment Surface'!$AO$3:$BH$3,1,MATCH(('Adjustment Surface'!AD$3),'Adjustment Surface'!$AO$3:$BH$3,1)+IF('Adjustment Surface'!AE$3="",-1,1)),$AO$3:$BH$3,0))*('Adjustment Surface'!$O23-INDEX('Adjustment Surface'!$AN$4:$AN$23,MATCH(('Adjustment Surface'!$O23),'Adjustment Surface'!$AN$4:$AN$23,1)))*('Adjustment Surface'!AD$3-INDEX('Adjustment Surface'!$AO$3:$BH$3,1,MATCH(('Adjustment Surface'!AD$3),'Adjustment Surface'!$AO$3:$BH$3,1)))))</f>
        <v/>
      </c>
      <c r="AE23" s="184" t="str" cm="1">
        <f t="array" ref="AE23">IF(OR(AE$3="",$O23=""),"",1/((INDEX('Adjustment Surface'!$AN$4:$AN$23,MATCH(('Adjustment Surface'!$O23),'Adjustment Surface'!$AN$4:$AN$23,1)+IF('Adjustment Surface'!$O24="",-1,1))-INDEX('Adjustment Surface'!$AN$4:$AN$23,MATCH(('Adjustment Surface'!$O23),'Adjustment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Surface'!$O23),'Adjustment Surface'!$AN$4:$AN$23,1)),$AN$4:$AN$23,0),MATCH(INDEX('Adjustment Surface'!$AO$3:$BH$3,1,MATCH(('Adjustment Surface'!AE$3),'Adjustment Surface'!$AO$3:$BH$3,1)),$AO$3:$BH$3,0))*(INDEX('Adjustment Surface'!$AN$4:$AN$23,MATCH(('Adjustment Surface'!$O23),'Adjustment Surface'!$AN$4:$AN$23,1)+IF('Adjustment Surface'!$O24="",-1,1))-'Adjustment Surface'!$O23)*(INDEX('Adjustment Surface'!$AO$3:$BH$3,1,MATCH(('Adjustment Surface'!AE$3),'Adjustment Surface'!$AO$3:$BH$3,1)+IF('Adjustment Surface'!AF$3="",-1,1))-'Adjustment Surface'!AE$3)+INDEX($AO$4:$BH$23,MATCH(INDEX('Adjustment Surface'!$AN$4:$AN$23,MATCH(('Adjustment Surface'!$O23),'Adjustment Surface'!$AN$4:$AN$23,1)+IF('Adjustment Surface'!$O24="",-1,1)),$AN$4:$AN$23,0),MATCH(INDEX('Adjustment Surface'!$AO$3:$BH$3,1,MATCH(('Adjustment Surface'!AE$3),'Adjustment Surface'!$AO$3:$BH$3,1)),$AO$3:$BH$3,0))*('Adjustment Surface'!$O23-INDEX('Adjustment Surface'!$AN$4:$AN$23,MATCH(('Adjustment Surface'!$O23),'Adjustment Surface'!$AN$4:$AN$23,1)))*(INDEX('Adjustment Surface'!$AO$3:$BH$3,1,MATCH(('Adjustment Surface'!AE$3),'Adjustment Surface'!$AO$3:$BH$3,1)+IF('Adjustment Surface'!AF$3="",-1,1))-'Adjustment Surface'!AE$3)+INDEX($AO$4:$BH$23,MATCH(INDEX('Adjustment Surface'!$AN$4:$AN$23,MATCH(('Adjustment Surface'!$O23),'Adjustment Surface'!$AN$4:$AN$23,1)),$AN$4:$AN$23,0),MATCH(INDEX('Adjustment Surface'!$AO$3:$BH$3,1,MATCH(('Adjustment Surface'!AE$3),'Adjustment Surface'!$AO$3:$BH$3,1)+IF('Adjustment Surface'!AF$3="",-1,1)),$AO$3:$BH$3,0))*(INDEX('Adjustment Surface'!$AN$4:$AN$23,MATCH(('Adjustment Surface'!$O23),'Adjustment Surface'!$AN$4:$AN$23,1)+IF('Adjustment Surface'!$O24="",-1,1))-'Adjustment Surface'!$O23)*('Adjustment Surface'!AE$3-INDEX('Adjustment Surface'!$AO$3:$BH$3,1,MATCH(('Adjustment Surface'!AE$3),'Adjustment Surface'!$AO$3:$BH$3,1)))+INDEX($AO$4:$BH$23,MATCH(INDEX('Adjustment Surface'!$AN$4:$AN$23,MATCH(('Adjustment Surface'!$O23),'Adjustment Surface'!$AN$4:$AN$23,1)+IF('Adjustment Surface'!$O24="",-1,1)),$AN$4:$AN$23,0),MATCH(INDEX('Adjustment Surface'!$AO$3:$BH$3,1,MATCH(('Adjustment Surface'!AE$3),'Adjustment Surface'!$AO$3:$BH$3,1)+IF('Adjustment Surface'!AF$3="",-1,1)),$AO$3:$BH$3,0))*('Adjustment Surface'!$O23-INDEX('Adjustment Surface'!$AN$4:$AN$23,MATCH(('Adjustment Surface'!$O23),'Adjustment Surface'!$AN$4:$AN$23,1)))*('Adjustment Surface'!AE$3-INDEX('Adjustment Surface'!$AO$3:$BH$3,1,MATCH(('Adjustment Surface'!AE$3),'Adjustment Surface'!$AO$3:$BH$3,1)))))</f>
        <v/>
      </c>
      <c r="AF23" s="184" t="str" cm="1">
        <f t="array" ref="AF23">IF(OR(AF$3="",$O23=""),"",1/((INDEX('Adjustment Surface'!$AN$4:$AN$23,MATCH(('Adjustment Surface'!$O23),'Adjustment Surface'!$AN$4:$AN$23,1)+IF('Adjustment Surface'!$O24="",-1,1))-INDEX('Adjustment Surface'!$AN$4:$AN$23,MATCH(('Adjustment Surface'!$O23),'Adjustment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Surface'!$O23),'Adjustment Surface'!$AN$4:$AN$23,1)),$AN$4:$AN$23,0),MATCH(INDEX('Adjustment Surface'!$AO$3:$BH$3,1,MATCH(('Adjustment Surface'!AF$3),'Adjustment Surface'!$AO$3:$BH$3,1)),$AO$3:$BH$3,0))*(INDEX('Adjustment Surface'!$AN$4:$AN$23,MATCH(('Adjustment Surface'!$O23),'Adjustment Surface'!$AN$4:$AN$23,1)+IF('Adjustment Surface'!$O24="",-1,1))-'Adjustment Surface'!$O23)*(INDEX('Adjustment Surface'!$AO$3:$BH$3,1,MATCH(('Adjustment Surface'!AF$3),'Adjustment Surface'!$AO$3:$BH$3,1)+IF('Adjustment Surface'!AG$3="",-1,1))-'Adjustment Surface'!AF$3)+INDEX($AO$4:$BH$23,MATCH(INDEX('Adjustment Surface'!$AN$4:$AN$23,MATCH(('Adjustment Surface'!$O23),'Adjustment Surface'!$AN$4:$AN$23,1)+IF('Adjustment Surface'!$O24="",-1,1)),$AN$4:$AN$23,0),MATCH(INDEX('Adjustment Surface'!$AO$3:$BH$3,1,MATCH(('Adjustment Surface'!AF$3),'Adjustment Surface'!$AO$3:$BH$3,1)),$AO$3:$BH$3,0))*('Adjustment Surface'!$O23-INDEX('Adjustment Surface'!$AN$4:$AN$23,MATCH(('Adjustment Surface'!$O23),'Adjustment Surface'!$AN$4:$AN$23,1)))*(INDEX('Adjustment Surface'!$AO$3:$BH$3,1,MATCH(('Adjustment Surface'!AF$3),'Adjustment Surface'!$AO$3:$BH$3,1)+IF('Adjustment Surface'!AG$3="",-1,1))-'Adjustment Surface'!AF$3)+INDEX($AO$4:$BH$23,MATCH(INDEX('Adjustment Surface'!$AN$4:$AN$23,MATCH(('Adjustment Surface'!$O23),'Adjustment Surface'!$AN$4:$AN$23,1)),$AN$4:$AN$23,0),MATCH(INDEX('Adjustment Surface'!$AO$3:$BH$3,1,MATCH(('Adjustment Surface'!AF$3),'Adjustment Surface'!$AO$3:$BH$3,1)+IF('Adjustment Surface'!AG$3="",-1,1)),$AO$3:$BH$3,0))*(INDEX('Adjustment Surface'!$AN$4:$AN$23,MATCH(('Adjustment Surface'!$O23),'Adjustment Surface'!$AN$4:$AN$23,1)+IF('Adjustment Surface'!$O24="",-1,1))-'Adjustment Surface'!$O23)*('Adjustment Surface'!AF$3-INDEX('Adjustment Surface'!$AO$3:$BH$3,1,MATCH(('Adjustment Surface'!AF$3),'Adjustment Surface'!$AO$3:$BH$3,1)))+INDEX($AO$4:$BH$23,MATCH(INDEX('Adjustment Surface'!$AN$4:$AN$23,MATCH(('Adjustment Surface'!$O23),'Adjustment Surface'!$AN$4:$AN$23,1)+IF('Adjustment Surface'!$O24="",-1,1)),$AN$4:$AN$23,0),MATCH(INDEX('Adjustment Surface'!$AO$3:$BH$3,1,MATCH(('Adjustment Surface'!AF$3),'Adjustment Surface'!$AO$3:$BH$3,1)+IF('Adjustment Surface'!AG$3="",-1,1)),$AO$3:$BH$3,0))*('Adjustment Surface'!$O23-INDEX('Adjustment Surface'!$AN$4:$AN$23,MATCH(('Adjustment Surface'!$O23),'Adjustment Surface'!$AN$4:$AN$23,1)))*('Adjustment Surface'!AF$3-INDEX('Adjustment Surface'!$AO$3:$BH$3,1,MATCH(('Adjustment Surface'!AF$3),'Adjustment Surface'!$AO$3:$BH$3,1)))))</f>
        <v/>
      </c>
      <c r="AG23" s="184" t="str" cm="1">
        <f t="array" ref="AG23">IF(OR(AG$3="",$O23=""),"",1/((INDEX('Adjustment Surface'!$AN$4:$AN$23,MATCH(('Adjustment Surface'!$O23),'Adjustment Surface'!$AN$4:$AN$23,1)+IF('Adjustment Surface'!$O24="",-1,1))-INDEX('Adjustment Surface'!$AN$4:$AN$23,MATCH(('Adjustment Surface'!$O23),'Adjustment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Surface'!$O23),'Adjustment Surface'!$AN$4:$AN$23,1)),$AN$4:$AN$23,0),MATCH(INDEX('Adjustment Surface'!$AO$3:$BH$3,1,MATCH(('Adjustment Surface'!AG$3),'Adjustment Surface'!$AO$3:$BH$3,1)),$AO$3:$BH$3,0))*(INDEX('Adjustment Surface'!$AN$4:$AN$23,MATCH(('Adjustment Surface'!$O23),'Adjustment Surface'!$AN$4:$AN$23,1)+IF('Adjustment Surface'!$O24="",-1,1))-'Adjustment Surface'!$O23)*(INDEX('Adjustment Surface'!$AO$3:$BH$3,1,MATCH(('Adjustment Surface'!AG$3),'Adjustment Surface'!$AO$3:$BH$3,1)+IF('Adjustment Surface'!AH$3="",-1,1))-'Adjustment Surface'!AG$3)+INDEX($AO$4:$BH$23,MATCH(INDEX('Adjustment Surface'!$AN$4:$AN$23,MATCH(('Adjustment Surface'!$O23),'Adjustment Surface'!$AN$4:$AN$23,1)+IF('Adjustment Surface'!$O24="",-1,1)),$AN$4:$AN$23,0),MATCH(INDEX('Adjustment Surface'!$AO$3:$BH$3,1,MATCH(('Adjustment Surface'!AG$3),'Adjustment Surface'!$AO$3:$BH$3,1)),$AO$3:$BH$3,0))*('Adjustment Surface'!$O23-INDEX('Adjustment Surface'!$AN$4:$AN$23,MATCH(('Adjustment Surface'!$O23),'Adjustment Surface'!$AN$4:$AN$23,1)))*(INDEX('Adjustment Surface'!$AO$3:$BH$3,1,MATCH(('Adjustment Surface'!AG$3),'Adjustment Surface'!$AO$3:$BH$3,1)+IF('Adjustment Surface'!AH$3="",-1,1))-'Adjustment Surface'!AG$3)+INDEX($AO$4:$BH$23,MATCH(INDEX('Adjustment Surface'!$AN$4:$AN$23,MATCH(('Adjustment Surface'!$O23),'Adjustment Surface'!$AN$4:$AN$23,1)),$AN$4:$AN$23,0),MATCH(INDEX('Adjustment Surface'!$AO$3:$BH$3,1,MATCH(('Adjustment Surface'!AG$3),'Adjustment Surface'!$AO$3:$BH$3,1)+IF('Adjustment Surface'!AH$3="",-1,1)),$AO$3:$BH$3,0))*(INDEX('Adjustment Surface'!$AN$4:$AN$23,MATCH(('Adjustment Surface'!$O23),'Adjustment Surface'!$AN$4:$AN$23,1)+IF('Adjustment Surface'!$O24="",-1,1))-'Adjustment Surface'!$O23)*('Adjustment Surface'!AG$3-INDEX('Adjustment Surface'!$AO$3:$BH$3,1,MATCH(('Adjustment Surface'!AG$3),'Adjustment Surface'!$AO$3:$BH$3,1)))+INDEX($AO$4:$BH$23,MATCH(INDEX('Adjustment Surface'!$AN$4:$AN$23,MATCH(('Adjustment Surface'!$O23),'Adjustment Surface'!$AN$4:$AN$23,1)+IF('Adjustment Surface'!$O24="",-1,1)),$AN$4:$AN$23,0),MATCH(INDEX('Adjustment Surface'!$AO$3:$BH$3,1,MATCH(('Adjustment Surface'!AG$3),'Adjustment Surface'!$AO$3:$BH$3,1)+IF('Adjustment Surface'!AH$3="",-1,1)),$AO$3:$BH$3,0))*('Adjustment Surface'!$O23-INDEX('Adjustment Surface'!$AN$4:$AN$23,MATCH(('Adjustment Surface'!$O23),'Adjustment Surface'!$AN$4:$AN$23,1)))*('Adjustment Surface'!AG$3-INDEX('Adjustment Surface'!$AO$3:$BH$3,1,MATCH(('Adjustment Surface'!AG$3),'Adjustment Surface'!$AO$3:$BH$3,1)))))</f>
        <v/>
      </c>
      <c r="AH23" s="184" t="str" cm="1">
        <f t="array" ref="AH23">IF(OR(AH$3="",$O23=""),"",1/((INDEX('Adjustment Surface'!$AN$4:$AN$23,MATCH(('Adjustment Surface'!$O23),'Adjustment Surface'!$AN$4:$AN$23,1)+IF('Adjustment Surface'!$O24="",-1,1))-INDEX('Adjustment Surface'!$AN$4:$AN$23,MATCH(('Adjustment Surface'!$O23),'Adjustment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Surface'!$O23),'Adjustment Surface'!$AN$4:$AN$23,1)),$AN$4:$AN$23,0),MATCH(INDEX('Adjustment Surface'!$AO$3:$BH$3,1,MATCH(('Adjustment Surface'!AH$3),'Adjustment Surface'!$AO$3:$BH$3,1)),$AO$3:$BH$3,0))*(INDEX('Adjustment Surface'!$AN$4:$AN$23,MATCH(('Adjustment Surface'!$O23),'Adjustment Surface'!$AN$4:$AN$23,1)+IF('Adjustment Surface'!$O24="",-1,1))-'Adjustment Surface'!$O23)*(INDEX('Adjustment Surface'!$AO$3:$BH$3,1,MATCH(('Adjustment Surface'!AH$3),'Adjustment Surface'!$AO$3:$BH$3,1)+IF('Adjustment Surface'!AI$3="",-1,1))-'Adjustment Surface'!AH$3)+INDEX($AO$4:$BH$23,MATCH(INDEX('Adjustment Surface'!$AN$4:$AN$23,MATCH(('Adjustment Surface'!$O23),'Adjustment Surface'!$AN$4:$AN$23,1)+IF('Adjustment Surface'!$O24="",-1,1)),$AN$4:$AN$23,0),MATCH(INDEX('Adjustment Surface'!$AO$3:$BH$3,1,MATCH(('Adjustment Surface'!AH$3),'Adjustment Surface'!$AO$3:$BH$3,1)),$AO$3:$BH$3,0))*('Adjustment Surface'!$O23-INDEX('Adjustment Surface'!$AN$4:$AN$23,MATCH(('Adjustment Surface'!$O23),'Adjustment Surface'!$AN$4:$AN$23,1)))*(INDEX('Adjustment Surface'!$AO$3:$BH$3,1,MATCH(('Adjustment Surface'!AH$3),'Adjustment Surface'!$AO$3:$BH$3,1)+IF('Adjustment Surface'!AI$3="",-1,1))-'Adjustment Surface'!AH$3)+INDEX($AO$4:$BH$23,MATCH(INDEX('Adjustment Surface'!$AN$4:$AN$23,MATCH(('Adjustment Surface'!$O23),'Adjustment Surface'!$AN$4:$AN$23,1)),$AN$4:$AN$23,0),MATCH(INDEX('Adjustment Surface'!$AO$3:$BH$3,1,MATCH(('Adjustment Surface'!AH$3),'Adjustment Surface'!$AO$3:$BH$3,1)+IF('Adjustment Surface'!AI$3="",-1,1)),$AO$3:$BH$3,0))*(INDEX('Adjustment Surface'!$AN$4:$AN$23,MATCH(('Adjustment Surface'!$O23),'Adjustment Surface'!$AN$4:$AN$23,1)+IF('Adjustment Surface'!$O24="",-1,1))-'Adjustment Surface'!$O23)*('Adjustment Surface'!AH$3-INDEX('Adjustment Surface'!$AO$3:$BH$3,1,MATCH(('Adjustment Surface'!AH$3),'Adjustment Surface'!$AO$3:$BH$3,1)))+INDEX($AO$4:$BH$23,MATCH(INDEX('Adjustment Surface'!$AN$4:$AN$23,MATCH(('Adjustment Surface'!$O23),'Adjustment Surface'!$AN$4:$AN$23,1)+IF('Adjustment Surface'!$O24="",-1,1)),$AN$4:$AN$23,0),MATCH(INDEX('Adjustment Surface'!$AO$3:$BH$3,1,MATCH(('Adjustment Surface'!AH$3),'Adjustment Surface'!$AO$3:$BH$3,1)+IF('Adjustment Surface'!AI$3="",-1,1)),$AO$3:$BH$3,0))*('Adjustment Surface'!$O23-INDEX('Adjustment Surface'!$AN$4:$AN$23,MATCH(('Adjustment Surface'!$O23),'Adjustment Surface'!$AN$4:$AN$23,1)))*('Adjustment Surface'!AH$3-INDEX('Adjustment Surface'!$AO$3:$BH$3,1,MATCH(('Adjustment Surface'!AH$3),'Adjustment Surface'!$AO$3:$BH$3,1)))))</f>
        <v/>
      </c>
      <c r="AI23" s="185" t="str" cm="1">
        <f t="array" ref="AI23">IF(OR(AI$3="",$O23=""),"",1/((INDEX('Adjustment Surface'!$AN$4:$AN$23,MATCH(('Adjustment Surface'!$O23),'Adjustment Surface'!$AN$4:$AN$23,1)+IF('Adjustment Surface'!$O24="",-1,1))-INDEX('Adjustment Surface'!$AN$4:$AN$23,MATCH(('Adjustment Surface'!$O23),'Adjustment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Surface'!$O23),'Adjustment Surface'!$AN$4:$AN$23,1)),$AN$4:$AN$23,0),MATCH(INDEX('Adjustment Surface'!$AO$3:$BH$3,1,MATCH(('Adjustment Surface'!AI$3),'Adjustment Surface'!$AO$3:$BH$3,1)),$AO$3:$BH$3,0))*(INDEX('Adjustment Surface'!$AN$4:$AN$23,MATCH(('Adjustment Surface'!$O23),'Adjustment Surface'!$AN$4:$AN$23,1)+IF('Adjustment Surface'!$O24="",-1,1))-'Adjustment Surface'!$O23)*(INDEX('Adjustment Surface'!$AO$3:$BH$3,1,MATCH(('Adjustment Surface'!AI$3),'Adjustment Surface'!$AO$3:$BH$3,1)+IF('Adjustment Surface'!AJ$3="",-1,1))-'Adjustment Surface'!AI$3)+INDEX($AO$4:$BH$23,MATCH(INDEX('Adjustment Surface'!$AN$4:$AN$23,MATCH(('Adjustment Surface'!$O23),'Adjustment Surface'!$AN$4:$AN$23,1)+IF('Adjustment Surface'!$O24="",-1,1)),$AN$4:$AN$23,0),MATCH(INDEX('Adjustment Surface'!$AO$3:$BH$3,1,MATCH(('Adjustment Surface'!AI$3),'Adjustment Surface'!$AO$3:$BH$3,1)),$AO$3:$BH$3,0))*('Adjustment Surface'!$O23-INDEX('Adjustment Surface'!$AN$4:$AN$23,MATCH(('Adjustment Surface'!$O23),'Adjustment Surface'!$AN$4:$AN$23,1)))*(INDEX('Adjustment Surface'!$AO$3:$BH$3,1,MATCH(('Adjustment Surface'!AI$3),'Adjustment Surface'!$AO$3:$BH$3,1)+IF('Adjustment Surface'!AJ$3="",-1,1))-'Adjustment Surface'!AI$3)+INDEX($AO$4:$BH$23,MATCH(INDEX('Adjustment Surface'!$AN$4:$AN$23,MATCH(('Adjustment Surface'!$O23),'Adjustment Surface'!$AN$4:$AN$23,1)),$AN$4:$AN$23,0),MATCH(INDEX('Adjustment Surface'!$AO$3:$BH$3,1,MATCH(('Adjustment Surface'!AI$3),'Adjustment Surface'!$AO$3:$BH$3,1)+IF('Adjustment Surface'!AJ$3="",-1,1)),$AO$3:$BH$3,0))*(INDEX('Adjustment Surface'!$AN$4:$AN$23,MATCH(('Adjustment Surface'!$O23),'Adjustment Surface'!$AN$4:$AN$23,1)+IF('Adjustment Surface'!$O24="",-1,1))-'Adjustment Surface'!$O23)*('Adjustment Surface'!AI$3-INDEX('Adjustment Surface'!$AO$3:$BH$3,1,MATCH(('Adjustment Surface'!AI$3),'Adjustment Surface'!$AO$3:$BH$3,1)))+INDEX($AO$4:$BH$23,MATCH(INDEX('Adjustment Surface'!$AN$4:$AN$23,MATCH(('Adjustment Surface'!$O23),'Adjustment Surface'!$AN$4:$AN$23,1)+IF('Adjustment Surface'!$O24="",-1,1)),$AN$4:$AN$23,0),MATCH(INDEX('Adjustment Surface'!$AO$3:$BH$3,1,MATCH(('Adjustment Surface'!AI$3),'Adjustment Surface'!$AO$3:$BH$3,1)+IF('Adjustment Surface'!AJ$3="",-1,1)),$AO$3:$BH$3,0))*('Adjustment Surface'!$O23-INDEX('Adjustment Surface'!$AN$4:$AN$23,MATCH(('Adjustment Surface'!$O23),'Adjustment Surface'!$AN$4:$AN$23,1)))*('Adjustment Surface'!AI$3-INDEX('Adjustment Surface'!$AO$3:$BH$3,1,MATCH(('Adjustment Surface'!AI$3),'Adjustment Surface'!$AO$3:$BH$3,1)))))</f>
        <v/>
      </c>
      <c r="AK23" s="203" t="str">
        <f>IF(OR(AK22=IF('Adjustment Surface'!$C$2='Data Validation'!$A$2,_xlfn.FLOOR.MATH(MAX('Bank Adjustments'!$C$4:$C$103),0.5%,2),IF('Adjustment Surface'!$C$2='Data Validation'!$A$3,_xlfn.FLOOR.MATH(MAX('Bank Adjustments'!$M$4:$M$103),0.5%,2),"Uknown Option Type")),AK22=""),"",AK22+0.5%)</f>
        <v/>
      </c>
      <c r="AL23" s="204"/>
      <c r="AN23" s="176"/>
      <c r="AO23" s="183" t="str" cm="1">
        <f t="array" ref="AO23">IF(OR(AO$3="",$AN23=""),"",INDEX(IF($C$2='Data Validation'!$A$2,'Bank Adjustments'!$H$4:$H$103,IF('Adjustment Surface'!$C$2='Data Validation'!$A$3,'Bank Adjustments'!$R$4:$R$103,"Unknown Option Type")),MATCH(1,($AN23=IF($C$2='Data Validation'!$A$2,'Bank Adjustments'!$C$4:$C$103,IF('Adjustment Surface'!$C$2='Data Validation'!$A$3,'Bank Adjustments'!$M$4:$M$103,"Unknown Option Type")))*(AO$3=IF($C$2='Data Validation'!$A$2,'Bank Adjustments'!$E$4:$E$103,IF('Adjustment Surface'!$C$2='Data Validation'!$A$3,'Bank Adjustments'!$O$4:$O$103,"Unknown Option Type"))),0)))</f>
        <v/>
      </c>
      <c r="AP23" s="184" t="str" cm="1">
        <f t="array" ref="AP23">IF(OR(AP$3="",$AN23=""),"",INDEX(IF($C$2='Data Validation'!$A$2,'Bank Adjustments'!$H$4:$H$103,IF('Adjustment Surface'!$C$2='Data Validation'!$A$3,'Bank Adjustments'!$R$4:$R$103,"Unknown Option Type")),MATCH(1,($AN23=IF($C$2='Data Validation'!$A$2,'Bank Adjustments'!$C$4:$C$103,IF('Adjustment Surface'!$C$2='Data Validation'!$A$3,'Bank Adjustments'!$M$4:$M$103,"Unknown Option Type")))*(AP$3=IF($C$2='Data Validation'!$A$2,'Bank Adjustments'!$E$4:$E$103,IF('Adjustment Surface'!$C$2='Data Validation'!$A$3,'Bank Adjustments'!$O$4:$O$103,"Unknown Option Type"))),0)))</f>
        <v/>
      </c>
      <c r="AQ23" s="184" t="str" cm="1">
        <f t="array" ref="AQ23">IF(OR(AQ$3="",$AN23=""),"",INDEX(IF($C$2='Data Validation'!$A$2,'Bank Adjustments'!$H$4:$H$103,IF('Adjustment Surface'!$C$2='Data Validation'!$A$3,'Bank Adjustments'!$R$4:$R$103,"Unknown Option Type")),MATCH(1,($AN23=IF($C$2='Data Validation'!$A$2,'Bank Adjustments'!$C$4:$C$103,IF('Adjustment Surface'!$C$2='Data Validation'!$A$3,'Bank Adjustments'!$M$4:$M$103,"Unknown Option Type")))*(AQ$3=IF($C$2='Data Validation'!$A$2,'Bank Adjustments'!$E$4:$E$103,IF('Adjustment Surface'!$C$2='Data Validation'!$A$3,'Bank Adjustments'!$O$4:$O$103,"Unknown Option Type"))),0)))</f>
        <v/>
      </c>
      <c r="AR23" s="184" t="str" cm="1">
        <f t="array" ref="AR23">IF(OR(AR$3="",$AN23=""),"",INDEX(IF($C$2='Data Validation'!$A$2,'Bank Adjustments'!$H$4:$H$103,IF('Adjustment Surface'!$C$2='Data Validation'!$A$3,'Bank Adjustments'!$R$4:$R$103,"Unknown Option Type")),MATCH(1,($AN23=IF($C$2='Data Validation'!$A$2,'Bank Adjustments'!$C$4:$C$103,IF('Adjustment Surface'!$C$2='Data Validation'!$A$3,'Bank Adjustments'!$M$4:$M$103,"Unknown Option Type")))*(AR$3=IF($C$2='Data Validation'!$A$2,'Bank Adjustments'!$E$4:$E$103,IF('Adjustment Surface'!$C$2='Data Validation'!$A$3,'Bank Adjustments'!$O$4:$O$103,"Unknown Option Type"))),0)))</f>
        <v/>
      </c>
      <c r="AS23" s="184" t="str" cm="1">
        <f t="array" ref="AS23">IF(OR(AS$3="",$AN23=""),"",INDEX(IF($C$2='Data Validation'!$A$2,'Bank Adjustments'!$H$4:$H$103,IF('Adjustment Surface'!$C$2='Data Validation'!$A$3,'Bank Adjustments'!$R$4:$R$103,"Unknown Option Type")),MATCH(1,($AN23=IF($C$2='Data Validation'!$A$2,'Bank Adjustments'!$C$4:$C$103,IF('Adjustment Surface'!$C$2='Data Validation'!$A$3,'Bank Adjustments'!$M$4:$M$103,"Unknown Option Type")))*(AS$3=IF($C$2='Data Validation'!$A$2,'Bank Adjustments'!$E$4:$E$103,IF('Adjustment Surface'!$C$2='Data Validation'!$A$3,'Bank Adjustments'!$O$4:$O$103,"Unknown Option Type"))),0)))</f>
        <v/>
      </c>
      <c r="AT23" s="184" t="str" cm="1">
        <f t="array" ref="AT23">IF(OR(AT$3="",$AN23=""),"",INDEX(IF($C$2='Data Validation'!$A$2,'Bank Adjustments'!$H$4:$H$103,IF('Adjustment Surface'!$C$2='Data Validation'!$A$3,'Bank Adjustments'!$R$4:$R$103,"Unknown Option Type")),MATCH(1,($AN23=IF($C$2='Data Validation'!$A$2,'Bank Adjustments'!$C$4:$C$103,IF('Adjustment Surface'!$C$2='Data Validation'!$A$3,'Bank Adjustments'!$M$4:$M$103,"Unknown Option Type")))*(AT$3=IF($C$2='Data Validation'!$A$2,'Bank Adjustments'!$E$4:$E$103,IF('Adjustment Surface'!$C$2='Data Validation'!$A$3,'Bank Adjustments'!$O$4:$O$103,"Unknown Option Type"))),0)))</f>
        <v/>
      </c>
      <c r="AU23" s="184" t="str" cm="1">
        <f t="array" ref="AU23">IF(OR(AU$3="",$AN23=""),"",INDEX(IF($C$2='Data Validation'!$A$2,'Bank Adjustments'!$H$4:$H$103,IF('Adjustment Surface'!$C$2='Data Validation'!$A$3,'Bank Adjustments'!$R$4:$R$103,"Unknown Option Type")),MATCH(1,($AN23=IF($C$2='Data Validation'!$A$2,'Bank Adjustments'!$C$4:$C$103,IF('Adjustment Surface'!$C$2='Data Validation'!$A$3,'Bank Adjustments'!$M$4:$M$103,"Unknown Option Type")))*(AU$3=IF($C$2='Data Validation'!$A$2,'Bank Adjustments'!$E$4:$E$103,IF('Adjustment Surface'!$C$2='Data Validation'!$A$3,'Bank Adjustments'!$O$4:$O$103,"Unknown Option Type"))),0)))</f>
        <v/>
      </c>
      <c r="AV23" s="184" t="str" cm="1">
        <f t="array" ref="AV23">IF(OR(AV$3="",$AN23=""),"",INDEX(IF($C$2='Data Validation'!$A$2,'Bank Adjustments'!$H$4:$H$103,IF('Adjustment Surface'!$C$2='Data Validation'!$A$3,'Bank Adjustments'!$R$4:$R$103,"Unknown Option Type")),MATCH(1,($AN23=IF($C$2='Data Validation'!$A$2,'Bank Adjustments'!$C$4:$C$103,IF('Adjustment Surface'!$C$2='Data Validation'!$A$3,'Bank Adjustments'!$M$4:$M$103,"Unknown Option Type")))*(AV$3=IF($C$2='Data Validation'!$A$2,'Bank Adjustments'!$E$4:$E$103,IF('Adjustment Surface'!$C$2='Data Validation'!$A$3,'Bank Adjustments'!$O$4:$O$103,"Unknown Option Type"))),0)))</f>
        <v/>
      </c>
      <c r="AW23" s="184" t="str" cm="1">
        <f t="array" ref="AW23">IF(OR(AW$3="",$AN23=""),"",INDEX(IF($C$2='Data Validation'!$A$2,'Bank Adjustments'!$H$4:$H$103,IF('Adjustment Surface'!$C$2='Data Validation'!$A$3,'Bank Adjustments'!$R$4:$R$103,"Unknown Option Type")),MATCH(1,($AN23=IF($C$2='Data Validation'!$A$2,'Bank Adjustments'!$C$4:$C$103,IF('Adjustment Surface'!$C$2='Data Validation'!$A$3,'Bank Adjustments'!$M$4:$M$103,"Unknown Option Type")))*(AW$3=IF($C$2='Data Validation'!$A$2,'Bank Adjustments'!$E$4:$E$103,IF('Adjustment Surface'!$C$2='Data Validation'!$A$3,'Bank Adjustments'!$O$4:$O$103,"Unknown Option Type"))),0)))</f>
        <v/>
      </c>
      <c r="AX23" s="184" t="str" cm="1">
        <f t="array" ref="AX23">IF(OR(AX$3="",$AN23=""),"",INDEX(IF($C$2='Data Validation'!$A$2,'Bank Adjustments'!$H$4:$H$103,IF('Adjustment Surface'!$C$2='Data Validation'!$A$3,'Bank Adjustments'!$R$4:$R$103,"Unknown Option Type")),MATCH(1,($AN23=IF($C$2='Data Validation'!$A$2,'Bank Adjustments'!$C$4:$C$103,IF('Adjustment Surface'!$C$2='Data Validation'!$A$3,'Bank Adjustments'!$M$4:$M$103,"Unknown Option Type")))*(AX$3=IF($C$2='Data Validation'!$A$2,'Bank Adjustments'!$E$4:$E$103,IF('Adjustment Surface'!$C$2='Data Validation'!$A$3,'Bank Adjustments'!$O$4:$O$103,"Unknown Option Type"))),0)))</f>
        <v/>
      </c>
      <c r="AY23" s="184" t="str" cm="1">
        <f t="array" ref="AY23">IF(OR(AY$3="",$AN23=""),"",INDEX(IF($C$2='Data Validation'!$A$2,'Bank Adjustments'!$H$4:$H$103,IF('Adjustment Surface'!$C$2='Data Validation'!$A$3,'Bank Adjustments'!$R$4:$R$103,"Unknown Option Type")),MATCH(1,($AN23=IF($C$2='Data Validation'!$A$2,'Bank Adjustments'!$C$4:$C$103,IF('Adjustment Surface'!$C$2='Data Validation'!$A$3,'Bank Adjustments'!$M$4:$M$103,"Unknown Option Type")))*(AY$3=IF($C$2='Data Validation'!$A$2,'Bank Adjustments'!$E$4:$E$103,IF('Adjustment Surface'!$C$2='Data Validation'!$A$3,'Bank Adjustments'!$O$4:$O$103,"Unknown Option Type"))),0)))</f>
        <v/>
      </c>
      <c r="AZ23" s="184" t="str" cm="1">
        <f t="array" ref="AZ23">IF(OR(AZ$3="",$AN23=""),"",INDEX(IF($C$2='Data Validation'!$A$2,'Bank Adjustments'!$H$4:$H$103,IF('Adjustment Surface'!$C$2='Data Validation'!$A$3,'Bank Adjustments'!$R$4:$R$103,"Unknown Option Type")),MATCH(1,($AN23=IF($C$2='Data Validation'!$A$2,'Bank Adjustments'!$C$4:$C$103,IF('Adjustment Surface'!$C$2='Data Validation'!$A$3,'Bank Adjustments'!$M$4:$M$103,"Unknown Option Type")))*(AZ$3=IF($C$2='Data Validation'!$A$2,'Bank Adjustments'!$E$4:$E$103,IF('Adjustment Surface'!$C$2='Data Validation'!$A$3,'Bank Adjustments'!$O$4:$O$103,"Unknown Option Type"))),0)))</f>
        <v/>
      </c>
      <c r="BA23" s="184" t="str" cm="1">
        <f t="array" ref="BA23">IF(OR(BA$3="",$AN23=""),"",INDEX(IF($C$2='Data Validation'!$A$2,'Bank Adjustments'!$H$4:$H$103,IF('Adjustment Surface'!$C$2='Data Validation'!$A$3,'Bank Adjustments'!$R$4:$R$103,"Unknown Option Type")),MATCH(1,($AN23=IF($C$2='Data Validation'!$A$2,'Bank Adjustments'!$C$4:$C$103,IF('Adjustment Surface'!$C$2='Data Validation'!$A$3,'Bank Adjustments'!$M$4:$M$103,"Unknown Option Type")))*(BA$3=IF($C$2='Data Validation'!$A$2,'Bank Adjustments'!$E$4:$E$103,IF('Adjustment Surface'!$C$2='Data Validation'!$A$3,'Bank Adjustments'!$O$4:$O$103,"Unknown Option Type"))),0)))</f>
        <v/>
      </c>
      <c r="BB23" s="184" t="str" cm="1">
        <f t="array" ref="BB23">IF(OR(BB$3="",$AN23=""),"",INDEX(IF($C$2='Data Validation'!$A$2,'Bank Adjustments'!$H$4:$H$103,IF('Adjustment Surface'!$C$2='Data Validation'!$A$3,'Bank Adjustments'!$R$4:$R$103,"Unknown Option Type")),MATCH(1,($AN23=IF($C$2='Data Validation'!$A$2,'Bank Adjustments'!$C$4:$C$103,IF('Adjustment Surface'!$C$2='Data Validation'!$A$3,'Bank Adjustments'!$M$4:$M$103,"Unknown Option Type")))*(BB$3=IF($C$2='Data Validation'!$A$2,'Bank Adjustments'!$E$4:$E$103,IF('Adjustment Surface'!$C$2='Data Validation'!$A$3,'Bank Adjustments'!$O$4:$O$103,"Unknown Option Type"))),0)))</f>
        <v/>
      </c>
      <c r="BC23" s="184" t="str" cm="1">
        <f t="array" ref="BC23">IF(OR(BC$3="",$AN23=""),"",INDEX(IF($C$2='Data Validation'!$A$2,'Bank Adjustments'!$H$4:$H$103,IF('Adjustment Surface'!$C$2='Data Validation'!$A$3,'Bank Adjustments'!$R$4:$R$103,"Unknown Option Type")),MATCH(1,($AN23=IF($C$2='Data Validation'!$A$2,'Bank Adjustments'!$C$4:$C$103,IF('Adjustment Surface'!$C$2='Data Validation'!$A$3,'Bank Adjustments'!$M$4:$M$103,"Unknown Option Type")))*(BC$3=IF($C$2='Data Validation'!$A$2,'Bank Adjustments'!$E$4:$E$103,IF('Adjustment Surface'!$C$2='Data Validation'!$A$3,'Bank Adjustments'!$O$4:$O$103,"Unknown Option Type"))),0)))</f>
        <v/>
      </c>
      <c r="BD23" s="184" t="str" cm="1">
        <f t="array" ref="BD23">IF(OR(BD$3="",$AN23=""),"",INDEX(IF($C$2='Data Validation'!$A$2,'Bank Adjustments'!$H$4:$H$103,IF('Adjustment Surface'!$C$2='Data Validation'!$A$3,'Bank Adjustments'!$R$4:$R$103,"Unknown Option Type")),MATCH(1,($AN23=IF($C$2='Data Validation'!$A$2,'Bank Adjustments'!$C$4:$C$103,IF('Adjustment Surface'!$C$2='Data Validation'!$A$3,'Bank Adjustments'!$M$4:$M$103,"Unknown Option Type")))*(BD$3=IF($C$2='Data Validation'!$A$2,'Bank Adjustments'!$E$4:$E$103,IF('Adjustment Surface'!$C$2='Data Validation'!$A$3,'Bank Adjustments'!$O$4:$O$103,"Unknown Option Type"))),0)))</f>
        <v/>
      </c>
      <c r="BE23" s="184" t="str" cm="1">
        <f t="array" ref="BE23">IF(OR(BE$3="",$AN23=""),"",INDEX(IF($C$2='Data Validation'!$A$2,'Bank Adjustments'!$H$4:$H$103,IF('Adjustment Surface'!$C$2='Data Validation'!$A$3,'Bank Adjustments'!$R$4:$R$103,"Unknown Option Type")),MATCH(1,($AN23=IF($C$2='Data Validation'!$A$2,'Bank Adjustments'!$C$4:$C$103,IF('Adjustment Surface'!$C$2='Data Validation'!$A$3,'Bank Adjustments'!$M$4:$M$103,"Unknown Option Type")))*(BE$3=IF($C$2='Data Validation'!$A$2,'Bank Adjustments'!$E$4:$E$103,IF('Adjustment Surface'!$C$2='Data Validation'!$A$3,'Bank Adjustments'!$O$4:$O$103,"Unknown Option Type"))),0)))</f>
        <v/>
      </c>
      <c r="BF23" s="184" t="str" cm="1">
        <f t="array" ref="BF23">IF(OR(BF$3="",$AN23=""),"",INDEX(IF($C$2='Data Validation'!$A$2,'Bank Adjustments'!$H$4:$H$103,IF('Adjustment Surface'!$C$2='Data Validation'!$A$3,'Bank Adjustments'!$R$4:$R$103,"Unknown Option Type")),MATCH(1,($AN23=IF($C$2='Data Validation'!$A$2,'Bank Adjustments'!$C$4:$C$103,IF('Adjustment Surface'!$C$2='Data Validation'!$A$3,'Bank Adjustments'!$M$4:$M$103,"Unknown Option Type")))*(BF$3=IF($C$2='Data Validation'!$A$2,'Bank Adjustments'!$E$4:$E$103,IF('Adjustment Surface'!$C$2='Data Validation'!$A$3,'Bank Adjustments'!$O$4:$O$103,"Unknown Option Type"))),0)))</f>
        <v/>
      </c>
      <c r="BG23" s="184" t="str" cm="1">
        <f t="array" ref="BG23">IF(OR(BG$3="",$AN23=""),"",INDEX(IF($C$2='Data Validation'!$A$2,'Bank Adjustments'!$H$4:$H$103,IF('Adjustment Surface'!$C$2='Data Validation'!$A$3,'Bank Adjustments'!$R$4:$R$103,"Unknown Option Type")),MATCH(1,($AN23=IF($C$2='Data Validation'!$A$2,'Bank Adjustments'!$C$4:$C$103,IF('Adjustment Surface'!$C$2='Data Validation'!$A$3,'Bank Adjustments'!$M$4:$M$103,"Unknown Option Type")))*(BG$3=IF($C$2='Data Validation'!$A$2,'Bank Adjustments'!$E$4:$E$103,IF('Adjustment Surface'!$C$2='Data Validation'!$A$3,'Bank Adjustments'!$O$4:$O$103,"Unknown Option Type"))),0)))</f>
        <v/>
      </c>
      <c r="BH23" s="185" t="str" cm="1">
        <f t="array" ref="BH23">IF(OR(BH$3="",$AN23=""),"",INDEX(IF($C$2='Data Validation'!$A$2,'Bank Adjustments'!$H$4:$H$103,IF('Adjustment Surface'!$C$2='Data Validation'!$A$3,'Bank Adjustments'!$R$4:$R$103,"Unknown Option Type")),MATCH(1,($AN23=IF($C$2='Data Validation'!$A$2,'Bank Adjustments'!$C$4:$C$103,IF('Adjustment Surface'!$C$2='Data Validation'!$A$3,'Bank Adjustments'!$M$4:$M$103,"Unknown Option Type")))*(BH$3=IF($C$2='Data Validation'!$A$2,'Bank Adjustments'!$E$4:$E$103,IF('Adjustment Surface'!$C$2='Data Validation'!$A$3,'Bank Adjustments'!$O$4:$O$103,"Unknown Option Type"))),0)))</f>
        <v/>
      </c>
    </row>
    <row r="24" spans="2:60" x14ac:dyDescent="0.25">
      <c r="B24" s="75">
        <f t="shared" si="3"/>
        <v>0.05</v>
      </c>
      <c r="C24" s="14">
        <f>'Bachelier Model'!C13</f>
        <v>29.727464016263539</v>
      </c>
      <c r="D24" s="14">
        <f>'Bachelier Model'!D13</f>
        <v>360.01128678759557</v>
      </c>
      <c r="E24" s="14">
        <f>'Bachelier Model'!E13</f>
        <v>1138.0800928488256</v>
      </c>
      <c r="F24" s="14">
        <f>'Bachelier Model'!F13</f>
        <v>2223.985462098904</v>
      </c>
      <c r="H24" s="174"/>
      <c r="I24" s="64"/>
      <c r="J24" s="64"/>
      <c r="K24" s="64"/>
      <c r="L24" s="64"/>
      <c r="M24" s="64"/>
      <c r="O24" s="186"/>
      <c r="P24" s="187"/>
      <c r="Q24" s="181"/>
      <c r="R24" s="181"/>
      <c r="S24" s="181"/>
      <c r="T24" s="181"/>
      <c r="U24" s="181"/>
      <c r="V24" s="181"/>
      <c r="W24" s="181"/>
      <c r="X24" s="181"/>
      <c r="Y24" s="181"/>
      <c r="Z24" s="181"/>
      <c r="AA24" s="181"/>
      <c r="AB24" s="181"/>
      <c r="AC24" s="181"/>
      <c r="AD24" s="181"/>
      <c r="AE24" s="181"/>
      <c r="AF24" s="181"/>
      <c r="AG24" s="181"/>
      <c r="AH24" s="181"/>
      <c r="AI24" s="181"/>
      <c r="AJ24" s="26"/>
      <c r="AK24" s="203"/>
      <c r="AL24" s="48"/>
      <c r="AM24" s="26"/>
      <c r="AN24" s="186"/>
      <c r="AO24" s="187"/>
      <c r="AP24" s="181"/>
      <c r="AQ24" s="181"/>
      <c r="AR24" s="181"/>
      <c r="AS24" s="181"/>
      <c r="AT24" s="181"/>
      <c r="AU24" s="181"/>
      <c r="AV24" s="181"/>
      <c r="AW24" s="181"/>
      <c r="AX24" s="181"/>
      <c r="AY24" s="181"/>
      <c r="AZ24" s="181"/>
      <c r="BA24" s="181"/>
      <c r="BB24" s="181"/>
      <c r="BC24" s="181"/>
      <c r="BD24" s="181"/>
      <c r="BE24" s="181"/>
      <c r="BF24" s="181"/>
      <c r="BG24" s="181"/>
      <c r="BH24" s="181"/>
    </row>
    <row r="25" spans="2:60" x14ac:dyDescent="0.25">
      <c r="B25" s="75">
        <f>B18</f>
        <v>0.06</v>
      </c>
      <c r="C25" s="14">
        <f>'Bachelier Model'!C14</f>
        <v>6.5062207876727687</v>
      </c>
      <c r="D25" s="14">
        <f>'Bachelier Model'!D14</f>
        <v>161.16618806185906</v>
      </c>
      <c r="E25" s="14">
        <f>'Bachelier Model'!E14</f>
        <v>631.84728482701155</v>
      </c>
      <c r="F25" s="14">
        <f>'Bachelier Model'!F14</f>
        <v>1379.6543584507094</v>
      </c>
      <c r="H25" s="169" t="s">
        <v>52</v>
      </c>
      <c r="I25" s="24"/>
      <c r="J25" s="24"/>
      <c r="K25" s="24"/>
      <c r="L25" s="24"/>
      <c r="M25" s="24"/>
      <c r="N25" s="26"/>
      <c r="O25" s="169" t="s">
        <v>113</v>
      </c>
      <c r="P25" s="188"/>
      <c r="Q25" s="188"/>
      <c r="R25" s="188"/>
      <c r="S25" s="188"/>
      <c r="T25" s="188"/>
      <c r="U25" s="188"/>
      <c r="V25" s="188"/>
      <c r="W25" s="188"/>
      <c r="X25" s="188"/>
      <c r="Y25" s="188"/>
      <c r="Z25" s="188"/>
      <c r="AA25" s="188"/>
      <c r="AB25" s="188"/>
      <c r="AC25" s="188"/>
      <c r="AD25" s="188"/>
      <c r="AE25" s="188"/>
      <c r="AF25" s="188"/>
      <c r="AG25" s="188"/>
      <c r="AH25" s="188"/>
      <c r="AI25" s="188"/>
      <c r="AK25" s="203"/>
      <c r="AL25" s="28"/>
      <c r="AN25" s="169" t="s">
        <v>55</v>
      </c>
      <c r="AO25" s="188"/>
      <c r="AP25" s="188"/>
      <c r="AQ25" s="188"/>
      <c r="AR25" s="188"/>
      <c r="AS25" s="188"/>
      <c r="AT25" s="188"/>
      <c r="AU25" s="188"/>
      <c r="AV25" s="188"/>
      <c r="AW25" s="188"/>
      <c r="AX25" s="188"/>
      <c r="AY25" s="188"/>
      <c r="AZ25" s="188"/>
      <c r="BA25" s="188"/>
      <c r="BB25" s="188"/>
      <c r="BC25" s="188"/>
      <c r="BD25" s="188"/>
      <c r="BE25" s="188"/>
      <c r="BF25" s="188"/>
      <c r="BG25" s="188"/>
      <c r="BH25" s="188"/>
    </row>
    <row r="26" spans="2:60" x14ac:dyDescent="0.25">
      <c r="H26" s="175" t="s">
        <v>51</v>
      </c>
      <c r="I26" s="65">
        <f>IF(C9='Data Validation'!D2,C10,IF(C9='Data Validation'!D3,SUMPRODUCT('Bachelier Model'!N4:N124,'Bachelier Model'!O4:O124)/SUM('Bachelier Model'!N4:N124),"Strike Type Unknown"))</f>
        <v>0.02</v>
      </c>
      <c r="J26" s="30" cm="1">
        <f t="array" ref="J26:M26">TRANSPOSE('Adjustment Surface'!B15:B18)</f>
        <v>0.03</v>
      </c>
      <c r="K26" s="30">
        <v>0.04</v>
      </c>
      <c r="L26" s="30">
        <v>0.05</v>
      </c>
      <c r="M26" s="30">
        <v>0.06</v>
      </c>
      <c r="O26" s="170" t="s">
        <v>49</v>
      </c>
      <c r="P26" s="171" cm="1">
        <f t="array" ref="P26:X26">IF('Control Panel'!$C$5='Data Validation'!$K$3,TRANSPOSE(_xlfn._xlws.SORT(_xlfn.UNIQUE(IFERROR(VALUE(TRIM($AL$4:$AL$46)),$AL$4)))),TRANSPOSE(_xlfn._xlws.SORT(_xlfn.UNIQUE(_xlfn._xlws.FILTER(IF($C$2='Data Validation'!$A$2,'Bank Adjustments'!E4:E103,IF('Adjustment Surface'!$C$2='Data Validation'!$A$3,'Bank Adjustments'!O4:O103,"Unknown Option Type")),IF($C$2='Data Validation'!$A$2,'Bank Adjustments'!E4:E103,IF('Adjustment Surface'!$C$2='Data Validation'!$A$3,'Bank Adjustments'!O4:O103,"Unknown Option Type")))),,1)))</f>
        <v>46429</v>
      </c>
      <c r="Q26" s="171">
        <v>46518</v>
      </c>
      <c r="R26" s="171">
        <v>46610</v>
      </c>
      <c r="S26" s="171">
        <v>46702</v>
      </c>
      <c r="T26" s="171">
        <v>46794</v>
      </c>
      <c r="U26" s="171">
        <v>46884</v>
      </c>
      <c r="V26" s="171">
        <v>46976</v>
      </c>
      <c r="W26" s="171">
        <v>47068</v>
      </c>
      <c r="X26" s="171">
        <v>47160</v>
      </c>
      <c r="Y26" s="171"/>
      <c r="Z26" s="171"/>
      <c r="AA26" s="171"/>
      <c r="AB26" s="171"/>
      <c r="AC26" s="171"/>
      <c r="AD26" s="171"/>
      <c r="AE26" s="171"/>
      <c r="AF26" s="171"/>
      <c r="AG26" s="171"/>
      <c r="AH26" s="171"/>
      <c r="AI26" s="171"/>
      <c r="AK26" s="203"/>
      <c r="AL26" s="28"/>
      <c r="AN26" s="170" t="s">
        <v>49</v>
      </c>
      <c r="AO26" s="171" cm="1">
        <f t="array" ref="AO26:AQ26">TRANSPOSE(_xlfn._xlws.SORT(_xlfn.UNIQUE(_xlfn._xlws.FILTER(IF($C$2='Data Validation'!$A$2,'Bank Adjustments'!E4:E103,IF('Adjustment Surface'!$C$2='Data Validation'!$A$3,'Bank Adjustments'!O4:O103,"Unknown Option Type")),IF($C$2='Data Validation'!$A$2,'Bank Adjustments'!E4:E103,IF('Adjustment Surface'!$C$2='Data Validation'!$A$3,'Bank Adjustments'!O4:O103,"Unknown Option Type")))),,1))</f>
        <v>46429</v>
      </c>
      <c r="AP26" s="171">
        <v>46794</v>
      </c>
      <c r="AQ26" s="171">
        <v>47160</v>
      </c>
      <c r="AR26" s="171"/>
      <c r="AS26" s="171"/>
      <c r="AT26" s="171"/>
      <c r="AU26" s="171"/>
      <c r="AV26" s="171"/>
      <c r="AW26" s="171"/>
      <c r="AX26" s="171"/>
      <c r="AY26" s="171"/>
      <c r="AZ26" s="171"/>
      <c r="BA26" s="171"/>
      <c r="BB26" s="171"/>
      <c r="BC26" s="171"/>
      <c r="BD26" s="171"/>
      <c r="BE26" s="171"/>
      <c r="BF26" s="171"/>
      <c r="BG26" s="171"/>
      <c r="BH26" s="171"/>
    </row>
    <row r="27" spans="2:60" x14ac:dyDescent="0.25">
      <c r="B27" s="27" t="s">
        <v>64</v>
      </c>
      <c r="C27" s="11"/>
      <c r="D27" s="11"/>
      <c r="E27" s="11"/>
      <c r="F27" s="11"/>
      <c r="H27" s="217" cm="1">
        <f t="array" ref="H27:H35">_xlfn._xlws.FILTER($O$27:$O$46,$O$27:$O$46)</f>
        <v>0.02</v>
      </c>
      <c r="I27" s="51">
        <f>IF($H27="","",ABS($H27-I$26))</f>
        <v>0</v>
      </c>
      <c r="J27" s="52">
        <f t="shared" ref="J27:M27" si="4">IF($H27="","",ABS($H27-J$26))</f>
        <v>9.9999999999999985E-3</v>
      </c>
      <c r="K27" s="52">
        <f t="shared" si="4"/>
        <v>0.02</v>
      </c>
      <c r="L27" s="52">
        <f t="shared" si="4"/>
        <v>3.0000000000000002E-2</v>
      </c>
      <c r="M27" s="53">
        <f t="shared" si="4"/>
        <v>3.9999999999999994E-2</v>
      </c>
      <c r="O27" s="176" cm="1">
        <f t="array" ref="O27:O35">IF('Control Panel'!$C$5='Data Validation'!$K$3,_xlfn._xlws.SORT(_xlfn.UNIQUE(IFERROR(VALUE(TRIM($AK$4:$AK$46)),$AK$4))),_xlfn._xlws.SORT(_xlfn.UNIQUE(_xlfn._xlws.FILTER(IF($C$2='Data Validation'!$A$2,'Bank Adjustments'!C4:C103,IF('Adjustment Surface'!$C$2='Data Validation'!$A$3,'Bank Adjustments'!M4:M103,"Unknown Option Type")),IF($C$2='Data Validation'!$A$2,'Bank Adjustments'!C4:C103,IF('Adjustment Surface'!$C$2='Data Validation'!$A$3,'Bank Adjustments'!M4:M103,"Unknown Option Type")))),,1))</f>
        <v>0.02</v>
      </c>
      <c r="P27" s="189" cm="1">
        <f t="array" ref="P27">IF(OR(P$26="",$O27=""),"",1/((INDEX('Adjustment Surface'!$AN$27:$AN$46,MATCH(('Adjustment Surface'!$O27),'Adjustment Surface'!$AN$27:$AN$46,1)+IF('Adjustment Surface'!$O28="",-1,1))-INDEX('Adjustment Surface'!$AN$27:$AN$46,MATCH(('Adjustment Surface'!$O27),'Adjustment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Surface'!$O27),'Adjustment Surface'!$AN$27:$AN$46,1)),$AN$27:$AN$46,0),MATCH(INDEX('Adjustment Surface'!$AO$26:$BH$26,1,MATCH(('Adjustment Surface'!P$26),'Adjustment Surface'!$AO$26:$BH$26,1)),$AO$26:$BH$26,0))*(INDEX('Adjustment Surface'!$AN$27:$AN$46,MATCH(('Adjustment Surface'!$O27),'Adjustment Surface'!$AN$27:$AN$46,1)+IF('Adjustment Surface'!$O28="",-1,1))-'Adjustment Surface'!$O27)*(INDEX('Adjustment Surface'!$AO$26:$BH$26,1,MATCH(('Adjustment Surface'!P$26),'Adjustment Surface'!$AO$26:$BH$26,1)+IF('Adjustment Surface'!Q$26="",-1,1))-'Adjustment Surface'!P$26)+INDEX($AO$27:$BH$46,MATCH(INDEX('Adjustment Surface'!$AN$27:$AN$46,MATCH(('Adjustment Surface'!$O27),'Adjustment Surface'!$AN$27:$AN$46,1)+IF('Adjustment Surface'!$O28="",-1,1)),$AN$27:$AN$46,0),MATCH(INDEX('Adjustment Surface'!$AO$26:$BH$26,1,MATCH(('Adjustment Surface'!P$26),'Adjustment Surface'!$AO$26:$BH$26,1)),$AO$26:$BH$26,0))*('Adjustment Surface'!$O27-INDEX('Adjustment Surface'!$AN$27:$AN$46,MATCH(('Adjustment Surface'!$O27),'Adjustment Surface'!$AN$27:$AN$46,1)))*(INDEX('Adjustment Surface'!$AO$26:$BH$26,1,MATCH(('Adjustment Surface'!P$26),'Adjustment Surface'!$AO$26:$BH$26,1)+IF('Adjustment Surface'!Q$26="",-1,1))-'Adjustment Surface'!P$26)+INDEX($AO$27:$BH$46,MATCH(INDEX('Adjustment Surface'!$AN$27:$AN$46,MATCH(('Adjustment Surface'!$O27),'Adjustment Surface'!$AN$27:$AN$46,1)),$AN$27:$AN$46,0),MATCH(INDEX('Adjustment Surface'!$AO$26:$BH$26,1,MATCH(('Adjustment Surface'!P$26),'Adjustment Surface'!$AO$26:$BH$26,1)+IF('Adjustment Surface'!Q$26="",-1,1)),$AO$26:$BH$26,0))*(INDEX('Adjustment Surface'!$AN$27:$AN$46,MATCH(('Adjustment Surface'!$O27),'Adjustment Surface'!$AN$27:$AN$46,1)+IF('Adjustment Surface'!$O28="",-1,1))-'Adjustment Surface'!$O27)*('Adjustment Surface'!P$26-INDEX('Adjustment Surface'!$AO$26:$BH$26,1,MATCH(('Adjustment Surface'!P$26),'Adjustment Surface'!$AO$26:$BH$26,1)))+INDEX($AO$27:$BH$46,MATCH(INDEX('Adjustment Surface'!$AN$27:$AN$46,MATCH(('Adjustment Surface'!$O27),'Adjustment Surface'!$AN$27:$AN$46,1)+IF('Adjustment Surface'!$O28="",-1,1)),$AN$27:$AN$46,0),MATCH(INDEX('Adjustment Surface'!$AO$26:$BH$26,1,MATCH(('Adjustment Surface'!P$26),'Adjustment Surface'!$AO$26:$BH$26,1)+IF('Adjustment Surface'!Q$26="",-1,1)),$AO$26:$BH$26,0))*('Adjustment Surface'!$O27-INDEX('Adjustment Surface'!$AN$27:$AN$46,MATCH(('Adjustment Surface'!$O27),'Adjustment Surface'!$AN$27:$AN$46,1)))*('Adjustment Surface'!P$26-INDEX('Adjustment Surface'!$AO$26:$BH$26,1,MATCH(('Adjustment Surface'!P$26),'Adjustment Surface'!$AO$26:$BH$26,1)))))</f>
        <v>6.7203729349312014E-2</v>
      </c>
      <c r="Q27" s="190" cm="1">
        <f t="array" ref="Q27">IF(OR(Q$26="",$O27=""),"",1/((INDEX('Adjustment Surface'!$AN$27:$AN$46,MATCH(('Adjustment Surface'!$O27),'Adjustment Surface'!$AN$27:$AN$46,1)+IF('Adjustment Surface'!$O28="",-1,1))-INDEX('Adjustment Surface'!$AN$27:$AN$46,MATCH(('Adjustment Surface'!$O27),'Adjustment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Surface'!$O27),'Adjustment Surface'!$AN$27:$AN$46,1)),$AN$27:$AN$46,0),MATCH(INDEX('Adjustment Surface'!$AO$26:$BH$26,1,MATCH(('Adjustment Surface'!Q$26),'Adjustment Surface'!$AO$26:$BH$26,1)),$AO$26:$BH$26,0))*(INDEX('Adjustment Surface'!$AN$27:$AN$46,MATCH(('Adjustment Surface'!$O27),'Adjustment Surface'!$AN$27:$AN$46,1)+IF('Adjustment Surface'!$O28="",-1,1))-'Adjustment Surface'!$O27)*(INDEX('Adjustment Surface'!$AO$26:$BH$26,1,MATCH(('Adjustment Surface'!Q$26),'Adjustment Surface'!$AO$26:$BH$26,1)+IF('Adjustment Surface'!R$26="",-1,1))-'Adjustment Surface'!Q$26)+INDEX($AO$27:$BH$46,MATCH(INDEX('Adjustment Surface'!$AN$27:$AN$46,MATCH(('Adjustment Surface'!$O27),'Adjustment Surface'!$AN$27:$AN$46,1)+IF('Adjustment Surface'!$O28="",-1,1)),$AN$27:$AN$46,0),MATCH(INDEX('Adjustment Surface'!$AO$26:$BH$26,1,MATCH(('Adjustment Surface'!Q$26),'Adjustment Surface'!$AO$26:$BH$26,1)),$AO$26:$BH$26,0))*('Adjustment Surface'!$O27-INDEX('Adjustment Surface'!$AN$27:$AN$46,MATCH(('Adjustment Surface'!$O27),'Adjustment Surface'!$AN$27:$AN$46,1)))*(INDEX('Adjustment Surface'!$AO$26:$BH$26,1,MATCH(('Adjustment Surface'!Q$26),'Adjustment Surface'!$AO$26:$BH$26,1)+IF('Adjustment Surface'!R$26="",-1,1))-'Adjustment Surface'!Q$26)+INDEX($AO$27:$BH$46,MATCH(INDEX('Adjustment Surface'!$AN$27:$AN$46,MATCH(('Adjustment Surface'!$O27),'Adjustment Surface'!$AN$27:$AN$46,1)),$AN$27:$AN$46,0),MATCH(INDEX('Adjustment Surface'!$AO$26:$BH$26,1,MATCH(('Adjustment Surface'!Q$26),'Adjustment Surface'!$AO$26:$BH$26,1)+IF('Adjustment Surface'!R$26="",-1,1)),$AO$26:$BH$26,0))*(INDEX('Adjustment Surface'!$AN$27:$AN$46,MATCH(('Adjustment Surface'!$O27),'Adjustment Surface'!$AN$27:$AN$46,1)+IF('Adjustment Surface'!$O28="",-1,1))-'Adjustment Surface'!$O27)*('Adjustment Surface'!Q$26-INDEX('Adjustment Surface'!$AO$26:$BH$26,1,MATCH(('Adjustment Surface'!Q$26),'Adjustment Surface'!$AO$26:$BH$26,1)))+INDEX($AO$27:$BH$46,MATCH(INDEX('Adjustment Surface'!$AN$27:$AN$46,MATCH(('Adjustment Surface'!$O27),'Adjustment Surface'!$AN$27:$AN$46,1)+IF('Adjustment Surface'!$O28="",-1,1)),$AN$27:$AN$46,0),MATCH(INDEX('Adjustment Surface'!$AO$26:$BH$26,1,MATCH(('Adjustment Surface'!Q$26),'Adjustment Surface'!$AO$26:$BH$26,1)+IF('Adjustment Surface'!R$26="",-1,1)),$AO$26:$BH$26,0))*('Adjustment Surface'!$O27-INDEX('Adjustment Surface'!$AN$27:$AN$46,MATCH(('Adjustment Surface'!$O27),'Adjustment Surface'!$AN$27:$AN$46,1)))*('Adjustment Surface'!Q$26-INDEX('Adjustment Surface'!$AO$26:$BH$26,1,MATCH(('Adjustment Surface'!Q$26),'Adjustment Surface'!$AO$26:$BH$26,1)))))</f>
        <v>6.1477782032926566E-2</v>
      </c>
      <c r="R27" s="190" cm="1">
        <f t="array" ref="R27">IF(OR(R$26="",$O27=""),"",1/((INDEX('Adjustment Surface'!$AN$27:$AN$46,MATCH(('Adjustment Surface'!$O27),'Adjustment Surface'!$AN$27:$AN$46,1)+IF('Adjustment Surface'!$O28="",-1,1))-INDEX('Adjustment Surface'!$AN$27:$AN$46,MATCH(('Adjustment Surface'!$O27),'Adjustment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Surface'!$O27),'Adjustment Surface'!$AN$27:$AN$46,1)),$AN$27:$AN$46,0),MATCH(INDEX('Adjustment Surface'!$AO$26:$BH$26,1,MATCH(('Adjustment Surface'!R$26),'Adjustment Surface'!$AO$26:$BH$26,1)),$AO$26:$BH$26,0))*(INDEX('Adjustment Surface'!$AN$27:$AN$46,MATCH(('Adjustment Surface'!$O27),'Adjustment Surface'!$AN$27:$AN$46,1)+IF('Adjustment Surface'!$O28="",-1,1))-'Adjustment Surface'!$O27)*(INDEX('Adjustment Surface'!$AO$26:$BH$26,1,MATCH(('Adjustment Surface'!R$26),'Adjustment Surface'!$AO$26:$BH$26,1)+IF('Adjustment Surface'!S$26="",-1,1))-'Adjustment Surface'!R$26)+INDEX($AO$27:$BH$46,MATCH(INDEX('Adjustment Surface'!$AN$27:$AN$46,MATCH(('Adjustment Surface'!$O27),'Adjustment Surface'!$AN$27:$AN$46,1)+IF('Adjustment Surface'!$O28="",-1,1)),$AN$27:$AN$46,0),MATCH(INDEX('Adjustment Surface'!$AO$26:$BH$26,1,MATCH(('Adjustment Surface'!R$26),'Adjustment Surface'!$AO$26:$BH$26,1)),$AO$26:$BH$26,0))*('Adjustment Surface'!$O27-INDEX('Adjustment Surface'!$AN$27:$AN$46,MATCH(('Adjustment Surface'!$O27),'Adjustment Surface'!$AN$27:$AN$46,1)))*(INDEX('Adjustment Surface'!$AO$26:$BH$26,1,MATCH(('Adjustment Surface'!R$26),'Adjustment Surface'!$AO$26:$BH$26,1)+IF('Adjustment Surface'!S$26="",-1,1))-'Adjustment Surface'!R$26)+INDEX($AO$27:$BH$46,MATCH(INDEX('Adjustment Surface'!$AN$27:$AN$46,MATCH(('Adjustment Surface'!$O27),'Adjustment Surface'!$AN$27:$AN$46,1)),$AN$27:$AN$46,0),MATCH(INDEX('Adjustment Surface'!$AO$26:$BH$26,1,MATCH(('Adjustment Surface'!R$26),'Adjustment Surface'!$AO$26:$BH$26,1)+IF('Adjustment Surface'!S$26="",-1,1)),$AO$26:$BH$26,0))*(INDEX('Adjustment Surface'!$AN$27:$AN$46,MATCH(('Adjustment Surface'!$O27),'Adjustment Surface'!$AN$27:$AN$46,1)+IF('Adjustment Surface'!$O28="",-1,1))-'Adjustment Surface'!$O27)*('Adjustment Surface'!R$26-INDEX('Adjustment Surface'!$AO$26:$BH$26,1,MATCH(('Adjustment Surface'!R$26),'Adjustment Surface'!$AO$26:$BH$26,1)))+INDEX($AO$27:$BH$46,MATCH(INDEX('Adjustment Surface'!$AN$27:$AN$46,MATCH(('Adjustment Surface'!$O27),'Adjustment Surface'!$AN$27:$AN$46,1)+IF('Adjustment Surface'!$O28="",-1,1)),$AN$27:$AN$46,0),MATCH(INDEX('Adjustment Surface'!$AO$26:$BH$26,1,MATCH(('Adjustment Surface'!R$26),'Adjustment Surface'!$AO$26:$BH$26,1)+IF('Adjustment Surface'!S$26="",-1,1)),$AO$26:$BH$26,0))*('Adjustment Surface'!$O27-INDEX('Adjustment Surface'!$AN$27:$AN$46,MATCH(('Adjustment Surface'!$O27),'Adjustment Surface'!$AN$27:$AN$46,1)))*('Adjustment Surface'!R$26-INDEX('Adjustment Surface'!$AO$26:$BH$26,1,MATCH(('Adjustment Surface'!R$26),'Adjustment Surface'!$AO$26:$BH$26,1)))))</f>
        <v>5.5558825256438231E-2</v>
      </c>
      <c r="S27" s="190" cm="1">
        <f t="array" ref="S27">IF(OR(S$26="",$O27=""),"",1/((INDEX('Adjustment Surface'!$AN$27:$AN$46,MATCH(('Adjustment Surface'!$O27),'Adjustment Surface'!$AN$27:$AN$46,1)+IF('Adjustment Surface'!$O28="",-1,1))-INDEX('Adjustment Surface'!$AN$27:$AN$46,MATCH(('Adjustment Surface'!$O27),'Adjustment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Surface'!$O27),'Adjustment Surface'!$AN$27:$AN$46,1)),$AN$27:$AN$46,0),MATCH(INDEX('Adjustment Surface'!$AO$26:$BH$26,1,MATCH(('Adjustment Surface'!S$26),'Adjustment Surface'!$AO$26:$BH$26,1)),$AO$26:$BH$26,0))*(INDEX('Adjustment Surface'!$AN$27:$AN$46,MATCH(('Adjustment Surface'!$O27),'Adjustment Surface'!$AN$27:$AN$46,1)+IF('Adjustment Surface'!$O28="",-1,1))-'Adjustment Surface'!$O27)*(INDEX('Adjustment Surface'!$AO$26:$BH$26,1,MATCH(('Adjustment Surface'!S$26),'Adjustment Surface'!$AO$26:$BH$26,1)+IF('Adjustment Surface'!T$26="",-1,1))-'Adjustment Surface'!S$26)+INDEX($AO$27:$BH$46,MATCH(INDEX('Adjustment Surface'!$AN$27:$AN$46,MATCH(('Adjustment Surface'!$O27),'Adjustment Surface'!$AN$27:$AN$46,1)+IF('Adjustment Surface'!$O28="",-1,1)),$AN$27:$AN$46,0),MATCH(INDEX('Adjustment Surface'!$AO$26:$BH$26,1,MATCH(('Adjustment Surface'!S$26),'Adjustment Surface'!$AO$26:$BH$26,1)),$AO$26:$BH$26,0))*('Adjustment Surface'!$O27-INDEX('Adjustment Surface'!$AN$27:$AN$46,MATCH(('Adjustment Surface'!$O27),'Adjustment Surface'!$AN$27:$AN$46,1)))*(INDEX('Adjustment Surface'!$AO$26:$BH$26,1,MATCH(('Adjustment Surface'!S$26),'Adjustment Surface'!$AO$26:$BH$26,1)+IF('Adjustment Surface'!T$26="",-1,1))-'Adjustment Surface'!S$26)+INDEX($AO$27:$BH$46,MATCH(INDEX('Adjustment Surface'!$AN$27:$AN$46,MATCH(('Adjustment Surface'!$O27),'Adjustment Surface'!$AN$27:$AN$46,1)),$AN$27:$AN$46,0),MATCH(INDEX('Adjustment Surface'!$AO$26:$BH$26,1,MATCH(('Adjustment Surface'!S$26),'Adjustment Surface'!$AO$26:$BH$26,1)+IF('Adjustment Surface'!T$26="",-1,1)),$AO$26:$BH$26,0))*(INDEX('Adjustment Surface'!$AN$27:$AN$46,MATCH(('Adjustment Surface'!$O27),'Adjustment Surface'!$AN$27:$AN$46,1)+IF('Adjustment Surface'!$O28="",-1,1))-'Adjustment Surface'!$O27)*('Adjustment Surface'!S$26-INDEX('Adjustment Surface'!$AO$26:$BH$26,1,MATCH(('Adjustment Surface'!S$26),'Adjustment Surface'!$AO$26:$BH$26,1)))+INDEX($AO$27:$BH$46,MATCH(INDEX('Adjustment Surface'!$AN$27:$AN$46,MATCH(('Adjustment Surface'!$O27),'Adjustment Surface'!$AN$27:$AN$46,1)+IF('Adjustment Surface'!$O28="",-1,1)),$AN$27:$AN$46,0),MATCH(INDEX('Adjustment Surface'!$AO$26:$BH$26,1,MATCH(('Adjustment Surface'!S$26),'Adjustment Surface'!$AO$26:$BH$26,1)+IF('Adjustment Surface'!T$26="",-1,1)),$AO$26:$BH$26,0))*('Adjustment Surface'!$O27-INDEX('Adjustment Surface'!$AN$27:$AN$46,MATCH(('Adjustment Surface'!$O27),'Adjustment Surface'!$AN$27:$AN$46,1)))*('Adjustment Surface'!S$26-INDEX('Adjustment Surface'!$AO$26:$BH$26,1,MATCH(('Adjustment Surface'!S$26),'Adjustment Surface'!$AO$26:$BH$26,1)))))</f>
        <v>4.9639868479949889E-2</v>
      </c>
      <c r="T27" s="190" cm="1">
        <f t="array" ref="T27">IF(OR(T$26="",$O27=""),"",1/((INDEX('Adjustment Surface'!$AN$27:$AN$46,MATCH(('Adjustment Surface'!$O27),'Adjustment Surface'!$AN$27:$AN$46,1)+IF('Adjustment Surface'!$O28="",-1,1))-INDEX('Adjustment Surface'!$AN$27:$AN$46,MATCH(('Adjustment Surface'!$O27),'Adjustment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Surface'!$O27),'Adjustment Surface'!$AN$27:$AN$46,1)),$AN$27:$AN$46,0),MATCH(INDEX('Adjustment Surface'!$AO$26:$BH$26,1,MATCH(('Adjustment Surface'!T$26),'Adjustment Surface'!$AO$26:$BH$26,1)),$AO$26:$BH$26,0))*(INDEX('Adjustment Surface'!$AN$27:$AN$46,MATCH(('Adjustment Surface'!$O27),'Adjustment Surface'!$AN$27:$AN$46,1)+IF('Adjustment Surface'!$O28="",-1,1))-'Adjustment Surface'!$O27)*(INDEX('Adjustment Surface'!$AO$26:$BH$26,1,MATCH(('Adjustment Surface'!T$26),'Adjustment Surface'!$AO$26:$BH$26,1)+IF('Adjustment Surface'!U$26="",-1,1))-'Adjustment Surface'!T$26)+INDEX($AO$27:$BH$46,MATCH(INDEX('Adjustment Surface'!$AN$27:$AN$46,MATCH(('Adjustment Surface'!$O27),'Adjustment Surface'!$AN$27:$AN$46,1)+IF('Adjustment Surface'!$O28="",-1,1)),$AN$27:$AN$46,0),MATCH(INDEX('Adjustment Surface'!$AO$26:$BH$26,1,MATCH(('Adjustment Surface'!T$26),'Adjustment Surface'!$AO$26:$BH$26,1)),$AO$26:$BH$26,0))*('Adjustment Surface'!$O27-INDEX('Adjustment Surface'!$AN$27:$AN$46,MATCH(('Adjustment Surface'!$O27),'Adjustment Surface'!$AN$27:$AN$46,1)))*(INDEX('Adjustment Surface'!$AO$26:$BH$26,1,MATCH(('Adjustment Surface'!T$26),'Adjustment Surface'!$AO$26:$BH$26,1)+IF('Adjustment Surface'!U$26="",-1,1))-'Adjustment Surface'!T$26)+INDEX($AO$27:$BH$46,MATCH(INDEX('Adjustment Surface'!$AN$27:$AN$46,MATCH(('Adjustment Surface'!$O27),'Adjustment Surface'!$AN$27:$AN$46,1)),$AN$27:$AN$46,0),MATCH(INDEX('Adjustment Surface'!$AO$26:$BH$26,1,MATCH(('Adjustment Surface'!T$26),'Adjustment Surface'!$AO$26:$BH$26,1)+IF('Adjustment Surface'!U$26="",-1,1)),$AO$26:$BH$26,0))*(INDEX('Adjustment Surface'!$AN$27:$AN$46,MATCH(('Adjustment Surface'!$O27),'Adjustment Surface'!$AN$27:$AN$46,1)+IF('Adjustment Surface'!$O28="",-1,1))-'Adjustment Surface'!$O27)*('Adjustment Surface'!T$26-INDEX('Adjustment Surface'!$AO$26:$BH$26,1,MATCH(('Adjustment Surface'!T$26),'Adjustment Surface'!$AO$26:$BH$26,1)))+INDEX($AO$27:$BH$46,MATCH(INDEX('Adjustment Surface'!$AN$27:$AN$46,MATCH(('Adjustment Surface'!$O27),'Adjustment Surface'!$AN$27:$AN$46,1)+IF('Adjustment Surface'!$O28="",-1,1)),$AN$27:$AN$46,0),MATCH(INDEX('Adjustment Surface'!$AO$26:$BH$26,1,MATCH(('Adjustment Surface'!T$26),'Adjustment Surface'!$AO$26:$BH$26,1)+IF('Adjustment Surface'!U$26="",-1,1)),$AO$26:$BH$26,0))*('Adjustment Surface'!$O27-INDEX('Adjustment Surface'!$AN$27:$AN$46,MATCH(('Adjustment Surface'!$O27),'Adjustment Surface'!$AN$27:$AN$46,1)))*('Adjustment Surface'!T$26-INDEX('Adjustment Surface'!$AO$26:$BH$26,1,MATCH(('Adjustment Surface'!T$26),'Adjustment Surface'!$AO$26:$BH$26,1)))))</f>
        <v>4.3720911703461561E-2</v>
      </c>
      <c r="U27" s="190" cm="1">
        <f t="array" ref="U27">IF(OR(U$26="",$O27=""),"",1/((INDEX('Adjustment Surface'!$AN$27:$AN$46,MATCH(('Adjustment Surface'!$O27),'Adjustment Surface'!$AN$27:$AN$46,1)+IF('Adjustment Surface'!$O28="",-1,1))-INDEX('Adjustment Surface'!$AN$27:$AN$46,MATCH(('Adjustment Surface'!$O27),'Adjustment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Surface'!$O27),'Adjustment Surface'!$AN$27:$AN$46,1)),$AN$27:$AN$46,0),MATCH(INDEX('Adjustment Surface'!$AO$26:$BH$26,1,MATCH(('Adjustment Surface'!U$26),'Adjustment Surface'!$AO$26:$BH$26,1)),$AO$26:$BH$26,0))*(INDEX('Adjustment Surface'!$AN$27:$AN$46,MATCH(('Adjustment Surface'!$O27),'Adjustment Surface'!$AN$27:$AN$46,1)+IF('Adjustment Surface'!$O28="",-1,1))-'Adjustment Surface'!$O27)*(INDEX('Adjustment Surface'!$AO$26:$BH$26,1,MATCH(('Adjustment Surface'!U$26),'Adjustment Surface'!$AO$26:$BH$26,1)+IF('Adjustment Surface'!V$26="",-1,1))-'Adjustment Surface'!U$26)+INDEX($AO$27:$BH$46,MATCH(INDEX('Adjustment Surface'!$AN$27:$AN$46,MATCH(('Adjustment Surface'!$O27),'Adjustment Surface'!$AN$27:$AN$46,1)+IF('Adjustment Surface'!$O28="",-1,1)),$AN$27:$AN$46,0),MATCH(INDEX('Adjustment Surface'!$AO$26:$BH$26,1,MATCH(('Adjustment Surface'!U$26),'Adjustment Surface'!$AO$26:$BH$26,1)),$AO$26:$BH$26,0))*('Adjustment Surface'!$O27-INDEX('Adjustment Surface'!$AN$27:$AN$46,MATCH(('Adjustment Surface'!$O27),'Adjustment Surface'!$AN$27:$AN$46,1)))*(INDEX('Adjustment Surface'!$AO$26:$BH$26,1,MATCH(('Adjustment Surface'!U$26),'Adjustment Surface'!$AO$26:$BH$26,1)+IF('Adjustment Surface'!V$26="",-1,1))-'Adjustment Surface'!U$26)+INDEX($AO$27:$BH$46,MATCH(INDEX('Adjustment Surface'!$AN$27:$AN$46,MATCH(('Adjustment Surface'!$O27),'Adjustment Surface'!$AN$27:$AN$46,1)),$AN$27:$AN$46,0),MATCH(INDEX('Adjustment Surface'!$AO$26:$BH$26,1,MATCH(('Adjustment Surface'!U$26),'Adjustment Surface'!$AO$26:$BH$26,1)+IF('Adjustment Surface'!V$26="",-1,1)),$AO$26:$BH$26,0))*(INDEX('Adjustment Surface'!$AN$27:$AN$46,MATCH(('Adjustment Surface'!$O27),'Adjustment Surface'!$AN$27:$AN$46,1)+IF('Adjustment Surface'!$O28="",-1,1))-'Adjustment Surface'!$O27)*('Adjustment Surface'!U$26-INDEX('Adjustment Surface'!$AO$26:$BH$26,1,MATCH(('Adjustment Surface'!U$26),'Adjustment Surface'!$AO$26:$BH$26,1)))+INDEX($AO$27:$BH$46,MATCH(INDEX('Adjustment Surface'!$AN$27:$AN$46,MATCH(('Adjustment Surface'!$O27),'Adjustment Surface'!$AN$27:$AN$46,1)+IF('Adjustment Surface'!$O28="",-1,1)),$AN$27:$AN$46,0),MATCH(INDEX('Adjustment Surface'!$AO$26:$BH$26,1,MATCH(('Adjustment Surface'!U$26),'Adjustment Surface'!$AO$26:$BH$26,1)+IF('Adjustment Surface'!V$26="",-1,1)),$AO$26:$BH$26,0))*('Adjustment Surface'!$O27-INDEX('Adjustment Surface'!$AN$27:$AN$46,MATCH(('Adjustment Surface'!$O27),'Adjustment Surface'!$AN$27:$AN$46,1)))*('Adjustment Surface'!U$26-INDEX('Adjustment Surface'!$AO$26:$BH$26,1,MATCH(('Adjustment Surface'!U$26),'Adjustment Surface'!$AO$26:$BH$26,1)))))</f>
        <v>3.9272359195790606E-2</v>
      </c>
      <c r="V27" s="190" cm="1">
        <f t="array" ref="V27">IF(OR(V$26="",$O27=""),"",1/((INDEX('Adjustment Surface'!$AN$27:$AN$46,MATCH(('Adjustment Surface'!$O27),'Adjustment Surface'!$AN$27:$AN$46,1)+IF('Adjustment Surface'!$O28="",-1,1))-INDEX('Adjustment Surface'!$AN$27:$AN$46,MATCH(('Adjustment Surface'!$O27),'Adjustment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Surface'!$O27),'Adjustment Surface'!$AN$27:$AN$46,1)),$AN$27:$AN$46,0),MATCH(INDEX('Adjustment Surface'!$AO$26:$BH$26,1,MATCH(('Adjustment Surface'!V$26),'Adjustment Surface'!$AO$26:$BH$26,1)),$AO$26:$BH$26,0))*(INDEX('Adjustment Surface'!$AN$27:$AN$46,MATCH(('Adjustment Surface'!$O27),'Adjustment Surface'!$AN$27:$AN$46,1)+IF('Adjustment Surface'!$O28="",-1,1))-'Adjustment Surface'!$O27)*(INDEX('Adjustment Surface'!$AO$26:$BH$26,1,MATCH(('Adjustment Surface'!V$26),'Adjustment Surface'!$AO$26:$BH$26,1)+IF('Adjustment Surface'!W$26="",-1,1))-'Adjustment Surface'!V$26)+INDEX($AO$27:$BH$46,MATCH(INDEX('Adjustment Surface'!$AN$27:$AN$46,MATCH(('Adjustment Surface'!$O27),'Adjustment Surface'!$AN$27:$AN$46,1)+IF('Adjustment Surface'!$O28="",-1,1)),$AN$27:$AN$46,0),MATCH(INDEX('Adjustment Surface'!$AO$26:$BH$26,1,MATCH(('Adjustment Surface'!V$26),'Adjustment Surface'!$AO$26:$BH$26,1)),$AO$26:$BH$26,0))*('Adjustment Surface'!$O27-INDEX('Adjustment Surface'!$AN$27:$AN$46,MATCH(('Adjustment Surface'!$O27),'Adjustment Surface'!$AN$27:$AN$46,1)))*(INDEX('Adjustment Surface'!$AO$26:$BH$26,1,MATCH(('Adjustment Surface'!V$26),'Adjustment Surface'!$AO$26:$BH$26,1)+IF('Adjustment Surface'!W$26="",-1,1))-'Adjustment Surface'!V$26)+INDEX($AO$27:$BH$46,MATCH(INDEX('Adjustment Surface'!$AN$27:$AN$46,MATCH(('Adjustment Surface'!$O27),'Adjustment Surface'!$AN$27:$AN$46,1)),$AN$27:$AN$46,0),MATCH(INDEX('Adjustment Surface'!$AO$26:$BH$26,1,MATCH(('Adjustment Surface'!V$26),'Adjustment Surface'!$AO$26:$BH$26,1)+IF('Adjustment Surface'!W$26="",-1,1)),$AO$26:$BH$26,0))*(INDEX('Adjustment Surface'!$AN$27:$AN$46,MATCH(('Adjustment Surface'!$O27),'Adjustment Surface'!$AN$27:$AN$46,1)+IF('Adjustment Surface'!$O28="",-1,1))-'Adjustment Surface'!$O27)*('Adjustment Surface'!V$26-INDEX('Adjustment Surface'!$AO$26:$BH$26,1,MATCH(('Adjustment Surface'!V$26),'Adjustment Surface'!$AO$26:$BH$26,1)))+INDEX($AO$27:$BH$46,MATCH(INDEX('Adjustment Surface'!$AN$27:$AN$46,MATCH(('Adjustment Surface'!$O27),'Adjustment Surface'!$AN$27:$AN$46,1)+IF('Adjustment Surface'!$O28="",-1,1)),$AN$27:$AN$46,0),MATCH(INDEX('Adjustment Surface'!$AO$26:$BH$26,1,MATCH(('Adjustment Surface'!V$26),'Adjustment Surface'!$AO$26:$BH$26,1)+IF('Adjustment Surface'!W$26="",-1,1)),$AO$26:$BH$26,0))*('Adjustment Surface'!$O27-INDEX('Adjustment Surface'!$AN$27:$AN$46,MATCH(('Adjustment Surface'!$O27),'Adjustment Surface'!$AN$27:$AN$46,1)))*('Adjustment Surface'!V$26-INDEX('Adjustment Surface'!$AO$26:$BH$26,1,MATCH(('Adjustment Surface'!V$26),'Adjustment Surface'!$AO$26:$BH$26,1)))))</f>
        <v>3.4724949965726948E-2</v>
      </c>
      <c r="W27" s="190" cm="1">
        <f t="array" ref="W27">IF(OR(W$26="",$O27=""),"",1/((INDEX('Adjustment Surface'!$AN$27:$AN$46,MATCH(('Adjustment Surface'!$O27),'Adjustment Surface'!$AN$27:$AN$46,1)+IF('Adjustment Surface'!$O28="",-1,1))-INDEX('Adjustment Surface'!$AN$27:$AN$46,MATCH(('Adjustment Surface'!$O27),'Adjustment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Surface'!$O27),'Adjustment Surface'!$AN$27:$AN$46,1)),$AN$27:$AN$46,0),MATCH(INDEX('Adjustment Surface'!$AO$26:$BH$26,1,MATCH(('Adjustment Surface'!W$26),'Adjustment Surface'!$AO$26:$BH$26,1)),$AO$26:$BH$26,0))*(INDEX('Adjustment Surface'!$AN$27:$AN$46,MATCH(('Adjustment Surface'!$O27),'Adjustment Surface'!$AN$27:$AN$46,1)+IF('Adjustment Surface'!$O28="",-1,1))-'Adjustment Surface'!$O27)*(INDEX('Adjustment Surface'!$AO$26:$BH$26,1,MATCH(('Adjustment Surface'!W$26),'Adjustment Surface'!$AO$26:$BH$26,1)+IF('Adjustment Surface'!X$26="",-1,1))-'Adjustment Surface'!W$26)+INDEX($AO$27:$BH$46,MATCH(INDEX('Adjustment Surface'!$AN$27:$AN$46,MATCH(('Adjustment Surface'!$O27),'Adjustment Surface'!$AN$27:$AN$46,1)+IF('Adjustment Surface'!$O28="",-1,1)),$AN$27:$AN$46,0),MATCH(INDEX('Adjustment Surface'!$AO$26:$BH$26,1,MATCH(('Adjustment Surface'!W$26),'Adjustment Surface'!$AO$26:$BH$26,1)),$AO$26:$BH$26,0))*('Adjustment Surface'!$O27-INDEX('Adjustment Surface'!$AN$27:$AN$46,MATCH(('Adjustment Surface'!$O27),'Adjustment Surface'!$AN$27:$AN$46,1)))*(INDEX('Adjustment Surface'!$AO$26:$BH$26,1,MATCH(('Adjustment Surface'!W$26),'Adjustment Surface'!$AO$26:$BH$26,1)+IF('Adjustment Surface'!X$26="",-1,1))-'Adjustment Surface'!W$26)+INDEX($AO$27:$BH$46,MATCH(INDEX('Adjustment Surface'!$AN$27:$AN$46,MATCH(('Adjustment Surface'!$O27),'Adjustment Surface'!$AN$27:$AN$46,1)),$AN$27:$AN$46,0),MATCH(INDEX('Adjustment Surface'!$AO$26:$BH$26,1,MATCH(('Adjustment Surface'!W$26),'Adjustment Surface'!$AO$26:$BH$26,1)+IF('Adjustment Surface'!X$26="",-1,1)),$AO$26:$BH$26,0))*(INDEX('Adjustment Surface'!$AN$27:$AN$46,MATCH(('Adjustment Surface'!$O27),'Adjustment Surface'!$AN$27:$AN$46,1)+IF('Adjustment Surface'!$O28="",-1,1))-'Adjustment Surface'!$O27)*('Adjustment Surface'!W$26-INDEX('Adjustment Surface'!$AO$26:$BH$26,1,MATCH(('Adjustment Surface'!W$26),'Adjustment Surface'!$AO$26:$BH$26,1)))+INDEX($AO$27:$BH$46,MATCH(INDEX('Adjustment Surface'!$AN$27:$AN$46,MATCH(('Adjustment Surface'!$O27),'Adjustment Surface'!$AN$27:$AN$46,1)+IF('Adjustment Surface'!$O28="",-1,1)),$AN$27:$AN$46,0),MATCH(INDEX('Adjustment Surface'!$AO$26:$BH$26,1,MATCH(('Adjustment Surface'!W$26),'Adjustment Surface'!$AO$26:$BH$26,1)+IF('Adjustment Surface'!X$26="",-1,1)),$AO$26:$BH$26,0))*('Adjustment Surface'!$O27-INDEX('Adjustment Surface'!$AN$27:$AN$46,MATCH(('Adjustment Surface'!$O27),'Adjustment Surface'!$AN$27:$AN$46,1)))*('Adjustment Surface'!W$26-INDEX('Adjustment Surface'!$AO$26:$BH$26,1,MATCH(('Adjustment Surface'!W$26),'Adjustment Surface'!$AO$26:$BH$26,1)))))</f>
        <v>3.0177540735663297E-2</v>
      </c>
      <c r="X27" s="190" cm="1">
        <f t="array" ref="X27">IF(OR(X$26="",$O27=""),"",1/((INDEX('Adjustment Surface'!$AN$27:$AN$46,MATCH(('Adjustment Surface'!$O27),'Adjustment Surface'!$AN$27:$AN$46,1)+IF('Adjustment Surface'!$O28="",-1,1))-INDEX('Adjustment Surface'!$AN$27:$AN$46,MATCH(('Adjustment Surface'!$O27),'Adjustment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Surface'!$O27),'Adjustment Surface'!$AN$27:$AN$46,1)),$AN$27:$AN$46,0),MATCH(INDEX('Adjustment Surface'!$AO$26:$BH$26,1,MATCH(('Adjustment Surface'!X$26),'Adjustment Surface'!$AO$26:$BH$26,1)),$AO$26:$BH$26,0))*(INDEX('Adjustment Surface'!$AN$27:$AN$46,MATCH(('Adjustment Surface'!$O27),'Adjustment Surface'!$AN$27:$AN$46,1)+IF('Adjustment Surface'!$O28="",-1,1))-'Adjustment Surface'!$O27)*(INDEX('Adjustment Surface'!$AO$26:$BH$26,1,MATCH(('Adjustment Surface'!X$26),'Adjustment Surface'!$AO$26:$BH$26,1)+IF('Adjustment Surface'!Y$26="",-1,1))-'Adjustment Surface'!X$26)+INDEX($AO$27:$BH$46,MATCH(INDEX('Adjustment Surface'!$AN$27:$AN$46,MATCH(('Adjustment Surface'!$O27),'Adjustment Surface'!$AN$27:$AN$46,1)+IF('Adjustment Surface'!$O28="",-1,1)),$AN$27:$AN$46,0),MATCH(INDEX('Adjustment Surface'!$AO$26:$BH$26,1,MATCH(('Adjustment Surface'!X$26),'Adjustment Surface'!$AO$26:$BH$26,1)),$AO$26:$BH$26,0))*('Adjustment Surface'!$O27-INDEX('Adjustment Surface'!$AN$27:$AN$46,MATCH(('Adjustment Surface'!$O27),'Adjustment Surface'!$AN$27:$AN$46,1)))*(INDEX('Adjustment Surface'!$AO$26:$BH$26,1,MATCH(('Adjustment Surface'!X$26),'Adjustment Surface'!$AO$26:$BH$26,1)+IF('Adjustment Surface'!Y$26="",-1,1))-'Adjustment Surface'!X$26)+INDEX($AO$27:$BH$46,MATCH(INDEX('Adjustment Surface'!$AN$27:$AN$46,MATCH(('Adjustment Surface'!$O27),'Adjustment Surface'!$AN$27:$AN$46,1)),$AN$27:$AN$46,0),MATCH(INDEX('Adjustment Surface'!$AO$26:$BH$26,1,MATCH(('Adjustment Surface'!X$26),'Adjustment Surface'!$AO$26:$BH$26,1)+IF('Adjustment Surface'!Y$26="",-1,1)),$AO$26:$BH$26,0))*(INDEX('Adjustment Surface'!$AN$27:$AN$46,MATCH(('Adjustment Surface'!$O27),'Adjustment Surface'!$AN$27:$AN$46,1)+IF('Adjustment Surface'!$O28="",-1,1))-'Adjustment Surface'!$O27)*('Adjustment Surface'!X$26-INDEX('Adjustment Surface'!$AO$26:$BH$26,1,MATCH(('Adjustment Surface'!X$26),'Adjustment Surface'!$AO$26:$BH$26,1)))+INDEX($AO$27:$BH$46,MATCH(INDEX('Adjustment Surface'!$AN$27:$AN$46,MATCH(('Adjustment Surface'!$O27),'Adjustment Surface'!$AN$27:$AN$46,1)+IF('Adjustment Surface'!$O28="",-1,1)),$AN$27:$AN$46,0),MATCH(INDEX('Adjustment Surface'!$AO$26:$BH$26,1,MATCH(('Adjustment Surface'!X$26),'Adjustment Surface'!$AO$26:$BH$26,1)+IF('Adjustment Surface'!Y$26="",-1,1)),$AO$26:$BH$26,0))*('Adjustment Surface'!$O27-INDEX('Adjustment Surface'!$AN$27:$AN$46,MATCH(('Adjustment Surface'!$O27),'Adjustment Surface'!$AN$27:$AN$46,1)))*('Adjustment Surface'!X$26-INDEX('Adjustment Surface'!$AO$26:$BH$26,1,MATCH(('Adjustment Surface'!X$26),'Adjustment Surface'!$AO$26:$BH$26,1)))))</f>
        <v>2.5630131505599649E-2</v>
      </c>
      <c r="Y27" s="190" t="str" cm="1">
        <f t="array" ref="Y27">IF(OR(Y$26="",$O27=""),"",1/((INDEX('Adjustment Surface'!$AN$27:$AN$46,MATCH(('Adjustment Surface'!$O27),'Adjustment Surface'!$AN$27:$AN$46,1)+IF('Adjustment Surface'!$O28="",-1,1))-INDEX('Adjustment Surface'!$AN$27:$AN$46,MATCH(('Adjustment Surface'!$O27),'Adjustment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Surface'!$O27),'Adjustment Surface'!$AN$27:$AN$46,1)),$AN$27:$AN$46,0),MATCH(INDEX('Adjustment Surface'!$AO$26:$BH$26,1,MATCH(('Adjustment Surface'!Y$26),'Adjustment Surface'!$AO$26:$BH$26,1)),$AO$26:$BH$26,0))*(INDEX('Adjustment Surface'!$AN$27:$AN$46,MATCH(('Adjustment Surface'!$O27),'Adjustment Surface'!$AN$27:$AN$46,1)+IF('Adjustment Surface'!$O28="",-1,1))-'Adjustment Surface'!$O27)*(INDEX('Adjustment Surface'!$AO$26:$BH$26,1,MATCH(('Adjustment Surface'!Y$26),'Adjustment Surface'!$AO$26:$BH$26,1)+IF('Adjustment Surface'!Z$26="",-1,1))-'Adjustment Surface'!Y$26)+INDEX($AO$27:$BH$46,MATCH(INDEX('Adjustment Surface'!$AN$27:$AN$46,MATCH(('Adjustment Surface'!$O27),'Adjustment Surface'!$AN$27:$AN$46,1)+IF('Adjustment Surface'!$O28="",-1,1)),$AN$27:$AN$46,0),MATCH(INDEX('Adjustment Surface'!$AO$26:$BH$26,1,MATCH(('Adjustment Surface'!Y$26),'Adjustment Surface'!$AO$26:$BH$26,1)),$AO$26:$BH$26,0))*('Adjustment Surface'!$O27-INDEX('Adjustment Surface'!$AN$27:$AN$46,MATCH(('Adjustment Surface'!$O27),'Adjustment Surface'!$AN$27:$AN$46,1)))*(INDEX('Adjustment Surface'!$AO$26:$BH$26,1,MATCH(('Adjustment Surface'!Y$26),'Adjustment Surface'!$AO$26:$BH$26,1)+IF('Adjustment Surface'!Z$26="",-1,1))-'Adjustment Surface'!Y$26)+INDEX($AO$27:$BH$46,MATCH(INDEX('Adjustment Surface'!$AN$27:$AN$46,MATCH(('Adjustment Surface'!$O27),'Adjustment Surface'!$AN$27:$AN$46,1)),$AN$27:$AN$46,0),MATCH(INDEX('Adjustment Surface'!$AO$26:$BH$26,1,MATCH(('Adjustment Surface'!Y$26),'Adjustment Surface'!$AO$26:$BH$26,1)+IF('Adjustment Surface'!Z$26="",-1,1)),$AO$26:$BH$26,0))*(INDEX('Adjustment Surface'!$AN$27:$AN$46,MATCH(('Adjustment Surface'!$O27),'Adjustment Surface'!$AN$27:$AN$46,1)+IF('Adjustment Surface'!$O28="",-1,1))-'Adjustment Surface'!$O27)*('Adjustment Surface'!Y$26-INDEX('Adjustment Surface'!$AO$26:$BH$26,1,MATCH(('Adjustment Surface'!Y$26),'Adjustment Surface'!$AO$26:$BH$26,1)))+INDEX($AO$27:$BH$46,MATCH(INDEX('Adjustment Surface'!$AN$27:$AN$46,MATCH(('Adjustment Surface'!$O27),'Adjustment Surface'!$AN$27:$AN$46,1)+IF('Adjustment Surface'!$O28="",-1,1)),$AN$27:$AN$46,0),MATCH(INDEX('Adjustment Surface'!$AO$26:$BH$26,1,MATCH(('Adjustment Surface'!Y$26),'Adjustment Surface'!$AO$26:$BH$26,1)+IF('Adjustment Surface'!Z$26="",-1,1)),$AO$26:$BH$26,0))*('Adjustment Surface'!$O27-INDEX('Adjustment Surface'!$AN$27:$AN$46,MATCH(('Adjustment Surface'!$O27),'Adjustment Surface'!$AN$27:$AN$46,1)))*('Adjustment Surface'!Y$26-INDEX('Adjustment Surface'!$AO$26:$BH$26,1,MATCH(('Adjustment Surface'!Y$26),'Adjustment Surface'!$AO$26:$BH$26,1)))))</f>
        <v/>
      </c>
      <c r="Z27" s="190" t="str" cm="1">
        <f t="array" ref="Z27">IF(OR(Z$26="",$O27=""),"",1/((INDEX('Adjustment Surface'!$AN$27:$AN$46,MATCH(('Adjustment Surface'!$O27),'Adjustment Surface'!$AN$27:$AN$46,1)+IF('Adjustment Surface'!$O28="",-1,1))-INDEX('Adjustment Surface'!$AN$27:$AN$46,MATCH(('Adjustment Surface'!$O27),'Adjustment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Surface'!$O27),'Adjustment Surface'!$AN$27:$AN$46,1)),$AN$27:$AN$46,0),MATCH(INDEX('Adjustment Surface'!$AO$26:$BH$26,1,MATCH(('Adjustment Surface'!Z$26),'Adjustment Surface'!$AO$26:$BH$26,1)),$AO$26:$BH$26,0))*(INDEX('Adjustment Surface'!$AN$27:$AN$46,MATCH(('Adjustment Surface'!$O27),'Adjustment Surface'!$AN$27:$AN$46,1)+IF('Adjustment Surface'!$O28="",-1,1))-'Adjustment Surface'!$O27)*(INDEX('Adjustment Surface'!$AO$26:$BH$26,1,MATCH(('Adjustment Surface'!Z$26),'Adjustment Surface'!$AO$26:$BH$26,1)+IF('Adjustment Surface'!AA$26="",-1,1))-'Adjustment Surface'!Z$26)+INDEX($AO$27:$BH$46,MATCH(INDEX('Adjustment Surface'!$AN$27:$AN$46,MATCH(('Adjustment Surface'!$O27),'Adjustment Surface'!$AN$27:$AN$46,1)+IF('Adjustment Surface'!$O28="",-1,1)),$AN$27:$AN$46,0),MATCH(INDEX('Adjustment Surface'!$AO$26:$BH$26,1,MATCH(('Adjustment Surface'!Z$26),'Adjustment Surface'!$AO$26:$BH$26,1)),$AO$26:$BH$26,0))*('Adjustment Surface'!$O27-INDEX('Adjustment Surface'!$AN$27:$AN$46,MATCH(('Adjustment Surface'!$O27),'Adjustment Surface'!$AN$27:$AN$46,1)))*(INDEX('Adjustment Surface'!$AO$26:$BH$26,1,MATCH(('Adjustment Surface'!Z$26),'Adjustment Surface'!$AO$26:$BH$26,1)+IF('Adjustment Surface'!AA$26="",-1,1))-'Adjustment Surface'!Z$26)+INDEX($AO$27:$BH$46,MATCH(INDEX('Adjustment Surface'!$AN$27:$AN$46,MATCH(('Adjustment Surface'!$O27),'Adjustment Surface'!$AN$27:$AN$46,1)),$AN$27:$AN$46,0),MATCH(INDEX('Adjustment Surface'!$AO$26:$BH$26,1,MATCH(('Adjustment Surface'!Z$26),'Adjustment Surface'!$AO$26:$BH$26,1)+IF('Adjustment Surface'!AA$26="",-1,1)),$AO$26:$BH$26,0))*(INDEX('Adjustment Surface'!$AN$27:$AN$46,MATCH(('Adjustment Surface'!$O27),'Adjustment Surface'!$AN$27:$AN$46,1)+IF('Adjustment Surface'!$O28="",-1,1))-'Adjustment Surface'!$O27)*('Adjustment Surface'!Z$26-INDEX('Adjustment Surface'!$AO$26:$BH$26,1,MATCH(('Adjustment Surface'!Z$26),'Adjustment Surface'!$AO$26:$BH$26,1)))+INDEX($AO$27:$BH$46,MATCH(INDEX('Adjustment Surface'!$AN$27:$AN$46,MATCH(('Adjustment Surface'!$O27),'Adjustment Surface'!$AN$27:$AN$46,1)+IF('Adjustment Surface'!$O28="",-1,1)),$AN$27:$AN$46,0),MATCH(INDEX('Adjustment Surface'!$AO$26:$BH$26,1,MATCH(('Adjustment Surface'!Z$26),'Adjustment Surface'!$AO$26:$BH$26,1)+IF('Adjustment Surface'!AA$26="",-1,1)),$AO$26:$BH$26,0))*('Adjustment Surface'!$O27-INDEX('Adjustment Surface'!$AN$27:$AN$46,MATCH(('Adjustment Surface'!$O27),'Adjustment Surface'!$AN$27:$AN$46,1)))*('Adjustment Surface'!Z$26-INDEX('Adjustment Surface'!$AO$26:$BH$26,1,MATCH(('Adjustment Surface'!Z$26),'Adjustment Surface'!$AO$26:$BH$26,1)))))</f>
        <v/>
      </c>
      <c r="AA27" s="190" t="str" cm="1">
        <f t="array" ref="AA27">IF(OR(AA$26="",$O27=""),"",1/((INDEX('Adjustment Surface'!$AN$27:$AN$46,MATCH(('Adjustment Surface'!$O27),'Adjustment Surface'!$AN$27:$AN$46,1)+IF('Adjustment Surface'!$O28="",-1,1))-INDEX('Adjustment Surface'!$AN$27:$AN$46,MATCH(('Adjustment Surface'!$O27),'Adjustment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Surface'!$O27),'Adjustment Surface'!$AN$27:$AN$46,1)),$AN$27:$AN$46,0),MATCH(INDEX('Adjustment Surface'!$AO$26:$BH$26,1,MATCH(('Adjustment Surface'!AA$26),'Adjustment Surface'!$AO$26:$BH$26,1)),$AO$26:$BH$26,0))*(INDEX('Adjustment Surface'!$AN$27:$AN$46,MATCH(('Adjustment Surface'!$O27),'Adjustment Surface'!$AN$27:$AN$46,1)+IF('Adjustment Surface'!$O28="",-1,1))-'Adjustment Surface'!$O27)*(INDEX('Adjustment Surface'!$AO$26:$BH$26,1,MATCH(('Adjustment Surface'!AA$26),'Adjustment Surface'!$AO$26:$BH$26,1)+IF('Adjustment Surface'!AB$26="",-1,1))-'Adjustment Surface'!AA$26)+INDEX($AO$27:$BH$46,MATCH(INDEX('Adjustment Surface'!$AN$27:$AN$46,MATCH(('Adjustment Surface'!$O27),'Adjustment Surface'!$AN$27:$AN$46,1)+IF('Adjustment Surface'!$O28="",-1,1)),$AN$27:$AN$46,0),MATCH(INDEX('Adjustment Surface'!$AO$26:$BH$26,1,MATCH(('Adjustment Surface'!AA$26),'Adjustment Surface'!$AO$26:$BH$26,1)),$AO$26:$BH$26,0))*('Adjustment Surface'!$O27-INDEX('Adjustment Surface'!$AN$27:$AN$46,MATCH(('Adjustment Surface'!$O27),'Adjustment Surface'!$AN$27:$AN$46,1)))*(INDEX('Adjustment Surface'!$AO$26:$BH$26,1,MATCH(('Adjustment Surface'!AA$26),'Adjustment Surface'!$AO$26:$BH$26,1)+IF('Adjustment Surface'!AB$26="",-1,1))-'Adjustment Surface'!AA$26)+INDEX($AO$27:$BH$46,MATCH(INDEX('Adjustment Surface'!$AN$27:$AN$46,MATCH(('Adjustment Surface'!$O27),'Adjustment Surface'!$AN$27:$AN$46,1)),$AN$27:$AN$46,0),MATCH(INDEX('Adjustment Surface'!$AO$26:$BH$26,1,MATCH(('Adjustment Surface'!AA$26),'Adjustment Surface'!$AO$26:$BH$26,1)+IF('Adjustment Surface'!AB$26="",-1,1)),$AO$26:$BH$26,0))*(INDEX('Adjustment Surface'!$AN$27:$AN$46,MATCH(('Adjustment Surface'!$O27),'Adjustment Surface'!$AN$27:$AN$46,1)+IF('Adjustment Surface'!$O28="",-1,1))-'Adjustment Surface'!$O27)*('Adjustment Surface'!AA$26-INDEX('Adjustment Surface'!$AO$26:$BH$26,1,MATCH(('Adjustment Surface'!AA$26),'Adjustment Surface'!$AO$26:$BH$26,1)))+INDEX($AO$27:$BH$46,MATCH(INDEX('Adjustment Surface'!$AN$27:$AN$46,MATCH(('Adjustment Surface'!$O27),'Adjustment Surface'!$AN$27:$AN$46,1)+IF('Adjustment Surface'!$O28="",-1,1)),$AN$27:$AN$46,0),MATCH(INDEX('Adjustment Surface'!$AO$26:$BH$26,1,MATCH(('Adjustment Surface'!AA$26),'Adjustment Surface'!$AO$26:$BH$26,1)+IF('Adjustment Surface'!AB$26="",-1,1)),$AO$26:$BH$26,0))*('Adjustment Surface'!$O27-INDEX('Adjustment Surface'!$AN$27:$AN$46,MATCH(('Adjustment Surface'!$O27),'Adjustment Surface'!$AN$27:$AN$46,1)))*('Adjustment Surface'!AA$26-INDEX('Adjustment Surface'!$AO$26:$BH$26,1,MATCH(('Adjustment Surface'!AA$26),'Adjustment Surface'!$AO$26:$BH$26,1)))))</f>
        <v/>
      </c>
      <c r="AB27" s="190" t="str" cm="1">
        <f t="array" ref="AB27">IF(OR(AB$26="",$O27=""),"",1/((INDEX('Adjustment Surface'!$AN$27:$AN$46,MATCH(('Adjustment Surface'!$O27),'Adjustment Surface'!$AN$27:$AN$46,1)+IF('Adjustment Surface'!$O28="",-1,1))-INDEX('Adjustment Surface'!$AN$27:$AN$46,MATCH(('Adjustment Surface'!$O27),'Adjustment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Surface'!$O27),'Adjustment Surface'!$AN$27:$AN$46,1)),$AN$27:$AN$46,0),MATCH(INDEX('Adjustment Surface'!$AO$26:$BH$26,1,MATCH(('Adjustment Surface'!AB$26),'Adjustment Surface'!$AO$26:$BH$26,1)),$AO$26:$BH$26,0))*(INDEX('Adjustment Surface'!$AN$27:$AN$46,MATCH(('Adjustment Surface'!$O27),'Adjustment Surface'!$AN$27:$AN$46,1)+IF('Adjustment Surface'!$O28="",-1,1))-'Adjustment Surface'!$O27)*(INDEX('Adjustment Surface'!$AO$26:$BH$26,1,MATCH(('Adjustment Surface'!AB$26),'Adjustment Surface'!$AO$26:$BH$26,1)+IF('Adjustment Surface'!AC$26="",-1,1))-'Adjustment Surface'!AB$26)+INDEX($AO$27:$BH$46,MATCH(INDEX('Adjustment Surface'!$AN$27:$AN$46,MATCH(('Adjustment Surface'!$O27),'Adjustment Surface'!$AN$27:$AN$46,1)+IF('Adjustment Surface'!$O28="",-1,1)),$AN$27:$AN$46,0),MATCH(INDEX('Adjustment Surface'!$AO$26:$BH$26,1,MATCH(('Adjustment Surface'!AB$26),'Adjustment Surface'!$AO$26:$BH$26,1)),$AO$26:$BH$26,0))*('Adjustment Surface'!$O27-INDEX('Adjustment Surface'!$AN$27:$AN$46,MATCH(('Adjustment Surface'!$O27),'Adjustment Surface'!$AN$27:$AN$46,1)))*(INDEX('Adjustment Surface'!$AO$26:$BH$26,1,MATCH(('Adjustment Surface'!AB$26),'Adjustment Surface'!$AO$26:$BH$26,1)+IF('Adjustment Surface'!AC$26="",-1,1))-'Adjustment Surface'!AB$26)+INDEX($AO$27:$BH$46,MATCH(INDEX('Adjustment Surface'!$AN$27:$AN$46,MATCH(('Adjustment Surface'!$O27),'Adjustment Surface'!$AN$27:$AN$46,1)),$AN$27:$AN$46,0),MATCH(INDEX('Adjustment Surface'!$AO$26:$BH$26,1,MATCH(('Adjustment Surface'!AB$26),'Adjustment Surface'!$AO$26:$BH$26,1)+IF('Adjustment Surface'!AC$26="",-1,1)),$AO$26:$BH$26,0))*(INDEX('Adjustment Surface'!$AN$27:$AN$46,MATCH(('Adjustment Surface'!$O27),'Adjustment Surface'!$AN$27:$AN$46,1)+IF('Adjustment Surface'!$O28="",-1,1))-'Adjustment Surface'!$O27)*('Adjustment Surface'!AB$26-INDEX('Adjustment Surface'!$AO$26:$BH$26,1,MATCH(('Adjustment Surface'!AB$26),'Adjustment Surface'!$AO$26:$BH$26,1)))+INDEX($AO$27:$BH$46,MATCH(INDEX('Adjustment Surface'!$AN$27:$AN$46,MATCH(('Adjustment Surface'!$O27),'Adjustment Surface'!$AN$27:$AN$46,1)+IF('Adjustment Surface'!$O28="",-1,1)),$AN$27:$AN$46,0),MATCH(INDEX('Adjustment Surface'!$AO$26:$BH$26,1,MATCH(('Adjustment Surface'!AB$26),'Adjustment Surface'!$AO$26:$BH$26,1)+IF('Adjustment Surface'!AC$26="",-1,1)),$AO$26:$BH$26,0))*('Adjustment Surface'!$O27-INDEX('Adjustment Surface'!$AN$27:$AN$46,MATCH(('Adjustment Surface'!$O27),'Adjustment Surface'!$AN$27:$AN$46,1)))*('Adjustment Surface'!AB$26-INDEX('Adjustment Surface'!$AO$26:$BH$26,1,MATCH(('Adjustment Surface'!AB$26),'Adjustment Surface'!$AO$26:$BH$26,1)))))</f>
        <v/>
      </c>
      <c r="AC27" s="190" t="str" cm="1">
        <f t="array" ref="AC27">IF(OR(AC$26="",$O27=""),"",1/((INDEX('Adjustment Surface'!$AN$27:$AN$46,MATCH(('Adjustment Surface'!$O27),'Adjustment Surface'!$AN$27:$AN$46,1)+IF('Adjustment Surface'!$O28="",-1,1))-INDEX('Adjustment Surface'!$AN$27:$AN$46,MATCH(('Adjustment Surface'!$O27),'Adjustment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Surface'!$O27),'Adjustment Surface'!$AN$27:$AN$46,1)),$AN$27:$AN$46,0),MATCH(INDEX('Adjustment Surface'!$AO$26:$BH$26,1,MATCH(('Adjustment Surface'!AC$26),'Adjustment Surface'!$AO$26:$BH$26,1)),$AO$26:$BH$26,0))*(INDEX('Adjustment Surface'!$AN$27:$AN$46,MATCH(('Adjustment Surface'!$O27),'Adjustment Surface'!$AN$27:$AN$46,1)+IF('Adjustment Surface'!$O28="",-1,1))-'Adjustment Surface'!$O27)*(INDEX('Adjustment Surface'!$AO$26:$BH$26,1,MATCH(('Adjustment Surface'!AC$26),'Adjustment Surface'!$AO$26:$BH$26,1)+IF('Adjustment Surface'!AD$26="",-1,1))-'Adjustment Surface'!AC$26)+INDEX($AO$27:$BH$46,MATCH(INDEX('Adjustment Surface'!$AN$27:$AN$46,MATCH(('Adjustment Surface'!$O27),'Adjustment Surface'!$AN$27:$AN$46,1)+IF('Adjustment Surface'!$O28="",-1,1)),$AN$27:$AN$46,0),MATCH(INDEX('Adjustment Surface'!$AO$26:$BH$26,1,MATCH(('Adjustment Surface'!AC$26),'Adjustment Surface'!$AO$26:$BH$26,1)),$AO$26:$BH$26,0))*('Adjustment Surface'!$O27-INDEX('Adjustment Surface'!$AN$27:$AN$46,MATCH(('Adjustment Surface'!$O27),'Adjustment Surface'!$AN$27:$AN$46,1)))*(INDEX('Adjustment Surface'!$AO$26:$BH$26,1,MATCH(('Adjustment Surface'!AC$26),'Adjustment Surface'!$AO$26:$BH$26,1)+IF('Adjustment Surface'!AD$26="",-1,1))-'Adjustment Surface'!AC$26)+INDEX($AO$27:$BH$46,MATCH(INDEX('Adjustment Surface'!$AN$27:$AN$46,MATCH(('Adjustment Surface'!$O27),'Adjustment Surface'!$AN$27:$AN$46,1)),$AN$27:$AN$46,0),MATCH(INDEX('Adjustment Surface'!$AO$26:$BH$26,1,MATCH(('Adjustment Surface'!AC$26),'Adjustment Surface'!$AO$26:$BH$26,1)+IF('Adjustment Surface'!AD$26="",-1,1)),$AO$26:$BH$26,0))*(INDEX('Adjustment Surface'!$AN$27:$AN$46,MATCH(('Adjustment Surface'!$O27),'Adjustment Surface'!$AN$27:$AN$46,1)+IF('Adjustment Surface'!$O28="",-1,1))-'Adjustment Surface'!$O27)*('Adjustment Surface'!AC$26-INDEX('Adjustment Surface'!$AO$26:$BH$26,1,MATCH(('Adjustment Surface'!AC$26),'Adjustment Surface'!$AO$26:$BH$26,1)))+INDEX($AO$27:$BH$46,MATCH(INDEX('Adjustment Surface'!$AN$27:$AN$46,MATCH(('Adjustment Surface'!$O27),'Adjustment Surface'!$AN$27:$AN$46,1)+IF('Adjustment Surface'!$O28="",-1,1)),$AN$27:$AN$46,0),MATCH(INDEX('Adjustment Surface'!$AO$26:$BH$26,1,MATCH(('Adjustment Surface'!AC$26),'Adjustment Surface'!$AO$26:$BH$26,1)+IF('Adjustment Surface'!AD$26="",-1,1)),$AO$26:$BH$26,0))*('Adjustment Surface'!$O27-INDEX('Adjustment Surface'!$AN$27:$AN$46,MATCH(('Adjustment Surface'!$O27),'Adjustment Surface'!$AN$27:$AN$46,1)))*('Adjustment Surface'!AC$26-INDEX('Adjustment Surface'!$AO$26:$BH$26,1,MATCH(('Adjustment Surface'!AC$26),'Adjustment Surface'!$AO$26:$BH$26,1)))))</f>
        <v/>
      </c>
      <c r="AD27" s="190" t="str" cm="1">
        <f t="array" ref="AD27">IF(OR(AD$26="",$O27=""),"",1/((INDEX('Adjustment Surface'!$AN$27:$AN$46,MATCH(('Adjustment Surface'!$O27),'Adjustment Surface'!$AN$27:$AN$46,1)+IF('Adjustment Surface'!$O28="",-1,1))-INDEX('Adjustment Surface'!$AN$27:$AN$46,MATCH(('Adjustment Surface'!$O27),'Adjustment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Surface'!$O27),'Adjustment Surface'!$AN$27:$AN$46,1)),$AN$27:$AN$46,0),MATCH(INDEX('Adjustment Surface'!$AO$26:$BH$26,1,MATCH(('Adjustment Surface'!AD$26),'Adjustment Surface'!$AO$26:$BH$26,1)),$AO$26:$BH$26,0))*(INDEX('Adjustment Surface'!$AN$27:$AN$46,MATCH(('Adjustment Surface'!$O27),'Adjustment Surface'!$AN$27:$AN$46,1)+IF('Adjustment Surface'!$O28="",-1,1))-'Adjustment Surface'!$O27)*(INDEX('Adjustment Surface'!$AO$26:$BH$26,1,MATCH(('Adjustment Surface'!AD$26),'Adjustment Surface'!$AO$26:$BH$26,1)+IF('Adjustment Surface'!AE$26="",-1,1))-'Adjustment Surface'!AD$26)+INDEX($AO$27:$BH$46,MATCH(INDEX('Adjustment Surface'!$AN$27:$AN$46,MATCH(('Adjustment Surface'!$O27),'Adjustment Surface'!$AN$27:$AN$46,1)+IF('Adjustment Surface'!$O28="",-1,1)),$AN$27:$AN$46,0),MATCH(INDEX('Adjustment Surface'!$AO$26:$BH$26,1,MATCH(('Adjustment Surface'!AD$26),'Adjustment Surface'!$AO$26:$BH$26,1)),$AO$26:$BH$26,0))*('Adjustment Surface'!$O27-INDEX('Adjustment Surface'!$AN$27:$AN$46,MATCH(('Adjustment Surface'!$O27),'Adjustment Surface'!$AN$27:$AN$46,1)))*(INDEX('Adjustment Surface'!$AO$26:$BH$26,1,MATCH(('Adjustment Surface'!AD$26),'Adjustment Surface'!$AO$26:$BH$26,1)+IF('Adjustment Surface'!AE$26="",-1,1))-'Adjustment Surface'!AD$26)+INDEX($AO$27:$BH$46,MATCH(INDEX('Adjustment Surface'!$AN$27:$AN$46,MATCH(('Adjustment Surface'!$O27),'Adjustment Surface'!$AN$27:$AN$46,1)),$AN$27:$AN$46,0),MATCH(INDEX('Adjustment Surface'!$AO$26:$BH$26,1,MATCH(('Adjustment Surface'!AD$26),'Adjustment Surface'!$AO$26:$BH$26,1)+IF('Adjustment Surface'!AE$26="",-1,1)),$AO$26:$BH$26,0))*(INDEX('Adjustment Surface'!$AN$27:$AN$46,MATCH(('Adjustment Surface'!$O27),'Adjustment Surface'!$AN$27:$AN$46,1)+IF('Adjustment Surface'!$O28="",-1,1))-'Adjustment Surface'!$O27)*('Adjustment Surface'!AD$26-INDEX('Adjustment Surface'!$AO$26:$BH$26,1,MATCH(('Adjustment Surface'!AD$26),'Adjustment Surface'!$AO$26:$BH$26,1)))+INDEX($AO$27:$BH$46,MATCH(INDEX('Adjustment Surface'!$AN$27:$AN$46,MATCH(('Adjustment Surface'!$O27),'Adjustment Surface'!$AN$27:$AN$46,1)+IF('Adjustment Surface'!$O28="",-1,1)),$AN$27:$AN$46,0),MATCH(INDEX('Adjustment Surface'!$AO$26:$BH$26,1,MATCH(('Adjustment Surface'!AD$26),'Adjustment Surface'!$AO$26:$BH$26,1)+IF('Adjustment Surface'!AE$26="",-1,1)),$AO$26:$BH$26,0))*('Adjustment Surface'!$O27-INDEX('Adjustment Surface'!$AN$27:$AN$46,MATCH(('Adjustment Surface'!$O27),'Adjustment Surface'!$AN$27:$AN$46,1)))*('Adjustment Surface'!AD$26-INDEX('Adjustment Surface'!$AO$26:$BH$26,1,MATCH(('Adjustment Surface'!AD$26),'Adjustment Surface'!$AO$26:$BH$26,1)))))</f>
        <v/>
      </c>
      <c r="AE27" s="190" t="str" cm="1">
        <f t="array" ref="AE27">IF(OR(AE$26="",$O27=""),"",1/((INDEX('Adjustment Surface'!$AN$27:$AN$46,MATCH(('Adjustment Surface'!$O27),'Adjustment Surface'!$AN$27:$AN$46,1)+IF('Adjustment Surface'!$O28="",-1,1))-INDEX('Adjustment Surface'!$AN$27:$AN$46,MATCH(('Adjustment Surface'!$O27),'Adjustment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Surface'!$O27),'Adjustment Surface'!$AN$27:$AN$46,1)),$AN$27:$AN$46,0),MATCH(INDEX('Adjustment Surface'!$AO$26:$BH$26,1,MATCH(('Adjustment Surface'!AE$26),'Adjustment Surface'!$AO$26:$BH$26,1)),$AO$26:$BH$26,0))*(INDEX('Adjustment Surface'!$AN$27:$AN$46,MATCH(('Adjustment Surface'!$O27),'Adjustment Surface'!$AN$27:$AN$46,1)+IF('Adjustment Surface'!$O28="",-1,1))-'Adjustment Surface'!$O27)*(INDEX('Adjustment Surface'!$AO$26:$BH$26,1,MATCH(('Adjustment Surface'!AE$26),'Adjustment Surface'!$AO$26:$BH$26,1)+IF('Adjustment Surface'!AF$26="",-1,1))-'Adjustment Surface'!AE$26)+INDEX($AO$27:$BH$46,MATCH(INDEX('Adjustment Surface'!$AN$27:$AN$46,MATCH(('Adjustment Surface'!$O27),'Adjustment Surface'!$AN$27:$AN$46,1)+IF('Adjustment Surface'!$O28="",-1,1)),$AN$27:$AN$46,0),MATCH(INDEX('Adjustment Surface'!$AO$26:$BH$26,1,MATCH(('Adjustment Surface'!AE$26),'Adjustment Surface'!$AO$26:$BH$26,1)),$AO$26:$BH$26,0))*('Adjustment Surface'!$O27-INDEX('Adjustment Surface'!$AN$27:$AN$46,MATCH(('Adjustment Surface'!$O27),'Adjustment Surface'!$AN$27:$AN$46,1)))*(INDEX('Adjustment Surface'!$AO$26:$BH$26,1,MATCH(('Adjustment Surface'!AE$26),'Adjustment Surface'!$AO$26:$BH$26,1)+IF('Adjustment Surface'!AF$26="",-1,1))-'Adjustment Surface'!AE$26)+INDEX($AO$27:$BH$46,MATCH(INDEX('Adjustment Surface'!$AN$27:$AN$46,MATCH(('Adjustment Surface'!$O27),'Adjustment Surface'!$AN$27:$AN$46,1)),$AN$27:$AN$46,0),MATCH(INDEX('Adjustment Surface'!$AO$26:$BH$26,1,MATCH(('Adjustment Surface'!AE$26),'Adjustment Surface'!$AO$26:$BH$26,1)+IF('Adjustment Surface'!AF$26="",-1,1)),$AO$26:$BH$26,0))*(INDEX('Adjustment Surface'!$AN$27:$AN$46,MATCH(('Adjustment Surface'!$O27),'Adjustment Surface'!$AN$27:$AN$46,1)+IF('Adjustment Surface'!$O28="",-1,1))-'Adjustment Surface'!$O27)*('Adjustment Surface'!AE$26-INDEX('Adjustment Surface'!$AO$26:$BH$26,1,MATCH(('Adjustment Surface'!AE$26),'Adjustment Surface'!$AO$26:$BH$26,1)))+INDEX($AO$27:$BH$46,MATCH(INDEX('Adjustment Surface'!$AN$27:$AN$46,MATCH(('Adjustment Surface'!$O27),'Adjustment Surface'!$AN$27:$AN$46,1)+IF('Adjustment Surface'!$O28="",-1,1)),$AN$27:$AN$46,0),MATCH(INDEX('Adjustment Surface'!$AO$26:$BH$26,1,MATCH(('Adjustment Surface'!AE$26),'Adjustment Surface'!$AO$26:$BH$26,1)+IF('Adjustment Surface'!AF$26="",-1,1)),$AO$26:$BH$26,0))*('Adjustment Surface'!$O27-INDEX('Adjustment Surface'!$AN$27:$AN$46,MATCH(('Adjustment Surface'!$O27),'Adjustment Surface'!$AN$27:$AN$46,1)))*('Adjustment Surface'!AE$26-INDEX('Adjustment Surface'!$AO$26:$BH$26,1,MATCH(('Adjustment Surface'!AE$26),'Adjustment Surface'!$AO$26:$BH$26,1)))))</f>
        <v/>
      </c>
      <c r="AF27" s="190" t="str" cm="1">
        <f t="array" ref="AF27">IF(OR(AF$26="",$O27=""),"",1/((INDEX('Adjustment Surface'!$AN$27:$AN$46,MATCH(('Adjustment Surface'!$O27),'Adjustment Surface'!$AN$27:$AN$46,1)+IF('Adjustment Surface'!$O28="",-1,1))-INDEX('Adjustment Surface'!$AN$27:$AN$46,MATCH(('Adjustment Surface'!$O27),'Adjustment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Surface'!$O27),'Adjustment Surface'!$AN$27:$AN$46,1)),$AN$27:$AN$46,0),MATCH(INDEX('Adjustment Surface'!$AO$26:$BH$26,1,MATCH(('Adjustment Surface'!AF$26),'Adjustment Surface'!$AO$26:$BH$26,1)),$AO$26:$BH$26,0))*(INDEX('Adjustment Surface'!$AN$27:$AN$46,MATCH(('Adjustment Surface'!$O27),'Adjustment Surface'!$AN$27:$AN$46,1)+IF('Adjustment Surface'!$O28="",-1,1))-'Adjustment Surface'!$O27)*(INDEX('Adjustment Surface'!$AO$26:$BH$26,1,MATCH(('Adjustment Surface'!AF$26),'Adjustment Surface'!$AO$26:$BH$26,1)+IF('Adjustment Surface'!AG$26="",-1,1))-'Adjustment Surface'!AF$26)+INDEX($AO$27:$BH$46,MATCH(INDEX('Adjustment Surface'!$AN$27:$AN$46,MATCH(('Adjustment Surface'!$O27),'Adjustment Surface'!$AN$27:$AN$46,1)+IF('Adjustment Surface'!$O28="",-1,1)),$AN$27:$AN$46,0),MATCH(INDEX('Adjustment Surface'!$AO$26:$BH$26,1,MATCH(('Adjustment Surface'!AF$26),'Adjustment Surface'!$AO$26:$BH$26,1)),$AO$26:$BH$26,0))*('Adjustment Surface'!$O27-INDEX('Adjustment Surface'!$AN$27:$AN$46,MATCH(('Adjustment Surface'!$O27),'Adjustment Surface'!$AN$27:$AN$46,1)))*(INDEX('Adjustment Surface'!$AO$26:$BH$26,1,MATCH(('Adjustment Surface'!AF$26),'Adjustment Surface'!$AO$26:$BH$26,1)+IF('Adjustment Surface'!AG$26="",-1,1))-'Adjustment Surface'!AF$26)+INDEX($AO$27:$BH$46,MATCH(INDEX('Adjustment Surface'!$AN$27:$AN$46,MATCH(('Adjustment Surface'!$O27),'Adjustment Surface'!$AN$27:$AN$46,1)),$AN$27:$AN$46,0),MATCH(INDEX('Adjustment Surface'!$AO$26:$BH$26,1,MATCH(('Adjustment Surface'!AF$26),'Adjustment Surface'!$AO$26:$BH$26,1)+IF('Adjustment Surface'!AG$26="",-1,1)),$AO$26:$BH$26,0))*(INDEX('Adjustment Surface'!$AN$27:$AN$46,MATCH(('Adjustment Surface'!$O27),'Adjustment Surface'!$AN$27:$AN$46,1)+IF('Adjustment Surface'!$O28="",-1,1))-'Adjustment Surface'!$O27)*('Adjustment Surface'!AF$26-INDEX('Adjustment Surface'!$AO$26:$BH$26,1,MATCH(('Adjustment Surface'!AF$26),'Adjustment Surface'!$AO$26:$BH$26,1)))+INDEX($AO$27:$BH$46,MATCH(INDEX('Adjustment Surface'!$AN$27:$AN$46,MATCH(('Adjustment Surface'!$O27),'Adjustment Surface'!$AN$27:$AN$46,1)+IF('Adjustment Surface'!$O28="",-1,1)),$AN$27:$AN$46,0),MATCH(INDEX('Adjustment Surface'!$AO$26:$BH$26,1,MATCH(('Adjustment Surface'!AF$26),'Adjustment Surface'!$AO$26:$BH$26,1)+IF('Adjustment Surface'!AG$26="",-1,1)),$AO$26:$BH$26,0))*('Adjustment Surface'!$O27-INDEX('Adjustment Surface'!$AN$27:$AN$46,MATCH(('Adjustment Surface'!$O27),'Adjustment Surface'!$AN$27:$AN$46,1)))*('Adjustment Surface'!AF$26-INDEX('Adjustment Surface'!$AO$26:$BH$26,1,MATCH(('Adjustment Surface'!AF$26),'Adjustment Surface'!$AO$26:$BH$26,1)))))</f>
        <v/>
      </c>
      <c r="AG27" s="190" t="str" cm="1">
        <f t="array" ref="AG27">IF(OR(AG$26="",$O27=""),"",1/((INDEX('Adjustment Surface'!$AN$27:$AN$46,MATCH(('Adjustment Surface'!$O27),'Adjustment Surface'!$AN$27:$AN$46,1)+IF('Adjustment Surface'!$O28="",-1,1))-INDEX('Adjustment Surface'!$AN$27:$AN$46,MATCH(('Adjustment Surface'!$O27),'Adjustment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Surface'!$O27),'Adjustment Surface'!$AN$27:$AN$46,1)),$AN$27:$AN$46,0),MATCH(INDEX('Adjustment Surface'!$AO$26:$BH$26,1,MATCH(('Adjustment Surface'!AG$26),'Adjustment Surface'!$AO$26:$BH$26,1)),$AO$26:$BH$26,0))*(INDEX('Adjustment Surface'!$AN$27:$AN$46,MATCH(('Adjustment Surface'!$O27),'Adjustment Surface'!$AN$27:$AN$46,1)+IF('Adjustment Surface'!$O28="",-1,1))-'Adjustment Surface'!$O27)*(INDEX('Adjustment Surface'!$AO$26:$BH$26,1,MATCH(('Adjustment Surface'!AG$26),'Adjustment Surface'!$AO$26:$BH$26,1)+IF('Adjustment Surface'!AH$26="",-1,1))-'Adjustment Surface'!AG$26)+INDEX($AO$27:$BH$46,MATCH(INDEX('Adjustment Surface'!$AN$27:$AN$46,MATCH(('Adjustment Surface'!$O27),'Adjustment Surface'!$AN$27:$AN$46,1)+IF('Adjustment Surface'!$O28="",-1,1)),$AN$27:$AN$46,0),MATCH(INDEX('Adjustment Surface'!$AO$26:$BH$26,1,MATCH(('Adjustment Surface'!AG$26),'Adjustment Surface'!$AO$26:$BH$26,1)),$AO$26:$BH$26,0))*('Adjustment Surface'!$O27-INDEX('Adjustment Surface'!$AN$27:$AN$46,MATCH(('Adjustment Surface'!$O27),'Adjustment Surface'!$AN$27:$AN$46,1)))*(INDEX('Adjustment Surface'!$AO$26:$BH$26,1,MATCH(('Adjustment Surface'!AG$26),'Adjustment Surface'!$AO$26:$BH$26,1)+IF('Adjustment Surface'!AH$26="",-1,1))-'Adjustment Surface'!AG$26)+INDEX($AO$27:$BH$46,MATCH(INDEX('Adjustment Surface'!$AN$27:$AN$46,MATCH(('Adjustment Surface'!$O27),'Adjustment Surface'!$AN$27:$AN$46,1)),$AN$27:$AN$46,0),MATCH(INDEX('Adjustment Surface'!$AO$26:$BH$26,1,MATCH(('Adjustment Surface'!AG$26),'Adjustment Surface'!$AO$26:$BH$26,1)+IF('Adjustment Surface'!AH$26="",-1,1)),$AO$26:$BH$26,0))*(INDEX('Adjustment Surface'!$AN$27:$AN$46,MATCH(('Adjustment Surface'!$O27),'Adjustment Surface'!$AN$27:$AN$46,1)+IF('Adjustment Surface'!$O28="",-1,1))-'Adjustment Surface'!$O27)*('Adjustment Surface'!AG$26-INDEX('Adjustment Surface'!$AO$26:$BH$26,1,MATCH(('Adjustment Surface'!AG$26),'Adjustment Surface'!$AO$26:$BH$26,1)))+INDEX($AO$27:$BH$46,MATCH(INDEX('Adjustment Surface'!$AN$27:$AN$46,MATCH(('Adjustment Surface'!$O27),'Adjustment Surface'!$AN$27:$AN$46,1)+IF('Adjustment Surface'!$O28="",-1,1)),$AN$27:$AN$46,0),MATCH(INDEX('Adjustment Surface'!$AO$26:$BH$26,1,MATCH(('Adjustment Surface'!AG$26),'Adjustment Surface'!$AO$26:$BH$26,1)+IF('Adjustment Surface'!AH$26="",-1,1)),$AO$26:$BH$26,0))*('Adjustment Surface'!$O27-INDEX('Adjustment Surface'!$AN$27:$AN$46,MATCH(('Adjustment Surface'!$O27),'Adjustment Surface'!$AN$27:$AN$46,1)))*('Adjustment Surface'!AG$26-INDEX('Adjustment Surface'!$AO$26:$BH$26,1,MATCH(('Adjustment Surface'!AG$26),'Adjustment Surface'!$AO$26:$BH$26,1)))))</f>
        <v/>
      </c>
      <c r="AH27" s="190" t="str" cm="1">
        <f t="array" ref="AH27">IF(OR(AH$26="",$O27=""),"",1/((INDEX('Adjustment Surface'!$AN$27:$AN$46,MATCH(('Adjustment Surface'!$O27),'Adjustment Surface'!$AN$27:$AN$46,1)+IF('Adjustment Surface'!$O28="",-1,1))-INDEX('Adjustment Surface'!$AN$27:$AN$46,MATCH(('Adjustment Surface'!$O27),'Adjustment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Surface'!$O27),'Adjustment Surface'!$AN$27:$AN$46,1)),$AN$27:$AN$46,0),MATCH(INDEX('Adjustment Surface'!$AO$26:$BH$26,1,MATCH(('Adjustment Surface'!AH$26),'Adjustment Surface'!$AO$26:$BH$26,1)),$AO$26:$BH$26,0))*(INDEX('Adjustment Surface'!$AN$27:$AN$46,MATCH(('Adjustment Surface'!$O27),'Adjustment Surface'!$AN$27:$AN$46,1)+IF('Adjustment Surface'!$O28="",-1,1))-'Adjustment Surface'!$O27)*(INDEX('Adjustment Surface'!$AO$26:$BH$26,1,MATCH(('Adjustment Surface'!AH$26),'Adjustment Surface'!$AO$26:$BH$26,1)+IF('Adjustment Surface'!AI$26="",-1,1))-'Adjustment Surface'!AH$26)+INDEX($AO$27:$BH$46,MATCH(INDEX('Adjustment Surface'!$AN$27:$AN$46,MATCH(('Adjustment Surface'!$O27),'Adjustment Surface'!$AN$27:$AN$46,1)+IF('Adjustment Surface'!$O28="",-1,1)),$AN$27:$AN$46,0),MATCH(INDEX('Adjustment Surface'!$AO$26:$BH$26,1,MATCH(('Adjustment Surface'!AH$26),'Adjustment Surface'!$AO$26:$BH$26,1)),$AO$26:$BH$26,0))*('Adjustment Surface'!$O27-INDEX('Adjustment Surface'!$AN$27:$AN$46,MATCH(('Adjustment Surface'!$O27),'Adjustment Surface'!$AN$27:$AN$46,1)))*(INDEX('Adjustment Surface'!$AO$26:$BH$26,1,MATCH(('Adjustment Surface'!AH$26),'Adjustment Surface'!$AO$26:$BH$26,1)+IF('Adjustment Surface'!AI$26="",-1,1))-'Adjustment Surface'!AH$26)+INDEX($AO$27:$BH$46,MATCH(INDEX('Adjustment Surface'!$AN$27:$AN$46,MATCH(('Adjustment Surface'!$O27),'Adjustment Surface'!$AN$27:$AN$46,1)),$AN$27:$AN$46,0),MATCH(INDEX('Adjustment Surface'!$AO$26:$BH$26,1,MATCH(('Adjustment Surface'!AH$26),'Adjustment Surface'!$AO$26:$BH$26,1)+IF('Adjustment Surface'!AI$26="",-1,1)),$AO$26:$BH$26,0))*(INDEX('Adjustment Surface'!$AN$27:$AN$46,MATCH(('Adjustment Surface'!$O27),'Adjustment Surface'!$AN$27:$AN$46,1)+IF('Adjustment Surface'!$O28="",-1,1))-'Adjustment Surface'!$O27)*('Adjustment Surface'!AH$26-INDEX('Adjustment Surface'!$AO$26:$BH$26,1,MATCH(('Adjustment Surface'!AH$26),'Adjustment Surface'!$AO$26:$BH$26,1)))+INDEX($AO$27:$BH$46,MATCH(INDEX('Adjustment Surface'!$AN$27:$AN$46,MATCH(('Adjustment Surface'!$O27),'Adjustment Surface'!$AN$27:$AN$46,1)+IF('Adjustment Surface'!$O28="",-1,1)),$AN$27:$AN$46,0),MATCH(INDEX('Adjustment Surface'!$AO$26:$BH$26,1,MATCH(('Adjustment Surface'!AH$26),'Adjustment Surface'!$AO$26:$BH$26,1)+IF('Adjustment Surface'!AI$26="",-1,1)),$AO$26:$BH$26,0))*('Adjustment Surface'!$O27-INDEX('Adjustment Surface'!$AN$27:$AN$46,MATCH(('Adjustment Surface'!$O27),'Adjustment Surface'!$AN$27:$AN$46,1)))*('Adjustment Surface'!AH$26-INDEX('Adjustment Surface'!$AO$26:$BH$26,1,MATCH(('Adjustment Surface'!AH$26),'Adjustment Surface'!$AO$26:$BH$26,1)))))</f>
        <v/>
      </c>
      <c r="AI27" s="191" t="str" cm="1">
        <f t="array" ref="AI27">IF(OR(AI$26="",$O27=""),"",1/((INDEX('Adjustment Surface'!$AN$27:$AN$46,MATCH(('Adjustment Surface'!$O27),'Adjustment Surface'!$AN$27:$AN$46,1)+IF('Adjustment Surface'!$O28="",-1,1))-INDEX('Adjustment Surface'!$AN$27:$AN$46,MATCH(('Adjustment Surface'!$O27),'Adjustment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Surface'!$O27),'Adjustment Surface'!$AN$27:$AN$46,1)),$AN$27:$AN$46,0),MATCH(INDEX('Adjustment Surface'!$AO$26:$BH$26,1,MATCH(('Adjustment Surface'!AI$26),'Adjustment Surface'!$AO$26:$BH$26,1)),$AO$26:$BH$26,0))*(INDEX('Adjustment Surface'!$AN$27:$AN$46,MATCH(('Adjustment Surface'!$O27),'Adjustment Surface'!$AN$27:$AN$46,1)+IF('Adjustment Surface'!$O28="",-1,1))-'Adjustment Surface'!$O27)*(INDEX('Adjustment Surface'!$AO$26:$BH$26,1,MATCH(('Adjustment Surface'!AI$26),'Adjustment Surface'!$AO$26:$BH$26,1)+IF('Adjustment Surface'!AJ$26="",-1,1))-'Adjustment Surface'!AI$26)+INDEX($AO$27:$BH$46,MATCH(INDEX('Adjustment Surface'!$AN$27:$AN$46,MATCH(('Adjustment Surface'!$O27),'Adjustment Surface'!$AN$27:$AN$46,1)+IF('Adjustment Surface'!$O28="",-1,1)),$AN$27:$AN$46,0),MATCH(INDEX('Adjustment Surface'!$AO$26:$BH$26,1,MATCH(('Adjustment Surface'!AI$26),'Adjustment Surface'!$AO$26:$BH$26,1)),$AO$26:$BH$26,0))*('Adjustment Surface'!$O27-INDEX('Adjustment Surface'!$AN$27:$AN$46,MATCH(('Adjustment Surface'!$O27),'Adjustment Surface'!$AN$27:$AN$46,1)))*(INDEX('Adjustment Surface'!$AO$26:$BH$26,1,MATCH(('Adjustment Surface'!AI$26),'Adjustment Surface'!$AO$26:$BH$26,1)+IF('Adjustment Surface'!AJ$26="",-1,1))-'Adjustment Surface'!AI$26)+INDEX($AO$27:$BH$46,MATCH(INDEX('Adjustment Surface'!$AN$27:$AN$46,MATCH(('Adjustment Surface'!$O27),'Adjustment Surface'!$AN$27:$AN$46,1)),$AN$27:$AN$46,0),MATCH(INDEX('Adjustment Surface'!$AO$26:$BH$26,1,MATCH(('Adjustment Surface'!AI$26),'Adjustment Surface'!$AO$26:$BH$26,1)+IF('Adjustment Surface'!AJ$26="",-1,1)),$AO$26:$BH$26,0))*(INDEX('Adjustment Surface'!$AN$27:$AN$46,MATCH(('Adjustment Surface'!$O27),'Adjustment Surface'!$AN$27:$AN$46,1)+IF('Adjustment Surface'!$O28="",-1,1))-'Adjustment Surface'!$O27)*('Adjustment Surface'!AI$26-INDEX('Adjustment Surface'!$AO$26:$BH$26,1,MATCH(('Adjustment Surface'!AI$26),'Adjustment Surface'!$AO$26:$BH$26,1)))+INDEX($AO$27:$BH$46,MATCH(INDEX('Adjustment Surface'!$AN$27:$AN$46,MATCH(('Adjustment Surface'!$O27),'Adjustment Surface'!$AN$27:$AN$46,1)+IF('Adjustment Surface'!$O28="",-1,1)),$AN$27:$AN$46,0),MATCH(INDEX('Adjustment Surface'!$AO$26:$BH$26,1,MATCH(('Adjustment Surface'!AI$26),'Adjustment Surface'!$AO$26:$BH$26,1)+IF('Adjustment Surface'!AJ$26="",-1,1)),$AO$26:$BH$26,0))*('Adjustment Surface'!$O27-INDEX('Adjustment Surface'!$AN$27:$AN$46,MATCH(('Adjustment Surface'!$O27),'Adjustment Surface'!$AN$27:$AN$46,1)))*('Adjustment Surface'!AI$26-INDEX('Adjustment Surface'!$AO$26:$BH$26,1,MATCH(('Adjustment Surface'!AI$26),'Adjustment Surface'!$AO$26:$BH$26,1)))))</f>
        <v/>
      </c>
      <c r="AK27" s="203" cm="1">
        <f t="array" ref="AK27:AK36">_xlfn.VSTACK(_xlfn.UNIQUE(_xlfn._xlws.FILTER(IF('Adjustment Surface'!$C$2='Data Validation'!$A$2,'Bank Adjustments'!$C$4:$C$103,IF('Data Validation'!$A$3='Adjustment Surface'!$C$2,'Bank Adjustments'!$M$4:$M$103,"Unkown Option Type")),IF('Adjustment Surface'!$C$2='Data Validation'!$A$2,'Bank Adjustments'!$C$4:$C$103,IF('Data Validation'!$A$3='Adjustment Surface'!$C$2,'Bank Adjustments'!$M$4:$M$103,"Unkown Option Type")))),'Control Panel'!$E$11:$E$15)</f>
        <v>0.06</v>
      </c>
      <c r="AL27" s="207" cm="1">
        <f t="array" ref="AL27:AL34">_xlfn.VSTACK(_xlfn.UNIQUE(_xlfn._xlws.FILTER(IF('Adjustment Surface'!$C$2='Data Validation'!$A$2,'Bank Adjustments'!$E$4:$E$103,IF('Data Validation'!$A$3='Adjustment Surface'!$C$2,'Bank Adjustments'!$O$4:$O$103,"Unkown Option Type")),IF('Adjustment Surface'!$C$2='Data Validation'!$A$2,'Bank Adjustments'!$E$4:$E$103,IF('Data Validation'!$A$3='Adjustment Surface'!$C$2,'Bank Adjustments'!$O$4:$O$103,"Unkown Option Type")))),'Control Panel'!F11:F15)</f>
        <v>46429</v>
      </c>
      <c r="AN27" s="176" cm="1">
        <f t="array" ref="AN27:AN31">_xlfn._xlws.SORT(_xlfn.UNIQUE(_xlfn._xlws.FILTER(IF($C$2='Data Validation'!$A$2,'Bank Adjustments'!C4:C103,IF('Adjustment Surface'!$C$2='Data Validation'!$A$3,'Bank Adjustments'!M4:M103,"Unknown Option Type")),IF($C$2='Data Validation'!$A$2,'Bank Adjustments'!C4:C103,IF('Adjustment Surface'!$C$2='Data Validation'!$A$3,'Bank Adjustments'!M4:M103,"Unknown Option Type")))),,1)</f>
        <v>0.02</v>
      </c>
      <c r="AO27" s="189" cm="1">
        <f t="array" ref="AO27">IF(OR(AO$26="",$AN27=""),"",INDEX(IF($C$2='Data Validation'!$A$2,'Bank Adjustments'!$I$4:$I$103,IF('Adjustment Surface'!$C$2='Data Validation'!$A$3,'Bank Adjustments'!$S$4:$S$103,"Unknown Option Type")),MATCH(1,($AN27=IF($C$2='Data Validation'!$A$2,'Bank Adjustments'!$C$4:$C$103,IF('Adjustment Surface'!$C$2='Data Validation'!$A$3,'Bank Adjustments'!$M$4:$M$103,"Unknown Option Type")))*(AO$26=IF($C$2='Data Validation'!$A$2,'Bank Adjustments'!$E$4:$E$103,IF('Adjustment Surface'!$C$2='Data Validation'!$A$3,'Bank Adjustments'!$O$4:$O$103,"Unknown Option Type"))),0)))</f>
        <v>6.7203729349312014E-2</v>
      </c>
      <c r="AP27" s="190" cm="1">
        <f t="array" ref="AP27">IF(OR(AP$26="",$AN27=""),"",INDEX(IF($C$2='Data Validation'!$A$2,'Bank Adjustments'!$I$4:$I$103,IF('Adjustment Surface'!$C$2='Data Validation'!$A$3,'Bank Adjustments'!$S$4:$S$103,"Unknown Option Type")),MATCH(1,($AN27=IF($C$2='Data Validation'!$A$2,'Bank Adjustments'!$C$4:$C$103,IF('Adjustment Surface'!$C$2='Data Validation'!$A$3,'Bank Adjustments'!$M$4:$M$103,"Unknown Option Type")))*(AP$26=IF($C$2='Data Validation'!$A$2,'Bank Adjustments'!$E$4:$E$103,IF('Adjustment Surface'!$C$2='Data Validation'!$A$3,'Bank Adjustments'!$O$4:$O$103,"Unknown Option Type"))),0)))</f>
        <v>4.3720911703461554E-2</v>
      </c>
      <c r="AQ27" s="190" cm="1">
        <f t="array" ref="AQ27">IF(OR(AQ$26="",$AN27=""),"",INDEX(IF($C$2='Data Validation'!$A$2,'Bank Adjustments'!$I$4:$I$103,IF('Adjustment Surface'!$C$2='Data Validation'!$A$3,'Bank Adjustments'!$S$4:$S$103,"Unknown Option Type")),MATCH(1,($AN27=IF($C$2='Data Validation'!$A$2,'Bank Adjustments'!$C$4:$C$103,IF('Adjustment Surface'!$C$2='Data Validation'!$A$3,'Bank Adjustments'!$M$4:$M$103,"Unknown Option Type")))*(AQ$26=IF($C$2='Data Validation'!$A$2,'Bank Adjustments'!$E$4:$E$103,IF('Adjustment Surface'!$C$2='Data Validation'!$A$3,'Bank Adjustments'!$O$4:$O$103,"Unknown Option Type"))),0)))</f>
        <v>2.5630131505599649E-2</v>
      </c>
      <c r="AR27" s="190" t="str" cm="1">
        <f t="array" ref="AR27">IF(OR(AR$26="",$AN27=""),"",INDEX(IF($C$2='Data Validation'!$A$2,'Bank Adjustments'!$I$4:$I$103,IF('Adjustment Surface'!$C$2='Data Validation'!$A$3,'Bank Adjustments'!$S$4:$S$103,"Unknown Option Type")),MATCH(1,($AN27=IF($C$2='Data Validation'!$A$2,'Bank Adjustments'!$C$4:$C$103,IF('Adjustment Surface'!$C$2='Data Validation'!$A$3,'Bank Adjustments'!$M$4:$M$103,"Unknown Option Type")))*(AR$26=IF($C$2='Data Validation'!$A$2,'Bank Adjustments'!$E$4:$E$103,IF('Adjustment Surface'!$C$2='Data Validation'!$A$3,'Bank Adjustments'!$O$4:$O$103,"Unknown Option Type"))),0)))</f>
        <v/>
      </c>
      <c r="AS27" s="190" t="str" cm="1">
        <f t="array" ref="AS27">IF(OR(AS$26="",$AN27=""),"",INDEX(IF($C$2='Data Validation'!$A$2,'Bank Adjustments'!$I$4:$I$103,IF('Adjustment Surface'!$C$2='Data Validation'!$A$3,'Bank Adjustments'!$S$4:$S$103,"Unknown Option Type")),MATCH(1,($AN27=IF($C$2='Data Validation'!$A$2,'Bank Adjustments'!$C$4:$C$103,IF('Adjustment Surface'!$C$2='Data Validation'!$A$3,'Bank Adjustments'!$M$4:$M$103,"Unknown Option Type")))*(AS$26=IF($C$2='Data Validation'!$A$2,'Bank Adjustments'!$E$4:$E$103,IF('Adjustment Surface'!$C$2='Data Validation'!$A$3,'Bank Adjustments'!$O$4:$O$103,"Unknown Option Type"))),0)))</f>
        <v/>
      </c>
      <c r="AT27" s="190" t="str" cm="1">
        <f t="array" ref="AT27">IF(OR(AT$26="",$AN27=""),"",INDEX(IF($C$2='Data Validation'!$A$2,'Bank Adjustments'!$I$4:$I$103,IF('Adjustment Surface'!$C$2='Data Validation'!$A$3,'Bank Adjustments'!$S$4:$S$103,"Unknown Option Type")),MATCH(1,($AN27=IF($C$2='Data Validation'!$A$2,'Bank Adjustments'!$C$4:$C$103,IF('Adjustment Surface'!$C$2='Data Validation'!$A$3,'Bank Adjustments'!$M$4:$M$103,"Unknown Option Type")))*(AT$26=IF($C$2='Data Validation'!$A$2,'Bank Adjustments'!$E$4:$E$103,IF('Adjustment Surface'!$C$2='Data Validation'!$A$3,'Bank Adjustments'!$O$4:$O$103,"Unknown Option Type"))),0)))</f>
        <v/>
      </c>
      <c r="AU27" s="190" t="str" cm="1">
        <f t="array" ref="AU27">IF(OR(AU$26="",$AN27=""),"",INDEX(IF($C$2='Data Validation'!$A$2,'Bank Adjustments'!$I$4:$I$103,IF('Adjustment Surface'!$C$2='Data Validation'!$A$3,'Bank Adjustments'!$S$4:$S$103,"Unknown Option Type")),MATCH(1,($AN27=IF($C$2='Data Validation'!$A$2,'Bank Adjustments'!$C$4:$C$103,IF('Adjustment Surface'!$C$2='Data Validation'!$A$3,'Bank Adjustments'!$M$4:$M$103,"Unknown Option Type")))*(AU$26=IF($C$2='Data Validation'!$A$2,'Bank Adjustments'!$E$4:$E$103,IF('Adjustment Surface'!$C$2='Data Validation'!$A$3,'Bank Adjustments'!$O$4:$O$103,"Unknown Option Type"))),0)))</f>
        <v/>
      </c>
      <c r="AV27" s="190" t="str" cm="1">
        <f t="array" ref="AV27">IF(OR(AV$26="",$AN27=""),"",INDEX(IF($C$2='Data Validation'!$A$2,'Bank Adjustments'!$I$4:$I$103,IF('Adjustment Surface'!$C$2='Data Validation'!$A$3,'Bank Adjustments'!$S$4:$S$103,"Unknown Option Type")),MATCH(1,($AN27=IF($C$2='Data Validation'!$A$2,'Bank Adjustments'!$C$4:$C$103,IF('Adjustment Surface'!$C$2='Data Validation'!$A$3,'Bank Adjustments'!$M$4:$M$103,"Unknown Option Type")))*(AV$26=IF($C$2='Data Validation'!$A$2,'Bank Adjustments'!$E$4:$E$103,IF('Adjustment Surface'!$C$2='Data Validation'!$A$3,'Bank Adjustments'!$O$4:$O$103,"Unknown Option Type"))),0)))</f>
        <v/>
      </c>
      <c r="AW27" s="190" t="str" cm="1">
        <f t="array" ref="AW27">IF(OR(AW$26="",$AN27=""),"",INDEX(IF($C$2='Data Validation'!$A$2,'Bank Adjustments'!$I$4:$I$103,IF('Adjustment Surface'!$C$2='Data Validation'!$A$3,'Bank Adjustments'!$S$4:$S$103,"Unknown Option Type")),MATCH(1,($AN27=IF($C$2='Data Validation'!$A$2,'Bank Adjustments'!$C$4:$C$103,IF('Adjustment Surface'!$C$2='Data Validation'!$A$3,'Bank Adjustments'!$M$4:$M$103,"Unknown Option Type")))*(AW$26=IF($C$2='Data Validation'!$A$2,'Bank Adjustments'!$E$4:$E$103,IF('Adjustment Surface'!$C$2='Data Validation'!$A$3,'Bank Adjustments'!$O$4:$O$103,"Unknown Option Type"))),0)))</f>
        <v/>
      </c>
      <c r="AX27" s="190" t="str" cm="1">
        <f t="array" ref="AX27">IF(OR(AX$26="",$AN27=""),"",INDEX(IF($C$2='Data Validation'!$A$2,'Bank Adjustments'!$I$4:$I$103,IF('Adjustment Surface'!$C$2='Data Validation'!$A$3,'Bank Adjustments'!$S$4:$S$103,"Unknown Option Type")),MATCH(1,($AN27=IF($C$2='Data Validation'!$A$2,'Bank Adjustments'!$C$4:$C$103,IF('Adjustment Surface'!$C$2='Data Validation'!$A$3,'Bank Adjustments'!$M$4:$M$103,"Unknown Option Type")))*(AX$26=IF($C$2='Data Validation'!$A$2,'Bank Adjustments'!$E$4:$E$103,IF('Adjustment Surface'!$C$2='Data Validation'!$A$3,'Bank Adjustments'!$O$4:$O$103,"Unknown Option Type"))),0)))</f>
        <v/>
      </c>
      <c r="AY27" s="190" t="str" cm="1">
        <f t="array" ref="AY27">IF(OR(AY$26="",$AN27=""),"",INDEX(IF($C$2='Data Validation'!$A$2,'Bank Adjustments'!$I$4:$I$103,IF('Adjustment Surface'!$C$2='Data Validation'!$A$3,'Bank Adjustments'!$S$4:$S$103,"Unknown Option Type")),MATCH(1,($AN27=IF($C$2='Data Validation'!$A$2,'Bank Adjustments'!$C$4:$C$103,IF('Adjustment Surface'!$C$2='Data Validation'!$A$3,'Bank Adjustments'!$M$4:$M$103,"Unknown Option Type")))*(AY$26=IF($C$2='Data Validation'!$A$2,'Bank Adjustments'!$E$4:$E$103,IF('Adjustment Surface'!$C$2='Data Validation'!$A$3,'Bank Adjustments'!$O$4:$O$103,"Unknown Option Type"))),0)))</f>
        <v/>
      </c>
      <c r="AZ27" s="190" t="str" cm="1">
        <f t="array" ref="AZ27">IF(OR(AZ$26="",$AN27=""),"",INDEX(IF($C$2='Data Validation'!$A$2,'Bank Adjustments'!$I$4:$I$103,IF('Adjustment Surface'!$C$2='Data Validation'!$A$3,'Bank Adjustments'!$S$4:$S$103,"Unknown Option Type")),MATCH(1,($AN27=IF($C$2='Data Validation'!$A$2,'Bank Adjustments'!$C$4:$C$103,IF('Adjustment Surface'!$C$2='Data Validation'!$A$3,'Bank Adjustments'!$M$4:$M$103,"Unknown Option Type")))*(AZ$26=IF($C$2='Data Validation'!$A$2,'Bank Adjustments'!$E$4:$E$103,IF('Adjustment Surface'!$C$2='Data Validation'!$A$3,'Bank Adjustments'!$O$4:$O$103,"Unknown Option Type"))),0)))</f>
        <v/>
      </c>
      <c r="BA27" s="190" t="str" cm="1">
        <f t="array" ref="BA27">IF(OR(BA$26="",$AN27=""),"",INDEX(IF($C$2='Data Validation'!$A$2,'Bank Adjustments'!$I$4:$I$103,IF('Adjustment Surface'!$C$2='Data Validation'!$A$3,'Bank Adjustments'!$S$4:$S$103,"Unknown Option Type")),MATCH(1,($AN27=IF($C$2='Data Validation'!$A$2,'Bank Adjustments'!$C$4:$C$103,IF('Adjustment Surface'!$C$2='Data Validation'!$A$3,'Bank Adjustments'!$M$4:$M$103,"Unknown Option Type")))*(BA$26=IF($C$2='Data Validation'!$A$2,'Bank Adjustments'!$E$4:$E$103,IF('Adjustment Surface'!$C$2='Data Validation'!$A$3,'Bank Adjustments'!$O$4:$O$103,"Unknown Option Type"))),0)))</f>
        <v/>
      </c>
      <c r="BB27" s="190" t="str" cm="1">
        <f t="array" ref="BB27">IF(OR(BB$26="",$AN27=""),"",INDEX(IF($C$2='Data Validation'!$A$2,'Bank Adjustments'!$I$4:$I$103,IF('Adjustment Surface'!$C$2='Data Validation'!$A$3,'Bank Adjustments'!$S$4:$S$103,"Unknown Option Type")),MATCH(1,($AN27=IF($C$2='Data Validation'!$A$2,'Bank Adjustments'!$C$4:$C$103,IF('Adjustment Surface'!$C$2='Data Validation'!$A$3,'Bank Adjustments'!$M$4:$M$103,"Unknown Option Type")))*(BB$26=IF($C$2='Data Validation'!$A$2,'Bank Adjustments'!$E$4:$E$103,IF('Adjustment Surface'!$C$2='Data Validation'!$A$3,'Bank Adjustments'!$O$4:$O$103,"Unknown Option Type"))),0)))</f>
        <v/>
      </c>
      <c r="BC27" s="190" t="str" cm="1">
        <f t="array" ref="BC27">IF(OR(BC$26="",$AN27=""),"",INDEX(IF($C$2='Data Validation'!$A$2,'Bank Adjustments'!$I$4:$I$103,IF('Adjustment Surface'!$C$2='Data Validation'!$A$3,'Bank Adjustments'!$S$4:$S$103,"Unknown Option Type")),MATCH(1,($AN27=IF($C$2='Data Validation'!$A$2,'Bank Adjustments'!$C$4:$C$103,IF('Adjustment Surface'!$C$2='Data Validation'!$A$3,'Bank Adjustments'!$M$4:$M$103,"Unknown Option Type")))*(BC$26=IF($C$2='Data Validation'!$A$2,'Bank Adjustments'!$E$4:$E$103,IF('Adjustment Surface'!$C$2='Data Validation'!$A$3,'Bank Adjustments'!$O$4:$O$103,"Unknown Option Type"))),0)))</f>
        <v/>
      </c>
      <c r="BD27" s="190" t="str" cm="1">
        <f t="array" ref="BD27">IF(OR(BD$26="",$AN27=""),"",INDEX(IF($C$2='Data Validation'!$A$2,'Bank Adjustments'!$I$4:$I$103,IF('Adjustment Surface'!$C$2='Data Validation'!$A$3,'Bank Adjustments'!$S$4:$S$103,"Unknown Option Type")),MATCH(1,($AN27=IF($C$2='Data Validation'!$A$2,'Bank Adjustments'!$C$4:$C$103,IF('Adjustment Surface'!$C$2='Data Validation'!$A$3,'Bank Adjustments'!$M$4:$M$103,"Unknown Option Type")))*(BD$26=IF($C$2='Data Validation'!$A$2,'Bank Adjustments'!$E$4:$E$103,IF('Adjustment Surface'!$C$2='Data Validation'!$A$3,'Bank Adjustments'!$O$4:$O$103,"Unknown Option Type"))),0)))</f>
        <v/>
      </c>
      <c r="BE27" s="190" t="str" cm="1">
        <f t="array" ref="BE27">IF(OR(BE$26="",$AN27=""),"",INDEX(IF($C$2='Data Validation'!$A$2,'Bank Adjustments'!$I$4:$I$103,IF('Adjustment Surface'!$C$2='Data Validation'!$A$3,'Bank Adjustments'!$S$4:$S$103,"Unknown Option Type")),MATCH(1,($AN27=IF($C$2='Data Validation'!$A$2,'Bank Adjustments'!$C$4:$C$103,IF('Adjustment Surface'!$C$2='Data Validation'!$A$3,'Bank Adjustments'!$M$4:$M$103,"Unknown Option Type")))*(BE$26=IF($C$2='Data Validation'!$A$2,'Bank Adjustments'!$E$4:$E$103,IF('Adjustment Surface'!$C$2='Data Validation'!$A$3,'Bank Adjustments'!$O$4:$O$103,"Unknown Option Type"))),0)))</f>
        <v/>
      </c>
      <c r="BF27" s="190" t="str" cm="1">
        <f t="array" ref="BF27">IF(OR(BF$26="",$AN27=""),"",INDEX(IF($C$2='Data Validation'!$A$2,'Bank Adjustments'!$I$4:$I$103,IF('Adjustment Surface'!$C$2='Data Validation'!$A$3,'Bank Adjustments'!$S$4:$S$103,"Unknown Option Type")),MATCH(1,($AN27=IF($C$2='Data Validation'!$A$2,'Bank Adjustments'!$C$4:$C$103,IF('Adjustment Surface'!$C$2='Data Validation'!$A$3,'Bank Adjustments'!$M$4:$M$103,"Unknown Option Type")))*(BF$26=IF($C$2='Data Validation'!$A$2,'Bank Adjustments'!$E$4:$E$103,IF('Adjustment Surface'!$C$2='Data Validation'!$A$3,'Bank Adjustments'!$O$4:$O$103,"Unknown Option Type"))),0)))</f>
        <v/>
      </c>
      <c r="BG27" s="190" t="str" cm="1">
        <f t="array" ref="BG27">IF(OR(BG$26="",$AN27=""),"",INDEX(IF($C$2='Data Validation'!$A$2,'Bank Adjustments'!$I$4:$I$103,IF('Adjustment Surface'!$C$2='Data Validation'!$A$3,'Bank Adjustments'!$S$4:$S$103,"Unknown Option Type")),MATCH(1,($AN27=IF($C$2='Data Validation'!$A$2,'Bank Adjustments'!$C$4:$C$103,IF('Adjustment Surface'!$C$2='Data Validation'!$A$3,'Bank Adjustments'!$M$4:$M$103,"Unknown Option Type")))*(BG$26=IF($C$2='Data Validation'!$A$2,'Bank Adjustments'!$E$4:$E$103,IF('Adjustment Surface'!$C$2='Data Validation'!$A$3,'Bank Adjustments'!$O$4:$O$103,"Unknown Option Type"))),0)))</f>
        <v/>
      </c>
      <c r="BH27" s="191" t="str" cm="1">
        <f t="array" ref="BH27">IF(OR(BH$26="",$AN27=""),"",INDEX(IF($C$2='Data Validation'!$A$2,'Bank Adjustments'!$I$4:$I$103,IF('Adjustment Surface'!$C$2='Data Validation'!$A$3,'Bank Adjustments'!$S$4:$S$103,"Unknown Option Type")),MATCH(1,($AN27=IF($C$2='Data Validation'!$A$2,'Bank Adjustments'!$C$4:$C$103,IF('Adjustment Surface'!$C$2='Data Validation'!$A$3,'Bank Adjustments'!$M$4:$M$103,"Unknown Option Type")))*(BH$26=IF($C$2='Data Validation'!$A$2,'Bank Adjustments'!$E$4:$E$103,IF('Adjustment Surface'!$C$2='Data Validation'!$A$3,'Bank Adjustments'!$O$4:$O$103,"Unknown Option Type"))),0)))</f>
        <v/>
      </c>
    </row>
    <row r="28" spans="2:60" x14ac:dyDescent="0.25">
      <c r="B28" s="12" t="s">
        <v>6</v>
      </c>
      <c r="C28" s="74">
        <f>C21</f>
        <v>46429</v>
      </c>
      <c r="D28" s="74">
        <f t="shared" ref="D28:F28" si="5">D21</f>
        <v>46794</v>
      </c>
      <c r="E28" s="74">
        <f t="shared" si="5"/>
        <v>47160</v>
      </c>
      <c r="F28" s="74">
        <f t="shared" si="5"/>
        <v>47525</v>
      </c>
      <c r="H28" s="217">
        <v>2.5000000000000001E-2</v>
      </c>
      <c r="I28" s="54">
        <f t="shared" ref="I28:M46" si="6">IF($H28="","",ABS($H28-I$26))</f>
        <v>5.000000000000001E-3</v>
      </c>
      <c r="J28" s="55">
        <f t="shared" si="6"/>
        <v>4.9999999999999975E-3</v>
      </c>
      <c r="K28" s="55">
        <f t="shared" si="6"/>
        <v>1.4999999999999999E-2</v>
      </c>
      <c r="L28" s="55">
        <f t="shared" si="6"/>
        <v>2.5000000000000001E-2</v>
      </c>
      <c r="M28" s="48">
        <f t="shared" si="6"/>
        <v>3.4999999999999996E-2</v>
      </c>
      <c r="O28" s="176">
        <v>2.5000000000000001E-2</v>
      </c>
      <c r="P28" s="192" cm="1">
        <f t="array" ref="P28">IF(OR(P$26="",$O28=""),"",1/((INDEX('Adjustment Surface'!$AN$27:$AN$46,MATCH(('Adjustment Surface'!$O28),'Adjustment Surface'!$AN$27:$AN$46,1)+IF('Adjustment Surface'!$O29="",-1,1))-INDEX('Adjustment Surface'!$AN$27:$AN$46,MATCH(('Adjustment Surface'!$O28),'Adjustment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Surface'!$O28),'Adjustment Surface'!$AN$27:$AN$46,1)),$AN$27:$AN$46,0),MATCH(INDEX('Adjustment Surface'!$AO$26:$BH$26,1,MATCH(('Adjustment Surface'!P$26),'Adjustment Surface'!$AO$26:$BH$26,1)),$AO$26:$BH$26,0))*(INDEX('Adjustment Surface'!$AN$27:$AN$46,MATCH(('Adjustment Surface'!$O28),'Adjustment Surface'!$AN$27:$AN$46,1)+IF('Adjustment Surface'!$O29="",-1,1))-'Adjustment Surface'!$O28)*(INDEX('Adjustment Surface'!$AO$26:$BH$26,1,MATCH(('Adjustment Surface'!P$26),'Adjustment Surface'!$AO$26:$BH$26,1)+IF('Adjustment Surface'!Q$26="",-1,1))-'Adjustment Surface'!P$26)+INDEX($AO$27:$BH$46,MATCH(INDEX('Adjustment Surface'!$AN$27:$AN$46,MATCH(('Adjustment Surface'!$O28),'Adjustment Surface'!$AN$27:$AN$46,1)+IF('Adjustment Surface'!$O29="",-1,1)),$AN$27:$AN$46,0),MATCH(INDEX('Adjustment Surface'!$AO$26:$BH$26,1,MATCH(('Adjustment Surface'!P$26),'Adjustment Surface'!$AO$26:$BH$26,1)),$AO$26:$BH$26,0))*('Adjustment Surface'!$O28-INDEX('Adjustment Surface'!$AN$27:$AN$46,MATCH(('Adjustment Surface'!$O28),'Adjustment Surface'!$AN$27:$AN$46,1)))*(INDEX('Adjustment Surface'!$AO$26:$BH$26,1,MATCH(('Adjustment Surface'!P$26),'Adjustment Surface'!$AO$26:$BH$26,1)+IF('Adjustment Surface'!Q$26="",-1,1))-'Adjustment Surface'!P$26)+INDEX($AO$27:$BH$46,MATCH(INDEX('Adjustment Surface'!$AN$27:$AN$46,MATCH(('Adjustment Surface'!$O28),'Adjustment Surface'!$AN$27:$AN$46,1)),$AN$27:$AN$46,0),MATCH(INDEX('Adjustment Surface'!$AO$26:$BH$26,1,MATCH(('Adjustment Surface'!P$26),'Adjustment Surface'!$AO$26:$BH$26,1)+IF('Adjustment Surface'!Q$26="",-1,1)),$AO$26:$BH$26,0))*(INDEX('Adjustment Surface'!$AN$27:$AN$46,MATCH(('Adjustment Surface'!$O28),'Adjustment Surface'!$AN$27:$AN$46,1)+IF('Adjustment Surface'!$O29="",-1,1))-'Adjustment Surface'!$O28)*('Adjustment Surface'!P$26-INDEX('Adjustment Surface'!$AO$26:$BH$26,1,MATCH(('Adjustment Surface'!P$26),'Adjustment Surface'!$AO$26:$BH$26,1)))+INDEX($AO$27:$BH$46,MATCH(INDEX('Adjustment Surface'!$AN$27:$AN$46,MATCH(('Adjustment Surface'!$O28),'Adjustment Surface'!$AN$27:$AN$46,1)+IF('Adjustment Surface'!$O29="",-1,1)),$AN$27:$AN$46,0),MATCH(INDEX('Adjustment Surface'!$AO$26:$BH$26,1,MATCH(('Adjustment Surface'!P$26),'Adjustment Surface'!$AO$26:$BH$26,1)+IF('Adjustment Surface'!Q$26="",-1,1)),$AO$26:$BH$26,0))*('Adjustment Surface'!$O28-INDEX('Adjustment Surface'!$AN$27:$AN$46,MATCH(('Adjustment Surface'!$O28),'Adjustment Surface'!$AN$27:$AN$46,1)))*('Adjustment Surface'!P$26-INDEX('Adjustment Surface'!$AO$26:$BH$26,1,MATCH(('Adjustment Surface'!P$26),'Adjustment Surface'!$AO$26:$BH$26,1)))))</f>
        <v>8.8716471851654904E-2</v>
      </c>
      <c r="Q28" s="193" cm="1">
        <f t="array" ref="Q28">IF(OR(Q$26="",$O28=""),"",1/((INDEX('Adjustment Surface'!$AN$27:$AN$46,MATCH(('Adjustment Surface'!$O28),'Adjustment Surface'!$AN$27:$AN$46,1)+IF('Adjustment Surface'!$O29="",-1,1))-INDEX('Adjustment Surface'!$AN$27:$AN$46,MATCH(('Adjustment Surface'!$O28),'Adjustment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Surface'!$O28),'Adjustment Surface'!$AN$27:$AN$46,1)),$AN$27:$AN$46,0),MATCH(INDEX('Adjustment Surface'!$AO$26:$BH$26,1,MATCH(('Adjustment Surface'!Q$26),'Adjustment Surface'!$AO$26:$BH$26,1)),$AO$26:$BH$26,0))*(INDEX('Adjustment Surface'!$AN$27:$AN$46,MATCH(('Adjustment Surface'!$O28),'Adjustment Surface'!$AN$27:$AN$46,1)+IF('Adjustment Surface'!$O29="",-1,1))-'Adjustment Surface'!$O28)*(INDEX('Adjustment Surface'!$AO$26:$BH$26,1,MATCH(('Adjustment Surface'!Q$26),'Adjustment Surface'!$AO$26:$BH$26,1)+IF('Adjustment Surface'!R$26="",-1,1))-'Adjustment Surface'!Q$26)+INDEX($AO$27:$BH$46,MATCH(INDEX('Adjustment Surface'!$AN$27:$AN$46,MATCH(('Adjustment Surface'!$O28),'Adjustment Surface'!$AN$27:$AN$46,1)+IF('Adjustment Surface'!$O29="",-1,1)),$AN$27:$AN$46,0),MATCH(INDEX('Adjustment Surface'!$AO$26:$BH$26,1,MATCH(('Adjustment Surface'!Q$26),'Adjustment Surface'!$AO$26:$BH$26,1)),$AO$26:$BH$26,0))*('Adjustment Surface'!$O28-INDEX('Adjustment Surface'!$AN$27:$AN$46,MATCH(('Adjustment Surface'!$O28),'Adjustment Surface'!$AN$27:$AN$46,1)))*(INDEX('Adjustment Surface'!$AO$26:$BH$26,1,MATCH(('Adjustment Surface'!Q$26),'Adjustment Surface'!$AO$26:$BH$26,1)+IF('Adjustment Surface'!R$26="",-1,1))-'Adjustment Surface'!Q$26)+INDEX($AO$27:$BH$46,MATCH(INDEX('Adjustment Surface'!$AN$27:$AN$46,MATCH(('Adjustment Surface'!$O28),'Adjustment Surface'!$AN$27:$AN$46,1)),$AN$27:$AN$46,0),MATCH(INDEX('Adjustment Surface'!$AO$26:$BH$26,1,MATCH(('Adjustment Surface'!Q$26),'Adjustment Surface'!$AO$26:$BH$26,1)+IF('Adjustment Surface'!R$26="",-1,1)),$AO$26:$BH$26,0))*(INDEX('Adjustment Surface'!$AN$27:$AN$46,MATCH(('Adjustment Surface'!$O28),'Adjustment Surface'!$AN$27:$AN$46,1)+IF('Adjustment Surface'!$O29="",-1,1))-'Adjustment Surface'!$O28)*('Adjustment Surface'!Q$26-INDEX('Adjustment Surface'!$AO$26:$BH$26,1,MATCH(('Adjustment Surface'!Q$26),'Adjustment Surface'!$AO$26:$BH$26,1)))+INDEX($AO$27:$BH$46,MATCH(INDEX('Adjustment Surface'!$AN$27:$AN$46,MATCH(('Adjustment Surface'!$O28),'Adjustment Surface'!$AN$27:$AN$46,1)+IF('Adjustment Surface'!$O29="",-1,1)),$AN$27:$AN$46,0),MATCH(INDEX('Adjustment Surface'!$AO$26:$BH$26,1,MATCH(('Adjustment Surface'!Q$26),'Adjustment Surface'!$AO$26:$BH$26,1)+IF('Adjustment Surface'!R$26="",-1,1)),$AO$26:$BH$26,0))*('Adjustment Surface'!$O28-INDEX('Adjustment Surface'!$AN$27:$AN$46,MATCH(('Adjustment Surface'!$O28),'Adjustment Surface'!$AN$27:$AN$46,1)))*('Adjustment Surface'!Q$26-INDEX('Adjustment Surface'!$AO$26:$BH$26,1,MATCH(('Adjustment Surface'!Q$26),'Adjustment Surface'!$AO$26:$BH$26,1)))))</f>
        <v>9.0646630678831386E-2</v>
      </c>
      <c r="R28" s="193" cm="1">
        <f t="array" ref="R28">IF(OR(R$26="",$O28=""),"",1/((INDEX('Adjustment Surface'!$AN$27:$AN$46,MATCH(('Adjustment Surface'!$O28),'Adjustment Surface'!$AN$27:$AN$46,1)+IF('Adjustment Surface'!$O29="",-1,1))-INDEX('Adjustment Surface'!$AN$27:$AN$46,MATCH(('Adjustment Surface'!$O28),'Adjustment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Surface'!$O28),'Adjustment Surface'!$AN$27:$AN$46,1)),$AN$27:$AN$46,0),MATCH(INDEX('Adjustment Surface'!$AO$26:$BH$26,1,MATCH(('Adjustment Surface'!R$26),'Adjustment Surface'!$AO$26:$BH$26,1)),$AO$26:$BH$26,0))*(INDEX('Adjustment Surface'!$AN$27:$AN$46,MATCH(('Adjustment Surface'!$O28),'Adjustment Surface'!$AN$27:$AN$46,1)+IF('Adjustment Surface'!$O29="",-1,1))-'Adjustment Surface'!$O28)*(INDEX('Adjustment Surface'!$AO$26:$BH$26,1,MATCH(('Adjustment Surface'!R$26),'Adjustment Surface'!$AO$26:$BH$26,1)+IF('Adjustment Surface'!S$26="",-1,1))-'Adjustment Surface'!R$26)+INDEX($AO$27:$BH$46,MATCH(INDEX('Adjustment Surface'!$AN$27:$AN$46,MATCH(('Adjustment Surface'!$O28),'Adjustment Surface'!$AN$27:$AN$46,1)+IF('Adjustment Surface'!$O29="",-1,1)),$AN$27:$AN$46,0),MATCH(INDEX('Adjustment Surface'!$AO$26:$BH$26,1,MATCH(('Adjustment Surface'!R$26),'Adjustment Surface'!$AO$26:$BH$26,1)),$AO$26:$BH$26,0))*('Adjustment Surface'!$O28-INDEX('Adjustment Surface'!$AN$27:$AN$46,MATCH(('Adjustment Surface'!$O28),'Adjustment Surface'!$AN$27:$AN$46,1)))*(INDEX('Adjustment Surface'!$AO$26:$BH$26,1,MATCH(('Adjustment Surface'!R$26),'Adjustment Surface'!$AO$26:$BH$26,1)+IF('Adjustment Surface'!S$26="",-1,1))-'Adjustment Surface'!R$26)+INDEX($AO$27:$BH$46,MATCH(INDEX('Adjustment Surface'!$AN$27:$AN$46,MATCH(('Adjustment Surface'!$O28),'Adjustment Surface'!$AN$27:$AN$46,1)),$AN$27:$AN$46,0),MATCH(INDEX('Adjustment Surface'!$AO$26:$BH$26,1,MATCH(('Adjustment Surface'!R$26),'Adjustment Surface'!$AO$26:$BH$26,1)+IF('Adjustment Surface'!S$26="",-1,1)),$AO$26:$BH$26,0))*(INDEX('Adjustment Surface'!$AN$27:$AN$46,MATCH(('Adjustment Surface'!$O28),'Adjustment Surface'!$AN$27:$AN$46,1)+IF('Adjustment Surface'!$O29="",-1,1))-'Adjustment Surface'!$O28)*('Adjustment Surface'!R$26-INDEX('Adjustment Surface'!$AO$26:$BH$26,1,MATCH(('Adjustment Surface'!R$26),'Adjustment Surface'!$AO$26:$BH$26,1)))+INDEX($AO$27:$BH$46,MATCH(INDEX('Adjustment Surface'!$AN$27:$AN$46,MATCH(('Adjustment Surface'!$O28),'Adjustment Surface'!$AN$27:$AN$46,1)+IF('Adjustment Surface'!$O29="",-1,1)),$AN$27:$AN$46,0),MATCH(INDEX('Adjustment Surface'!$AO$26:$BH$26,1,MATCH(('Adjustment Surface'!R$26),'Adjustment Surface'!$AO$26:$BH$26,1)+IF('Adjustment Surface'!S$26="",-1,1)),$AO$26:$BH$26,0))*('Adjustment Surface'!$O28-INDEX('Adjustment Surface'!$AN$27:$AN$46,MATCH(('Adjustment Surface'!$O28),'Adjustment Surface'!$AN$27:$AN$46,1)))*('Adjustment Surface'!R$26-INDEX('Adjustment Surface'!$AO$26:$BH$26,1,MATCH(('Adjustment Surface'!R$26),'Adjustment Surface'!$AO$26:$BH$26,1)))))</f>
        <v>9.2641851039508186E-2</v>
      </c>
      <c r="S28" s="193" cm="1">
        <f t="array" ref="S28">IF(OR(S$26="",$O28=""),"",1/((INDEX('Adjustment Surface'!$AN$27:$AN$46,MATCH(('Adjustment Surface'!$O28),'Adjustment Surface'!$AN$27:$AN$46,1)+IF('Adjustment Surface'!$O29="",-1,1))-INDEX('Adjustment Surface'!$AN$27:$AN$46,MATCH(('Adjustment Surface'!$O28),'Adjustment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Surface'!$O28),'Adjustment Surface'!$AN$27:$AN$46,1)),$AN$27:$AN$46,0),MATCH(INDEX('Adjustment Surface'!$AO$26:$BH$26,1,MATCH(('Adjustment Surface'!S$26),'Adjustment Surface'!$AO$26:$BH$26,1)),$AO$26:$BH$26,0))*(INDEX('Adjustment Surface'!$AN$27:$AN$46,MATCH(('Adjustment Surface'!$O28),'Adjustment Surface'!$AN$27:$AN$46,1)+IF('Adjustment Surface'!$O29="",-1,1))-'Adjustment Surface'!$O28)*(INDEX('Adjustment Surface'!$AO$26:$BH$26,1,MATCH(('Adjustment Surface'!S$26),'Adjustment Surface'!$AO$26:$BH$26,1)+IF('Adjustment Surface'!T$26="",-1,1))-'Adjustment Surface'!S$26)+INDEX($AO$27:$BH$46,MATCH(INDEX('Adjustment Surface'!$AN$27:$AN$46,MATCH(('Adjustment Surface'!$O28),'Adjustment Surface'!$AN$27:$AN$46,1)+IF('Adjustment Surface'!$O29="",-1,1)),$AN$27:$AN$46,0),MATCH(INDEX('Adjustment Surface'!$AO$26:$BH$26,1,MATCH(('Adjustment Surface'!S$26),'Adjustment Surface'!$AO$26:$BH$26,1)),$AO$26:$BH$26,0))*('Adjustment Surface'!$O28-INDEX('Adjustment Surface'!$AN$27:$AN$46,MATCH(('Adjustment Surface'!$O28),'Adjustment Surface'!$AN$27:$AN$46,1)))*(INDEX('Adjustment Surface'!$AO$26:$BH$26,1,MATCH(('Adjustment Surface'!S$26),'Adjustment Surface'!$AO$26:$BH$26,1)+IF('Adjustment Surface'!T$26="",-1,1))-'Adjustment Surface'!S$26)+INDEX($AO$27:$BH$46,MATCH(INDEX('Adjustment Surface'!$AN$27:$AN$46,MATCH(('Adjustment Surface'!$O28),'Adjustment Surface'!$AN$27:$AN$46,1)),$AN$27:$AN$46,0),MATCH(INDEX('Adjustment Surface'!$AO$26:$BH$26,1,MATCH(('Adjustment Surface'!S$26),'Adjustment Surface'!$AO$26:$BH$26,1)+IF('Adjustment Surface'!T$26="",-1,1)),$AO$26:$BH$26,0))*(INDEX('Adjustment Surface'!$AN$27:$AN$46,MATCH(('Adjustment Surface'!$O28),'Adjustment Surface'!$AN$27:$AN$46,1)+IF('Adjustment Surface'!$O29="",-1,1))-'Adjustment Surface'!$O28)*('Adjustment Surface'!S$26-INDEX('Adjustment Surface'!$AO$26:$BH$26,1,MATCH(('Adjustment Surface'!S$26),'Adjustment Surface'!$AO$26:$BH$26,1)))+INDEX($AO$27:$BH$46,MATCH(INDEX('Adjustment Surface'!$AN$27:$AN$46,MATCH(('Adjustment Surface'!$O28),'Adjustment Surface'!$AN$27:$AN$46,1)+IF('Adjustment Surface'!$O29="",-1,1)),$AN$27:$AN$46,0),MATCH(INDEX('Adjustment Surface'!$AO$26:$BH$26,1,MATCH(('Adjustment Surface'!S$26),'Adjustment Surface'!$AO$26:$BH$26,1)+IF('Adjustment Surface'!T$26="",-1,1)),$AO$26:$BH$26,0))*('Adjustment Surface'!$O28-INDEX('Adjustment Surface'!$AN$27:$AN$46,MATCH(('Adjustment Surface'!$O28),'Adjustment Surface'!$AN$27:$AN$46,1)))*('Adjustment Surface'!S$26-INDEX('Adjustment Surface'!$AO$26:$BH$26,1,MATCH(('Adjustment Surface'!S$26),'Adjustment Surface'!$AO$26:$BH$26,1)))))</f>
        <v>9.4637071400184986E-2</v>
      </c>
      <c r="T28" s="193" cm="1">
        <f t="array" ref="T28">IF(OR(T$26="",$O28=""),"",1/((INDEX('Adjustment Surface'!$AN$27:$AN$46,MATCH(('Adjustment Surface'!$O28),'Adjustment Surface'!$AN$27:$AN$46,1)+IF('Adjustment Surface'!$O29="",-1,1))-INDEX('Adjustment Surface'!$AN$27:$AN$46,MATCH(('Adjustment Surface'!$O28),'Adjustment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Surface'!$O28),'Adjustment Surface'!$AN$27:$AN$46,1)),$AN$27:$AN$46,0),MATCH(INDEX('Adjustment Surface'!$AO$26:$BH$26,1,MATCH(('Adjustment Surface'!T$26),'Adjustment Surface'!$AO$26:$BH$26,1)),$AO$26:$BH$26,0))*(INDEX('Adjustment Surface'!$AN$27:$AN$46,MATCH(('Adjustment Surface'!$O28),'Adjustment Surface'!$AN$27:$AN$46,1)+IF('Adjustment Surface'!$O29="",-1,1))-'Adjustment Surface'!$O28)*(INDEX('Adjustment Surface'!$AO$26:$BH$26,1,MATCH(('Adjustment Surface'!T$26),'Adjustment Surface'!$AO$26:$BH$26,1)+IF('Adjustment Surface'!U$26="",-1,1))-'Adjustment Surface'!T$26)+INDEX($AO$27:$BH$46,MATCH(INDEX('Adjustment Surface'!$AN$27:$AN$46,MATCH(('Adjustment Surface'!$O28),'Adjustment Surface'!$AN$27:$AN$46,1)+IF('Adjustment Surface'!$O29="",-1,1)),$AN$27:$AN$46,0),MATCH(INDEX('Adjustment Surface'!$AO$26:$BH$26,1,MATCH(('Adjustment Surface'!T$26),'Adjustment Surface'!$AO$26:$BH$26,1)),$AO$26:$BH$26,0))*('Adjustment Surface'!$O28-INDEX('Adjustment Surface'!$AN$27:$AN$46,MATCH(('Adjustment Surface'!$O28),'Adjustment Surface'!$AN$27:$AN$46,1)))*(INDEX('Adjustment Surface'!$AO$26:$BH$26,1,MATCH(('Adjustment Surface'!T$26),'Adjustment Surface'!$AO$26:$BH$26,1)+IF('Adjustment Surface'!U$26="",-1,1))-'Adjustment Surface'!T$26)+INDEX($AO$27:$BH$46,MATCH(INDEX('Adjustment Surface'!$AN$27:$AN$46,MATCH(('Adjustment Surface'!$O28),'Adjustment Surface'!$AN$27:$AN$46,1)),$AN$27:$AN$46,0),MATCH(INDEX('Adjustment Surface'!$AO$26:$BH$26,1,MATCH(('Adjustment Surface'!T$26),'Adjustment Surface'!$AO$26:$BH$26,1)+IF('Adjustment Surface'!U$26="",-1,1)),$AO$26:$BH$26,0))*(INDEX('Adjustment Surface'!$AN$27:$AN$46,MATCH(('Adjustment Surface'!$O28),'Adjustment Surface'!$AN$27:$AN$46,1)+IF('Adjustment Surface'!$O29="",-1,1))-'Adjustment Surface'!$O28)*('Adjustment Surface'!T$26-INDEX('Adjustment Surface'!$AO$26:$BH$26,1,MATCH(('Adjustment Surface'!T$26),'Adjustment Surface'!$AO$26:$BH$26,1)))+INDEX($AO$27:$BH$46,MATCH(INDEX('Adjustment Surface'!$AN$27:$AN$46,MATCH(('Adjustment Surface'!$O28),'Adjustment Surface'!$AN$27:$AN$46,1)+IF('Adjustment Surface'!$O29="",-1,1)),$AN$27:$AN$46,0),MATCH(INDEX('Adjustment Surface'!$AO$26:$BH$26,1,MATCH(('Adjustment Surface'!T$26),'Adjustment Surface'!$AO$26:$BH$26,1)+IF('Adjustment Surface'!U$26="",-1,1)),$AO$26:$BH$26,0))*('Adjustment Surface'!$O28-INDEX('Adjustment Surface'!$AN$27:$AN$46,MATCH(('Adjustment Surface'!$O28),'Adjustment Surface'!$AN$27:$AN$46,1)))*('Adjustment Surface'!T$26-INDEX('Adjustment Surface'!$AO$26:$BH$26,1,MATCH(('Adjustment Surface'!T$26),'Adjustment Surface'!$AO$26:$BH$26,1)))))</f>
        <v>9.6632291760861813E-2</v>
      </c>
      <c r="U28" s="193" cm="1">
        <f t="array" ref="U28">IF(OR(U$26="",$O28=""),"",1/((INDEX('Adjustment Surface'!$AN$27:$AN$46,MATCH(('Adjustment Surface'!$O28),'Adjustment Surface'!$AN$27:$AN$46,1)+IF('Adjustment Surface'!$O29="",-1,1))-INDEX('Adjustment Surface'!$AN$27:$AN$46,MATCH(('Adjustment Surface'!$O28),'Adjustment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Surface'!$O28),'Adjustment Surface'!$AN$27:$AN$46,1)),$AN$27:$AN$46,0),MATCH(INDEX('Adjustment Surface'!$AO$26:$BH$26,1,MATCH(('Adjustment Surface'!U$26),'Adjustment Surface'!$AO$26:$BH$26,1)),$AO$26:$BH$26,0))*(INDEX('Adjustment Surface'!$AN$27:$AN$46,MATCH(('Adjustment Surface'!$O28),'Adjustment Surface'!$AN$27:$AN$46,1)+IF('Adjustment Surface'!$O29="",-1,1))-'Adjustment Surface'!$O28)*(INDEX('Adjustment Surface'!$AO$26:$BH$26,1,MATCH(('Adjustment Surface'!U$26),'Adjustment Surface'!$AO$26:$BH$26,1)+IF('Adjustment Surface'!V$26="",-1,1))-'Adjustment Surface'!U$26)+INDEX($AO$27:$BH$46,MATCH(INDEX('Adjustment Surface'!$AN$27:$AN$46,MATCH(('Adjustment Surface'!$O28),'Adjustment Surface'!$AN$27:$AN$46,1)+IF('Adjustment Surface'!$O29="",-1,1)),$AN$27:$AN$46,0),MATCH(INDEX('Adjustment Surface'!$AO$26:$BH$26,1,MATCH(('Adjustment Surface'!U$26),'Adjustment Surface'!$AO$26:$BH$26,1)),$AO$26:$BH$26,0))*('Adjustment Surface'!$O28-INDEX('Adjustment Surface'!$AN$27:$AN$46,MATCH(('Adjustment Surface'!$O28),'Adjustment Surface'!$AN$27:$AN$46,1)))*(INDEX('Adjustment Surface'!$AO$26:$BH$26,1,MATCH(('Adjustment Surface'!U$26),'Adjustment Surface'!$AO$26:$BH$26,1)+IF('Adjustment Surface'!V$26="",-1,1))-'Adjustment Surface'!U$26)+INDEX($AO$27:$BH$46,MATCH(INDEX('Adjustment Surface'!$AN$27:$AN$46,MATCH(('Adjustment Surface'!$O28),'Adjustment Surface'!$AN$27:$AN$46,1)),$AN$27:$AN$46,0),MATCH(INDEX('Adjustment Surface'!$AO$26:$BH$26,1,MATCH(('Adjustment Surface'!U$26),'Adjustment Surface'!$AO$26:$BH$26,1)+IF('Adjustment Surface'!V$26="",-1,1)),$AO$26:$BH$26,0))*(INDEX('Adjustment Surface'!$AN$27:$AN$46,MATCH(('Adjustment Surface'!$O28),'Adjustment Surface'!$AN$27:$AN$46,1)+IF('Adjustment Surface'!$O29="",-1,1))-'Adjustment Surface'!$O28)*('Adjustment Surface'!U$26-INDEX('Adjustment Surface'!$AO$26:$BH$26,1,MATCH(('Adjustment Surface'!U$26),'Adjustment Surface'!$AO$26:$BH$26,1)))+INDEX($AO$27:$BH$46,MATCH(INDEX('Adjustment Surface'!$AN$27:$AN$46,MATCH(('Adjustment Surface'!$O28),'Adjustment Surface'!$AN$27:$AN$46,1)+IF('Adjustment Surface'!$O29="",-1,1)),$AN$27:$AN$46,0),MATCH(INDEX('Adjustment Surface'!$AO$26:$BH$26,1,MATCH(('Adjustment Surface'!U$26),'Adjustment Surface'!$AO$26:$BH$26,1)+IF('Adjustment Surface'!V$26="",-1,1)),$AO$26:$BH$26,0))*('Adjustment Surface'!$O28-INDEX('Adjustment Surface'!$AN$27:$AN$46,MATCH(('Adjustment Surface'!$O28),'Adjustment Surface'!$AN$27:$AN$46,1)))*('Adjustment Surface'!U$26-INDEX('Adjustment Surface'!$AO$26:$BH$26,1,MATCH(('Adjustment Surface'!U$26),'Adjustment Surface'!$AO$26:$BH$26,1)))))</f>
        <v>8.3260124657611734E-2</v>
      </c>
      <c r="V28" s="193" cm="1">
        <f t="array" ref="V28">IF(OR(V$26="",$O28=""),"",1/((INDEX('Adjustment Surface'!$AN$27:$AN$46,MATCH(('Adjustment Surface'!$O28),'Adjustment Surface'!$AN$27:$AN$46,1)+IF('Adjustment Surface'!$O29="",-1,1))-INDEX('Adjustment Surface'!$AN$27:$AN$46,MATCH(('Adjustment Surface'!$O28),'Adjustment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Surface'!$O28),'Adjustment Surface'!$AN$27:$AN$46,1)),$AN$27:$AN$46,0),MATCH(INDEX('Adjustment Surface'!$AO$26:$BH$26,1,MATCH(('Adjustment Surface'!V$26),'Adjustment Surface'!$AO$26:$BH$26,1)),$AO$26:$BH$26,0))*(INDEX('Adjustment Surface'!$AN$27:$AN$46,MATCH(('Adjustment Surface'!$O28),'Adjustment Surface'!$AN$27:$AN$46,1)+IF('Adjustment Surface'!$O29="",-1,1))-'Adjustment Surface'!$O28)*(INDEX('Adjustment Surface'!$AO$26:$BH$26,1,MATCH(('Adjustment Surface'!V$26),'Adjustment Surface'!$AO$26:$BH$26,1)+IF('Adjustment Surface'!W$26="",-1,1))-'Adjustment Surface'!V$26)+INDEX($AO$27:$BH$46,MATCH(INDEX('Adjustment Surface'!$AN$27:$AN$46,MATCH(('Adjustment Surface'!$O28),'Adjustment Surface'!$AN$27:$AN$46,1)+IF('Adjustment Surface'!$O29="",-1,1)),$AN$27:$AN$46,0),MATCH(INDEX('Adjustment Surface'!$AO$26:$BH$26,1,MATCH(('Adjustment Surface'!V$26),'Adjustment Surface'!$AO$26:$BH$26,1)),$AO$26:$BH$26,0))*('Adjustment Surface'!$O28-INDEX('Adjustment Surface'!$AN$27:$AN$46,MATCH(('Adjustment Surface'!$O28),'Adjustment Surface'!$AN$27:$AN$46,1)))*(INDEX('Adjustment Surface'!$AO$26:$BH$26,1,MATCH(('Adjustment Surface'!V$26),'Adjustment Surface'!$AO$26:$BH$26,1)+IF('Adjustment Surface'!W$26="",-1,1))-'Adjustment Surface'!V$26)+INDEX($AO$27:$BH$46,MATCH(INDEX('Adjustment Surface'!$AN$27:$AN$46,MATCH(('Adjustment Surface'!$O28),'Adjustment Surface'!$AN$27:$AN$46,1)),$AN$27:$AN$46,0),MATCH(INDEX('Adjustment Surface'!$AO$26:$BH$26,1,MATCH(('Adjustment Surface'!V$26),'Adjustment Surface'!$AO$26:$BH$26,1)+IF('Adjustment Surface'!W$26="",-1,1)),$AO$26:$BH$26,0))*(INDEX('Adjustment Surface'!$AN$27:$AN$46,MATCH(('Adjustment Surface'!$O28),'Adjustment Surface'!$AN$27:$AN$46,1)+IF('Adjustment Surface'!$O29="",-1,1))-'Adjustment Surface'!$O28)*('Adjustment Surface'!V$26-INDEX('Adjustment Surface'!$AO$26:$BH$26,1,MATCH(('Adjustment Surface'!V$26),'Adjustment Surface'!$AO$26:$BH$26,1)))+INDEX($AO$27:$BH$46,MATCH(INDEX('Adjustment Surface'!$AN$27:$AN$46,MATCH(('Adjustment Surface'!$O28),'Adjustment Surface'!$AN$27:$AN$46,1)+IF('Adjustment Surface'!$O29="",-1,1)),$AN$27:$AN$46,0),MATCH(INDEX('Adjustment Surface'!$AO$26:$BH$26,1,MATCH(('Adjustment Surface'!V$26),'Adjustment Surface'!$AO$26:$BH$26,1)+IF('Adjustment Surface'!W$26="",-1,1)),$AO$26:$BH$26,0))*('Adjustment Surface'!$O28-INDEX('Adjustment Surface'!$AN$27:$AN$46,MATCH(('Adjustment Surface'!$O28),'Adjustment Surface'!$AN$27:$AN$46,1)))*('Adjustment Surface'!V$26-INDEX('Adjustment Surface'!$AO$26:$BH$26,1,MATCH(('Adjustment Surface'!V$26),'Adjustment Surface'!$AO$26:$BH$26,1)))))</f>
        <v>6.9590798285400546E-2</v>
      </c>
      <c r="W28" s="193" cm="1">
        <f t="array" ref="W28">IF(OR(W$26="",$O28=""),"",1/((INDEX('Adjustment Surface'!$AN$27:$AN$46,MATCH(('Adjustment Surface'!$O28),'Adjustment Surface'!$AN$27:$AN$46,1)+IF('Adjustment Surface'!$O29="",-1,1))-INDEX('Adjustment Surface'!$AN$27:$AN$46,MATCH(('Adjustment Surface'!$O28),'Adjustment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Surface'!$O28),'Adjustment Surface'!$AN$27:$AN$46,1)),$AN$27:$AN$46,0),MATCH(INDEX('Adjustment Surface'!$AO$26:$BH$26,1,MATCH(('Adjustment Surface'!W$26),'Adjustment Surface'!$AO$26:$BH$26,1)),$AO$26:$BH$26,0))*(INDEX('Adjustment Surface'!$AN$27:$AN$46,MATCH(('Adjustment Surface'!$O28),'Adjustment Surface'!$AN$27:$AN$46,1)+IF('Adjustment Surface'!$O29="",-1,1))-'Adjustment Surface'!$O28)*(INDEX('Adjustment Surface'!$AO$26:$BH$26,1,MATCH(('Adjustment Surface'!W$26),'Adjustment Surface'!$AO$26:$BH$26,1)+IF('Adjustment Surface'!X$26="",-1,1))-'Adjustment Surface'!W$26)+INDEX($AO$27:$BH$46,MATCH(INDEX('Adjustment Surface'!$AN$27:$AN$46,MATCH(('Adjustment Surface'!$O28),'Adjustment Surface'!$AN$27:$AN$46,1)+IF('Adjustment Surface'!$O29="",-1,1)),$AN$27:$AN$46,0),MATCH(INDEX('Adjustment Surface'!$AO$26:$BH$26,1,MATCH(('Adjustment Surface'!W$26),'Adjustment Surface'!$AO$26:$BH$26,1)),$AO$26:$BH$26,0))*('Adjustment Surface'!$O28-INDEX('Adjustment Surface'!$AN$27:$AN$46,MATCH(('Adjustment Surface'!$O28),'Adjustment Surface'!$AN$27:$AN$46,1)))*(INDEX('Adjustment Surface'!$AO$26:$BH$26,1,MATCH(('Adjustment Surface'!W$26),'Adjustment Surface'!$AO$26:$BH$26,1)+IF('Adjustment Surface'!X$26="",-1,1))-'Adjustment Surface'!W$26)+INDEX($AO$27:$BH$46,MATCH(INDEX('Adjustment Surface'!$AN$27:$AN$46,MATCH(('Adjustment Surface'!$O28),'Adjustment Surface'!$AN$27:$AN$46,1)),$AN$27:$AN$46,0),MATCH(INDEX('Adjustment Surface'!$AO$26:$BH$26,1,MATCH(('Adjustment Surface'!W$26),'Adjustment Surface'!$AO$26:$BH$26,1)+IF('Adjustment Surface'!X$26="",-1,1)),$AO$26:$BH$26,0))*(INDEX('Adjustment Surface'!$AN$27:$AN$46,MATCH(('Adjustment Surface'!$O28),'Adjustment Surface'!$AN$27:$AN$46,1)+IF('Adjustment Surface'!$O29="",-1,1))-'Adjustment Surface'!$O28)*('Adjustment Surface'!W$26-INDEX('Adjustment Surface'!$AO$26:$BH$26,1,MATCH(('Adjustment Surface'!W$26),'Adjustment Surface'!$AO$26:$BH$26,1)))+INDEX($AO$27:$BH$46,MATCH(INDEX('Adjustment Surface'!$AN$27:$AN$46,MATCH(('Adjustment Surface'!$O28),'Adjustment Surface'!$AN$27:$AN$46,1)+IF('Adjustment Surface'!$O29="",-1,1)),$AN$27:$AN$46,0),MATCH(INDEX('Adjustment Surface'!$AO$26:$BH$26,1,MATCH(('Adjustment Surface'!W$26),'Adjustment Surface'!$AO$26:$BH$26,1)+IF('Adjustment Surface'!X$26="",-1,1)),$AO$26:$BH$26,0))*('Adjustment Surface'!$O28-INDEX('Adjustment Surface'!$AN$27:$AN$46,MATCH(('Adjustment Surface'!$O28),'Adjustment Surface'!$AN$27:$AN$46,1)))*('Adjustment Surface'!W$26-INDEX('Adjustment Surface'!$AO$26:$BH$26,1,MATCH(('Adjustment Surface'!W$26),'Adjustment Surface'!$AO$26:$BH$26,1)))))</f>
        <v>5.5921471913189351E-2</v>
      </c>
      <c r="X28" s="193" cm="1">
        <f t="array" ref="X28">IF(OR(X$26="",$O28=""),"",1/((INDEX('Adjustment Surface'!$AN$27:$AN$46,MATCH(('Adjustment Surface'!$O28),'Adjustment Surface'!$AN$27:$AN$46,1)+IF('Adjustment Surface'!$O29="",-1,1))-INDEX('Adjustment Surface'!$AN$27:$AN$46,MATCH(('Adjustment Surface'!$O28),'Adjustment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Surface'!$O28),'Adjustment Surface'!$AN$27:$AN$46,1)),$AN$27:$AN$46,0),MATCH(INDEX('Adjustment Surface'!$AO$26:$BH$26,1,MATCH(('Adjustment Surface'!X$26),'Adjustment Surface'!$AO$26:$BH$26,1)),$AO$26:$BH$26,0))*(INDEX('Adjustment Surface'!$AN$27:$AN$46,MATCH(('Adjustment Surface'!$O28),'Adjustment Surface'!$AN$27:$AN$46,1)+IF('Adjustment Surface'!$O29="",-1,1))-'Adjustment Surface'!$O28)*(INDEX('Adjustment Surface'!$AO$26:$BH$26,1,MATCH(('Adjustment Surface'!X$26),'Adjustment Surface'!$AO$26:$BH$26,1)+IF('Adjustment Surface'!Y$26="",-1,1))-'Adjustment Surface'!X$26)+INDEX($AO$27:$BH$46,MATCH(INDEX('Adjustment Surface'!$AN$27:$AN$46,MATCH(('Adjustment Surface'!$O28),'Adjustment Surface'!$AN$27:$AN$46,1)+IF('Adjustment Surface'!$O29="",-1,1)),$AN$27:$AN$46,0),MATCH(INDEX('Adjustment Surface'!$AO$26:$BH$26,1,MATCH(('Adjustment Surface'!X$26),'Adjustment Surface'!$AO$26:$BH$26,1)),$AO$26:$BH$26,0))*('Adjustment Surface'!$O28-INDEX('Adjustment Surface'!$AN$27:$AN$46,MATCH(('Adjustment Surface'!$O28),'Adjustment Surface'!$AN$27:$AN$46,1)))*(INDEX('Adjustment Surface'!$AO$26:$BH$26,1,MATCH(('Adjustment Surface'!X$26),'Adjustment Surface'!$AO$26:$BH$26,1)+IF('Adjustment Surface'!Y$26="",-1,1))-'Adjustment Surface'!X$26)+INDEX($AO$27:$BH$46,MATCH(INDEX('Adjustment Surface'!$AN$27:$AN$46,MATCH(('Adjustment Surface'!$O28),'Adjustment Surface'!$AN$27:$AN$46,1)),$AN$27:$AN$46,0),MATCH(INDEX('Adjustment Surface'!$AO$26:$BH$26,1,MATCH(('Adjustment Surface'!X$26),'Adjustment Surface'!$AO$26:$BH$26,1)+IF('Adjustment Surface'!Y$26="",-1,1)),$AO$26:$BH$26,0))*(INDEX('Adjustment Surface'!$AN$27:$AN$46,MATCH(('Adjustment Surface'!$O28),'Adjustment Surface'!$AN$27:$AN$46,1)+IF('Adjustment Surface'!$O29="",-1,1))-'Adjustment Surface'!$O28)*('Adjustment Surface'!X$26-INDEX('Adjustment Surface'!$AO$26:$BH$26,1,MATCH(('Adjustment Surface'!X$26),'Adjustment Surface'!$AO$26:$BH$26,1)))+INDEX($AO$27:$BH$46,MATCH(INDEX('Adjustment Surface'!$AN$27:$AN$46,MATCH(('Adjustment Surface'!$O28),'Adjustment Surface'!$AN$27:$AN$46,1)+IF('Adjustment Surface'!$O29="",-1,1)),$AN$27:$AN$46,0),MATCH(INDEX('Adjustment Surface'!$AO$26:$BH$26,1,MATCH(('Adjustment Surface'!X$26),'Adjustment Surface'!$AO$26:$BH$26,1)+IF('Adjustment Surface'!Y$26="",-1,1)),$AO$26:$BH$26,0))*('Adjustment Surface'!$O28-INDEX('Adjustment Surface'!$AN$27:$AN$46,MATCH(('Adjustment Surface'!$O28),'Adjustment Surface'!$AN$27:$AN$46,1)))*('Adjustment Surface'!X$26-INDEX('Adjustment Surface'!$AO$26:$BH$26,1,MATCH(('Adjustment Surface'!X$26),'Adjustment Surface'!$AO$26:$BH$26,1)))))</f>
        <v>4.2252145540978163E-2</v>
      </c>
      <c r="Y28" s="193" t="str" cm="1">
        <f t="array" ref="Y28">IF(OR(Y$26="",$O28=""),"",1/((INDEX('Adjustment Surface'!$AN$27:$AN$46,MATCH(('Adjustment Surface'!$O28),'Adjustment Surface'!$AN$27:$AN$46,1)+IF('Adjustment Surface'!$O29="",-1,1))-INDEX('Adjustment Surface'!$AN$27:$AN$46,MATCH(('Adjustment Surface'!$O28),'Adjustment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Surface'!$O28),'Adjustment Surface'!$AN$27:$AN$46,1)),$AN$27:$AN$46,0),MATCH(INDEX('Adjustment Surface'!$AO$26:$BH$26,1,MATCH(('Adjustment Surface'!Y$26),'Adjustment Surface'!$AO$26:$BH$26,1)),$AO$26:$BH$26,0))*(INDEX('Adjustment Surface'!$AN$27:$AN$46,MATCH(('Adjustment Surface'!$O28),'Adjustment Surface'!$AN$27:$AN$46,1)+IF('Adjustment Surface'!$O29="",-1,1))-'Adjustment Surface'!$O28)*(INDEX('Adjustment Surface'!$AO$26:$BH$26,1,MATCH(('Adjustment Surface'!Y$26),'Adjustment Surface'!$AO$26:$BH$26,1)+IF('Adjustment Surface'!Z$26="",-1,1))-'Adjustment Surface'!Y$26)+INDEX($AO$27:$BH$46,MATCH(INDEX('Adjustment Surface'!$AN$27:$AN$46,MATCH(('Adjustment Surface'!$O28),'Adjustment Surface'!$AN$27:$AN$46,1)+IF('Adjustment Surface'!$O29="",-1,1)),$AN$27:$AN$46,0),MATCH(INDEX('Adjustment Surface'!$AO$26:$BH$26,1,MATCH(('Adjustment Surface'!Y$26),'Adjustment Surface'!$AO$26:$BH$26,1)),$AO$26:$BH$26,0))*('Adjustment Surface'!$O28-INDEX('Adjustment Surface'!$AN$27:$AN$46,MATCH(('Adjustment Surface'!$O28),'Adjustment Surface'!$AN$27:$AN$46,1)))*(INDEX('Adjustment Surface'!$AO$26:$BH$26,1,MATCH(('Adjustment Surface'!Y$26),'Adjustment Surface'!$AO$26:$BH$26,1)+IF('Adjustment Surface'!Z$26="",-1,1))-'Adjustment Surface'!Y$26)+INDEX($AO$27:$BH$46,MATCH(INDEX('Adjustment Surface'!$AN$27:$AN$46,MATCH(('Adjustment Surface'!$O28),'Adjustment Surface'!$AN$27:$AN$46,1)),$AN$27:$AN$46,0),MATCH(INDEX('Adjustment Surface'!$AO$26:$BH$26,1,MATCH(('Adjustment Surface'!Y$26),'Adjustment Surface'!$AO$26:$BH$26,1)+IF('Adjustment Surface'!Z$26="",-1,1)),$AO$26:$BH$26,0))*(INDEX('Adjustment Surface'!$AN$27:$AN$46,MATCH(('Adjustment Surface'!$O28),'Adjustment Surface'!$AN$27:$AN$46,1)+IF('Adjustment Surface'!$O29="",-1,1))-'Adjustment Surface'!$O28)*('Adjustment Surface'!Y$26-INDEX('Adjustment Surface'!$AO$26:$BH$26,1,MATCH(('Adjustment Surface'!Y$26),'Adjustment Surface'!$AO$26:$BH$26,1)))+INDEX($AO$27:$BH$46,MATCH(INDEX('Adjustment Surface'!$AN$27:$AN$46,MATCH(('Adjustment Surface'!$O28),'Adjustment Surface'!$AN$27:$AN$46,1)+IF('Adjustment Surface'!$O29="",-1,1)),$AN$27:$AN$46,0),MATCH(INDEX('Adjustment Surface'!$AO$26:$BH$26,1,MATCH(('Adjustment Surface'!Y$26),'Adjustment Surface'!$AO$26:$BH$26,1)+IF('Adjustment Surface'!Z$26="",-1,1)),$AO$26:$BH$26,0))*('Adjustment Surface'!$O28-INDEX('Adjustment Surface'!$AN$27:$AN$46,MATCH(('Adjustment Surface'!$O28),'Adjustment Surface'!$AN$27:$AN$46,1)))*('Adjustment Surface'!Y$26-INDEX('Adjustment Surface'!$AO$26:$BH$26,1,MATCH(('Adjustment Surface'!Y$26),'Adjustment Surface'!$AO$26:$BH$26,1)))))</f>
        <v/>
      </c>
      <c r="Z28" s="193" t="str" cm="1">
        <f t="array" ref="Z28">IF(OR(Z$26="",$O28=""),"",1/((INDEX('Adjustment Surface'!$AN$27:$AN$46,MATCH(('Adjustment Surface'!$O28),'Adjustment Surface'!$AN$27:$AN$46,1)+IF('Adjustment Surface'!$O29="",-1,1))-INDEX('Adjustment Surface'!$AN$27:$AN$46,MATCH(('Adjustment Surface'!$O28),'Adjustment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Surface'!$O28),'Adjustment Surface'!$AN$27:$AN$46,1)),$AN$27:$AN$46,0),MATCH(INDEX('Adjustment Surface'!$AO$26:$BH$26,1,MATCH(('Adjustment Surface'!Z$26),'Adjustment Surface'!$AO$26:$BH$26,1)),$AO$26:$BH$26,0))*(INDEX('Adjustment Surface'!$AN$27:$AN$46,MATCH(('Adjustment Surface'!$O28),'Adjustment Surface'!$AN$27:$AN$46,1)+IF('Adjustment Surface'!$O29="",-1,1))-'Adjustment Surface'!$O28)*(INDEX('Adjustment Surface'!$AO$26:$BH$26,1,MATCH(('Adjustment Surface'!Z$26),'Adjustment Surface'!$AO$26:$BH$26,1)+IF('Adjustment Surface'!AA$26="",-1,1))-'Adjustment Surface'!Z$26)+INDEX($AO$27:$BH$46,MATCH(INDEX('Adjustment Surface'!$AN$27:$AN$46,MATCH(('Adjustment Surface'!$O28),'Adjustment Surface'!$AN$27:$AN$46,1)+IF('Adjustment Surface'!$O29="",-1,1)),$AN$27:$AN$46,0),MATCH(INDEX('Adjustment Surface'!$AO$26:$BH$26,1,MATCH(('Adjustment Surface'!Z$26),'Adjustment Surface'!$AO$26:$BH$26,1)),$AO$26:$BH$26,0))*('Adjustment Surface'!$O28-INDEX('Adjustment Surface'!$AN$27:$AN$46,MATCH(('Adjustment Surface'!$O28),'Adjustment Surface'!$AN$27:$AN$46,1)))*(INDEX('Adjustment Surface'!$AO$26:$BH$26,1,MATCH(('Adjustment Surface'!Z$26),'Adjustment Surface'!$AO$26:$BH$26,1)+IF('Adjustment Surface'!AA$26="",-1,1))-'Adjustment Surface'!Z$26)+INDEX($AO$27:$BH$46,MATCH(INDEX('Adjustment Surface'!$AN$27:$AN$46,MATCH(('Adjustment Surface'!$O28),'Adjustment Surface'!$AN$27:$AN$46,1)),$AN$27:$AN$46,0),MATCH(INDEX('Adjustment Surface'!$AO$26:$BH$26,1,MATCH(('Adjustment Surface'!Z$26),'Adjustment Surface'!$AO$26:$BH$26,1)+IF('Adjustment Surface'!AA$26="",-1,1)),$AO$26:$BH$26,0))*(INDEX('Adjustment Surface'!$AN$27:$AN$46,MATCH(('Adjustment Surface'!$O28),'Adjustment Surface'!$AN$27:$AN$46,1)+IF('Adjustment Surface'!$O29="",-1,1))-'Adjustment Surface'!$O28)*('Adjustment Surface'!Z$26-INDEX('Adjustment Surface'!$AO$26:$BH$26,1,MATCH(('Adjustment Surface'!Z$26),'Adjustment Surface'!$AO$26:$BH$26,1)))+INDEX($AO$27:$BH$46,MATCH(INDEX('Adjustment Surface'!$AN$27:$AN$46,MATCH(('Adjustment Surface'!$O28),'Adjustment Surface'!$AN$27:$AN$46,1)+IF('Adjustment Surface'!$O29="",-1,1)),$AN$27:$AN$46,0),MATCH(INDEX('Adjustment Surface'!$AO$26:$BH$26,1,MATCH(('Adjustment Surface'!Z$26),'Adjustment Surface'!$AO$26:$BH$26,1)+IF('Adjustment Surface'!AA$26="",-1,1)),$AO$26:$BH$26,0))*('Adjustment Surface'!$O28-INDEX('Adjustment Surface'!$AN$27:$AN$46,MATCH(('Adjustment Surface'!$O28),'Adjustment Surface'!$AN$27:$AN$46,1)))*('Adjustment Surface'!Z$26-INDEX('Adjustment Surface'!$AO$26:$BH$26,1,MATCH(('Adjustment Surface'!Z$26),'Adjustment Surface'!$AO$26:$BH$26,1)))))</f>
        <v/>
      </c>
      <c r="AA28" s="193" t="str" cm="1">
        <f t="array" ref="AA28">IF(OR(AA$26="",$O28=""),"",1/((INDEX('Adjustment Surface'!$AN$27:$AN$46,MATCH(('Adjustment Surface'!$O28),'Adjustment Surface'!$AN$27:$AN$46,1)+IF('Adjustment Surface'!$O29="",-1,1))-INDEX('Adjustment Surface'!$AN$27:$AN$46,MATCH(('Adjustment Surface'!$O28),'Adjustment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Surface'!$O28),'Adjustment Surface'!$AN$27:$AN$46,1)),$AN$27:$AN$46,0),MATCH(INDEX('Adjustment Surface'!$AO$26:$BH$26,1,MATCH(('Adjustment Surface'!AA$26),'Adjustment Surface'!$AO$26:$BH$26,1)),$AO$26:$BH$26,0))*(INDEX('Adjustment Surface'!$AN$27:$AN$46,MATCH(('Adjustment Surface'!$O28),'Adjustment Surface'!$AN$27:$AN$46,1)+IF('Adjustment Surface'!$O29="",-1,1))-'Adjustment Surface'!$O28)*(INDEX('Adjustment Surface'!$AO$26:$BH$26,1,MATCH(('Adjustment Surface'!AA$26),'Adjustment Surface'!$AO$26:$BH$26,1)+IF('Adjustment Surface'!AB$26="",-1,1))-'Adjustment Surface'!AA$26)+INDEX($AO$27:$BH$46,MATCH(INDEX('Adjustment Surface'!$AN$27:$AN$46,MATCH(('Adjustment Surface'!$O28),'Adjustment Surface'!$AN$27:$AN$46,1)+IF('Adjustment Surface'!$O29="",-1,1)),$AN$27:$AN$46,0),MATCH(INDEX('Adjustment Surface'!$AO$26:$BH$26,1,MATCH(('Adjustment Surface'!AA$26),'Adjustment Surface'!$AO$26:$BH$26,1)),$AO$26:$BH$26,0))*('Adjustment Surface'!$O28-INDEX('Adjustment Surface'!$AN$27:$AN$46,MATCH(('Adjustment Surface'!$O28),'Adjustment Surface'!$AN$27:$AN$46,1)))*(INDEX('Adjustment Surface'!$AO$26:$BH$26,1,MATCH(('Adjustment Surface'!AA$26),'Adjustment Surface'!$AO$26:$BH$26,1)+IF('Adjustment Surface'!AB$26="",-1,1))-'Adjustment Surface'!AA$26)+INDEX($AO$27:$BH$46,MATCH(INDEX('Adjustment Surface'!$AN$27:$AN$46,MATCH(('Adjustment Surface'!$O28),'Adjustment Surface'!$AN$27:$AN$46,1)),$AN$27:$AN$46,0),MATCH(INDEX('Adjustment Surface'!$AO$26:$BH$26,1,MATCH(('Adjustment Surface'!AA$26),'Adjustment Surface'!$AO$26:$BH$26,1)+IF('Adjustment Surface'!AB$26="",-1,1)),$AO$26:$BH$26,0))*(INDEX('Adjustment Surface'!$AN$27:$AN$46,MATCH(('Adjustment Surface'!$O28),'Adjustment Surface'!$AN$27:$AN$46,1)+IF('Adjustment Surface'!$O29="",-1,1))-'Adjustment Surface'!$O28)*('Adjustment Surface'!AA$26-INDEX('Adjustment Surface'!$AO$26:$BH$26,1,MATCH(('Adjustment Surface'!AA$26),'Adjustment Surface'!$AO$26:$BH$26,1)))+INDEX($AO$27:$BH$46,MATCH(INDEX('Adjustment Surface'!$AN$27:$AN$46,MATCH(('Adjustment Surface'!$O28),'Adjustment Surface'!$AN$27:$AN$46,1)+IF('Adjustment Surface'!$O29="",-1,1)),$AN$27:$AN$46,0),MATCH(INDEX('Adjustment Surface'!$AO$26:$BH$26,1,MATCH(('Adjustment Surface'!AA$26),'Adjustment Surface'!$AO$26:$BH$26,1)+IF('Adjustment Surface'!AB$26="",-1,1)),$AO$26:$BH$26,0))*('Adjustment Surface'!$O28-INDEX('Adjustment Surface'!$AN$27:$AN$46,MATCH(('Adjustment Surface'!$O28),'Adjustment Surface'!$AN$27:$AN$46,1)))*('Adjustment Surface'!AA$26-INDEX('Adjustment Surface'!$AO$26:$BH$26,1,MATCH(('Adjustment Surface'!AA$26),'Adjustment Surface'!$AO$26:$BH$26,1)))))</f>
        <v/>
      </c>
      <c r="AB28" s="193" t="str" cm="1">
        <f t="array" ref="AB28">IF(OR(AB$26="",$O28=""),"",1/((INDEX('Adjustment Surface'!$AN$27:$AN$46,MATCH(('Adjustment Surface'!$O28),'Adjustment Surface'!$AN$27:$AN$46,1)+IF('Adjustment Surface'!$O29="",-1,1))-INDEX('Adjustment Surface'!$AN$27:$AN$46,MATCH(('Adjustment Surface'!$O28),'Adjustment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Surface'!$O28),'Adjustment Surface'!$AN$27:$AN$46,1)),$AN$27:$AN$46,0),MATCH(INDEX('Adjustment Surface'!$AO$26:$BH$26,1,MATCH(('Adjustment Surface'!AB$26),'Adjustment Surface'!$AO$26:$BH$26,1)),$AO$26:$BH$26,0))*(INDEX('Adjustment Surface'!$AN$27:$AN$46,MATCH(('Adjustment Surface'!$O28),'Adjustment Surface'!$AN$27:$AN$46,1)+IF('Adjustment Surface'!$O29="",-1,1))-'Adjustment Surface'!$O28)*(INDEX('Adjustment Surface'!$AO$26:$BH$26,1,MATCH(('Adjustment Surface'!AB$26),'Adjustment Surface'!$AO$26:$BH$26,1)+IF('Adjustment Surface'!AC$26="",-1,1))-'Adjustment Surface'!AB$26)+INDEX($AO$27:$BH$46,MATCH(INDEX('Adjustment Surface'!$AN$27:$AN$46,MATCH(('Adjustment Surface'!$O28),'Adjustment Surface'!$AN$27:$AN$46,1)+IF('Adjustment Surface'!$O29="",-1,1)),$AN$27:$AN$46,0),MATCH(INDEX('Adjustment Surface'!$AO$26:$BH$26,1,MATCH(('Adjustment Surface'!AB$26),'Adjustment Surface'!$AO$26:$BH$26,1)),$AO$26:$BH$26,0))*('Adjustment Surface'!$O28-INDEX('Adjustment Surface'!$AN$27:$AN$46,MATCH(('Adjustment Surface'!$O28),'Adjustment Surface'!$AN$27:$AN$46,1)))*(INDEX('Adjustment Surface'!$AO$26:$BH$26,1,MATCH(('Adjustment Surface'!AB$26),'Adjustment Surface'!$AO$26:$BH$26,1)+IF('Adjustment Surface'!AC$26="",-1,1))-'Adjustment Surface'!AB$26)+INDEX($AO$27:$BH$46,MATCH(INDEX('Adjustment Surface'!$AN$27:$AN$46,MATCH(('Adjustment Surface'!$O28),'Adjustment Surface'!$AN$27:$AN$46,1)),$AN$27:$AN$46,0),MATCH(INDEX('Adjustment Surface'!$AO$26:$BH$26,1,MATCH(('Adjustment Surface'!AB$26),'Adjustment Surface'!$AO$26:$BH$26,1)+IF('Adjustment Surface'!AC$26="",-1,1)),$AO$26:$BH$26,0))*(INDEX('Adjustment Surface'!$AN$27:$AN$46,MATCH(('Adjustment Surface'!$O28),'Adjustment Surface'!$AN$27:$AN$46,1)+IF('Adjustment Surface'!$O29="",-1,1))-'Adjustment Surface'!$O28)*('Adjustment Surface'!AB$26-INDEX('Adjustment Surface'!$AO$26:$BH$26,1,MATCH(('Adjustment Surface'!AB$26),'Adjustment Surface'!$AO$26:$BH$26,1)))+INDEX($AO$27:$BH$46,MATCH(INDEX('Adjustment Surface'!$AN$27:$AN$46,MATCH(('Adjustment Surface'!$O28),'Adjustment Surface'!$AN$27:$AN$46,1)+IF('Adjustment Surface'!$O29="",-1,1)),$AN$27:$AN$46,0),MATCH(INDEX('Adjustment Surface'!$AO$26:$BH$26,1,MATCH(('Adjustment Surface'!AB$26),'Adjustment Surface'!$AO$26:$BH$26,1)+IF('Adjustment Surface'!AC$26="",-1,1)),$AO$26:$BH$26,0))*('Adjustment Surface'!$O28-INDEX('Adjustment Surface'!$AN$27:$AN$46,MATCH(('Adjustment Surface'!$O28),'Adjustment Surface'!$AN$27:$AN$46,1)))*('Adjustment Surface'!AB$26-INDEX('Adjustment Surface'!$AO$26:$BH$26,1,MATCH(('Adjustment Surface'!AB$26),'Adjustment Surface'!$AO$26:$BH$26,1)))))</f>
        <v/>
      </c>
      <c r="AC28" s="193" t="str" cm="1">
        <f t="array" ref="AC28">IF(OR(AC$26="",$O28=""),"",1/((INDEX('Adjustment Surface'!$AN$27:$AN$46,MATCH(('Adjustment Surface'!$O28),'Adjustment Surface'!$AN$27:$AN$46,1)+IF('Adjustment Surface'!$O29="",-1,1))-INDEX('Adjustment Surface'!$AN$27:$AN$46,MATCH(('Adjustment Surface'!$O28),'Adjustment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Surface'!$O28),'Adjustment Surface'!$AN$27:$AN$46,1)),$AN$27:$AN$46,0),MATCH(INDEX('Adjustment Surface'!$AO$26:$BH$26,1,MATCH(('Adjustment Surface'!AC$26),'Adjustment Surface'!$AO$26:$BH$26,1)),$AO$26:$BH$26,0))*(INDEX('Adjustment Surface'!$AN$27:$AN$46,MATCH(('Adjustment Surface'!$O28),'Adjustment Surface'!$AN$27:$AN$46,1)+IF('Adjustment Surface'!$O29="",-1,1))-'Adjustment Surface'!$O28)*(INDEX('Adjustment Surface'!$AO$26:$BH$26,1,MATCH(('Adjustment Surface'!AC$26),'Adjustment Surface'!$AO$26:$BH$26,1)+IF('Adjustment Surface'!AD$26="",-1,1))-'Adjustment Surface'!AC$26)+INDEX($AO$27:$BH$46,MATCH(INDEX('Adjustment Surface'!$AN$27:$AN$46,MATCH(('Adjustment Surface'!$O28),'Adjustment Surface'!$AN$27:$AN$46,1)+IF('Adjustment Surface'!$O29="",-1,1)),$AN$27:$AN$46,0),MATCH(INDEX('Adjustment Surface'!$AO$26:$BH$26,1,MATCH(('Adjustment Surface'!AC$26),'Adjustment Surface'!$AO$26:$BH$26,1)),$AO$26:$BH$26,0))*('Adjustment Surface'!$O28-INDEX('Adjustment Surface'!$AN$27:$AN$46,MATCH(('Adjustment Surface'!$O28),'Adjustment Surface'!$AN$27:$AN$46,1)))*(INDEX('Adjustment Surface'!$AO$26:$BH$26,1,MATCH(('Adjustment Surface'!AC$26),'Adjustment Surface'!$AO$26:$BH$26,1)+IF('Adjustment Surface'!AD$26="",-1,1))-'Adjustment Surface'!AC$26)+INDEX($AO$27:$BH$46,MATCH(INDEX('Adjustment Surface'!$AN$27:$AN$46,MATCH(('Adjustment Surface'!$O28),'Adjustment Surface'!$AN$27:$AN$46,1)),$AN$27:$AN$46,0),MATCH(INDEX('Adjustment Surface'!$AO$26:$BH$26,1,MATCH(('Adjustment Surface'!AC$26),'Adjustment Surface'!$AO$26:$BH$26,1)+IF('Adjustment Surface'!AD$26="",-1,1)),$AO$26:$BH$26,0))*(INDEX('Adjustment Surface'!$AN$27:$AN$46,MATCH(('Adjustment Surface'!$O28),'Adjustment Surface'!$AN$27:$AN$46,1)+IF('Adjustment Surface'!$O29="",-1,1))-'Adjustment Surface'!$O28)*('Adjustment Surface'!AC$26-INDEX('Adjustment Surface'!$AO$26:$BH$26,1,MATCH(('Adjustment Surface'!AC$26),'Adjustment Surface'!$AO$26:$BH$26,1)))+INDEX($AO$27:$BH$46,MATCH(INDEX('Adjustment Surface'!$AN$27:$AN$46,MATCH(('Adjustment Surface'!$O28),'Adjustment Surface'!$AN$27:$AN$46,1)+IF('Adjustment Surface'!$O29="",-1,1)),$AN$27:$AN$46,0),MATCH(INDEX('Adjustment Surface'!$AO$26:$BH$26,1,MATCH(('Adjustment Surface'!AC$26),'Adjustment Surface'!$AO$26:$BH$26,1)+IF('Adjustment Surface'!AD$26="",-1,1)),$AO$26:$BH$26,0))*('Adjustment Surface'!$O28-INDEX('Adjustment Surface'!$AN$27:$AN$46,MATCH(('Adjustment Surface'!$O28),'Adjustment Surface'!$AN$27:$AN$46,1)))*('Adjustment Surface'!AC$26-INDEX('Adjustment Surface'!$AO$26:$BH$26,1,MATCH(('Adjustment Surface'!AC$26),'Adjustment Surface'!$AO$26:$BH$26,1)))))</f>
        <v/>
      </c>
      <c r="AD28" s="193" t="str" cm="1">
        <f t="array" ref="AD28">IF(OR(AD$26="",$O28=""),"",1/((INDEX('Adjustment Surface'!$AN$27:$AN$46,MATCH(('Adjustment Surface'!$O28),'Adjustment Surface'!$AN$27:$AN$46,1)+IF('Adjustment Surface'!$O29="",-1,1))-INDEX('Adjustment Surface'!$AN$27:$AN$46,MATCH(('Adjustment Surface'!$O28),'Adjustment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Surface'!$O28),'Adjustment Surface'!$AN$27:$AN$46,1)),$AN$27:$AN$46,0),MATCH(INDEX('Adjustment Surface'!$AO$26:$BH$26,1,MATCH(('Adjustment Surface'!AD$26),'Adjustment Surface'!$AO$26:$BH$26,1)),$AO$26:$BH$26,0))*(INDEX('Adjustment Surface'!$AN$27:$AN$46,MATCH(('Adjustment Surface'!$O28),'Adjustment Surface'!$AN$27:$AN$46,1)+IF('Adjustment Surface'!$O29="",-1,1))-'Adjustment Surface'!$O28)*(INDEX('Adjustment Surface'!$AO$26:$BH$26,1,MATCH(('Adjustment Surface'!AD$26),'Adjustment Surface'!$AO$26:$BH$26,1)+IF('Adjustment Surface'!AE$26="",-1,1))-'Adjustment Surface'!AD$26)+INDEX($AO$27:$BH$46,MATCH(INDEX('Adjustment Surface'!$AN$27:$AN$46,MATCH(('Adjustment Surface'!$O28),'Adjustment Surface'!$AN$27:$AN$46,1)+IF('Adjustment Surface'!$O29="",-1,1)),$AN$27:$AN$46,0),MATCH(INDEX('Adjustment Surface'!$AO$26:$BH$26,1,MATCH(('Adjustment Surface'!AD$26),'Adjustment Surface'!$AO$26:$BH$26,1)),$AO$26:$BH$26,0))*('Adjustment Surface'!$O28-INDEX('Adjustment Surface'!$AN$27:$AN$46,MATCH(('Adjustment Surface'!$O28),'Adjustment Surface'!$AN$27:$AN$46,1)))*(INDEX('Adjustment Surface'!$AO$26:$BH$26,1,MATCH(('Adjustment Surface'!AD$26),'Adjustment Surface'!$AO$26:$BH$26,1)+IF('Adjustment Surface'!AE$26="",-1,1))-'Adjustment Surface'!AD$26)+INDEX($AO$27:$BH$46,MATCH(INDEX('Adjustment Surface'!$AN$27:$AN$46,MATCH(('Adjustment Surface'!$O28),'Adjustment Surface'!$AN$27:$AN$46,1)),$AN$27:$AN$46,0),MATCH(INDEX('Adjustment Surface'!$AO$26:$BH$26,1,MATCH(('Adjustment Surface'!AD$26),'Adjustment Surface'!$AO$26:$BH$26,1)+IF('Adjustment Surface'!AE$26="",-1,1)),$AO$26:$BH$26,0))*(INDEX('Adjustment Surface'!$AN$27:$AN$46,MATCH(('Adjustment Surface'!$O28),'Adjustment Surface'!$AN$27:$AN$46,1)+IF('Adjustment Surface'!$O29="",-1,1))-'Adjustment Surface'!$O28)*('Adjustment Surface'!AD$26-INDEX('Adjustment Surface'!$AO$26:$BH$26,1,MATCH(('Adjustment Surface'!AD$26),'Adjustment Surface'!$AO$26:$BH$26,1)))+INDEX($AO$27:$BH$46,MATCH(INDEX('Adjustment Surface'!$AN$27:$AN$46,MATCH(('Adjustment Surface'!$O28),'Adjustment Surface'!$AN$27:$AN$46,1)+IF('Adjustment Surface'!$O29="",-1,1)),$AN$27:$AN$46,0),MATCH(INDEX('Adjustment Surface'!$AO$26:$BH$26,1,MATCH(('Adjustment Surface'!AD$26),'Adjustment Surface'!$AO$26:$BH$26,1)+IF('Adjustment Surface'!AE$26="",-1,1)),$AO$26:$BH$26,0))*('Adjustment Surface'!$O28-INDEX('Adjustment Surface'!$AN$27:$AN$46,MATCH(('Adjustment Surface'!$O28),'Adjustment Surface'!$AN$27:$AN$46,1)))*('Adjustment Surface'!AD$26-INDEX('Adjustment Surface'!$AO$26:$BH$26,1,MATCH(('Adjustment Surface'!AD$26),'Adjustment Surface'!$AO$26:$BH$26,1)))))</f>
        <v/>
      </c>
      <c r="AE28" s="193" t="str" cm="1">
        <f t="array" ref="AE28">IF(OR(AE$26="",$O28=""),"",1/((INDEX('Adjustment Surface'!$AN$27:$AN$46,MATCH(('Adjustment Surface'!$O28),'Adjustment Surface'!$AN$27:$AN$46,1)+IF('Adjustment Surface'!$O29="",-1,1))-INDEX('Adjustment Surface'!$AN$27:$AN$46,MATCH(('Adjustment Surface'!$O28),'Adjustment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Surface'!$O28),'Adjustment Surface'!$AN$27:$AN$46,1)),$AN$27:$AN$46,0),MATCH(INDEX('Adjustment Surface'!$AO$26:$BH$26,1,MATCH(('Adjustment Surface'!AE$26),'Adjustment Surface'!$AO$26:$BH$26,1)),$AO$26:$BH$26,0))*(INDEX('Adjustment Surface'!$AN$27:$AN$46,MATCH(('Adjustment Surface'!$O28),'Adjustment Surface'!$AN$27:$AN$46,1)+IF('Adjustment Surface'!$O29="",-1,1))-'Adjustment Surface'!$O28)*(INDEX('Adjustment Surface'!$AO$26:$BH$26,1,MATCH(('Adjustment Surface'!AE$26),'Adjustment Surface'!$AO$26:$BH$26,1)+IF('Adjustment Surface'!AF$26="",-1,1))-'Adjustment Surface'!AE$26)+INDEX($AO$27:$BH$46,MATCH(INDEX('Adjustment Surface'!$AN$27:$AN$46,MATCH(('Adjustment Surface'!$O28),'Adjustment Surface'!$AN$27:$AN$46,1)+IF('Adjustment Surface'!$O29="",-1,1)),$AN$27:$AN$46,0),MATCH(INDEX('Adjustment Surface'!$AO$26:$BH$26,1,MATCH(('Adjustment Surface'!AE$26),'Adjustment Surface'!$AO$26:$BH$26,1)),$AO$26:$BH$26,0))*('Adjustment Surface'!$O28-INDEX('Adjustment Surface'!$AN$27:$AN$46,MATCH(('Adjustment Surface'!$O28),'Adjustment Surface'!$AN$27:$AN$46,1)))*(INDEX('Adjustment Surface'!$AO$26:$BH$26,1,MATCH(('Adjustment Surface'!AE$26),'Adjustment Surface'!$AO$26:$BH$26,1)+IF('Adjustment Surface'!AF$26="",-1,1))-'Adjustment Surface'!AE$26)+INDEX($AO$27:$BH$46,MATCH(INDEX('Adjustment Surface'!$AN$27:$AN$46,MATCH(('Adjustment Surface'!$O28),'Adjustment Surface'!$AN$27:$AN$46,1)),$AN$27:$AN$46,0),MATCH(INDEX('Adjustment Surface'!$AO$26:$BH$26,1,MATCH(('Adjustment Surface'!AE$26),'Adjustment Surface'!$AO$26:$BH$26,1)+IF('Adjustment Surface'!AF$26="",-1,1)),$AO$26:$BH$26,0))*(INDEX('Adjustment Surface'!$AN$27:$AN$46,MATCH(('Adjustment Surface'!$O28),'Adjustment Surface'!$AN$27:$AN$46,1)+IF('Adjustment Surface'!$O29="",-1,1))-'Adjustment Surface'!$O28)*('Adjustment Surface'!AE$26-INDEX('Adjustment Surface'!$AO$26:$BH$26,1,MATCH(('Adjustment Surface'!AE$26),'Adjustment Surface'!$AO$26:$BH$26,1)))+INDEX($AO$27:$BH$46,MATCH(INDEX('Adjustment Surface'!$AN$27:$AN$46,MATCH(('Adjustment Surface'!$O28),'Adjustment Surface'!$AN$27:$AN$46,1)+IF('Adjustment Surface'!$O29="",-1,1)),$AN$27:$AN$46,0),MATCH(INDEX('Adjustment Surface'!$AO$26:$BH$26,1,MATCH(('Adjustment Surface'!AE$26),'Adjustment Surface'!$AO$26:$BH$26,1)+IF('Adjustment Surface'!AF$26="",-1,1)),$AO$26:$BH$26,0))*('Adjustment Surface'!$O28-INDEX('Adjustment Surface'!$AN$27:$AN$46,MATCH(('Adjustment Surface'!$O28),'Adjustment Surface'!$AN$27:$AN$46,1)))*('Adjustment Surface'!AE$26-INDEX('Adjustment Surface'!$AO$26:$BH$26,1,MATCH(('Adjustment Surface'!AE$26),'Adjustment Surface'!$AO$26:$BH$26,1)))))</f>
        <v/>
      </c>
      <c r="AF28" s="193" t="str" cm="1">
        <f t="array" ref="AF28">IF(OR(AF$26="",$O28=""),"",1/((INDEX('Adjustment Surface'!$AN$27:$AN$46,MATCH(('Adjustment Surface'!$O28),'Adjustment Surface'!$AN$27:$AN$46,1)+IF('Adjustment Surface'!$O29="",-1,1))-INDEX('Adjustment Surface'!$AN$27:$AN$46,MATCH(('Adjustment Surface'!$O28),'Adjustment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Surface'!$O28),'Adjustment Surface'!$AN$27:$AN$46,1)),$AN$27:$AN$46,0),MATCH(INDEX('Adjustment Surface'!$AO$26:$BH$26,1,MATCH(('Adjustment Surface'!AF$26),'Adjustment Surface'!$AO$26:$BH$26,1)),$AO$26:$BH$26,0))*(INDEX('Adjustment Surface'!$AN$27:$AN$46,MATCH(('Adjustment Surface'!$O28),'Adjustment Surface'!$AN$27:$AN$46,1)+IF('Adjustment Surface'!$O29="",-1,1))-'Adjustment Surface'!$O28)*(INDEX('Adjustment Surface'!$AO$26:$BH$26,1,MATCH(('Adjustment Surface'!AF$26),'Adjustment Surface'!$AO$26:$BH$26,1)+IF('Adjustment Surface'!AG$26="",-1,1))-'Adjustment Surface'!AF$26)+INDEX($AO$27:$BH$46,MATCH(INDEX('Adjustment Surface'!$AN$27:$AN$46,MATCH(('Adjustment Surface'!$O28),'Adjustment Surface'!$AN$27:$AN$46,1)+IF('Adjustment Surface'!$O29="",-1,1)),$AN$27:$AN$46,0),MATCH(INDEX('Adjustment Surface'!$AO$26:$BH$26,1,MATCH(('Adjustment Surface'!AF$26),'Adjustment Surface'!$AO$26:$BH$26,1)),$AO$26:$BH$26,0))*('Adjustment Surface'!$O28-INDEX('Adjustment Surface'!$AN$27:$AN$46,MATCH(('Adjustment Surface'!$O28),'Adjustment Surface'!$AN$27:$AN$46,1)))*(INDEX('Adjustment Surface'!$AO$26:$BH$26,1,MATCH(('Adjustment Surface'!AF$26),'Adjustment Surface'!$AO$26:$BH$26,1)+IF('Adjustment Surface'!AG$26="",-1,1))-'Adjustment Surface'!AF$26)+INDEX($AO$27:$BH$46,MATCH(INDEX('Adjustment Surface'!$AN$27:$AN$46,MATCH(('Adjustment Surface'!$O28),'Adjustment Surface'!$AN$27:$AN$46,1)),$AN$27:$AN$46,0),MATCH(INDEX('Adjustment Surface'!$AO$26:$BH$26,1,MATCH(('Adjustment Surface'!AF$26),'Adjustment Surface'!$AO$26:$BH$26,1)+IF('Adjustment Surface'!AG$26="",-1,1)),$AO$26:$BH$26,0))*(INDEX('Adjustment Surface'!$AN$27:$AN$46,MATCH(('Adjustment Surface'!$O28),'Adjustment Surface'!$AN$27:$AN$46,1)+IF('Adjustment Surface'!$O29="",-1,1))-'Adjustment Surface'!$O28)*('Adjustment Surface'!AF$26-INDEX('Adjustment Surface'!$AO$26:$BH$26,1,MATCH(('Adjustment Surface'!AF$26),'Adjustment Surface'!$AO$26:$BH$26,1)))+INDEX($AO$27:$BH$46,MATCH(INDEX('Adjustment Surface'!$AN$27:$AN$46,MATCH(('Adjustment Surface'!$O28),'Adjustment Surface'!$AN$27:$AN$46,1)+IF('Adjustment Surface'!$O29="",-1,1)),$AN$27:$AN$46,0),MATCH(INDEX('Adjustment Surface'!$AO$26:$BH$26,1,MATCH(('Adjustment Surface'!AF$26),'Adjustment Surface'!$AO$26:$BH$26,1)+IF('Adjustment Surface'!AG$26="",-1,1)),$AO$26:$BH$26,0))*('Adjustment Surface'!$O28-INDEX('Adjustment Surface'!$AN$27:$AN$46,MATCH(('Adjustment Surface'!$O28),'Adjustment Surface'!$AN$27:$AN$46,1)))*('Adjustment Surface'!AF$26-INDEX('Adjustment Surface'!$AO$26:$BH$26,1,MATCH(('Adjustment Surface'!AF$26),'Adjustment Surface'!$AO$26:$BH$26,1)))))</f>
        <v/>
      </c>
      <c r="AG28" s="193" t="str" cm="1">
        <f t="array" ref="AG28">IF(OR(AG$26="",$O28=""),"",1/((INDEX('Adjustment Surface'!$AN$27:$AN$46,MATCH(('Adjustment Surface'!$O28),'Adjustment Surface'!$AN$27:$AN$46,1)+IF('Adjustment Surface'!$O29="",-1,1))-INDEX('Adjustment Surface'!$AN$27:$AN$46,MATCH(('Adjustment Surface'!$O28),'Adjustment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Surface'!$O28),'Adjustment Surface'!$AN$27:$AN$46,1)),$AN$27:$AN$46,0),MATCH(INDEX('Adjustment Surface'!$AO$26:$BH$26,1,MATCH(('Adjustment Surface'!AG$26),'Adjustment Surface'!$AO$26:$BH$26,1)),$AO$26:$BH$26,0))*(INDEX('Adjustment Surface'!$AN$27:$AN$46,MATCH(('Adjustment Surface'!$O28),'Adjustment Surface'!$AN$27:$AN$46,1)+IF('Adjustment Surface'!$O29="",-1,1))-'Adjustment Surface'!$O28)*(INDEX('Adjustment Surface'!$AO$26:$BH$26,1,MATCH(('Adjustment Surface'!AG$26),'Adjustment Surface'!$AO$26:$BH$26,1)+IF('Adjustment Surface'!AH$26="",-1,1))-'Adjustment Surface'!AG$26)+INDEX($AO$27:$BH$46,MATCH(INDEX('Adjustment Surface'!$AN$27:$AN$46,MATCH(('Adjustment Surface'!$O28),'Adjustment Surface'!$AN$27:$AN$46,1)+IF('Adjustment Surface'!$O29="",-1,1)),$AN$27:$AN$46,0),MATCH(INDEX('Adjustment Surface'!$AO$26:$BH$26,1,MATCH(('Adjustment Surface'!AG$26),'Adjustment Surface'!$AO$26:$BH$26,1)),$AO$26:$BH$26,0))*('Adjustment Surface'!$O28-INDEX('Adjustment Surface'!$AN$27:$AN$46,MATCH(('Adjustment Surface'!$O28),'Adjustment Surface'!$AN$27:$AN$46,1)))*(INDEX('Adjustment Surface'!$AO$26:$BH$26,1,MATCH(('Adjustment Surface'!AG$26),'Adjustment Surface'!$AO$26:$BH$26,1)+IF('Adjustment Surface'!AH$26="",-1,1))-'Adjustment Surface'!AG$26)+INDEX($AO$27:$BH$46,MATCH(INDEX('Adjustment Surface'!$AN$27:$AN$46,MATCH(('Adjustment Surface'!$O28),'Adjustment Surface'!$AN$27:$AN$46,1)),$AN$27:$AN$46,0),MATCH(INDEX('Adjustment Surface'!$AO$26:$BH$26,1,MATCH(('Adjustment Surface'!AG$26),'Adjustment Surface'!$AO$26:$BH$26,1)+IF('Adjustment Surface'!AH$26="",-1,1)),$AO$26:$BH$26,0))*(INDEX('Adjustment Surface'!$AN$27:$AN$46,MATCH(('Adjustment Surface'!$O28),'Adjustment Surface'!$AN$27:$AN$46,1)+IF('Adjustment Surface'!$O29="",-1,1))-'Adjustment Surface'!$O28)*('Adjustment Surface'!AG$26-INDEX('Adjustment Surface'!$AO$26:$BH$26,1,MATCH(('Adjustment Surface'!AG$26),'Adjustment Surface'!$AO$26:$BH$26,1)))+INDEX($AO$27:$BH$46,MATCH(INDEX('Adjustment Surface'!$AN$27:$AN$46,MATCH(('Adjustment Surface'!$O28),'Adjustment Surface'!$AN$27:$AN$46,1)+IF('Adjustment Surface'!$O29="",-1,1)),$AN$27:$AN$46,0),MATCH(INDEX('Adjustment Surface'!$AO$26:$BH$26,1,MATCH(('Adjustment Surface'!AG$26),'Adjustment Surface'!$AO$26:$BH$26,1)+IF('Adjustment Surface'!AH$26="",-1,1)),$AO$26:$BH$26,0))*('Adjustment Surface'!$O28-INDEX('Adjustment Surface'!$AN$27:$AN$46,MATCH(('Adjustment Surface'!$O28),'Adjustment Surface'!$AN$27:$AN$46,1)))*('Adjustment Surface'!AG$26-INDEX('Adjustment Surface'!$AO$26:$BH$26,1,MATCH(('Adjustment Surface'!AG$26),'Adjustment Surface'!$AO$26:$BH$26,1)))))</f>
        <v/>
      </c>
      <c r="AH28" s="193" t="str" cm="1">
        <f t="array" ref="AH28">IF(OR(AH$26="",$O28=""),"",1/((INDEX('Adjustment Surface'!$AN$27:$AN$46,MATCH(('Adjustment Surface'!$O28),'Adjustment Surface'!$AN$27:$AN$46,1)+IF('Adjustment Surface'!$O29="",-1,1))-INDEX('Adjustment Surface'!$AN$27:$AN$46,MATCH(('Adjustment Surface'!$O28),'Adjustment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Surface'!$O28),'Adjustment Surface'!$AN$27:$AN$46,1)),$AN$27:$AN$46,0),MATCH(INDEX('Adjustment Surface'!$AO$26:$BH$26,1,MATCH(('Adjustment Surface'!AH$26),'Adjustment Surface'!$AO$26:$BH$26,1)),$AO$26:$BH$26,0))*(INDEX('Adjustment Surface'!$AN$27:$AN$46,MATCH(('Adjustment Surface'!$O28),'Adjustment Surface'!$AN$27:$AN$46,1)+IF('Adjustment Surface'!$O29="",-1,1))-'Adjustment Surface'!$O28)*(INDEX('Adjustment Surface'!$AO$26:$BH$26,1,MATCH(('Adjustment Surface'!AH$26),'Adjustment Surface'!$AO$26:$BH$26,1)+IF('Adjustment Surface'!AI$26="",-1,1))-'Adjustment Surface'!AH$26)+INDEX($AO$27:$BH$46,MATCH(INDEX('Adjustment Surface'!$AN$27:$AN$46,MATCH(('Adjustment Surface'!$O28),'Adjustment Surface'!$AN$27:$AN$46,1)+IF('Adjustment Surface'!$O29="",-1,1)),$AN$27:$AN$46,0),MATCH(INDEX('Adjustment Surface'!$AO$26:$BH$26,1,MATCH(('Adjustment Surface'!AH$26),'Adjustment Surface'!$AO$26:$BH$26,1)),$AO$26:$BH$26,0))*('Adjustment Surface'!$O28-INDEX('Adjustment Surface'!$AN$27:$AN$46,MATCH(('Adjustment Surface'!$O28),'Adjustment Surface'!$AN$27:$AN$46,1)))*(INDEX('Adjustment Surface'!$AO$26:$BH$26,1,MATCH(('Adjustment Surface'!AH$26),'Adjustment Surface'!$AO$26:$BH$26,1)+IF('Adjustment Surface'!AI$26="",-1,1))-'Adjustment Surface'!AH$26)+INDEX($AO$27:$BH$46,MATCH(INDEX('Adjustment Surface'!$AN$27:$AN$46,MATCH(('Adjustment Surface'!$O28),'Adjustment Surface'!$AN$27:$AN$46,1)),$AN$27:$AN$46,0),MATCH(INDEX('Adjustment Surface'!$AO$26:$BH$26,1,MATCH(('Adjustment Surface'!AH$26),'Adjustment Surface'!$AO$26:$BH$26,1)+IF('Adjustment Surface'!AI$26="",-1,1)),$AO$26:$BH$26,0))*(INDEX('Adjustment Surface'!$AN$27:$AN$46,MATCH(('Adjustment Surface'!$O28),'Adjustment Surface'!$AN$27:$AN$46,1)+IF('Adjustment Surface'!$O29="",-1,1))-'Adjustment Surface'!$O28)*('Adjustment Surface'!AH$26-INDEX('Adjustment Surface'!$AO$26:$BH$26,1,MATCH(('Adjustment Surface'!AH$26),'Adjustment Surface'!$AO$26:$BH$26,1)))+INDEX($AO$27:$BH$46,MATCH(INDEX('Adjustment Surface'!$AN$27:$AN$46,MATCH(('Adjustment Surface'!$O28),'Adjustment Surface'!$AN$27:$AN$46,1)+IF('Adjustment Surface'!$O29="",-1,1)),$AN$27:$AN$46,0),MATCH(INDEX('Adjustment Surface'!$AO$26:$BH$26,1,MATCH(('Adjustment Surface'!AH$26),'Adjustment Surface'!$AO$26:$BH$26,1)+IF('Adjustment Surface'!AI$26="",-1,1)),$AO$26:$BH$26,0))*('Adjustment Surface'!$O28-INDEX('Adjustment Surface'!$AN$27:$AN$46,MATCH(('Adjustment Surface'!$O28),'Adjustment Surface'!$AN$27:$AN$46,1)))*('Adjustment Surface'!AH$26-INDEX('Adjustment Surface'!$AO$26:$BH$26,1,MATCH(('Adjustment Surface'!AH$26),'Adjustment Surface'!$AO$26:$BH$26,1)))))</f>
        <v/>
      </c>
      <c r="AI28" s="194" t="str" cm="1">
        <f t="array" ref="AI28">IF(OR(AI$26="",$O28=""),"",1/((INDEX('Adjustment Surface'!$AN$27:$AN$46,MATCH(('Adjustment Surface'!$O28),'Adjustment Surface'!$AN$27:$AN$46,1)+IF('Adjustment Surface'!$O29="",-1,1))-INDEX('Adjustment Surface'!$AN$27:$AN$46,MATCH(('Adjustment Surface'!$O28),'Adjustment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Surface'!$O28),'Adjustment Surface'!$AN$27:$AN$46,1)),$AN$27:$AN$46,0),MATCH(INDEX('Adjustment Surface'!$AO$26:$BH$26,1,MATCH(('Adjustment Surface'!AI$26),'Adjustment Surface'!$AO$26:$BH$26,1)),$AO$26:$BH$26,0))*(INDEX('Adjustment Surface'!$AN$27:$AN$46,MATCH(('Adjustment Surface'!$O28),'Adjustment Surface'!$AN$27:$AN$46,1)+IF('Adjustment Surface'!$O29="",-1,1))-'Adjustment Surface'!$O28)*(INDEX('Adjustment Surface'!$AO$26:$BH$26,1,MATCH(('Adjustment Surface'!AI$26),'Adjustment Surface'!$AO$26:$BH$26,1)+IF('Adjustment Surface'!AJ$26="",-1,1))-'Adjustment Surface'!AI$26)+INDEX($AO$27:$BH$46,MATCH(INDEX('Adjustment Surface'!$AN$27:$AN$46,MATCH(('Adjustment Surface'!$O28),'Adjustment Surface'!$AN$27:$AN$46,1)+IF('Adjustment Surface'!$O29="",-1,1)),$AN$27:$AN$46,0),MATCH(INDEX('Adjustment Surface'!$AO$26:$BH$26,1,MATCH(('Adjustment Surface'!AI$26),'Adjustment Surface'!$AO$26:$BH$26,1)),$AO$26:$BH$26,0))*('Adjustment Surface'!$O28-INDEX('Adjustment Surface'!$AN$27:$AN$46,MATCH(('Adjustment Surface'!$O28),'Adjustment Surface'!$AN$27:$AN$46,1)))*(INDEX('Adjustment Surface'!$AO$26:$BH$26,1,MATCH(('Adjustment Surface'!AI$26),'Adjustment Surface'!$AO$26:$BH$26,1)+IF('Adjustment Surface'!AJ$26="",-1,1))-'Adjustment Surface'!AI$26)+INDEX($AO$27:$BH$46,MATCH(INDEX('Adjustment Surface'!$AN$27:$AN$46,MATCH(('Adjustment Surface'!$O28),'Adjustment Surface'!$AN$27:$AN$46,1)),$AN$27:$AN$46,0),MATCH(INDEX('Adjustment Surface'!$AO$26:$BH$26,1,MATCH(('Adjustment Surface'!AI$26),'Adjustment Surface'!$AO$26:$BH$26,1)+IF('Adjustment Surface'!AJ$26="",-1,1)),$AO$26:$BH$26,0))*(INDEX('Adjustment Surface'!$AN$27:$AN$46,MATCH(('Adjustment Surface'!$O28),'Adjustment Surface'!$AN$27:$AN$46,1)+IF('Adjustment Surface'!$O29="",-1,1))-'Adjustment Surface'!$O28)*('Adjustment Surface'!AI$26-INDEX('Adjustment Surface'!$AO$26:$BH$26,1,MATCH(('Adjustment Surface'!AI$26),'Adjustment Surface'!$AO$26:$BH$26,1)))+INDEX($AO$27:$BH$46,MATCH(INDEX('Adjustment Surface'!$AN$27:$AN$46,MATCH(('Adjustment Surface'!$O28),'Adjustment Surface'!$AN$27:$AN$46,1)+IF('Adjustment Surface'!$O29="",-1,1)),$AN$27:$AN$46,0),MATCH(INDEX('Adjustment Surface'!$AO$26:$BH$26,1,MATCH(('Adjustment Surface'!AI$26),'Adjustment Surface'!$AO$26:$BH$26,1)+IF('Adjustment Surface'!AJ$26="",-1,1)),$AO$26:$BH$26,0))*('Adjustment Surface'!$O28-INDEX('Adjustment Surface'!$AN$27:$AN$46,MATCH(('Adjustment Surface'!$O28),'Adjustment Surface'!$AN$27:$AN$46,1)))*('Adjustment Surface'!AI$26-INDEX('Adjustment Surface'!$AO$26:$BH$26,1,MATCH(('Adjustment Surface'!AI$26),'Adjustment Surface'!$AO$26:$BH$26,1)))))</f>
        <v/>
      </c>
      <c r="AK28" s="203">
        <v>0.05</v>
      </c>
      <c r="AL28" s="207">
        <v>46794</v>
      </c>
      <c r="AN28" s="176">
        <v>0.03</v>
      </c>
      <c r="AO28" s="192" cm="1">
        <f t="array" ref="AO28">IF(OR(AO$26="",$AN28=""),"",INDEX(IF($C$2='Data Validation'!$A$2,'Bank Adjustments'!$I$4:$I$103,IF('Adjustment Surface'!$C$2='Data Validation'!$A$3,'Bank Adjustments'!$S$4:$S$103,"Unknown Option Type")),MATCH(1,($AN28=IF($C$2='Data Validation'!$A$2,'Bank Adjustments'!$C$4:$C$103,IF('Adjustment Surface'!$C$2='Data Validation'!$A$3,'Bank Adjustments'!$M$4:$M$103,"Unknown Option Type")))*(AO$26=IF($C$2='Data Validation'!$A$2,'Bank Adjustments'!$E$4:$E$103,IF('Adjustment Surface'!$C$2='Data Validation'!$A$3,'Bank Adjustments'!$O$4:$O$103,"Unknown Option Type"))),0)))</f>
        <v>0.1102292143539978</v>
      </c>
      <c r="AP28" s="193" cm="1">
        <f t="array" ref="AP28">IF(OR(AP$26="",$AN28=""),"",INDEX(IF($C$2='Data Validation'!$A$2,'Bank Adjustments'!$I$4:$I$103,IF('Adjustment Surface'!$C$2='Data Validation'!$A$3,'Bank Adjustments'!$S$4:$S$103,"Unknown Option Type")),MATCH(1,($AN28=IF($C$2='Data Validation'!$A$2,'Bank Adjustments'!$C$4:$C$103,IF('Adjustment Surface'!$C$2='Data Validation'!$A$3,'Bank Adjustments'!$M$4:$M$103,"Unknown Option Type")))*(AP$26=IF($C$2='Data Validation'!$A$2,'Bank Adjustments'!$E$4:$E$103,IF('Adjustment Surface'!$C$2='Data Validation'!$A$3,'Bank Adjustments'!$O$4:$O$103,"Unknown Option Type"))),0)))</f>
        <v>0.14954367181826198</v>
      </c>
      <c r="AQ28" s="193" cm="1">
        <f t="array" ref="AQ28">IF(OR(AQ$26="",$AN28=""),"",INDEX(IF($C$2='Data Validation'!$A$2,'Bank Adjustments'!$I$4:$I$103,IF('Adjustment Surface'!$C$2='Data Validation'!$A$3,'Bank Adjustments'!$S$4:$S$103,"Unknown Option Type")),MATCH(1,($AN28=IF($C$2='Data Validation'!$A$2,'Bank Adjustments'!$C$4:$C$103,IF('Adjustment Surface'!$C$2='Data Validation'!$A$3,'Bank Adjustments'!$M$4:$M$103,"Unknown Option Type")))*(AQ$26=IF($C$2='Data Validation'!$A$2,'Bank Adjustments'!$E$4:$E$103,IF('Adjustment Surface'!$C$2='Data Validation'!$A$3,'Bank Adjustments'!$O$4:$O$103,"Unknown Option Type"))),0)))</f>
        <v>5.8874159576356652E-2</v>
      </c>
      <c r="AR28" s="193" t="str" cm="1">
        <f t="array" ref="AR28">IF(OR(AR$26="",$AN28=""),"",INDEX(IF($C$2='Data Validation'!$A$2,'Bank Adjustments'!$I$4:$I$103,IF('Adjustment Surface'!$C$2='Data Validation'!$A$3,'Bank Adjustments'!$S$4:$S$103,"Unknown Option Type")),MATCH(1,($AN28=IF($C$2='Data Validation'!$A$2,'Bank Adjustments'!$C$4:$C$103,IF('Adjustment Surface'!$C$2='Data Validation'!$A$3,'Bank Adjustments'!$M$4:$M$103,"Unknown Option Type")))*(AR$26=IF($C$2='Data Validation'!$A$2,'Bank Adjustments'!$E$4:$E$103,IF('Adjustment Surface'!$C$2='Data Validation'!$A$3,'Bank Adjustments'!$O$4:$O$103,"Unknown Option Type"))),0)))</f>
        <v/>
      </c>
      <c r="AS28" s="193" t="str" cm="1">
        <f t="array" ref="AS28">IF(OR(AS$26="",$AN28=""),"",INDEX(IF($C$2='Data Validation'!$A$2,'Bank Adjustments'!$I$4:$I$103,IF('Adjustment Surface'!$C$2='Data Validation'!$A$3,'Bank Adjustments'!$S$4:$S$103,"Unknown Option Type")),MATCH(1,($AN28=IF($C$2='Data Validation'!$A$2,'Bank Adjustments'!$C$4:$C$103,IF('Adjustment Surface'!$C$2='Data Validation'!$A$3,'Bank Adjustments'!$M$4:$M$103,"Unknown Option Type")))*(AS$26=IF($C$2='Data Validation'!$A$2,'Bank Adjustments'!$E$4:$E$103,IF('Adjustment Surface'!$C$2='Data Validation'!$A$3,'Bank Adjustments'!$O$4:$O$103,"Unknown Option Type"))),0)))</f>
        <v/>
      </c>
      <c r="AT28" s="193" t="str" cm="1">
        <f t="array" ref="AT28">IF(OR(AT$26="",$AN28=""),"",INDEX(IF($C$2='Data Validation'!$A$2,'Bank Adjustments'!$I$4:$I$103,IF('Adjustment Surface'!$C$2='Data Validation'!$A$3,'Bank Adjustments'!$S$4:$S$103,"Unknown Option Type")),MATCH(1,($AN28=IF($C$2='Data Validation'!$A$2,'Bank Adjustments'!$C$4:$C$103,IF('Adjustment Surface'!$C$2='Data Validation'!$A$3,'Bank Adjustments'!$M$4:$M$103,"Unknown Option Type")))*(AT$26=IF($C$2='Data Validation'!$A$2,'Bank Adjustments'!$E$4:$E$103,IF('Adjustment Surface'!$C$2='Data Validation'!$A$3,'Bank Adjustments'!$O$4:$O$103,"Unknown Option Type"))),0)))</f>
        <v/>
      </c>
      <c r="AU28" s="193" t="str" cm="1">
        <f t="array" ref="AU28">IF(OR(AU$26="",$AN28=""),"",INDEX(IF($C$2='Data Validation'!$A$2,'Bank Adjustments'!$I$4:$I$103,IF('Adjustment Surface'!$C$2='Data Validation'!$A$3,'Bank Adjustments'!$S$4:$S$103,"Unknown Option Type")),MATCH(1,($AN28=IF($C$2='Data Validation'!$A$2,'Bank Adjustments'!$C$4:$C$103,IF('Adjustment Surface'!$C$2='Data Validation'!$A$3,'Bank Adjustments'!$M$4:$M$103,"Unknown Option Type")))*(AU$26=IF($C$2='Data Validation'!$A$2,'Bank Adjustments'!$E$4:$E$103,IF('Adjustment Surface'!$C$2='Data Validation'!$A$3,'Bank Adjustments'!$O$4:$O$103,"Unknown Option Type"))),0)))</f>
        <v/>
      </c>
      <c r="AV28" s="193" t="str" cm="1">
        <f t="array" ref="AV28">IF(OR(AV$26="",$AN28=""),"",INDEX(IF($C$2='Data Validation'!$A$2,'Bank Adjustments'!$I$4:$I$103,IF('Adjustment Surface'!$C$2='Data Validation'!$A$3,'Bank Adjustments'!$S$4:$S$103,"Unknown Option Type")),MATCH(1,($AN28=IF($C$2='Data Validation'!$A$2,'Bank Adjustments'!$C$4:$C$103,IF('Adjustment Surface'!$C$2='Data Validation'!$A$3,'Bank Adjustments'!$M$4:$M$103,"Unknown Option Type")))*(AV$26=IF($C$2='Data Validation'!$A$2,'Bank Adjustments'!$E$4:$E$103,IF('Adjustment Surface'!$C$2='Data Validation'!$A$3,'Bank Adjustments'!$O$4:$O$103,"Unknown Option Type"))),0)))</f>
        <v/>
      </c>
      <c r="AW28" s="193" t="str" cm="1">
        <f t="array" ref="AW28">IF(OR(AW$26="",$AN28=""),"",INDEX(IF($C$2='Data Validation'!$A$2,'Bank Adjustments'!$I$4:$I$103,IF('Adjustment Surface'!$C$2='Data Validation'!$A$3,'Bank Adjustments'!$S$4:$S$103,"Unknown Option Type")),MATCH(1,($AN28=IF($C$2='Data Validation'!$A$2,'Bank Adjustments'!$C$4:$C$103,IF('Adjustment Surface'!$C$2='Data Validation'!$A$3,'Bank Adjustments'!$M$4:$M$103,"Unknown Option Type")))*(AW$26=IF($C$2='Data Validation'!$A$2,'Bank Adjustments'!$E$4:$E$103,IF('Adjustment Surface'!$C$2='Data Validation'!$A$3,'Bank Adjustments'!$O$4:$O$103,"Unknown Option Type"))),0)))</f>
        <v/>
      </c>
      <c r="AX28" s="193" t="str" cm="1">
        <f t="array" ref="AX28">IF(OR(AX$26="",$AN28=""),"",INDEX(IF($C$2='Data Validation'!$A$2,'Bank Adjustments'!$I$4:$I$103,IF('Adjustment Surface'!$C$2='Data Validation'!$A$3,'Bank Adjustments'!$S$4:$S$103,"Unknown Option Type")),MATCH(1,($AN28=IF($C$2='Data Validation'!$A$2,'Bank Adjustments'!$C$4:$C$103,IF('Adjustment Surface'!$C$2='Data Validation'!$A$3,'Bank Adjustments'!$M$4:$M$103,"Unknown Option Type")))*(AX$26=IF($C$2='Data Validation'!$A$2,'Bank Adjustments'!$E$4:$E$103,IF('Adjustment Surface'!$C$2='Data Validation'!$A$3,'Bank Adjustments'!$O$4:$O$103,"Unknown Option Type"))),0)))</f>
        <v/>
      </c>
      <c r="AY28" s="193" t="str" cm="1">
        <f t="array" ref="AY28">IF(OR(AY$26="",$AN28=""),"",INDEX(IF($C$2='Data Validation'!$A$2,'Bank Adjustments'!$I$4:$I$103,IF('Adjustment Surface'!$C$2='Data Validation'!$A$3,'Bank Adjustments'!$S$4:$S$103,"Unknown Option Type")),MATCH(1,($AN28=IF($C$2='Data Validation'!$A$2,'Bank Adjustments'!$C$4:$C$103,IF('Adjustment Surface'!$C$2='Data Validation'!$A$3,'Bank Adjustments'!$M$4:$M$103,"Unknown Option Type")))*(AY$26=IF($C$2='Data Validation'!$A$2,'Bank Adjustments'!$E$4:$E$103,IF('Adjustment Surface'!$C$2='Data Validation'!$A$3,'Bank Adjustments'!$O$4:$O$103,"Unknown Option Type"))),0)))</f>
        <v/>
      </c>
      <c r="AZ28" s="193" t="str" cm="1">
        <f t="array" ref="AZ28">IF(OR(AZ$26="",$AN28=""),"",INDEX(IF($C$2='Data Validation'!$A$2,'Bank Adjustments'!$I$4:$I$103,IF('Adjustment Surface'!$C$2='Data Validation'!$A$3,'Bank Adjustments'!$S$4:$S$103,"Unknown Option Type")),MATCH(1,($AN28=IF($C$2='Data Validation'!$A$2,'Bank Adjustments'!$C$4:$C$103,IF('Adjustment Surface'!$C$2='Data Validation'!$A$3,'Bank Adjustments'!$M$4:$M$103,"Unknown Option Type")))*(AZ$26=IF($C$2='Data Validation'!$A$2,'Bank Adjustments'!$E$4:$E$103,IF('Adjustment Surface'!$C$2='Data Validation'!$A$3,'Bank Adjustments'!$O$4:$O$103,"Unknown Option Type"))),0)))</f>
        <v/>
      </c>
      <c r="BA28" s="193" t="str" cm="1">
        <f t="array" ref="BA28">IF(OR(BA$26="",$AN28=""),"",INDEX(IF($C$2='Data Validation'!$A$2,'Bank Adjustments'!$I$4:$I$103,IF('Adjustment Surface'!$C$2='Data Validation'!$A$3,'Bank Adjustments'!$S$4:$S$103,"Unknown Option Type")),MATCH(1,($AN28=IF($C$2='Data Validation'!$A$2,'Bank Adjustments'!$C$4:$C$103,IF('Adjustment Surface'!$C$2='Data Validation'!$A$3,'Bank Adjustments'!$M$4:$M$103,"Unknown Option Type")))*(BA$26=IF($C$2='Data Validation'!$A$2,'Bank Adjustments'!$E$4:$E$103,IF('Adjustment Surface'!$C$2='Data Validation'!$A$3,'Bank Adjustments'!$O$4:$O$103,"Unknown Option Type"))),0)))</f>
        <v/>
      </c>
      <c r="BB28" s="193" t="str" cm="1">
        <f t="array" ref="BB28">IF(OR(BB$26="",$AN28=""),"",INDEX(IF($C$2='Data Validation'!$A$2,'Bank Adjustments'!$I$4:$I$103,IF('Adjustment Surface'!$C$2='Data Validation'!$A$3,'Bank Adjustments'!$S$4:$S$103,"Unknown Option Type")),MATCH(1,($AN28=IF($C$2='Data Validation'!$A$2,'Bank Adjustments'!$C$4:$C$103,IF('Adjustment Surface'!$C$2='Data Validation'!$A$3,'Bank Adjustments'!$M$4:$M$103,"Unknown Option Type")))*(BB$26=IF($C$2='Data Validation'!$A$2,'Bank Adjustments'!$E$4:$E$103,IF('Adjustment Surface'!$C$2='Data Validation'!$A$3,'Bank Adjustments'!$O$4:$O$103,"Unknown Option Type"))),0)))</f>
        <v/>
      </c>
      <c r="BC28" s="193" t="str" cm="1">
        <f t="array" ref="BC28">IF(OR(BC$26="",$AN28=""),"",INDEX(IF($C$2='Data Validation'!$A$2,'Bank Adjustments'!$I$4:$I$103,IF('Adjustment Surface'!$C$2='Data Validation'!$A$3,'Bank Adjustments'!$S$4:$S$103,"Unknown Option Type")),MATCH(1,($AN28=IF($C$2='Data Validation'!$A$2,'Bank Adjustments'!$C$4:$C$103,IF('Adjustment Surface'!$C$2='Data Validation'!$A$3,'Bank Adjustments'!$M$4:$M$103,"Unknown Option Type")))*(BC$26=IF($C$2='Data Validation'!$A$2,'Bank Adjustments'!$E$4:$E$103,IF('Adjustment Surface'!$C$2='Data Validation'!$A$3,'Bank Adjustments'!$O$4:$O$103,"Unknown Option Type"))),0)))</f>
        <v/>
      </c>
      <c r="BD28" s="193" t="str" cm="1">
        <f t="array" ref="BD28">IF(OR(BD$26="",$AN28=""),"",INDEX(IF($C$2='Data Validation'!$A$2,'Bank Adjustments'!$I$4:$I$103,IF('Adjustment Surface'!$C$2='Data Validation'!$A$3,'Bank Adjustments'!$S$4:$S$103,"Unknown Option Type")),MATCH(1,($AN28=IF($C$2='Data Validation'!$A$2,'Bank Adjustments'!$C$4:$C$103,IF('Adjustment Surface'!$C$2='Data Validation'!$A$3,'Bank Adjustments'!$M$4:$M$103,"Unknown Option Type")))*(BD$26=IF($C$2='Data Validation'!$A$2,'Bank Adjustments'!$E$4:$E$103,IF('Adjustment Surface'!$C$2='Data Validation'!$A$3,'Bank Adjustments'!$O$4:$O$103,"Unknown Option Type"))),0)))</f>
        <v/>
      </c>
      <c r="BE28" s="193" t="str" cm="1">
        <f t="array" ref="BE28">IF(OR(BE$26="",$AN28=""),"",INDEX(IF($C$2='Data Validation'!$A$2,'Bank Adjustments'!$I$4:$I$103,IF('Adjustment Surface'!$C$2='Data Validation'!$A$3,'Bank Adjustments'!$S$4:$S$103,"Unknown Option Type")),MATCH(1,($AN28=IF($C$2='Data Validation'!$A$2,'Bank Adjustments'!$C$4:$C$103,IF('Adjustment Surface'!$C$2='Data Validation'!$A$3,'Bank Adjustments'!$M$4:$M$103,"Unknown Option Type")))*(BE$26=IF($C$2='Data Validation'!$A$2,'Bank Adjustments'!$E$4:$E$103,IF('Adjustment Surface'!$C$2='Data Validation'!$A$3,'Bank Adjustments'!$O$4:$O$103,"Unknown Option Type"))),0)))</f>
        <v/>
      </c>
      <c r="BF28" s="193" t="str" cm="1">
        <f t="array" ref="BF28">IF(OR(BF$26="",$AN28=""),"",INDEX(IF($C$2='Data Validation'!$A$2,'Bank Adjustments'!$I$4:$I$103,IF('Adjustment Surface'!$C$2='Data Validation'!$A$3,'Bank Adjustments'!$S$4:$S$103,"Unknown Option Type")),MATCH(1,($AN28=IF($C$2='Data Validation'!$A$2,'Bank Adjustments'!$C$4:$C$103,IF('Adjustment Surface'!$C$2='Data Validation'!$A$3,'Bank Adjustments'!$M$4:$M$103,"Unknown Option Type")))*(BF$26=IF($C$2='Data Validation'!$A$2,'Bank Adjustments'!$E$4:$E$103,IF('Adjustment Surface'!$C$2='Data Validation'!$A$3,'Bank Adjustments'!$O$4:$O$103,"Unknown Option Type"))),0)))</f>
        <v/>
      </c>
      <c r="BG28" s="193" t="str" cm="1">
        <f t="array" ref="BG28">IF(OR(BG$26="",$AN28=""),"",INDEX(IF($C$2='Data Validation'!$A$2,'Bank Adjustments'!$I$4:$I$103,IF('Adjustment Surface'!$C$2='Data Validation'!$A$3,'Bank Adjustments'!$S$4:$S$103,"Unknown Option Type")),MATCH(1,($AN28=IF($C$2='Data Validation'!$A$2,'Bank Adjustments'!$C$4:$C$103,IF('Adjustment Surface'!$C$2='Data Validation'!$A$3,'Bank Adjustments'!$M$4:$M$103,"Unknown Option Type")))*(BG$26=IF($C$2='Data Validation'!$A$2,'Bank Adjustments'!$E$4:$E$103,IF('Adjustment Surface'!$C$2='Data Validation'!$A$3,'Bank Adjustments'!$O$4:$O$103,"Unknown Option Type"))),0)))</f>
        <v/>
      </c>
      <c r="BH28" s="194" t="str" cm="1">
        <f t="array" ref="BH28">IF(OR(BH$26="",$AN28=""),"",INDEX(IF($C$2='Data Validation'!$A$2,'Bank Adjustments'!$I$4:$I$103,IF('Adjustment Surface'!$C$2='Data Validation'!$A$3,'Bank Adjustments'!$S$4:$S$103,"Unknown Option Type")),MATCH(1,($AN28=IF($C$2='Data Validation'!$A$2,'Bank Adjustments'!$C$4:$C$103,IF('Adjustment Surface'!$C$2='Data Validation'!$A$3,'Bank Adjustments'!$M$4:$M$103,"Unknown Option Type")))*(BH$26=IF($C$2='Data Validation'!$A$2,'Bank Adjustments'!$E$4:$E$103,IF('Adjustment Surface'!$C$2='Data Validation'!$A$3,'Bank Adjustments'!$O$4:$O$103,"Unknown Option Type"))),0)))</f>
        <v/>
      </c>
    </row>
    <row r="29" spans="2:60" x14ac:dyDescent="0.25">
      <c r="B29" s="75">
        <f>B22</f>
        <v>0.03</v>
      </c>
      <c r="C29" s="70" cm="1">
        <f t="array" ref="C29">IF(AND(COUNT(O4:O23)&lt;2,COUNT(P3:AI3)&lt;2),P4,IF(COUNT(O4:O23)&lt;2,_xlfn.FORECAST.LINEAR(C14,INDEX(P4:AI4,1,MATCH(IF(C14&lt;MIN(P3:AI3),INDEX(P3:AI3,1,MATCH(MIN(P3:AI3),P3:AI3,0)),IF(C14&gt;=MAX(P3:AI3),INDEX(P3:AI3,1,MATCH(MAX(P3:AI3),P3:AI3,0)),INDEX(P3:AI3,1,MATCH(C14,P3:AI3,1)))):IF(C14&lt;MIN(P3:AI3),INDEX(P3:AI3,1,MATCH(MIN(P3:AI3),P3:AI3,0)+1),IF(C14&gt;=MAX(P3:AI3),INDEX(P3:AI3,1,MATCH(MAX(P3:AI3),P3:AI3,0)-1),INDEX(P3:AI3,1,MATCH(C14,P3:AI3,1)+1))),P3:AI3,0)),IF(C14&lt;MIN(P3:AI3),INDEX(P3:AI3,1,MATCH(MIN(P3:AI3),P3:AI3,0)),IF(C14&gt;=MAX(P3:AI3),INDEX(P3:AI3,1,MATCH(MAX(P3:AI3),P3:AI3,0)),INDEX(P3:AI3,1,MATCH(C14,P3:AI3,1)))):IF(C14&lt;MIN(P3:AI3),INDEX(P3:AI3,1,MATCH(MIN(P3:AI3),P3:AI3,0)+1),IF(C14&gt;=MAX(P3:AI3),INDEX(P3:AI3,1,MATCH(MAX(P3:AI3),P3:AI3,0)-1),INDEX(P3:AI3,1,MATCH(C14,P3:AI3,1)+1)))),IF(COUNT(P3:AI3)&lt;2,_xlfn.FORECAST.LINEAR(B15,INDEX(P4:P23,MATCH(IF(B15&lt;MIN(O4:O23),INDEX(O4:O23,MATCH(MIN(O4:O23),O4:O23,0)),IF(B15&gt;=MAX(O4:O23),INDEX(O4:O23,MATCH(MAX(O4:O23),O4:O23,0)),INDEX(O4:O23,MATCH(B15,O4:O23,1)))):IF(B15&lt;MIN(O4:O23),INDEX(O4:O23,MATCH(MIN(O4:O23),O4:O23,0)+1),IF(B15&gt;=MAX(O4:O23),INDEX(O4:O23,MATCH(MAX(O4:O23),O4:O23,0)-1),INDEX(O4:O23,MATCH(B15,O4:O23,1)+1))),O4:O23,0)),IF(B15&lt;MIN(O4:O23),INDEX(O4:O23,MATCH(MIN(O4:O23),O4:O23,0)),IF(B15&gt;=MAX(O4:O23),INDEX(O4:O23,MATCH(MAX(O4:O23),O4:O23,0)),INDEX(O4:O23,MATCH(B15,O4:O23,1)))):IF(B15&lt;MIN(O4:O23),INDEX(O4:O23,MATCH(MIN(O4:O23),O4:O23,0)+1),IF(B15&gt;=MAX(O4:O23),INDEX(O4:O23,MATCH(MAX(O4:O23),O4:O23,0)-1),INDEX(O4:O23,MATCH(B15,O4:O23,1)+1)))),1/((INDEX(_xlfn._xlws.FILTER(H4:H23,(INDEX(H4:H23,MATCH(SMALL(J4:J23,1),J4:J23,0))=H4:H23)=FALSE()),MATCH(SMALL(J4:J23,2),_xlfn._xlws.FILTER(J4:J23,(INDEX(H4:H23,MATCH(SMALL(J4:J23,1),J4:J23,0))=H4:H23)=FALSE()),0))-INDEX(H4:H23,MATCH(SMALL(J4:J23,1),J4:J23,0)))*(INDEX(_xlfn._xlws.FILTER(H27:H46,(INDEX(H27:H46,MATCH(SMALL(J27:J46,1),J27:J46,0))=H27:H46)=FALSE()),MATCH(SMALL(J27:J46,2),_xlfn._xlws.FILTER(J27:J46,(INDEX(H27:H46,MATCH(SMALL(J27:J46,1),J27:J46,0))=H27:H46)=FALSE()),0))-INDEX(H27:H46,MATCH(SMALL(J27:J46,1),J27:J46,0))))*(INDEX(P4:AI23,MATCH(INDEX(H27:H46,MATCH(SMALL(J27:J46,1),J27:J46,0)),O4:O23,0),MATCH(INDEX(H4:H23,MATCH(SMALL(J4:J23,1),J4:J23,0)),P3:AI3,0))*(INDEX(_xlfn._xlws.FILTER(H4:H23,(INDEX(H4:H23,MATCH(SMALL(J4:J23,1),J4:J23,0))=H4:H23)=FALSE()),MATCH(SMALL(J4:J23,2),_xlfn._xlws.FILTER(J4:J23,(INDEX(H4:H23,MATCH(SMALL(J4:J23,1),J4:J23,0))=H4:H23)=FALSE()),0))-C14)*(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4:AI23,MATCH(INDEX(H27:H46,MATCH(SMALL(J27:J46,1),J27:J46,0)),O4:O23,0),MATCH(INDEX(_xlfn._xlws.FILTER(H4:H23,(INDEX(H4:H23,MATCH(SMALL(J4:J23,1),J4:J23,0))=H4:H23)=FALSE()),MATCH(SMALL(J4:J23,2),_xlfn._xlws.FILTER(J4:J23,(INDEX(H4:H23,MATCH(SMALL(J4:J23,1),J4:J23,0))=H4:H23)=FALSE()),0)),P3:AI3,0))*(C14-INDEX(H4:H23,MATCH(SMALL(J4:J23,1),J4:J23,0)))*(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4:AI23,MATCH(INDEX(_xlfn._xlws.FILTER(H27:H46,(INDEX(H27:H46,MATCH(SMALL(J27:J46,1),J27:J46,0))=H27:H46)=FALSE()),MATCH(SMALL(J27:J46,2),_xlfn._xlws.FILTER(J27:J46,(INDEX(H27:H46,MATCH(SMALL(J27:J46,1),J27:J46,0))=H27:H46)=FALSE()),0)),O4:O23,0),MATCH(INDEX(H4:H23,MATCH(SMALL(J4:J23,1),J4:J23,0)),P3:AI3,0))*(INDEX(_xlfn._xlws.FILTER(H4:H23,(INDEX(H4:H23,MATCH(SMALL(J4:J23,1),J4:J23,0))=H4:H23)=FALSE()),MATCH(SMALL(J4:J23,2),_xlfn._xlws.FILTER(J4:J23,(INDEX(H4:H23,MATCH(SMALL(J4:J23,1),J4:J23,0))=H4:H23)=FALSE()),0))-C14)*(IF(OR(C9='Data Validation'!D2,C9='Data Validation'!D3),B15,IF(C9='Data Validation'!D3,SUMPRODUCT('Bachelier Model'!N4:N124,'Bachelier Model'!O4:O124)/SUM('Bachelier Model'!N4:N124),"Strike Type Unknown"))-INDEX(H27:H46,MATCH(SMALL(J27:J46,1),J27:J46,0)))+INDEX(P4:AI23,MATCH(INDEX(_xlfn._xlws.FILTER(H27:H46,(INDEX(H27:H46,MATCH(SMALL(J27:J46,1),J27:J46,0))=H27:H46)=FALSE()),MATCH(SMALL(J27:J46,2),_xlfn._xlws.FILTER(J27:J46,(INDEX(H27:H46,MATCH(SMALL(J27:J46,1),J27:J46,0))=H27:H46)=FALSE()),0)),O4:O23,0),MATCH(INDEX(_xlfn._xlws.FILTER(H4:H23,(INDEX(H4:H23,MATCH(SMALL(J4:J23,1),J4:J23,0))=H4:H23)=FALSE()),MATCH(SMALL(J4:J23,2),_xlfn._xlws.FILTER(J4:J23,(INDEX(H4:H23,MATCH(SMALL(J4:J23,1),J4:J23,0))=H4:H23)=FALSE()),0)),P3:AI3,0))*(C14-INDEX(H4:H23,MATCH(SMALL(J4:J23,1),J4:J23,0)))*(IF(OR(C9='Data Validation'!D2,C9='Data Validation'!D3),B15,IF(C9='Data Validation'!D3,SUMPRODUCT('Bachelier Model'!N4:N124,'Bachelier Model'!O4:O124)/SUM('Bachelier Model'!N4:N124),"Strike Type Unknown"))-INDEX(H27:H46,MATCH(SMALL(J27:J46,1),J27:J46,0)))))))</f>
        <v>27.98276336668809</v>
      </c>
      <c r="D29" s="70" cm="1">
        <f t="array" ref="D29">IF(AND(COUNT(O4:O23)&lt;2,COUNT(P3:AI3)&lt;2),P4,IF(COUNT(O4:O23)&lt;2,_xlfn.FORECAST.LINEAR(D14,INDEX(P4:AI4,1,MATCH(IF(D14&lt;MIN(P3:AI3),INDEX(P3:AI3,1,MATCH(MIN(P3:AI3),P3:AI3,0)),IF(D14&gt;=MAX(P3:AI3),INDEX(P3:AI3,1,MATCH(MAX(P3:AI3),P3:AI3,0)),INDEX(P3:AI3,1,MATCH(D14,P3:AI3,1)))):IF(D14&lt;MIN(P3:AI3),INDEX(P3:AI3,1,MATCH(MIN(P3:AI3),P3:AI3,0)+1),IF(D14&gt;=MAX(P3:AI3),INDEX(P3:AI3,1,MATCH(MAX(P3:AI3),P3:AI3,0)-1),INDEX(P3:AI3,1,MATCH(D14,P3:AI3,1)+1))),P3:AI3,0)),IF(D14&lt;MIN(P3:AI3),INDEX(P3:AI3,1,MATCH(MIN(P3:AI3),P3:AI3,0)),IF(D14&gt;=MAX(P3:AI3),INDEX(P3:AI3,1,MATCH(MAX(P3:AI3),P3:AI3,0)),INDEX(P3:AI3,1,MATCH(D14,P3:AI3,1)))):IF(D14&lt;MIN(P3:AI3),INDEX(P3:AI3,1,MATCH(MIN(P3:AI3),P3:AI3,0)+1),IF(D14&gt;=MAX(P3:AI3),INDEX(P3:AI3,1,MATCH(MAX(P3:AI3),P3:AI3,0)-1),INDEX(P3:AI3,1,MATCH(D14,P3:AI3,1)+1)))),IF(COUNT(P3:AI3)&lt;2,_xlfn.FORECAST.LINEAR(B15,INDEX(P4:P23,MATCH(IF(B15&lt;MIN(O4:O23),INDEX(O4:O23,MATCH(MIN(O4:O23),O4:O23,0)),IF(B15&gt;=MAX(O4:O23),INDEX(O4:O23,MATCH(MAX(O4:O23),O4:O23,0)),INDEX(O4:O23,MATCH(B15,O4:O23,1)))):IF(B15&lt;MIN(O4:O23),INDEX(O4:O23,MATCH(MIN(O4:O23),O4:O23,0)+1),IF(B15&gt;=MAX(O4:O23),INDEX(O4:O23,MATCH(MAX(O4:O23),O4:O23,0)-1),INDEX(O4:O23,MATCH(B15,O4:O23,1)+1))),O4:O23,0)),IF(B15&lt;MIN(O4:O23),INDEX(O4:O23,MATCH(MIN(O4:O23),O4:O23,0)),IF(B15&gt;=MAX(O4:O23),INDEX(O4:O23,MATCH(MAX(O4:O23),O4:O23,0)),INDEX(O4:O23,MATCH(B15,O4:O23,1)))):IF(B15&lt;MIN(O4:O23),INDEX(O4:O23,MATCH(MIN(O4:O23),O4:O23,0)+1),IF(B15&gt;=MAX(O4:O23),INDEX(O4:O23,MATCH(MAX(O4:O23),O4:O23,0)-1),INDEX(O4:O23,MATCH(B15,O4:O23,1)+1)))),1/((INDEX(_xlfn._xlws.FILTER(H4:H23,(INDEX(H4:H23,MATCH(SMALL(K4:K23,1),K4:K23,0))=H4:H23)=FALSE()),MATCH(SMALL(K4:K23,2),_xlfn._xlws.FILTER(K4:K23,(INDEX(H4:H23,MATCH(SMALL(K4:K23,1),K4:K23,0))=H4:H23)=FALSE()),0))-INDEX(H4:H23,MATCH(SMALL(K4:K23,1),K4:K23,0)))*(INDEX(_xlfn._xlws.FILTER(H27:H46,(INDEX(H27:H46,MATCH(SMALL(J27:J46,1),J27:J46,0))=H27:H46)=FALSE()),MATCH(SMALL(J27:J46,2),_xlfn._xlws.FILTER(J27:J46,(INDEX(H27:H46,MATCH(SMALL(J27:J46,1),J27:J46,0))=H27:H46)=FALSE()),0))-INDEX(H27:H46,MATCH(SMALL(J27:J46,1),J27:J46,0))))*(INDEX(P4:AI23,MATCH(INDEX(H27:H46,MATCH(SMALL(J27:J46,1),J27:J46,0)),O4:O23,0),MATCH(INDEX(H4:H23,MATCH(SMALL(K4:K23,1),K4:K23,0)),P3:AI3,0))*(INDEX(_xlfn._xlws.FILTER(H4:H23,(INDEX(H4:H23,MATCH(SMALL(K4:K23,1),K4:K23,0))=H4:H23)=FALSE()),MATCH(SMALL(K4:K23,2),_xlfn._xlws.FILTER(K4:K23,(INDEX(H4:H23,MATCH(SMALL(K4:K23,1),K4:K23,0))=H4:H23)=FALSE()),0))-D14)*(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4:AI23,MATCH(INDEX(H27:H46,MATCH(SMALL(J27:J46,1),J27:J46,0)),O4:O23,0),MATCH(INDEX(_xlfn._xlws.FILTER(H4:H23,(INDEX(H4:H23,MATCH(SMALL(K4:K23,1),K4:K23,0))=H4:H23)=FALSE()),MATCH(SMALL(K4:K23,2),_xlfn._xlws.FILTER(K4:K23,(INDEX(H4:H23,MATCH(SMALL(K4:K23,1),K4:K23,0))=H4:H23)=FALSE()),0)),P3:AI3,0))*(D14-INDEX(H4:H23,MATCH(SMALL(K4:K23,1),K4:K23,0)))*(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4:AI23,MATCH(INDEX(_xlfn._xlws.FILTER(H27:H46,(INDEX(H27:H46,MATCH(SMALL(J27:J46,1),J27:J46,0))=H27:H46)=FALSE()),MATCH(SMALL(J27:J46,2),_xlfn._xlws.FILTER(J27:J46,(INDEX(H27:H46,MATCH(SMALL(J27:J46,1),J27:J46,0))=H27:H46)=FALSE()),0)),O4:O23,0),MATCH(INDEX(H4:H23,MATCH(SMALL(K4:K23,1),K4:K23,0)),P3:AI3,0))*(INDEX(_xlfn._xlws.FILTER(H4:H23,(INDEX(H4:H23,MATCH(SMALL(K4:K23,1),K4:K23,0))=H4:H23)=FALSE()),MATCH(SMALL(K4:K23,2),_xlfn._xlws.FILTER(K4:K23,(INDEX(H4:H23,MATCH(SMALL(K4:K23,1),K4:K23,0))=H4:H23)=FALSE()),0))-D14)*(IF(OR(C9='Data Validation'!D2,C9='Data Validation'!D3),B15,IF(C9='Data Validation'!D3,SUMPRODUCT('Bachelier Model'!N4:N124,'Bachelier Model'!O4:O124)/SUM('Bachelier Model'!N4:N124),"Strike Type Unknown"))-INDEX(H27:H46,MATCH(SMALL(J27:J46,1),J27:J46,0)))+INDEX(P4:AI23,MATCH(INDEX(_xlfn._xlws.FILTER(H27:H46,(INDEX(H27:H46,MATCH(SMALL(J27:J46,1),J27:J46,0))=H27:H46)=FALSE()),MATCH(SMALL(J27:J46,2),_xlfn._xlws.FILTER(J27:J46,(INDEX(H27:H46,MATCH(SMALL(J27:J46,1),J27:J46,0))=H27:H46)=FALSE()),0)),O4:O23,0),MATCH(INDEX(_xlfn._xlws.FILTER(H4:H23,(INDEX(H4:H23,MATCH(SMALL(K4:K23,1),K4:K23,0))=H4:H23)=FALSE()),MATCH(SMALL(K4:K23,2),_xlfn._xlws.FILTER(K4:K23,(INDEX(H4:H23,MATCH(SMALL(K4:K23,1),K4:K23,0))=H4:H23)=FALSE()),0)),P3:AI3,0))*(D14-INDEX(H4:H23,MATCH(SMALL(K4:K23,1),K4:K23,0)))*(IF(OR(C9='Data Validation'!D2,C9='Data Validation'!D3),B15,IF(C9='Data Validation'!D3,SUMPRODUCT('Bachelier Model'!N4:N124,'Bachelier Model'!O4:O124)/SUM('Bachelier Model'!N4:N124),"Strike Type Unknown"))-INDEX(H27:H46,MATCH(SMALL(J27:J46,1),J27:J46,0)))))))</f>
        <v>22.604346739944265</v>
      </c>
      <c r="E29" s="70" cm="1">
        <f t="array" ref="E29">IF(AND(COUNT(O4:O23)&lt;2,COUNT(P3:AI3)&lt;2),P4,IF(COUNT(O4:O23)&lt;2,_xlfn.FORECAST.LINEAR(E14,INDEX(P4:AI4,1,MATCH(IF(E14&lt;MIN(P3:AI3),INDEX(P3:AI3,1,MATCH(MIN(P3:AI3),P3:AI3,0)),IF(E14&gt;=MAX(P3:AI3),INDEX(P3:AI3,1,MATCH(MAX(P3:AI3),P3:AI3,0)),INDEX(P3:AI3,1,MATCH(E14,P3:AI3,1)))):IF(E14&lt;MIN(P3:AI3),INDEX(P3:AI3,1,MATCH(MIN(P3:AI3),P3:AI3,0)+1),IF(E14&gt;=MAX(P3:AI3),INDEX(P3:AI3,1,MATCH(MAX(P3:AI3),P3:AI3,0)-1),INDEX(P3:AI3,1,MATCH(E14,P3:AI3,1)+1))),P3:AI3,0)),IF(E14&lt;MIN(P3:AI3),INDEX(P3:AI3,1,MATCH(MIN(P3:AI3),P3:AI3,0)),IF(E14&gt;=MAX(P3:AI3),INDEX(P3:AI3,1,MATCH(MAX(P3:AI3),P3:AI3,0)),INDEX(P3:AI3,1,MATCH(E14,P3:AI3,1)))):IF(E14&lt;MIN(P3:AI3),INDEX(P3:AI3,1,MATCH(MIN(P3:AI3),P3:AI3,0)+1),IF(E14&gt;=MAX(P3:AI3),INDEX(P3:AI3,1,MATCH(MAX(P3:AI3),P3:AI3,0)-1),INDEX(P3:AI3,1,MATCH(E14,P3:AI3,1)+1)))),IF(COUNT(P3:AI3)&lt;2,_xlfn.FORECAST.LINEAR(B15,INDEX(P4:P23,MATCH(IF(B15&lt;MIN(O4:O23),INDEX(O4:O23,MATCH(MIN(O4:O23),O4:O23,0)),IF(B15&gt;=MAX(O4:O23),INDEX(O4:O23,MATCH(MAX(O4:O23),O4:O23,0)),INDEX(O4:O23,MATCH(B15,O4:O23,1)))):IF(B15&lt;MIN(O4:O23),INDEX(O4:O23,MATCH(MIN(O4:O23),O4:O23,0)+1),IF(B15&gt;=MAX(O4:O23),INDEX(O4:O23,MATCH(MAX(O4:O23),O4:O23,0)-1),INDEX(O4:O23,MATCH(B15,O4:O23,1)+1))),O4:O23,0)),IF(B15&lt;MIN(O4:O23),INDEX(O4:O23,MATCH(MIN(O4:O23),O4:O23,0)),IF(B15&gt;=MAX(O4:O23),INDEX(O4:O23,MATCH(MAX(O4:O23),O4:O23,0)),INDEX(O4:O23,MATCH(B15,O4:O23,1)))):IF(B15&lt;MIN(O4:O23),INDEX(O4:O23,MATCH(MIN(O4:O23),O4:O23,0)+1),IF(B15&gt;=MAX(O4:O23),INDEX(O4:O23,MATCH(MAX(O4:O23),O4:O23,0)-1),INDEX(O4:O23,MATCH(B15,O4:O23,1)+1)))),1/((INDEX(_xlfn._xlws.FILTER(H4:H23,(INDEX(H4:H23,MATCH(SMALL(L4:L23,1),L4:L23,0))=H4:H23)=FALSE()),MATCH(SMALL(L4:L23,2),_xlfn._xlws.FILTER(L4:L23,(INDEX(H4:H23,MATCH(SMALL(L4:L23,1),L4:L23,0))=H4:H23)=FALSE()),0))-INDEX(H4:H23,MATCH(SMALL(L4:L23,1),L4:L23,0)))*(INDEX(_xlfn._xlws.FILTER(H27:H46,(INDEX(H27:H46,MATCH(SMALL(J27:J46,1),J27:J46,0))=H27:H46)=FALSE()),MATCH(SMALL(J27:J46,2),_xlfn._xlws.FILTER(J27:J46,(INDEX(H27:H46,MATCH(SMALL(J27:J46,1),J27:J46,0))=H27:H46)=FALSE()),0))-INDEX(H27:H46,MATCH(SMALL(J27:J46,1),J27:J46,0))))*(INDEX(P4:AI23,MATCH(INDEX(H27:H46,MATCH(SMALL(J27:J46,1),J27:J46,0)),O4:O23,0),MATCH(INDEX(H4:H23,MATCH(SMALL(L4:L23,1),L4:L23,0)),P3:AI3,0))*(INDEX(_xlfn._xlws.FILTER(H4:H23,(INDEX(H4:H23,MATCH(SMALL(L4:L23,1),L4:L23,0))=H4:H23)=FALSE()),MATCH(SMALL(L4:L23,2),_xlfn._xlws.FILTER(L4:L23,(INDEX(H4:H23,MATCH(SMALL(L4:L23,1),L4:L23,0))=H4:H23)=FALSE()),0))-E14)*(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4:AI23,MATCH(INDEX(H27:H46,MATCH(SMALL(J27:J46,1),J27:J46,0)),O4:O23,0),MATCH(INDEX(_xlfn._xlws.FILTER(H4:H23,(INDEX(H4:H23,MATCH(SMALL(L4:L23,1),L4:L23,0))=H4:H23)=FALSE()),MATCH(SMALL(L4:L23,2),_xlfn._xlws.FILTER(L4:L23,(INDEX(H4:H23,MATCH(SMALL(L4:L23,1),L4:L23,0))=H4:H23)=FALSE()),0)),P3:AI3,0))*(E14-INDEX(H4:H23,MATCH(SMALL(L4:L23,1),L4:L23,0)))*(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4:AI23,MATCH(INDEX(_xlfn._xlws.FILTER(H27:H46,(INDEX(H27:H46,MATCH(SMALL(J27:J46,1),J27:J46,0))=H27:H46)=FALSE()),MATCH(SMALL(J27:J46,2),_xlfn._xlws.FILTER(J27:J46,(INDEX(H27:H46,MATCH(SMALL(J27:J46,1),J27:J46,0))=H27:H46)=FALSE()),0)),O4:O23,0),MATCH(INDEX(H4:H23,MATCH(SMALL(L4:L23,1),L4:L23,0)),P3:AI3,0))*(INDEX(_xlfn._xlws.FILTER(H4:H23,(INDEX(H4:H23,MATCH(SMALL(L4:L23,1),L4:L23,0))=H4:H23)=FALSE()),MATCH(SMALL(L4:L23,2),_xlfn._xlws.FILTER(L4:L23,(INDEX(H4:H23,MATCH(SMALL(L4:L23,1),L4:L23,0))=H4:H23)=FALSE()),0))-E14)*(IF(OR(C9='Data Validation'!D2,C9='Data Validation'!D3),B15,IF(C9='Data Validation'!D3,SUMPRODUCT('Bachelier Model'!N4:N124,'Bachelier Model'!O4:O124)/SUM('Bachelier Model'!N4:N124),"Strike Type Unknown"))-INDEX(H27:H46,MATCH(SMALL(J27:J46,1),J27:J46,0)))+INDEX(P4:AI23,MATCH(INDEX(_xlfn._xlws.FILTER(H27:H46,(INDEX(H27:H46,MATCH(SMALL(J27:J46,1),J27:J46,0))=H27:H46)=FALSE()),MATCH(SMALL(J27:J46,2),_xlfn._xlws.FILTER(J27:J46,(INDEX(H27:H46,MATCH(SMALL(J27:J46,1),J27:J46,0))=H27:H46)=FALSE()),0)),O4:O23,0),MATCH(INDEX(_xlfn._xlws.FILTER(H4:H23,(INDEX(H4:H23,MATCH(SMALL(L4:L23,1),L4:L23,0))=H4:H23)=FALSE()),MATCH(SMALL(L4:L23,2),_xlfn._xlws.FILTER(L4:L23,(INDEX(H4:H23,MATCH(SMALL(L4:L23,1),L4:L23,0))=H4:H23)=FALSE()),0)),P3:AI3,0))*(E14-INDEX(H4:H23,MATCH(SMALL(L4:L23,1),L4:L23,0)))*(IF(OR(C9='Data Validation'!D2,C9='Data Validation'!D3),B15,IF(C9='Data Validation'!D3,SUMPRODUCT('Bachelier Model'!N4:N124,'Bachelier Model'!O4:O124)/SUM('Bachelier Model'!N4:N124),"Strike Type Unknown"))-INDEX(H27:H46,MATCH(SMALL(J27:J46,1),J27:J46,0)))))))</f>
        <v>8.2623946155541219</v>
      </c>
      <c r="F29" s="70" cm="1">
        <f t="array" ref="F29">IF(AND(COUNT(O4:O23)&lt;2,COUNT(P3:AI3)&lt;2),P4,IF(COUNT(O4:O23)&lt;2,_xlfn.FORECAST.LINEAR(F14,INDEX(P4:AI4,1,MATCH(IF(F14&lt;MIN(P3:AI3),INDEX(P3:AI3,1,MATCH(MIN(P3:AI3),P3:AI3,0)),IF(F14&gt;=MAX(P3:AI3),INDEX(P3:AI3,1,MATCH(MAX(P3:AI3),P3:AI3,0)),INDEX(P3:AI3,1,MATCH(F14,P3:AI3,1)))):IF(F14&lt;MIN(P3:AI3),INDEX(P3:AI3,1,MATCH(MIN(P3:AI3),P3:AI3,0)+1),IF(F14&gt;=MAX(P3:AI3),INDEX(P3:AI3,1,MATCH(MAX(P3:AI3),P3:AI3,0)-1),INDEX(P3:AI3,1,MATCH(F14,P3:AI3,1)+1))),P3:AI3,0)),IF(F14&lt;MIN(P3:AI3),INDEX(P3:AI3,1,MATCH(MIN(P3:AI3),P3:AI3,0)),IF(F14&gt;=MAX(P3:AI3),INDEX(P3:AI3,1,MATCH(MAX(P3:AI3),P3:AI3,0)),INDEX(P3:AI3,1,MATCH(F14,P3:AI3,1)))):IF(F14&lt;MIN(P3:AI3),INDEX(P3:AI3,1,MATCH(MIN(P3:AI3),P3:AI3,0)+1),IF(F14&gt;=MAX(P3:AI3),INDEX(P3:AI3,1,MATCH(MAX(P3:AI3),P3:AI3,0)-1),INDEX(P3:AI3,1,MATCH(F14,P3:AI3,1)+1)))),IF(COUNT(P3:AI3)&lt;2,_xlfn.FORECAST.LINEAR(B15,INDEX(P4:P23,MATCH(IF(B15&lt;MIN(O4:O23),INDEX(O4:O23,MATCH(MIN(O4:O23),O4:O23,0)),IF(B15&gt;=MAX(O4:O23),INDEX(O4:O23,MATCH(MAX(O4:O23),O4:O23,0)),INDEX(O4:O23,MATCH(B15,O4:O23,1)))):IF(B15&lt;MIN(O4:O23),INDEX(O4:O23,MATCH(MIN(O4:O23),O4:O23,0)+1),IF(B15&gt;=MAX(O4:O23),INDEX(O4:O23,MATCH(MAX(O4:O23),O4:O23,0)-1),INDEX(O4:O23,MATCH(B15,O4:O23,1)+1))),O4:O23,0)),IF(B15&lt;MIN(O4:O23),INDEX(O4:O23,MATCH(MIN(O4:O23),O4:O23,0)),IF(B15&gt;=MAX(O4:O23),INDEX(O4:O23,MATCH(MAX(O4:O23),O4:O23,0)),INDEX(O4:O23,MATCH(B15,O4:O23,1)))):IF(B15&lt;MIN(O4:O23),INDEX(O4:O23,MATCH(MIN(O4:O23),O4:O23,0)+1),IF(B15&gt;=MAX(O4:O23),INDEX(O4:O23,MATCH(MAX(O4:O23),O4:O23,0)-1),INDEX(O4:O23,MATCH(B15,O4:O23,1)+1)))),1/((INDEX(_xlfn._xlws.FILTER(H4:H23,(INDEX(H4:H23,MATCH(SMALL(M4:M23,1),M4:M23,0))=H4:H23)=FALSE()),MATCH(SMALL(M4:M23,2),_xlfn._xlws.FILTER(M4:M23,(INDEX(H4:H23,MATCH(SMALL(M4:M23,1),M4:M23,0))=H4:H23)=FALSE()),0))-INDEX(H4:H23,MATCH(SMALL(M4:M23,1),M4:M23,0)))*(INDEX(_xlfn._xlws.FILTER(H27:H46,(INDEX(H27:H46,MATCH(SMALL(J27:J46,1),J27:J46,0))=H27:H46)=FALSE()),MATCH(SMALL(J27:J46,2),_xlfn._xlws.FILTER(J27:J46,(INDEX(H27:H46,MATCH(SMALL(J27:J46,1),J27:J46,0))=H27:H46)=FALSE()),0))-INDEX(H27:H46,MATCH(SMALL(J27:J46,1),J27:J46,0))))*(INDEX(P4:AI23,MATCH(INDEX(H27:H46,MATCH(SMALL(J27:J46,1),J27:J46,0)),O4:O23,0),MATCH(INDEX(H4:H23,MATCH(SMALL(M4:M23,1),M4:M23,0)),P3:AI3,0))*(INDEX(_xlfn._xlws.FILTER(H4:H23,(INDEX(H4:H23,MATCH(SMALL(M4:M23,1),M4:M23,0))=H4:H23)=FALSE()),MATCH(SMALL(M4:M23,2),_xlfn._xlws.FILTER(M4:M23,(INDEX(H4:H23,MATCH(SMALL(M4:M23,1),M4:M23,0))=H4:H23)=FALSE()),0))-F14)*(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4:AI23,MATCH(INDEX(H27:H46,MATCH(SMALL(J27:J46,1),J27:J46,0)),O4:O23,0),MATCH(INDEX(_xlfn._xlws.FILTER(H4:H23,(INDEX(H4:H23,MATCH(SMALL(M4:M23,1),M4:M23,0))=H4:H23)=FALSE()),MATCH(SMALL(M4:M23,2),_xlfn._xlws.FILTER(M4:M23,(INDEX(H4:H23,MATCH(SMALL(M4:M23,1),M4:M23,0))=H4:H23)=FALSE()),0)),P3:AI3,0))*(F14-INDEX(H4:H23,MATCH(SMALL(M4:M23,1),M4:M23,0)))*(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4:AI23,MATCH(INDEX(_xlfn._xlws.FILTER(H27:H46,(INDEX(H27:H46,MATCH(SMALL(J27:J46,1),J27:J46,0))=H27:H46)=FALSE()),MATCH(SMALL(J27:J46,2),_xlfn._xlws.FILTER(J27:J46,(INDEX(H27:H46,MATCH(SMALL(J27:J46,1),J27:J46,0))=H27:H46)=FALSE()),0)),O4:O23,0),MATCH(INDEX(H4:H23,MATCH(SMALL(M4:M23,1),M4:M23,0)),P3:AI3,0))*(INDEX(_xlfn._xlws.FILTER(H4:H23,(INDEX(H4:H23,MATCH(SMALL(M4:M23,1),M4:M23,0))=H4:H23)=FALSE()),MATCH(SMALL(M4:M23,2),_xlfn._xlws.FILTER(M4:M23,(INDEX(H4:H23,MATCH(SMALL(M4:M23,1),M4:M23,0))=H4:H23)=FALSE()),0))-F14)*(IF(OR(C9='Data Validation'!D2,C9='Data Validation'!D3),B15,IF(C9='Data Validation'!D3,SUMPRODUCT('Bachelier Model'!N4:N124,'Bachelier Model'!O4:O124)/SUM('Bachelier Model'!N4:N124),"Strike Type Unknown"))-INDEX(H27:H46,MATCH(SMALL(J27:J46,1),J27:J46,0)))+INDEX(P4:AI23,MATCH(INDEX(_xlfn._xlws.FILTER(H27:H46,(INDEX(H27:H46,MATCH(SMALL(J27:J46,1),J27:J46,0))=H27:H46)=FALSE()),MATCH(SMALL(J27:J46,2),_xlfn._xlws.FILTER(J27:J46,(INDEX(H27:H46,MATCH(SMALL(J27:J46,1),J27:J46,0))=H27:H46)=FALSE()),0)),O4:O23,0),MATCH(INDEX(_xlfn._xlws.FILTER(H4:H23,(INDEX(H4:H23,MATCH(SMALL(M4:M23,1),M4:M23,0))=H4:H23)=FALSE()),MATCH(SMALL(M4:M23,2),_xlfn._xlws.FILTER(M4:M23,(INDEX(H4:H23,MATCH(SMALL(M4:M23,1),M4:M23,0))=H4:H23)=FALSE()),0)),P3:AI3,0))*(F14-INDEX(H4:H23,MATCH(SMALL(M4:M23,1),M4:M23,0)))*(IF(OR(C9='Data Validation'!D2,C9='Data Validation'!D3),B15,IF(C9='Data Validation'!D3,SUMPRODUCT('Bachelier Model'!N4:N124,'Bachelier Model'!O4:O124)/SUM('Bachelier Model'!N4:N124),"Strike Type Unknown"))-INDEX(H27:H46,MATCH(SMALL(J27:J46,1),J27:J46,0)))))))</f>
        <v>-6.0403718472939785</v>
      </c>
      <c r="H29" s="176">
        <v>0.03</v>
      </c>
      <c r="I29" s="54">
        <f t="shared" si="6"/>
        <v>9.9999999999999985E-3</v>
      </c>
      <c r="J29" s="55">
        <f t="shared" si="6"/>
        <v>0</v>
      </c>
      <c r="K29" s="55">
        <f t="shared" si="6"/>
        <v>1.0000000000000002E-2</v>
      </c>
      <c r="L29" s="55">
        <f t="shared" si="6"/>
        <v>2.0000000000000004E-2</v>
      </c>
      <c r="M29" s="48">
        <f t="shared" si="6"/>
        <v>0.03</v>
      </c>
      <c r="O29" s="176">
        <v>0.03</v>
      </c>
      <c r="P29" s="192" cm="1">
        <f t="array" ref="P29">IF(OR(P$26="",$O29=""),"",1/((INDEX('Adjustment Surface'!$AN$27:$AN$46,MATCH(('Adjustment Surface'!$O29),'Adjustment Surface'!$AN$27:$AN$46,1)+IF('Adjustment Surface'!$O30="",-1,1))-INDEX('Adjustment Surface'!$AN$27:$AN$46,MATCH(('Adjustment Surface'!$O29),'Adjustment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Surface'!$O29),'Adjustment Surface'!$AN$27:$AN$46,1)),$AN$27:$AN$46,0),MATCH(INDEX('Adjustment Surface'!$AO$26:$BH$26,1,MATCH(('Adjustment Surface'!P$26),'Adjustment Surface'!$AO$26:$BH$26,1)),$AO$26:$BH$26,0))*(INDEX('Adjustment Surface'!$AN$27:$AN$46,MATCH(('Adjustment Surface'!$O29),'Adjustment Surface'!$AN$27:$AN$46,1)+IF('Adjustment Surface'!$O30="",-1,1))-'Adjustment Surface'!$O29)*(INDEX('Adjustment Surface'!$AO$26:$BH$26,1,MATCH(('Adjustment Surface'!P$26),'Adjustment Surface'!$AO$26:$BH$26,1)+IF('Adjustment Surface'!Q$26="",-1,1))-'Adjustment Surface'!P$26)+INDEX($AO$27:$BH$46,MATCH(INDEX('Adjustment Surface'!$AN$27:$AN$46,MATCH(('Adjustment Surface'!$O29),'Adjustment Surface'!$AN$27:$AN$46,1)+IF('Adjustment Surface'!$O30="",-1,1)),$AN$27:$AN$46,0),MATCH(INDEX('Adjustment Surface'!$AO$26:$BH$26,1,MATCH(('Adjustment Surface'!P$26),'Adjustment Surface'!$AO$26:$BH$26,1)),$AO$26:$BH$26,0))*('Adjustment Surface'!$O29-INDEX('Adjustment Surface'!$AN$27:$AN$46,MATCH(('Adjustment Surface'!$O29),'Adjustment Surface'!$AN$27:$AN$46,1)))*(INDEX('Adjustment Surface'!$AO$26:$BH$26,1,MATCH(('Adjustment Surface'!P$26),'Adjustment Surface'!$AO$26:$BH$26,1)+IF('Adjustment Surface'!Q$26="",-1,1))-'Adjustment Surface'!P$26)+INDEX($AO$27:$BH$46,MATCH(INDEX('Adjustment Surface'!$AN$27:$AN$46,MATCH(('Adjustment Surface'!$O29),'Adjustment Surface'!$AN$27:$AN$46,1)),$AN$27:$AN$46,0),MATCH(INDEX('Adjustment Surface'!$AO$26:$BH$26,1,MATCH(('Adjustment Surface'!P$26),'Adjustment Surface'!$AO$26:$BH$26,1)+IF('Adjustment Surface'!Q$26="",-1,1)),$AO$26:$BH$26,0))*(INDEX('Adjustment Surface'!$AN$27:$AN$46,MATCH(('Adjustment Surface'!$O29),'Adjustment Surface'!$AN$27:$AN$46,1)+IF('Adjustment Surface'!$O30="",-1,1))-'Adjustment Surface'!$O29)*('Adjustment Surface'!P$26-INDEX('Adjustment Surface'!$AO$26:$BH$26,1,MATCH(('Adjustment Surface'!P$26),'Adjustment Surface'!$AO$26:$BH$26,1)))+INDEX($AO$27:$BH$46,MATCH(INDEX('Adjustment Surface'!$AN$27:$AN$46,MATCH(('Adjustment Surface'!$O29),'Adjustment Surface'!$AN$27:$AN$46,1)+IF('Adjustment Surface'!$O30="",-1,1)),$AN$27:$AN$46,0),MATCH(INDEX('Adjustment Surface'!$AO$26:$BH$26,1,MATCH(('Adjustment Surface'!P$26),'Adjustment Surface'!$AO$26:$BH$26,1)+IF('Adjustment Surface'!Q$26="",-1,1)),$AO$26:$BH$26,0))*('Adjustment Surface'!$O29-INDEX('Adjustment Surface'!$AN$27:$AN$46,MATCH(('Adjustment Surface'!$O29),'Adjustment Surface'!$AN$27:$AN$46,1)))*('Adjustment Surface'!P$26-INDEX('Adjustment Surface'!$AO$26:$BH$26,1,MATCH(('Adjustment Surface'!P$26),'Adjustment Surface'!$AO$26:$BH$26,1)))))</f>
        <v>0.1102292143539978</v>
      </c>
      <c r="Q29" s="193" cm="1">
        <f t="array" ref="Q29">IF(OR(Q$26="",$O29=""),"",1/((INDEX('Adjustment Surface'!$AN$27:$AN$46,MATCH(('Adjustment Surface'!$O29),'Adjustment Surface'!$AN$27:$AN$46,1)+IF('Adjustment Surface'!$O30="",-1,1))-INDEX('Adjustment Surface'!$AN$27:$AN$46,MATCH(('Adjustment Surface'!$O29),'Adjustment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Surface'!$O29),'Adjustment Surface'!$AN$27:$AN$46,1)),$AN$27:$AN$46,0),MATCH(INDEX('Adjustment Surface'!$AO$26:$BH$26,1,MATCH(('Adjustment Surface'!Q$26),'Adjustment Surface'!$AO$26:$BH$26,1)),$AO$26:$BH$26,0))*(INDEX('Adjustment Surface'!$AN$27:$AN$46,MATCH(('Adjustment Surface'!$O29),'Adjustment Surface'!$AN$27:$AN$46,1)+IF('Adjustment Surface'!$O30="",-1,1))-'Adjustment Surface'!$O29)*(INDEX('Adjustment Surface'!$AO$26:$BH$26,1,MATCH(('Adjustment Surface'!Q$26),'Adjustment Surface'!$AO$26:$BH$26,1)+IF('Adjustment Surface'!R$26="",-1,1))-'Adjustment Surface'!Q$26)+INDEX($AO$27:$BH$46,MATCH(INDEX('Adjustment Surface'!$AN$27:$AN$46,MATCH(('Adjustment Surface'!$O29),'Adjustment Surface'!$AN$27:$AN$46,1)+IF('Adjustment Surface'!$O30="",-1,1)),$AN$27:$AN$46,0),MATCH(INDEX('Adjustment Surface'!$AO$26:$BH$26,1,MATCH(('Adjustment Surface'!Q$26),'Adjustment Surface'!$AO$26:$BH$26,1)),$AO$26:$BH$26,0))*('Adjustment Surface'!$O29-INDEX('Adjustment Surface'!$AN$27:$AN$46,MATCH(('Adjustment Surface'!$O29),'Adjustment Surface'!$AN$27:$AN$46,1)))*(INDEX('Adjustment Surface'!$AO$26:$BH$26,1,MATCH(('Adjustment Surface'!Q$26),'Adjustment Surface'!$AO$26:$BH$26,1)+IF('Adjustment Surface'!R$26="",-1,1))-'Adjustment Surface'!Q$26)+INDEX($AO$27:$BH$46,MATCH(INDEX('Adjustment Surface'!$AN$27:$AN$46,MATCH(('Adjustment Surface'!$O29),'Adjustment Surface'!$AN$27:$AN$46,1)),$AN$27:$AN$46,0),MATCH(INDEX('Adjustment Surface'!$AO$26:$BH$26,1,MATCH(('Adjustment Surface'!Q$26),'Adjustment Surface'!$AO$26:$BH$26,1)+IF('Adjustment Surface'!R$26="",-1,1)),$AO$26:$BH$26,0))*(INDEX('Adjustment Surface'!$AN$27:$AN$46,MATCH(('Adjustment Surface'!$O29),'Adjustment Surface'!$AN$27:$AN$46,1)+IF('Adjustment Surface'!$O30="",-1,1))-'Adjustment Surface'!$O29)*('Adjustment Surface'!Q$26-INDEX('Adjustment Surface'!$AO$26:$BH$26,1,MATCH(('Adjustment Surface'!Q$26),'Adjustment Surface'!$AO$26:$BH$26,1)))+INDEX($AO$27:$BH$46,MATCH(INDEX('Adjustment Surface'!$AN$27:$AN$46,MATCH(('Adjustment Surface'!$O29),'Adjustment Surface'!$AN$27:$AN$46,1)+IF('Adjustment Surface'!$O30="",-1,1)),$AN$27:$AN$46,0),MATCH(INDEX('Adjustment Surface'!$AO$26:$BH$26,1,MATCH(('Adjustment Surface'!Q$26),'Adjustment Surface'!$AO$26:$BH$26,1)+IF('Adjustment Surface'!R$26="",-1,1)),$AO$26:$BH$26,0))*('Adjustment Surface'!$O29-INDEX('Adjustment Surface'!$AN$27:$AN$46,MATCH(('Adjustment Surface'!$O29),'Adjustment Surface'!$AN$27:$AN$46,1)))*('Adjustment Surface'!Q$26-INDEX('Adjustment Surface'!$AO$26:$BH$26,1,MATCH(('Adjustment Surface'!Q$26),'Adjustment Surface'!$AO$26:$BH$26,1)))))</f>
        <v>0.1198154793247362</v>
      </c>
      <c r="R29" s="193" cm="1">
        <f t="array" ref="R29">IF(OR(R$26="",$O29=""),"",1/((INDEX('Adjustment Surface'!$AN$27:$AN$46,MATCH(('Adjustment Surface'!$O29),'Adjustment Surface'!$AN$27:$AN$46,1)+IF('Adjustment Surface'!$O30="",-1,1))-INDEX('Adjustment Surface'!$AN$27:$AN$46,MATCH(('Adjustment Surface'!$O29),'Adjustment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Surface'!$O29),'Adjustment Surface'!$AN$27:$AN$46,1)),$AN$27:$AN$46,0),MATCH(INDEX('Adjustment Surface'!$AO$26:$BH$26,1,MATCH(('Adjustment Surface'!R$26),'Adjustment Surface'!$AO$26:$BH$26,1)),$AO$26:$BH$26,0))*(INDEX('Adjustment Surface'!$AN$27:$AN$46,MATCH(('Adjustment Surface'!$O29),'Adjustment Surface'!$AN$27:$AN$46,1)+IF('Adjustment Surface'!$O30="",-1,1))-'Adjustment Surface'!$O29)*(INDEX('Adjustment Surface'!$AO$26:$BH$26,1,MATCH(('Adjustment Surface'!R$26),'Adjustment Surface'!$AO$26:$BH$26,1)+IF('Adjustment Surface'!S$26="",-1,1))-'Adjustment Surface'!R$26)+INDEX($AO$27:$BH$46,MATCH(INDEX('Adjustment Surface'!$AN$27:$AN$46,MATCH(('Adjustment Surface'!$O29),'Adjustment Surface'!$AN$27:$AN$46,1)+IF('Adjustment Surface'!$O30="",-1,1)),$AN$27:$AN$46,0),MATCH(INDEX('Adjustment Surface'!$AO$26:$BH$26,1,MATCH(('Adjustment Surface'!R$26),'Adjustment Surface'!$AO$26:$BH$26,1)),$AO$26:$BH$26,0))*('Adjustment Surface'!$O29-INDEX('Adjustment Surface'!$AN$27:$AN$46,MATCH(('Adjustment Surface'!$O29),'Adjustment Surface'!$AN$27:$AN$46,1)))*(INDEX('Adjustment Surface'!$AO$26:$BH$26,1,MATCH(('Adjustment Surface'!R$26),'Adjustment Surface'!$AO$26:$BH$26,1)+IF('Adjustment Surface'!S$26="",-1,1))-'Adjustment Surface'!R$26)+INDEX($AO$27:$BH$46,MATCH(INDEX('Adjustment Surface'!$AN$27:$AN$46,MATCH(('Adjustment Surface'!$O29),'Adjustment Surface'!$AN$27:$AN$46,1)),$AN$27:$AN$46,0),MATCH(INDEX('Adjustment Surface'!$AO$26:$BH$26,1,MATCH(('Adjustment Surface'!R$26),'Adjustment Surface'!$AO$26:$BH$26,1)+IF('Adjustment Surface'!S$26="",-1,1)),$AO$26:$BH$26,0))*(INDEX('Adjustment Surface'!$AN$27:$AN$46,MATCH(('Adjustment Surface'!$O29),'Adjustment Surface'!$AN$27:$AN$46,1)+IF('Adjustment Surface'!$O30="",-1,1))-'Adjustment Surface'!$O29)*('Adjustment Surface'!R$26-INDEX('Adjustment Surface'!$AO$26:$BH$26,1,MATCH(('Adjustment Surface'!R$26),'Adjustment Surface'!$AO$26:$BH$26,1)))+INDEX($AO$27:$BH$46,MATCH(INDEX('Adjustment Surface'!$AN$27:$AN$46,MATCH(('Adjustment Surface'!$O29),'Adjustment Surface'!$AN$27:$AN$46,1)+IF('Adjustment Surface'!$O30="",-1,1)),$AN$27:$AN$46,0),MATCH(INDEX('Adjustment Surface'!$AO$26:$BH$26,1,MATCH(('Adjustment Surface'!R$26),'Adjustment Surface'!$AO$26:$BH$26,1)+IF('Adjustment Surface'!S$26="",-1,1)),$AO$26:$BH$26,0))*('Adjustment Surface'!$O29-INDEX('Adjustment Surface'!$AN$27:$AN$46,MATCH(('Adjustment Surface'!$O29),'Adjustment Surface'!$AN$27:$AN$46,1)))*('Adjustment Surface'!R$26-INDEX('Adjustment Surface'!$AO$26:$BH$26,1,MATCH(('Adjustment Surface'!R$26),'Adjustment Surface'!$AO$26:$BH$26,1)))))</f>
        <v>0.12972487682257811</v>
      </c>
      <c r="S29" s="193" cm="1">
        <f t="array" ref="S29">IF(OR(S$26="",$O29=""),"",1/((INDEX('Adjustment Surface'!$AN$27:$AN$46,MATCH(('Adjustment Surface'!$O29),'Adjustment Surface'!$AN$27:$AN$46,1)+IF('Adjustment Surface'!$O30="",-1,1))-INDEX('Adjustment Surface'!$AN$27:$AN$46,MATCH(('Adjustment Surface'!$O29),'Adjustment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Surface'!$O29),'Adjustment Surface'!$AN$27:$AN$46,1)),$AN$27:$AN$46,0),MATCH(INDEX('Adjustment Surface'!$AO$26:$BH$26,1,MATCH(('Adjustment Surface'!S$26),'Adjustment Surface'!$AO$26:$BH$26,1)),$AO$26:$BH$26,0))*(INDEX('Adjustment Surface'!$AN$27:$AN$46,MATCH(('Adjustment Surface'!$O29),'Adjustment Surface'!$AN$27:$AN$46,1)+IF('Adjustment Surface'!$O30="",-1,1))-'Adjustment Surface'!$O29)*(INDEX('Adjustment Surface'!$AO$26:$BH$26,1,MATCH(('Adjustment Surface'!S$26),'Adjustment Surface'!$AO$26:$BH$26,1)+IF('Adjustment Surface'!T$26="",-1,1))-'Adjustment Surface'!S$26)+INDEX($AO$27:$BH$46,MATCH(INDEX('Adjustment Surface'!$AN$27:$AN$46,MATCH(('Adjustment Surface'!$O29),'Adjustment Surface'!$AN$27:$AN$46,1)+IF('Adjustment Surface'!$O30="",-1,1)),$AN$27:$AN$46,0),MATCH(INDEX('Adjustment Surface'!$AO$26:$BH$26,1,MATCH(('Adjustment Surface'!S$26),'Adjustment Surface'!$AO$26:$BH$26,1)),$AO$26:$BH$26,0))*('Adjustment Surface'!$O29-INDEX('Adjustment Surface'!$AN$27:$AN$46,MATCH(('Adjustment Surface'!$O29),'Adjustment Surface'!$AN$27:$AN$46,1)))*(INDEX('Adjustment Surface'!$AO$26:$BH$26,1,MATCH(('Adjustment Surface'!S$26),'Adjustment Surface'!$AO$26:$BH$26,1)+IF('Adjustment Surface'!T$26="",-1,1))-'Adjustment Surface'!S$26)+INDEX($AO$27:$BH$46,MATCH(INDEX('Adjustment Surface'!$AN$27:$AN$46,MATCH(('Adjustment Surface'!$O29),'Adjustment Surface'!$AN$27:$AN$46,1)),$AN$27:$AN$46,0),MATCH(INDEX('Adjustment Surface'!$AO$26:$BH$26,1,MATCH(('Adjustment Surface'!S$26),'Adjustment Surface'!$AO$26:$BH$26,1)+IF('Adjustment Surface'!T$26="",-1,1)),$AO$26:$BH$26,0))*(INDEX('Adjustment Surface'!$AN$27:$AN$46,MATCH(('Adjustment Surface'!$O29),'Adjustment Surface'!$AN$27:$AN$46,1)+IF('Adjustment Surface'!$O30="",-1,1))-'Adjustment Surface'!$O29)*('Adjustment Surface'!S$26-INDEX('Adjustment Surface'!$AO$26:$BH$26,1,MATCH(('Adjustment Surface'!S$26),'Adjustment Surface'!$AO$26:$BH$26,1)))+INDEX($AO$27:$BH$46,MATCH(INDEX('Adjustment Surface'!$AN$27:$AN$46,MATCH(('Adjustment Surface'!$O29),'Adjustment Surface'!$AN$27:$AN$46,1)+IF('Adjustment Surface'!$O30="",-1,1)),$AN$27:$AN$46,0),MATCH(INDEX('Adjustment Surface'!$AO$26:$BH$26,1,MATCH(('Adjustment Surface'!S$26),'Adjustment Surface'!$AO$26:$BH$26,1)+IF('Adjustment Surface'!T$26="",-1,1)),$AO$26:$BH$26,0))*('Adjustment Surface'!$O29-INDEX('Adjustment Surface'!$AN$27:$AN$46,MATCH(('Adjustment Surface'!$O29),'Adjustment Surface'!$AN$27:$AN$46,1)))*('Adjustment Surface'!S$26-INDEX('Adjustment Surface'!$AO$26:$BH$26,1,MATCH(('Adjustment Surface'!S$26),'Adjustment Surface'!$AO$26:$BH$26,1)))))</f>
        <v>0.13963427432042005</v>
      </c>
      <c r="T29" s="193" cm="1">
        <f t="array" ref="T29">IF(OR(T$26="",$O29=""),"",1/((INDEX('Adjustment Surface'!$AN$27:$AN$46,MATCH(('Adjustment Surface'!$O29),'Adjustment Surface'!$AN$27:$AN$46,1)+IF('Adjustment Surface'!$O30="",-1,1))-INDEX('Adjustment Surface'!$AN$27:$AN$46,MATCH(('Adjustment Surface'!$O29),'Adjustment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Surface'!$O29),'Adjustment Surface'!$AN$27:$AN$46,1)),$AN$27:$AN$46,0),MATCH(INDEX('Adjustment Surface'!$AO$26:$BH$26,1,MATCH(('Adjustment Surface'!T$26),'Adjustment Surface'!$AO$26:$BH$26,1)),$AO$26:$BH$26,0))*(INDEX('Adjustment Surface'!$AN$27:$AN$46,MATCH(('Adjustment Surface'!$O29),'Adjustment Surface'!$AN$27:$AN$46,1)+IF('Adjustment Surface'!$O30="",-1,1))-'Adjustment Surface'!$O29)*(INDEX('Adjustment Surface'!$AO$26:$BH$26,1,MATCH(('Adjustment Surface'!T$26),'Adjustment Surface'!$AO$26:$BH$26,1)+IF('Adjustment Surface'!U$26="",-1,1))-'Adjustment Surface'!T$26)+INDEX($AO$27:$BH$46,MATCH(INDEX('Adjustment Surface'!$AN$27:$AN$46,MATCH(('Adjustment Surface'!$O29),'Adjustment Surface'!$AN$27:$AN$46,1)+IF('Adjustment Surface'!$O30="",-1,1)),$AN$27:$AN$46,0),MATCH(INDEX('Adjustment Surface'!$AO$26:$BH$26,1,MATCH(('Adjustment Surface'!T$26),'Adjustment Surface'!$AO$26:$BH$26,1)),$AO$26:$BH$26,0))*('Adjustment Surface'!$O29-INDEX('Adjustment Surface'!$AN$27:$AN$46,MATCH(('Adjustment Surface'!$O29),'Adjustment Surface'!$AN$27:$AN$46,1)))*(INDEX('Adjustment Surface'!$AO$26:$BH$26,1,MATCH(('Adjustment Surface'!T$26),'Adjustment Surface'!$AO$26:$BH$26,1)+IF('Adjustment Surface'!U$26="",-1,1))-'Adjustment Surface'!T$26)+INDEX($AO$27:$BH$46,MATCH(INDEX('Adjustment Surface'!$AN$27:$AN$46,MATCH(('Adjustment Surface'!$O29),'Adjustment Surface'!$AN$27:$AN$46,1)),$AN$27:$AN$46,0),MATCH(INDEX('Adjustment Surface'!$AO$26:$BH$26,1,MATCH(('Adjustment Surface'!T$26),'Adjustment Surface'!$AO$26:$BH$26,1)+IF('Adjustment Surface'!U$26="",-1,1)),$AO$26:$BH$26,0))*(INDEX('Adjustment Surface'!$AN$27:$AN$46,MATCH(('Adjustment Surface'!$O29),'Adjustment Surface'!$AN$27:$AN$46,1)+IF('Adjustment Surface'!$O30="",-1,1))-'Adjustment Surface'!$O29)*('Adjustment Surface'!T$26-INDEX('Adjustment Surface'!$AO$26:$BH$26,1,MATCH(('Adjustment Surface'!T$26),'Adjustment Surface'!$AO$26:$BH$26,1)))+INDEX($AO$27:$BH$46,MATCH(INDEX('Adjustment Surface'!$AN$27:$AN$46,MATCH(('Adjustment Surface'!$O29),'Adjustment Surface'!$AN$27:$AN$46,1)+IF('Adjustment Surface'!$O30="",-1,1)),$AN$27:$AN$46,0),MATCH(INDEX('Adjustment Surface'!$AO$26:$BH$26,1,MATCH(('Adjustment Surface'!T$26),'Adjustment Surface'!$AO$26:$BH$26,1)+IF('Adjustment Surface'!U$26="",-1,1)),$AO$26:$BH$26,0))*('Adjustment Surface'!$O29-INDEX('Adjustment Surface'!$AN$27:$AN$46,MATCH(('Adjustment Surface'!$O29),'Adjustment Surface'!$AN$27:$AN$46,1)))*('Adjustment Surface'!T$26-INDEX('Adjustment Surface'!$AO$26:$BH$26,1,MATCH(('Adjustment Surface'!T$26),'Adjustment Surface'!$AO$26:$BH$26,1)))))</f>
        <v>0.149543671818262</v>
      </c>
      <c r="U29" s="193" cm="1">
        <f t="array" ref="U29">IF(OR(U$26="",$O29=""),"",1/((INDEX('Adjustment Surface'!$AN$27:$AN$46,MATCH(('Adjustment Surface'!$O29),'Adjustment Surface'!$AN$27:$AN$46,1)+IF('Adjustment Surface'!$O30="",-1,1))-INDEX('Adjustment Surface'!$AN$27:$AN$46,MATCH(('Adjustment Surface'!$O29),'Adjustment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Surface'!$O29),'Adjustment Surface'!$AN$27:$AN$46,1)),$AN$27:$AN$46,0),MATCH(INDEX('Adjustment Surface'!$AO$26:$BH$26,1,MATCH(('Adjustment Surface'!U$26),'Adjustment Surface'!$AO$26:$BH$26,1)),$AO$26:$BH$26,0))*(INDEX('Adjustment Surface'!$AN$27:$AN$46,MATCH(('Adjustment Surface'!$O29),'Adjustment Surface'!$AN$27:$AN$46,1)+IF('Adjustment Surface'!$O30="",-1,1))-'Adjustment Surface'!$O29)*(INDEX('Adjustment Surface'!$AO$26:$BH$26,1,MATCH(('Adjustment Surface'!U$26),'Adjustment Surface'!$AO$26:$BH$26,1)+IF('Adjustment Surface'!V$26="",-1,1))-'Adjustment Surface'!U$26)+INDEX($AO$27:$BH$46,MATCH(INDEX('Adjustment Surface'!$AN$27:$AN$46,MATCH(('Adjustment Surface'!$O29),'Adjustment Surface'!$AN$27:$AN$46,1)+IF('Adjustment Surface'!$O30="",-1,1)),$AN$27:$AN$46,0),MATCH(INDEX('Adjustment Surface'!$AO$26:$BH$26,1,MATCH(('Adjustment Surface'!U$26),'Adjustment Surface'!$AO$26:$BH$26,1)),$AO$26:$BH$26,0))*('Adjustment Surface'!$O29-INDEX('Adjustment Surface'!$AN$27:$AN$46,MATCH(('Adjustment Surface'!$O29),'Adjustment Surface'!$AN$27:$AN$46,1)))*(INDEX('Adjustment Surface'!$AO$26:$BH$26,1,MATCH(('Adjustment Surface'!U$26),'Adjustment Surface'!$AO$26:$BH$26,1)+IF('Adjustment Surface'!V$26="",-1,1))-'Adjustment Surface'!U$26)+INDEX($AO$27:$BH$46,MATCH(INDEX('Adjustment Surface'!$AN$27:$AN$46,MATCH(('Adjustment Surface'!$O29),'Adjustment Surface'!$AN$27:$AN$46,1)),$AN$27:$AN$46,0),MATCH(INDEX('Adjustment Surface'!$AO$26:$BH$26,1,MATCH(('Adjustment Surface'!U$26),'Adjustment Surface'!$AO$26:$BH$26,1)+IF('Adjustment Surface'!V$26="",-1,1)),$AO$26:$BH$26,0))*(INDEX('Adjustment Surface'!$AN$27:$AN$46,MATCH(('Adjustment Surface'!$O29),'Adjustment Surface'!$AN$27:$AN$46,1)+IF('Adjustment Surface'!$O30="",-1,1))-'Adjustment Surface'!$O29)*('Adjustment Surface'!U$26-INDEX('Adjustment Surface'!$AO$26:$BH$26,1,MATCH(('Adjustment Surface'!U$26),'Adjustment Surface'!$AO$26:$BH$26,1)))+INDEX($AO$27:$BH$46,MATCH(INDEX('Adjustment Surface'!$AN$27:$AN$46,MATCH(('Adjustment Surface'!$O29),'Adjustment Surface'!$AN$27:$AN$46,1)+IF('Adjustment Surface'!$O30="",-1,1)),$AN$27:$AN$46,0),MATCH(INDEX('Adjustment Surface'!$AO$26:$BH$26,1,MATCH(('Adjustment Surface'!U$26),'Adjustment Surface'!$AO$26:$BH$26,1)+IF('Adjustment Surface'!V$26="",-1,1)),$AO$26:$BH$26,0))*('Adjustment Surface'!$O29-INDEX('Adjustment Surface'!$AN$27:$AN$46,MATCH(('Adjustment Surface'!$O29),'Adjustment Surface'!$AN$27:$AN$46,1)))*('Adjustment Surface'!U$26-INDEX('Adjustment Surface'!$AO$26:$BH$26,1,MATCH(('Adjustment Surface'!U$26),'Adjustment Surface'!$AO$26:$BH$26,1)))))</f>
        <v>0.1272478901194328</v>
      </c>
      <c r="V29" s="193" cm="1">
        <f t="array" ref="V29">IF(OR(V$26="",$O29=""),"",1/((INDEX('Adjustment Surface'!$AN$27:$AN$46,MATCH(('Adjustment Surface'!$O29),'Adjustment Surface'!$AN$27:$AN$46,1)+IF('Adjustment Surface'!$O30="",-1,1))-INDEX('Adjustment Surface'!$AN$27:$AN$46,MATCH(('Adjustment Surface'!$O29),'Adjustment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Surface'!$O29),'Adjustment Surface'!$AN$27:$AN$46,1)),$AN$27:$AN$46,0),MATCH(INDEX('Adjustment Surface'!$AO$26:$BH$26,1,MATCH(('Adjustment Surface'!V$26),'Adjustment Surface'!$AO$26:$BH$26,1)),$AO$26:$BH$26,0))*(INDEX('Adjustment Surface'!$AN$27:$AN$46,MATCH(('Adjustment Surface'!$O29),'Adjustment Surface'!$AN$27:$AN$46,1)+IF('Adjustment Surface'!$O30="",-1,1))-'Adjustment Surface'!$O29)*(INDEX('Adjustment Surface'!$AO$26:$BH$26,1,MATCH(('Adjustment Surface'!V$26),'Adjustment Surface'!$AO$26:$BH$26,1)+IF('Adjustment Surface'!W$26="",-1,1))-'Adjustment Surface'!V$26)+INDEX($AO$27:$BH$46,MATCH(INDEX('Adjustment Surface'!$AN$27:$AN$46,MATCH(('Adjustment Surface'!$O29),'Adjustment Surface'!$AN$27:$AN$46,1)+IF('Adjustment Surface'!$O30="",-1,1)),$AN$27:$AN$46,0),MATCH(INDEX('Adjustment Surface'!$AO$26:$BH$26,1,MATCH(('Adjustment Surface'!V$26),'Adjustment Surface'!$AO$26:$BH$26,1)),$AO$26:$BH$26,0))*('Adjustment Surface'!$O29-INDEX('Adjustment Surface'!$AN$27:$AN$46,MATCH(('Adjustment Surface'!$O29),'Adjustment Surface'!$AN$27:$AN$46,1)))*(INDEX('Adjustment Surface'!$AO$26:$BH$26,1,MATCH(('Adjustment Surface'!V$26),'Adjustment Surface'!$AO$26:$BH$26,1)+IF('Adjustment Surface'!W$26="",-1,1))-'Adjustment Surface'!V$26)+INDEX($AO$27:$BH$46,MATCH(INDEX('Adjustment Surface'!$AN$27:$AN$46,MATCH(('Adjustment Surface'!$O29),'Adjustment Surface'!$AN$27:$AN$46,1)),$AN$27:$AN$46,0),MATCH(INDEX('Adjustment Surface'!$AO$26:$BH$26,1,MATCH(('Adjustment Surface'!V$26),'Adjustment Surface'!$AO$26:$BH$26,1)+IF('Adjustment Surface'!W$26="",-1,1)),$AO$26:$BH$26,0))*(INDEX('Adjustment Surface'!$AN$27:$AN$46,MATCH(('Adjustment Surface'!$O29),'Adjustment Surface'!$AN$27:$AN$46,1)+IF('Adjustment Surface'!$O30="",-1,1))-'Adjustment Surface'!$O29)*('Adjustment Surface'!V$26-INDEX('Adjustment Surface'!$AO$26:$BH$26,1,MATCH(('Adjustment Surface'!V$26),'Adjustment Surface'!$AO$26:$BH$26,1)))+INDEX($AO$27:$BH$46,MATCH(INDEX('Adjustment Surface'!$AN$27:$AN$46,MATCH(('Adjustment Surface'!$O29),'Adjustment Surface'!$AN$27:$AN$46,1)+IF('Adjustment Surface'!$O30="",-1,1)),$AN$27:$AN$46,0),MATCH(INDEX('Adjustment Surface'!$AO$26:$BH$26,1,MATCH(('Adjustment Surface'!V$26),'Adjustment Surface'!$AO$26:$BH$26,1)+IF('Adjustment Surface'!W$26="",-1,1)),$AO$26:$BH$26,0))*('Adjustment Surface'!$O29-INDEX('Adjustment Surface'!$AN$27:$AN$46,MATCH(('Adjustment Surface'!$O29),'Adjustment Surface'!$AN$27:$AN$46,1)))*('Adjustment Surface'!V$26-INDEX('Adjustment Surface'!$AO$26:$BH$26,1,MATCH(('Adjustment Surface'!V$26),'Adjustment Surface'!$AO$26:$BH$26,1)))))</f>
        <v>0.1044566466050741</v>
      </c>
      <c r="W29" s="193" cm="1">
        <f t="array" ref="W29">IF(OR(W$26="",$O29=""),"",1/((INDEX('Adjustment Surface'!$AN$27:$AN$46,MATCH(('Adjustment Surface'!$O29),'Adjustment Surface'!$AN$27:$AN$46,1)+IF('Adjustment Surface'!$O30="",-1,1))-INDEX('Adjustment Surface'!$AN$27:$AN$46,MATCH(('Adjustment Surface'!$O29),'Adjustment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Surface'!$O29),'Adjustment Surface'!$AN$27:$AN$46,1)),$AN$27:$AN$46,0),MATCH(INDEX('Adjustment Surface'!$AO$26:$BH$26,1,MATCH(('Adjustment Surface'!W$26),'Adjustment Surface'!$AO$26:$BH$26,1)),$AO$26:$BH$26,0))*(INDEX('Adjustment Surface'!$AN$27:$AN$46,MATCH(('Adjustment Surface'!$O29),'Adjustment Surface'!$AN$27:$AN$46,1)+IF('Adjustment Surface'!$O30="",-1,1))-'Adjustment Surface'!$O29)*(INDEX('Adjustment Surface'!$AO$26:$BH$26,1,MATCH(('Adjustment Surface'!W$26),'Adjustment Surface'!$AO$26:$BH$26,1)+IF('Adjustment Surface'!X$26="",-1,1))-'Adjustment Surface'!W$26)+INDEX($AO$27:$BH$46,MATCH(INDEX('Adjustment Surface'!$AN$27:$AN$46,MATCH(('Adjustment Surface'!$O29),'Adjustment Surface'!$AN$27:$AN$46,1)+IF('Adjustment Surface'!$O30="",-1,1)),$AN$27:$AN$46,0),MATCH(INDEX('Adjustment Surface'!$AO$26:$BH$26,1,MATCH(('Adjustment Surface'!W$26),'Adjustment Surface'!$AO$26:$BH$26,1)),$AO$26:$BH$26,0))*('Adjustment Surface'!$O29-INDEX('Adjustment Surface'!$AN$27:$AN$46,MATCH(('Adjustment Surface'!$O29),'Adjustment Surface'!$AN$27:$AN$46,1)))*(INDEX('Adjustment Surface'!$AO$26:$BH$26,1,MATCH(('Adjustment Surface'!W$26),'Adjustment Surface'!$AO$26:$BH$26,1)+IF('Adjustment Surface'!X$26="",-1,1))-'Adjustment Surface'!W$26)+INDEX($AO$27:$BH$46,MATCH(INDEX('Adjustment Surface'!$AN$27:$AN$46,MATCH(('Adjustment Surface'!$O29),'Adjustment Surface'!$AN$27:$AN$46,1)),$AN$27:$AN$46,0),MATCH(INDEX('Adjustment Surface'!$AO$26:$BH$26,1,MATCH(('Adjustment Surface'!W$26),'Adjustment Surface'!$AO$26:$BH$26,1)+IF('Adjustment Surface'!X$26="",-1,1)),$AO$26:$BH$26,0))*(INDEX('Adjustment Surface'!$AN$27:$AN$46,MATCH(('Adjustment Surface'!$O29),'Adjustment Surface'!$AN$27:$AN$46,1)+IF('Adjustment Surface'!$O30="",-1,1))-'Adjustment Surface'!$O29)*('Adjustment Surface'!W$26-INDEX('Adjustment Surface'!$AO$26:$BH$26,1,MATCH(('Adjustment Surface'!W$26),'Adjustment Surface'!$AO$26:$BH$26,1)))+INDEX($AO$27:$BH$46,MATCH(INDEX('Adjustment Surface'!$AN$27:$AN$46,MATCH(('Adjustment Surface'!$O29),'Adjustment Surface'!$AN$27:$AN$46,1)+IF('Adjustment Surface'!$O30="",-1,1)),$AN$27:$AN$46,0),MATCH(INDEX('Adjustment Surface'!$AO$26:$BH$26,1,MATCH(('Adjustment Surface'!W$26),'Adjustment Surface'!$AO$26:$BH$26,1)+IF('Adjustment Surface'!X$26="",-1,1)),$AO$26:$BH$26,0))*('Adjustment Surface'!$O29-INDEX('Adjustment Surface'!$AN$27:$AN$46,MATCH(('Adjustment Surface'!$O29),'Adjustment Surface'!$AN$27:$AN$46,1)))*('Adjustment Surface'!W$26-INDEX('Adjustment Surface'!$AO$26:$BH$26,1,MATCH(('Adjustment Surface'!W$26),'Adjustment Surface'!$AO$26:$BH$26,1)))))</f>
        <v>8.1665403090715377E-2</v>
      </c>
      <c r="X29" s="193" cm="1">
        <f t="array" ref="X29">IF(OR(X$26="",$O29=""),"",1/((INDEX('Adjustment Surface'!$AN$27:$AN$46,MATCH(('Adjustment Surface'!$O29),'Adjustment Surface'!$AN$27:$AN$46,1)+IF('Adjustment Surface'!$O30="",-1,1))-INDEX('Adjustment Surface'!$AN$27:$AN$46,MATCH(('Adjustment Surface'!$O29),'Adjustment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Surface'!$O29),'Adjustment Surface'!$AN$27:$AN$46,1)),$AN$27:$AN$46,0),MATCH(INDEX('Adjustment Surface'!$AO$26:$BH$26,1,MATCH(('Adjustment Surface'!X$26),'Adjustment Surface'!$AO$26:$BH$26,1)),$AO$26:$BH$26,0))*(INDEX('Adjustment Surface'!$AN$27:$AN$46,MATCH(('Adjustment Surface'!$O29),'Adjustment Surface'!$AN$27:$AN$46,1)+IF('Adjustment Surface'!$O30="",-1,1))-'Adjustment Surface'!$O29)*(INDEX('Adjustment Surface'!$AO$26:$BH$26,1,MATCH(('Adjustment Surface'!X$26),'Adjustment Surface'!$AO$26:$BH$26,1)+IF('Adjustment Surface'!Y$26="",-1,1))-'Adjustment Surface'!X$26)+INDEX($AO$27:$BH$46,MATCH(INDEX('Adjustment Surface'!$AN$27:$AN$46,MATCH(('Adjustment Surface'!$O29),'Adjustment Surface'!$AN$27:$AN$46,1)+IF('Adjustment Surface'!$O30="",-1,1)),$AN$27:$AN$46,0),MATCH(INDEX('Adjustment Surface'!$AO$26:$BH$26,1,MATCH(('Adjustment Surface'!X$26),'Adjustment Surface'!$AO$26:$BH$26,1)),$AO$26:$BH$26,0))*('Adjustment Surface'!$O29-INDEX('Adjustment Surface'!$AN$27:$AN$46,MATCH(('Adjustment Surface'!$O29),'Adjustment Surface'!$AN$27:$AN$46,1)))*(INDEX('Adjustment Surface'!$AO$26:$BH$26,1,MATCH(('Adjustment Surface'!X$26),'Adjustment Surface'!$AO$26:$BH$26,1)+IF('Adjustment Surface'!Y$26="",-1,1))-'Adjustment Surface'!X$26)+INDEX($AO$27:$BH$46,MATCH(INDEX('Adjustment Surface'!$AN$27:$AN$46,MATCH(('Adjustment Surface'!$O29),'Adjustment Surface'!$AN$27:$AN$46,1)),$AN$27:$AN$46,0),MATCH(INDEX('Adjustment Surface'!$AO$26:$BH$26,1,MATCH(('Adjustment Surface'!X$26),'Adjustment Surface'!$AO$26:$BH$26,1)+IF('Adjustment Surface'!Y$26="",-1,1)),$AO$26:$BH$26,0))*(INDEX('Adjustment Surface'!$AN$27:$AN$46,MATCH(('Adjustment Surface'!$O29),'Adjustment Surface'!$AN$27:$AN$46,1)+IF('Adjustment Surface'!$O30="",-1,1))-'Adjustment Surface'!$O29)*('Adjustment Surface'!X$26-INDEX('Adjustment Surface'!$AO$26:$BH$26,1,MATCH(('Adjustment Surface'!X$26),'Adjustment Surface'!$AO$26:$BH$26,1)))+INDEX($AO$27:$BH$46,MATCH(INDEX('Adjustment Surface'!$AN$27:$AN$46,MATCH(('Adjustment Surface'!$O29),'Adjustment Surface'!$AN$27:$AN$46,1)+IF('Adjustment Surface'!$O30="",-1,1)),$AN$27:$AN$46,0),MATCH(INDEX('Adjustment Surface'!$AO$26:$BH$26,1,MATCH(('Adjustment Surface'!X$26),'Adjustment Surface'!$AO$26:$BH$26,1)+IF('Adjustment Surface'!Y$26="",-1,1)),$AO$26:$BH$26,0))*('Adjustment Surface'!$O29-INDEX('Adjustment Surface'!$AN$27:$AN$46,MATCH(('Adjustment Surface'!$O29),'Adjustment Surface'!$AN$27:$AN$46,1)))*('Adjustment Surface'!X$26-INDEX('Adjustment Surface'!$AO$26:$BH$26,1,MATCH(('Adjustment Surface'!X$26),'Adjustment Surface'!$AO$26:$BH$26,1)))))</f>
        <v>5.8874159576356659E-2</v>
      </c>
      <c r="Y29" s="193" t="str" cm="1">
        <f t="array" ref="Y29">IF(OR(Y$26="",$O29=""),"",1/((INDEX('Adjustment Surface'!$AN$27:$AN$46,MATCH(('Adjustment Surface'!$O29),'Adjustment Surface'!$AN$27:$AN$46,1)+IF('Adjustment Surface'!$O30="",-1,1))-INDEX('Adjustment Surface'!$AN$27:$AN$46,MATCH(('Adjustment Surface'!$O29),'Adjustment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Surface'!$O29),'Adjustment Surface'!$AN$27:$AN$46,1)),$AN$27:$AN$46,0),MATCH(INDEX('Adjustment Surface'!$AO$26:$BH$26,1,MATCH(('Adjustment Surface'!Y$26),'Adjustment Surface'!$AO$26:$BH$26,1)),$AO$26:$BH$26,0))*(INDEX('Adjustment Surface'!$AN$27:$AN$46,MATCH(('Adjustment Surface'!$O29),'Adjustment Surface'!$AN$27:$AN$46,1)+IF('Adjustment Surface'!$O30="",-1,1))-'Adjustment Surface'!$O29)*(INDEX('Adjustment Surface'!$AO$26:$BH$26,1,MATCH(('Adjustment Surface'!Y$26),'Adjustment Surface'!$AO$26:$BH$26,1)+IF('Adjustment Surface'!Z$26="",-1,1))-'Adjustment Surface'!Y$26)+INDEX($AO$27:$BH$46,MATCH(INDEX('Adjustment Surface'!$AN$27:$AN$46,MATCH(('Adjustment Surface'!$O29),'Adjustment Surface'!$AN$27:$AN$46,1)+IF('Adjustment Surface'!$O30="",-1,1)),$AN$27:$AN$46,0),MATCH(INDEX('Adjustment Surface'!$AO$26:$BH$26,1,MATCH(('Adjustment Surface'!Y$26),'Adjustment Surface'!$AO$26:$BH$26,1)),$AO$26:$BH$26,0))*('Adjustment Surface'!$O29-INDEX('Adjustment Surface'!$AN$27:$AN$46,MATCH(('Adjustment Surface'!$O29),'Adjustment Surface'!$AN$27:$AN$46,1)))*(INDEX('Adjustment Surface'!$AO$26:$BH$26,1,MATCH(('Adjustment Surface'!Y$26),'Adjustment Surface'!$AO$26:$BH$26,1)+IF('Adjustment Surface'!Z$26="",-1,1))-'Adjustment Surface'!Y$26)+INDEX($AO$27:$BH$46,MATCH(INDEX('Adjustment Surface'!$AN$27:$AN$46,MATCH(('Adjustment Surface'!$O29),'Adjustment Surface'!$AN$27:$AN$46,1)),$AN$27:$AN$46,0),MATCH(INDEX('Adjustment Surface'!$AO$26:$BH$26,1,MATCH(('Adjustment Surface'!Y$26),'Adjustment Surface'!$AO$26:$BH$26,1)+IF('Adjustment Surface'!Z$26="",-1,1)),$AO$26:$BH$26,0))*(INDEX('Adjustment Surface'!$AN$27:$AN$46,MATCH(('Adjustment Surface'!$O29),'Adjustment Surface'!$AN$27:$AN$46,1)+IF('Adjustment Surface'!$O30="",-1,1))-'Adjustment Surface'!$O29)*('Adjustment Surface'!Y$26-INDEX('Adjustment Surface'!$AO$26:$BH$26,1,MATCH(('Adjustment Surface'!Y$26),'Adjustment Surface'!$AO$26:$BH$26,1)))+INDEX($AO$27:$BH$46,MATCH(INDEX('Adjustment Surface'!$AN$27:$AN$46,MATCH(('Adjustment Surface'!$O29),'Adjustment Surface'!$AN$27:$AN$46,1)+IF('Adjustment Surface'!$O30="",-1,1)),$AN$27:$AN$46,0),MATCH(INDEX('Adjustment Surface'!$AO$26:$BH$26,1,MATCH(('Adjustment Surface'!Y$26),'Adjustment Surface'!$AO$26:$BH$26,1)+IF('Adjustment Surface'!Z$26="",-1,1)),$AO$26:$BH$26,0))*('Adjustment Surface'!$O29-INDEX('Adjustment Surface'!$AN$27:$AN$46,MATCH(('Adjustment Surface'!$O29),'Adjustment Surface'!$AN$27:$AN$46,1)))*('Adjustment Surface'!Y$26-INDEX('Adjustment Surface'!$AO$26:$BH$26,1,MATCH(('Adjustment Surface'!Y$26),'Adjustment Surface'!$AO$26:$BH$26,1)))))</f>
        <v/>
      </c>
      <c r="Z29" s="193" t="str" cm="1">
        <f t="array" ref="Z29">IF(OR(Z$26="",$O29=""),"",1/((INDEX('Adjustment Surface'!$AN$27:$AN$46,MATCH(('Adjustment Surface'!$O29),'Adjustment Surface'!$AN$27:$AN$46,1)+IF('Adjustment Surface'!$O30="",-1,1))-INDEX('Adjustment Surface'!$AN$27:$AN$46,MATCH(('Adjustment Surface'!$O29),'Adjustment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Surface'!$O29),'Adjustment Surface'!$AN$27:$AN$46,1)),$AN$27:$AN$46,0),MATCH(INDEX('Adjustment Surface'!$AO$26:$BH$26,1,MATCH(('Adjustment Surface'!Z$26),'Adjustment Surface'!$AO$26:$BH$26,1)),$AO$26:$BH$26,0))*(INDEX('Adjustment Surface'!$AN$27:$AN$46,MATCH(('Adjustment Surface'!$O29),'Adjustment Surface'!$AN$27:$AN$46,1)+IF('Adjustment Surface'!$O30="",-1,1))-'Adjustment Surface'!$O29)*(INDEX('Adjustment Surface'!$AO$26:$BH$26,1,MATCH(('Adjustment Surface'!Z$26),'Adjustment Surface'!$AO$26:$BH$26,1)+IF('Adjustment Surface'!AA$26="",-1,1))-'Adjustment Surface'!Z$26)+INDEX($AO$27:$BH$46,MATCH(INDEX('Adjustment Surface'!$AN$27:$AN$46,MATCH(('Adjustment Surface'!$O29),'Adjustment Surface'!$AN$27:$AN$46,1)+IF('Adjustment Surface'!$O30="",-1,1)),$AN$27:$AN$46,0),MATCH(INDEX('Adjustment Surface'!$AO$26:$BH$26,1,MATCH(('Adjustment Surface'!Z$26),'Adjustment Surface'!$AO$26:$BH$26,1)),$AO$26:$BH$26,0))*('Adjustment Surface'!$O29-INDEX('Adjustment Surface'!$AN$27:$AN$46,MATCH(('Adjustment Surface'!$O29),'Adjustment Surface'!$AN$27:$AN$46,1)))*(INDEX('Adjustment Surface'!$AO$26:$BH$26,1,MATCH(('Adjustment Surface'!Z$26),'Adjustment Surface'!$AO$26:$BH$26,1)+IF('Adjustment Surface'!AA$26="",-1,1))-'Adjustment Surface'!Z$26)+INDEX($AO$27:$BH$46,MATCH(INDEX('Adjustment Surface'!$AN$27:$AN$46,MATCH(('Adjustment Surface'!$O29),'Adjustment Surface'!$AN$27:$AN$46,1)),$AN$27:$AN$46,0),MATCH(INDEX('Adjustment Surface'!$AO$26:$BH$26,1,MATCH(('Adjustment Surface'!Z$26),'Adjustment Surface'!$AO$26:$BH$26,1)+IF('Adjustment Surface'!AA$26="",-1,1)),$AO$26:$BH$26,0))*(INDEX('Adjustment Surface'!$AN$27:$AN$46,MATCH(('Adjustment Surface'!$O29),'Adjustment Surface'!$AN$27:$AN$46,1)+IF('Adjustment Surface'!$O30="",-1,1))-'Adjustment Surface'!$O29)*('Adjustment Surface'!Z$26-INDEX('Adjustment Surface'!$AO$26:$BH$26,1,MATCH(('Adjustment Surface'!Z$26),'Adjustment Surface'!$AO$26:$BH$26,1)))+INDEX($AO$27:$BH$46,MATCH(INDEX('Adjustment Surface'!$AN$27:$AN$46,MATCH(('Adjustment Surface'!$O29),'Adjustment Surface'!$AN$27:$AN$46,1)+IF('Adjustment Surface'!$O30="",-1,1)),$AN$27:$AN$46,0),MATCH(INDEX('Adjustment Surface'!$AO$26:$BH$26,1,MATCH(('Adjustment Surface'!Z$26),'Adjustment Surface'!$AO$26:$BH$26,1)+IF('Adjustment Surface'!AA$26="",-1,1)),$AO$26:$BH$26,0))*('Adjustment Surface'!$O29-INDEX('Adjustment Surface'!$AN$27:$AN$46,MATCH(('Adjustment Surface'!$O29),'Adjustment Surface'!$AN$27:$AN$46,1)))*('Adjustment Surface'!Z$26-INDEX('Adjustment Surface'!$AO$26:$BH$26,1,MATCH(('Adjustment Surface'!Z$26),'Adjustment Surface'!$AO$26:$BH$26,1)))))</f>
        <v/>
      </c>
      <c r="AA29" s="193" t="str" cm="1">
        <f t="array" ref="AA29">IF(OR(AA$26="",$O29=""),"",1/((INDEX('Adjustment Surface'!$AN$27:$AN$46,MATCH(('Adjustment Surface'!$O29),'Adjustment Surface'!$AN$27:$AN$46,1)+IF('Adjustment Surface'!$O30="",-1,1))-INDEX('Adjustment Surface'!$AN$27:$AN$46,MATCH(('Adjustment Surface'!$O29),'Adjustment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Surface'!$O29),'Adjustment Surface'!$AN$27:$AN$46,1)),$AN$27:$AN$46,0),MATCH(INDEX('Adjustment Surface'!$AO$26:$BH$26,1,MATCH(('Adjustment Surface'!AA$26),'Adjustment Surface'!$AO$26:$BH$26,1)),$AO$26:$BH$26,0))*(INDEX('Adjustment Surface'!$AN$27:$AN$46,MATCH(('Adjustment Surface'!$O29),'Adjustment Surface'!$AN$27:$AN$46,1)+IF('Adjustment Surface'!$O30="",-1,1))-'Adjustment Surface'!$O29)*(INDEX('Adjustment Surface'!$AO$26:$BH$26,1,MATCH(('Adjustment Surface'!AA$26),'Adjustment Surface'!$AO$26:$BH$26,1)+IF('Adjustment Surface'!AB$26="",-1,1))-'Adjustment Surface'!AA$26)+INDEX($AO$27:$BH$46,MATCH(INDEX('Adjustment Surface'!$AN$27:$AN$46,MATCH(('Adjustment Surface'!$O29),'Adjustment Surface'!$AN$27:$AN$46,1)+IF('Adjustment Surface'!$O30="",-1,1)),$AN$27:$AN$46,0),MATCH(INDEX('Adjustment Surface'!$AO$26:$BH$26,1,MATCH(('Adjustment Surface'!AA$26),'Adjustment Surface'!$AO$26:$BH$26,1)),$AO$26:$BH$26,0))*('Adjustment Surface'!$O29-INDEX('Adjustment Surface'!$AN$27:$AN$46,MATCH(('Adjustment Surface'!$O29),'Adjustment Surface'!$AN$27:$AN$46,1)))*(INDEX('Adjustment Surface'!$AO$26:$BH$26,1,MATCH(('Adjustment Surface'!AA$26),'Adjustment Surface'!$AO$26:$BH$26,1)+IF('Adjustment Surface'!AB$26="",-1,1))-'Adjustment Surface'!AA$26)+INDEX($AO$27:$BH$46,MATCH(INDEX('Adjustment Surface'!$AN$27:$AN$46,MATCH(('Adjustment Surface'!$O29),'Adjustment Surface'!$AN$27:$AN$46,1)),$AN$27:$AN$46,0),MATCH(INDEX('Adjustment Surface'!$AO$26:$BH$26,1,MATCH(('Adjustment Surface'!AA$26),'Adjustment Surface'!$AO$26:$BH$26,1)+IF('Adjustment Surface'!AB$26="",-1,1)),$AO$26:$BH$26,0))*(INDEX('Adjustment Surface'!$AN$27:$AN$46,MATCH(('Adjustment Surface'!$O29),'Adjustment Surface'!$AN$27:$AN$46,1)+IF('Adjustment Surface'!$O30="",-1,1))-'Adjustment Surface'!$O29)*('Adjustment Surface'!AA$26-INDEX('Adjustment Surface'!$AO$26:$BH$26,1,MATCH(('Adjustment Surface'!AA$26),'Adjustment Surface'!$AO$26:$BH$26,1)))+INDEX($AO$27:$BH$46,MATCH(INDEX('Adjustment Surface'!$AN$27:$AN$46,MATCH(('Adjustment Surface'!$O29),'Adjustment Surface'!$AN$27:$AN$46,1)+IF('Adjustment Surface'!$O30="",-1,1)),$AN$27:$AN$46,0),MATCH(INDEX('Adjustment Surface'!$AO$26:$BH$26,1,MATCH(('Adjustment Surface'!AA$26),'Adjustment Surface'!$AO$26:$BH$26,1)+IF('Adjustment Surface'!AB$26="",-1,1)),$AO$26:$BH$26,0))*('Adjustment Surface'!$O29-INDEX('Adjustment Surface'!$AN$27:$AN$46,MATCH(('Adjustment Surface'!$O29),'Adjustment Surface'!$AN$27:$AN$46,1)))*('Adjustment Surface'!AA$26-INDEX('Adjustment Surface'!$AO$26:$BH$26,1,MATCH(('Adjustment Surface'!AA$26),'Adjustment Surface'!$AO$26:$BH$26,1)))))</f>
        <v/>
      </c>
      <c r="AB29" s="193" t="str" cm="1">
        <f t="array" ref="AB29">IF(OR(AB$26="",$O29=""),"",1/((INDEX('Adjustment Surface'!$AN$27:$AN$46,MATCH(('Adjustment Surface'!$O29),'Adjustment Surface'!$AN$27:$AN$46,1)+IF('Adjustment Surface'!$O30="",-1,1))-INDEX('Adjustment Surface'!$AN$27:$AN$46,MATCH(('Adjustment Surface'!$O29),'Adjustment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Surface'!$O29),'Adjustment Surface'!$AN$27:$AN$46,1)),$AN$27:$AN$46,0),MATCH(INDEX('Adjustment Surface'!$AO$26:$BH$26,1,MATCH(('Adjustment Surface'!AB$26),'Adjustment Surface'!$AO$26:$BH$26,1)),$AO$26:$BH$26,0))*(INDEX('Adjustment Surface'!$AN$27:$AN$46,MATCH(('Adjustment Surface'!$O29),'Adjustment Surface'!$AN$27:$AN$46,1)+IF('Adjustment Surface'!$O30="",-1,1))-'Adjustment Surface'!$O29)*(INDEX('Adjustment Surface'!$AO$26:$BH$26,1,MATCH(('Adjustment Surface'!AB$26),'Adjustment Surface'!$AO$26:$BH$26,1)+IF('Adjustment Surface'!AC$26="",-1,1))-'Adjustment Surface'!AB$26)+INDEX($AO$27:$BH$46,MATCH(INDEX('Adjustment Surface'!$AN$27:$AN$46,MATCH(('Adjustment Surface'!$O29),'Adjustment Surface'!$AN$27:$AN$46,1)+IF('Adjustment Surface'!$O30="",-1,1)),$AN$27:$AN$46,0),MATCH(INDEX('Adjustment Surface'!$AO$26:$BH$26,1,MATCH(('Adjustment Surface'!AB$26),'Adjustment Surface'!$AO$26:$BH$26,1)),$AO$26:$BH$26,0))*('Adjustment Surface'!$O29-INDEX('Adjustment Surface'!$AN$27:$AN$46,MATCH(('Adjustment Surface'!$O29),'Adjustment Surface'!$AN$27:$AN$46,1)))*(INDEX('Adjustment Surface'!$AO$26:$BH$26,1,MATCH(('Adjustment Surface'!AB$26),'Adjustment Surface'!$AO$26:$BH$26,1)+IF('Adjustment Surface'!AC$26="",-1,1))-'Adjustment Surface'!AB$26)+INDEX($AO$27:$BH$46,MATCH(INDEX('Adjustment Surface'!$AN$27:$AN$46,MATCH(('Adjustment Surface'!$O29),'Adjustment Surface'!$AN$27:$AN$46,1)),$AN$27:$AN$46,0),MATCH(INDEX('Adjustment Surface'!$AO$26:$BH$26,1,MATCH(('Adjustment Surface'!AB$26),'Adjustment Surface'!$AO$26:$BH$26,1)+IF('Adjustment Surface'!AC$26="",-1,1)),$AO$26:$BH$26,0))*(INDEX('Adjustment Surface'!$AN$27:$AN$46,MATCH(('Adjustment Surface'!$O29),'Adjustment Surface'!$AN$27:$AN$46,1)+IF('Adjustment Surface'!$O30="",-1,1))-'Adjustment Surface'!$O29)*('Adjustment Surface'!AB$26-INDEX('Adjustment Surface'!$AO$26:$BH$26,1,MATCH(('Adjustment Surface'!AB$26),'Adjustment Surface'!$AO$26:$BH$26,1)))+INDEX($AO$27:$BH$46,MATCH(INDEX('Adjustment Surface'!$AN$27:$AN$46,MATCH(('Adjustment Surface'!$O29),'Adjustment Surface'!$AN$27:$AN$46,1)+IF('Adjustment Surface'!$O30="",-1,1)),$AN$27:$AN$46,0),MATCH(INDEX('Adjustment Surface'!$AO$26:$BH$26,1,MATCH(('Adjustment Surface'!AB$26),'Adjustment Surface'!$AO$26:$BH$26,1)+IF('Adjustment Surface'!AC$26="",-1,1)),$AO$26:$BH$26,0))*('Adjustment Surface'!$O29-INDEX('Adjustment Surface'!$AN$27:$AN$46,MATCH(('Adjustment Surface'!$O29),'Adjustment Surface'!$AN$27:$AN$46,1)))*('Adjustment Surface'!AB$26-INDEX('Adjustment Surface'!$AO$26:$BH$26,1,MATCH(('Adjustment Surface'!AB$26),'Adjustment Surface'!$AO$26:$BH$26,1)))))</f>
        <v/>
      </c>
      <c r="AC29" s="193" t="str" cm="1">
        <f t="array" ref="AC29">IF(OR(AC$26="",$O29=""),"",1/((INDEX('Adjustment Surface'!$AN$27:$AN$46,MATCH(('Adjustment Surface'!$O29),'Adjustment Surface'!$AN$27:$AN$46,1)+IF('Adjustment Surface'!$O30="",-1,1))-INDEX('Adjustment Surface'!$AN$27:$AN$46,MATCH(('Adjustment Surface'!$O29),'Adjustment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Surface'!$O29),'Adjustment Surface'!$AN$27:$AN$46,1)),$AN$27:$AN$46,0),MATCH(INDEX('Adjustment Surface'!$AO$26:$BH$26,1,MATCH(('Adjustment Surface'!AC$26),'Adjustment Surface'!$AO$26:$BH$26,1)),$AO$26:$BH$26,0))*(INDEX('Adjustment Surface'!$AN$27:$AN$46,MATCH(('Adjustment Surface'!$O29),'Adjustment Surface'!$AN$27:$AN$46,1)+IF('Adjustment Surface'!$O30="",-1,1))-'Adjustment Surface'!$O29)*(INDEX('Adjustment Surface'!$AO$26:$BH$26,1,MATCH(('Adjustment Surface'!AC$26),'Adjustment Surface'!$AO$26:$BH$26,1)+IF('Adjustment Surface'!AD$26="",-1,1))-'Adjustment Surface'!AC$26)+INDEX($AO$27:$BH$46,MATCH(INDEX('Adjustment Surface'!$AN$27:$AN$46,MATCH(('Adjustment Surface'!$O29),'Adjustment Surface'!$AN$27:$AN$46,1)+IF('Adjustment Surface'!$O30="",-1,1)),$AN$27:$AN$46,0),MATCH(INDEX('Adjustment Surface'!$AO$26:$BH$26,1,MATCH(('Adjustment Surface'!AC$26),'Adjustment Surface'!$AO$26:$BH$26,1)),$AO$26:$BH$26,0))*('Adjustment Surface'!$O29-INDEX('Adjustment Surface'!$AN$27:$AN$46,MATCH(('Adjustment Surface'!$O29),'Adjustment Surface'!$AN$27:$AN$46,1)))*(INDEX('Adjustment Surface'!$AO$26:$BH$26,1,MATCH(('Adjustment Surface'!AC$26),'Adjustment Surface'!$AO$26:$BH$26,1)+IF('Adjustment Surface'!AD$26="",-1,1))-'Adjustment Surface'!AC$26)+INDEX($AO$27:$BH$46,MATCH(INDEX('Adjustment Surface'!$AN$27:$AN$46,MATCH(('Adjustment Surface'!$O29),'Adjustment Surface'!$AN$27:$AN$46,1)),$AN$27:$AN$46,0),MATCH(INDEX('Adjustment Surface'!$AO$26:$BH$26,1,MATCH(('Adjustment Surface'!AC$26),'Adjustment Surface'!$AO$26:$BH$26,1)+IF('Adjustment Surface'!AD$26="",-1,1)),$AO$26:$BH$26,0))*(INDEX('Adjustment Surface'!$AN$27:$AN$46,MATCH(('Adjustment Surface'!$O29),'Adjustment Surface'!$AN$27:$AN$46,1)+IF('Adjustment Surface'!$O30="",-1,1))-'Adjustment Surface'!$O29)*('Adjustment Surface'!AC$26-INDEX('Adjustment Surface'!$AO$26:$BH$26,1,MATCH(('Adjustment Surface'!AC$26),'Adjustment Surface'!$AO$26:$BH$26,1)))+INDEX($AO$27:$BH$46,MATCH(INDEX('Adjustment Surface'!$AN$27:$AN$46,MATCH(('Adjustment Surface'!$O29),'Adjustment Surface'!$AN$27:$AN$46,1)+IF('Adjustment Surface'!$O30="",-1,1)),$AN$27:$AN$46,0),MATCH(INDEX('Adjustment Surface'!$AO$26:$BH$26,1,MATCH(('Adjustment Surface'!AC$26),'Adjustment Surface'!$AO$26:$BH$26,1)+IF('Adjustment Surface'!AD$26="",-1,1)),$AO$26:$BH$26,0))*('Adjustment Surface'!$O29-INDEX('Adjustment Surface'!$AN$27:$AN$46,MATCH(('Adjustment Surface'!$O29),'Adjustment Surface'!$AN$27:$AN$46,1)))*('Adjustment Surface'!AC$26-INDEX('Adjustment Surface'!$AO$26:$BH$26,1,MATCH(('Adjustment Surface'!AC$26),'Adjustment Surface'!$AO$26:$BH$26,1)))))</f>
        <v/>
      </c>
      <c r="AD29" s="193" t="str" cm="1">
        <f t="array" ref="AD29">IF(OR(AD$26="",$O29=""),"",1/((INDEX('Adjustment Surface'!$AN$27:$AN$46,MATCH(('Adjustment Surface'!$O29),'Adjustment Surface'!$AN$27:$AN$46,1)+IF('Adjustment Surface'!$O30="",-1,1))-INDEX('Adjustment Surface'!$AN$27:$AN$46,MATCH(('Adjustment Surface'!$O29),'Adjustment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Surface'!$O29),'Adjustment Surface'!$AN$27:$AN$46,1)),$AN$27:$AN$46,0),MATCH(INDEX('Adjustment Surface'!$AO$26:$BH$26,1,MATCH(('Adjustment Surface'!AD$26),'Adjustment Surface'!$AO$26:$BH$26,1)),$AO$26:$BH$26,0))*(INDEX('Adjustment Surface'!$AN$27:$AN$46,MATCH(('Adjustment Surface'!$O29),'Adjustment Surface'!$AN$27:$AN$46,1)+IF('Adjustment Surface'!$O30="",-1,1))-'Adjustment Surface'!$O29)*(INDEX('Adjustment Surface'!$AO$26:$BH$26,1,MATCH(('Adjustment Surface'!AD$26),'Adjustment Surface'!$AO$26:$BH$26,1)+IF('Adjustment Surface'!AE$26="",-1,1))-'Adjustment Surface'!AD$26)+INDEX($AO$27:$BH$46,MATCH(INDEX('Adjustment Surface'!$AN$27:$AN$46,MATCH(('Adjustment Surface'!$O29),'Adjustment Surface'!$AN$27:$AN$46,1)+IF('Adjustment Surface'!$O30="",-1,1)),$AN$27:$AN$46,0),MATCH(INDEX('Adjustment Surface'!$AO$26:$BH$26,1,MATCH(('Adjustment Surface'!AD$26),'Adjustment Surface'!$AO$26:$BH$26,1)),$AO$26:$BH$26,0))*('Adjustment Surface'!$O29-INDEX('Adjustment Surface'!$AN$27:$AN$46,MATCH(('Adjustment Surface'!$O29),'Adjustment Surface'!$AN$27:$AN$46,1)))*(INDEX('Adjustment Surface'!$AO$26:$BH$26,1,MATCH(('Adjustment Surface'!AD$26),'Adjustment Surface'!$AO$26:$BH$26,1)+IF('Adjustment Surface'!AE$26="",-1,1))-'Adjustment Surface'!AD$26)+INDEX($AO$27:$BH$46,MATCH(INDEX('Adjustment Surface'!$AN$27:$AN$46,MATCH(('Adjustment Surface'!$O29),'Adjustment Surface'!$AN$27:$AN$46,1)),$AN$27:$AN$46,0),MATCH(INDEX('Adjustment Surface'!$AO$26:$BH$26,1,MATCH(('Adjustment Surface'!AD$26),'Adjustment Surface'!$AO$26:$BH$26,1)+IF('Adjustment Surface'!AE$26="",-1,1)),$AO$26:$BH$26,0))*(INDEX('Adjustment Surface'!$AN$27:$AN$46,MATCH(('Adjustment Surface'!$O29),'Adjustment Surface'!$AN$27:$AN$46,1)+IF('Adjustment Surface'!$O30="",-1,1))-'Adjustment Surface'!$O29)*('Adjustment Surface'!AD$26-INDEX('Adjustment Surface'!$AO$26:$BH$26,1,MATCH(('Adjustment Surface'!AD$26),'Adjustment Surface'!$AO$26:$BH$26,1)))+INDEX($AO$27:$BH$46,MATCH(INDEX('Adjustment Surface'!$AN$27:$AN$46,MATCH(('Adjustment Surface'!$O29),'Adjustment Surface'!$AN$27:$AN$46,1)+IF('Adjustment Surface'!$O30="",-1,1)),$AN$27:$AN$46,0),MATCH(INDEX('Adjustment Surface'!$AO$26:$BH$26,1,MATCH(('Adjustment Surface'!AD$26),'Adjustment Surface'!$AO$26:$BH$26,1)+IF('Adjustment Surface'!AE$26="",-1,1)),$AO$26:$BH$26,0))*('Adjustment Surface'!$O29-INDEX('Adjustment Surface'!$AN$27:$AN$46,MATCH(('Adjustment Surface'!$O29),'Adjustment Surface'!$AN$27:$AN$46,1)))*('Adjustment Surface'!AD$26-INDEX('Adjustment Surface'!$AO$26:$BH$26,1,MATCH(('Adjustment Surface'!AD$26),'Adjustment Surface'!$AO$26:$BH$26,1)))))</f>
        <v/>
      </c>
      <c r="AE29" s="193" t="str" cm="1">
        <f t="array" ref="AE29">IF(OR(AE$26="",$O29=""),"",1/((INDEX('Adjustment Surface'!$AN$27:$AN$46,MATCH(('Adjustment Surface'!$O29),'Adjustment Surface'!$AN$27:$AN$46,1)+IF('Adjustment Surface'!$O30="",-1,1))-INDEX('Adjustment Surface'!$AN$27:$AN$46,MATCH(('Adjustment Surface'!$O29),'Adjustment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Surface'!$O29),'Adjustment Surface'!$AN$27:$AN$46,1)),$AN$27:$AN$46,0),MATCH(INDEX('Adjustment Surface'!$AO$26:$BH$26,1,MATCH(('Adjustment Surface'!AE$26),'Adjustment Surface'!$AO$26:$BH$26,1)),$AO$26:$BH$26,0))*(INDEX('Adjustment Surface'!$AN$27:$AN$46,MATCH(('Adjustment Surface'!$O29),'Adjustment Surface'!$AN$27:$AN$46,1)+IF('Adjustment Surface'!$O30="",-1,1))-'Adjustment Surface'!$O29)*(INDEX('Adjustment Surface'!$AO$26:$BH$26,1,MATCH(('Adjustment Surface'!AE$26),'Adjustment Surface'!$AO$26:$BH$26,1)+IF('Adjustment Surface'!AF$26="",-1,1))-'Adjustment Surface'!AE$26)+INDEX($AO$27:$BH$46,MATCH(INDEX('Adjustment Surface'!$AN$27:$AN$46,MATCH(('Adjustment Surface'!$O29),'Adjustment Surface'!$AN$27:$AN$46,1)+IF('Adjustment Surface'!$O30="",-1,1)),$AN$27:$AN$46,0),MATCH(INDEX('Adjustment Surface'!$AO$26:$BH$26,1,MATCH(('Adjustment Surface'!AE$26),'Adjustment Surface'!$AO$26:$BH$26,1)),$AO$26:$BH$26,0))*('Adjustment Surface'!$O29-INDEX('Adjustment Surface'!$AN$27:$AN$46,MATCH(('Adjustment Surface'!$O29),'Adjustment Surface'!$AN$27:$AN$46,1)))*(INDEX('Adjustment Surface'!$AO$26:$BH$26,1,MATCH(('Adjustment Surface'!AE$26),'Adjustment Surface'!$AO$26:$BH$26,1)+IF('Adjustment Surface'!AF$26="",-1,1))-'Adjustment Surface'!AE$26)+INDEX($AO$27:$BH$46,MATCH(INDEX('Adjustment Surface'!$AN$27:$AN$46,MATCH(('Adjustment Surface'!$O29),'Adjustment Surface'!$AN$27:$AN$46,1)),$AN$27:$AN$46,0),MATCH(INDEX('Adjustment Surface'!$AO$26:$BH$26,1,MATCH(('Adjustment Surface'!AE$26),'Adjustment Surface'!$AO$26:$BH$26,1)+IF('Adjustment Surface'!AF$26="",-1,1)),$AO$26:$BH$26,0))*(INDEX('Adjustment Surface'!$AN$27:$AN$46,MATCH(('Adjustment Surface'!$O29),'Adjustment Surface'!$AN$27:$AN$46,1)+IF('Adjustment Surface'!$O30="",-1,1))-'Adjustment Surface'!$O29)*('Adjustment Surface'!AE$26-INDEX('Adjustment Surface'!$AO$26:$BH$26,1,MATCH(('Adjustment Surface'!AE$26),'Adjustment Surface'!$AO$26:$BH$26,1)))+INDEX($AO$27:$BH$46,MATCH(INDEX('Adjustment Surface'!$AN$27:$AN$46,MATCH(('Adjustment Surface'!$O29),'Adjustment Surface'!$AN$27:$AN$46,1)+IF('Adjustment Surface'!$O30="",-1,1)),$AN$27:$AN$46,0),MATCH(INDEX('Adjustment Surface'!$AO$26:$BH$26,1,MATCH(('Adjustment Surface'!AE$26),'Adjustment Surface'!$AO$26:$BH$26,1)+IF('Adjustment Surface'!AF$26="",-1,1)),$AO$26:$BH$26,0))*('Adjustment Surface'!$O29-INDEX('Adjustment Surface'!$AN$27:$AN$46,MATCH(('Adjustment Surface'!$O29),'Adjustment Surface'!$AN$27:$AN$46,1)))*('Adjustment Surface'!AE$26-INDEX('Adjustment Surface'!$AO$26:$BH$26,1,MATCH(('Adjustment Surface'!AE$26),'Adjustment Surface'!$AO$26:$BH$26,1)))))</f>
        <v/>
      </c>
      <c r="AF29" s="193" t="str" cm="1">
        <f t="array" ref="AF29">IF(OR(AF$26="",$O29=""),"",1/((INDEX('Adjustment Surface'!$AN$27:$AN$46,MATCH(('Adjustment Surface'!$O29),'Adjustment Surface'!$AN$27:$AN$46,1)+IF('Adjustment Surface'!$O30="",-1,1))-INDEX('Adjustment Surface'!$AN$27:$AN$46,MATCH(('Adjustment Surface'!$O29),'Adjustment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Surface'!$O29),'Adjustment Surface'!$AN$27:$AN$46,1)),$AN$27:$AN$46,0),MATCH(INDEX('Adjustment Surface'!$AO$26:$BH$26,1,MATCH(('Adjustment Surface'!AF$26),'Adjustment Surface'!$AO$26:$BH$26,1)),$AO$26:$BH$26,0))*(INDEX('Adjustment Surface'!$AN$27:$AN$46,MATCH(('Adjustment Surface'!$O29),'Adjustment Surface'!$AN$27:$AN$46,1)+IF('Adjustment Surface'!$O30="",-1,1))-'Adjustment Surface'!$O29)*(INDEX('Adjustment Surface'!$AO$26:$BH$26,1,MATCH(('Adjustment Surface'!AF$26),'Adjustment Surface'!$AO$26:$BH$26,1)+IF('Adjustment Surface'!AG$26="",-1,1))-'Adjustment Surface'!AF$26)+INDEX($AO$27:$BH$46,MATCH(INDEX('Adjustment Surface'!$AN$27:$AN$46,MATCH(('Adjustment Surface'!$O29),'Adjustment Surface'!$AN$27:$AN$46,1)+IF('Adjustment Surface'!$O30="",-1,1)),$AN$27:$AN$46,0),MATCH(INDEX('Adjustment Surface'!$AO$26:$BH$26,1,MATCH(('Adjustment Surface'!AF$26),'Adjustment Surface'!$AO$26:$BH$26,1)),$AO$26:$BH$26,0))*('Adjustment Surface'!$O29-INDEX('Adjustment Surface'!$AN$27:$AN$46,MATCH(('Adjustment Surface'!$O29),'Adjustment Surface'!$AN$27:$AN$46,1)))*(INDEX('Adjustment Surface'!$AO$26:$BH$26,1,MATCH(('Adjustment Surface'!AF$26),'Adjustment Surface'!$AO$26:$BH$26,1)+IF('Adjustment Surface'!AG$26="",-1,1))-'Adjustment Surface'!AF$26)+INDEX($AO$27:$BH$46,MATCH(INDEX('Adjustment Surface'!$AN$27:$AN$46,MATCH(('Adjustment Surface'!$O29),'Adjustment Surface'!$AN$27:$AN$46,1)),$AN$27:$AN$46,0),MATCH(INDEX('Adjustment Surface'!$AO$26:$BH$26,1,MATCH(('Adjustment Surface'!AF$26),'Adjustment Surface'!$AO$26:$BH$26,1)+IF('Adjustment Surface'!AG$26="",-1,1)),$AO$26:$BH$26,0))*(INDEX('Adjustment Surface'!$AN$27:$AN$46,MATCH(('Adjustment Surface'!$O29),'Adjustment Surface'!$AN$27:$AN$46,1)+IF('Adjustment Surface'!$O30="",-1,1))-'Adjustment Surface'!$O29)*('Adjustment Surface'!AF$26-INDEX('Adjustment Surface'!$AO$26:$BH$26,1,MATCH(('Adjustment Surface'!AF$26),'Adjustment Surface'!$AO$26:$BH$26,1)))+INDEX($AO$27:$BH$46,MATCH(INDEX('Adjustment Surface'!$AN$27:$AN$46,MATCH(('Adjustment Surface'!$O29),'Adjustment Surface'!$AN$27:$AN$46,1)+IF('Adjustment Surface'!$O30="",-1,1)),$AN$27:$AN$46,0),MATCH(INDEX('Adjustment Surface'!$AO$26:$BH$26,1,MATCH(('Adjustment Surface'!AF$26),'Adjustment Surface'!$AO$26:$BH$26,1)+IF('Adjustment Surface'!AG$26="",-1,1)),$AO$26:$BH$26,0))*('Adjustment Surface'!$O29-INDEX('Adjustment Surface'!$AN$27:$AN$46,MATCH(('Adjustment Surface'!$O29),'Adjustment Surface'!$AN$27:$AN$46,1)))*('Adjustment Surface'!AF$26-INDEX('Adjustment Surface'!$AO$26:$BH$26,1,MATCH(('Adjustment Surface'!AF$26),'Adjustment Surface'!$AO$26:$BH$26,1)))))</f>
        <v/>
      </c>
      <c r="AG29" s="193" t="str" cm="1">
        <f t="array" ref="AG29">IF(OR(AG$26="",$O29=""),"",1/((INDEX('Adjustment Surface'!$AN$27:$AN$46,MATCH(('Adjustment Surface'!$O29),'Adjustment Surface'!$AN$27:$AN$46,1)+IF('Adjustment Surface'!$O30="",-1,1))-INDEX('Adjustment Surface'!$AN$27:$AN$46,MATCH(('Adjustment Surface'!$O29),'Adjustment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Surface'!$O29),'Adjustment Surface'!$AN$27:$AN$46,1)),$AN$27:$AN$46,0),MATCH(INDEX('Adjustment Surface'!$AO$26:$BH$26,1,MATCH(('Adjustment Surface'!AG$26),'Adjustment Surface'!$AO$26:$BH$26,1)),$AO$26:$BH$26,0))*(INDEX('Adjustment Surface'!$AN$27:$AN$46,MATCH(('Adjustment Surface'!$O29),'Adjustment Surface'!$AN$27:$AN$46,1)+IF('Adjustment Surface'!$O30="",-1,1))-'Adjustment Surface'!$O29)*(INDEX('Adjustment Surface'!$AO$26:$BH$26,1,MATCH(('Adjustment Surface'!AG$26),'Adjustment Surface'!$AO$26:$BH$26,1)+IF('Adjustment Surface'!AH$26="",-1,1))-'Adjustment Surface'!AG$26)+INDEX($AO$27:$BH$46,MATCH(INDEX('Adjustment Surface'!$AN$27:$AN$46,MATCH(('Adjustment Surface'!$O29),'Adjustment Surface'!$AN$27:$AN$46,1)+IF('Adjustment Surface'!$O30="",-1,1)),$AN$27:$AN$46,0),MATCH(INDEX('Adjustment Surface'!$AO$26:$BH$26,1,MATCH(('Adjustment Surface'!AG$26),'Adjustment Surface'!$AO$26:$BH$26,1)),$AO$26:$BH$26,0))*('Adjustment Surface'!$O29-INDEX('Adjustment Surface'!$AN$27:$AN$46,MATCH(('Adjustment Surface'!$O29),'Adjustment Surface'!$AN$27:$AN$46,1)))*(INDEX('Adjustment Surface'!$AO$26:$BH$26,1,MATCH(('Adjustment Surface'!AG$26),'Adjustment Surface'!$AO$26:$BH$26,1)+IF('Adjustment Surface'!AH$26="",-1,1))-'Adjustment Surface'!AG$26)+INDEX($AO$27:$BH$46,MATCH(INDEX('Adjustment Surface'!$AN$27:$AN$46,MATCH(('Adjustment Surface'!$O29),'Adjustment Surface'!$AN$27:$AN$46,1)),$AN$27:$AN$46,0),MATCH(INDEX('Adjustment Surface'!$AO$26:$BH$26,1,MATCH(('Adjustment Surface'!AG$26),'Adjustment Surface'!$AO$26:$BH$26,1)+IF('Adjustment Surface'!AH$26="",-1,1)),$AO$26:$BH$26,0))*(INDEX('Adjustment Surface'!$AN$27:$AN$46,MATCH(('Adjustment Surface'!$O29),'Adjustment Surface'!$AN$27:$AN$46,1)+IF('Adjustment Surface'!$O30="",-1,1))-'Adjustment Surface'!$O29)*('Adjustment Surface'!AG$26-INDEX('Adjustment Surface'!$AO$26:$BH$26,1,MATCH(('Adjustment Surface'!AG$26),'Adjustment Surface'!$AO$26:$BH$26,1)))+INDEX($AO$27:$BH$46,MATCH(INDEX('Adjustment Surface'!$AN$27:$AN$46,MATCH(('Adjustment Surface'!$O29),'Adjustment Surface'!$AN$27:$AN$46,1)+IF('Adjustment Surface'!$O30="",-1,1)),$AN$27:$AN$46,0),MATCH(INDEX('Adjustment Surface'!$AO$26:$BH$26,1,MATCH(('Adjustment Surface'!AG$26),'Adjustment Surface'!$AO$26:$BH$26,1)+IF('Adjustment Surface'!AH$26="",-1,1)),$AO$26:$BH$26,0))*('Adjustment Surface'!$O29-INDEX('Adjustment Surface'!$AN$27:$AN$46,MATCH(('Adjustment Surface'!$O29),'Adjustment Surface'!$AN$27:$AN$46,1)))*('Adjustment Surface'!AG$26-INDEX('Adjustment Surface'!$AO$26:$BH$26,1,MATCH(('Adjustment Surface'!AG$26),'Adjustment Surface'!$AO$26:$BH$26,1)))))</f>
        <v/>
      </c>
      <c r="AH29" s="193" t="str" cm="1">
        <f t="array" ref="AH29">IF(OR(AH$26="",$O29=""),"",1/((INDEX('Adjustment Surface'!$AN$27:$AN$46,MATCH(('Adjustment Surface'!$O29),'Adjustment Surface'!$AN$27:$AN$46,1)+IF('Adjustment Surface'!$O30="",-1,1))-INDEX('Adjustment Surface'!$AN$27:$AN$46,MATCH(('Adjustment Surface'!$O29),'Adjustment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Surface'!$O29),'Adjustment Surface'!$AN$27:$AN$46,1)),$AN$27:$AN$46,0),MATCH(INDEX('Adjustment Surface'!$AO$26:$BH$26,1,MATCH(('Adjustment Surface'!AH$26),'Adjustment Surface'!$AO$26:$BH$26,1)),$AO$26:$BH$26,0))*(INDEX('Adjustment Surface'!$AN$27:$AN$46,MATCH(('Adjustment Surface'!$O29),'Adjustment Surface'!$AN$27:$AN$46,1)+IF('Adjustment Surface'!$O30="",-1,1))-'Adjustment Surface'!$O29)*(INDEX('Adjustment Surface'!$AO$26:$BH$26,1,MATCH(('Adjustment Surface'!AH$26),'Adjustment Surface'!$AO$26:$BH$26,1)+IF('Adjustment Surface'!AI$26="",-1,1))-'Adjustment Surface'!AH$26)+INDEX($AO$27:$BH$46,MATCH(INDEX('Adjustment Surface'!$AN$27:$AN$46,MATCH(('Adjustment Surface'!$O29),'Adjustment Surface'!$AN$27:$AN$46,1)+IF('Adjustment Surface'!$O30="",-1,1)),$AN$27:$AN$46,0),MATCH(INDEX('Adjustment Surface'!$AO$26:$BH$26,1,MATCH(('Adjustment Surface'!AH$26),'Adjustment Surface'!$AO$26:$BH$26,1)),$AO$26:$BH$26,0))*('Adjustment Surface'!$O29-INDEX('Adjustment Surface'!$AN$27:$AN$46,MATCH(('Adjustment Surface'!$O29),'Adjustment Surface'!$AN$27:$AN$46,1)))*(INDEX('Adjustment Surface'!$AO$26:$BH$26,1,MATCH(('Adjustment Surface'!AH$26),'Adjustment Surface'!$AO$26:$BH$26,1)+IF('Adjustment Surface'!AI$26="",-1,1))-'Adjustment Surface'!AH$26)+INDEX($AO$27:$BH$46,MATCH(INDEX('Adjustment Surface'!$AN$27:$AN$46,MATCH(('Adjustment Surface'!$O29),'Adjustment Surface'!$AN$27:$AN$46,1)),$AN$27:$AN$46,0),MATCH(INDEX('Adjustment Surface'!$AO$26:$BH$26,1,MATCH(('Adjustment Surface'!AH$26),'Adjustment Surface'!$AO$26:$BH$26,1)+IF('Adjustment Surface'!AI$26="",-1,1)),$AO$26:$BH$26,0))*(INDEX('Adjustment Surface'!$AN$27:$AN$46,MATCH(('Adjustment Surface'!$O29),'Adjustment Surface'!$AN$27:$AN$46,1)+IF('Adjustment Surface'!$O30="",-1,1))-'Adjustment Surface'!$O29)*('Adjustment Surface'!AH$26-INDEX('Adjustment Surface'!$AO$26:$BH$26,1,MATCH(('Adjustment Surface'!AH$26),'Adjustment Surface'!$AO$26:$BH$26,1)))+INDEX($AO$27:$BH$46,MATCH(INDEX('Adjustment Surface'!$AN$27:$AN$46,MATCH(('Adjustment Surface'!$O29),'Adjustment Surface'!$AN$27:$AN$46,1)+IF('Adjustment Surface'!$O30="",-1,1)),$AN$27:$AN$46,0),MATCH(INDEX('Adjustment Surface'!$AO$26:$BH$26,1,MATCH(('Adjustment Surface'!AH$26),'Adjustment Surface'!$AO$26:$BH$26,1)+IF('Adjustment Surface'!AI$26="",-1,1)),$AO$26:$BH$26,0))*('Adjustment Surface'!$O29-INDEX('Adjustment Surface'!$AN$27:$AN$46,MATCH(('Adjustment Surface'!$O29),'Adjustment Surface'!$AN$27:$AN$46,1)))*('Adjustment Surface'!AH$26-INDEX('Adjustment Surface'!$AO$26:$BH$26,1,MATCH(('Adjustment Surface'!AH$26),'Adjustment Surface'!$AO$26:$BH$26,1)))))</f>
        <v/>
      </c>
      <c r="AI29" s="194" t="str" cm="1">
        <f t="array" ref="AI29">IF(OR(AI$26="",$O29=""),"",1/((INDEX('Adjustment Surface'!$AN$27:$AN$46,MATCH(('Adjustment Surface'!$O29),'Adjustment Surface'!$AN$27:$AN$46,1)+IF('Adjustment Surface'!$O30="",-1,1))-INDEX('Adjustment Surface'!$AN$27:$AN$46,MATCH(('Adjustment Surface'!$O29),'Adjustment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Surface'!$O29),'Adjustment Surface'!$AN$27:$AN$46,1)),$AN$27:$AN$46,0),MATCH(INDEX('Adjustment Surface'!$AO$26:$BH$26,1,MATCH(('Adjustment Surface'!AI$26),'Adjustment Surface'!$AO$26:$BH$26,1)),$AO$26:$BH$26,0))*(INDEX('Adjustment Surface'!$AN$27:$AN$46,MATCH(('Adjustment Surface'!$O29),'Adjustment Surface'!$AN$27:$AN$46,1)+IF('Adjustment Surface'!$O30="",-1,1))-'Adjustment Surface'!$O29)*(INDEX('Adjustment Surface'!$AO$26:$BH$26,1,MATCH(('Adjustment Surface'!AI$26),'Adjustment Surface'!$AO$26:$BH$26,1)+IF('Adjustment Surface'!AJ$26="",-1,1))-'Adjustment Surface'!AI$26)+INDEX($AO$27:$BH$46,MATCH(INDEX('Adjustment Surface'!$AN$27:$AN$46,MATCH(('Adjustment Surface'!$O29),'Adjustment Surface'!$AN$27:$AN$46,1)+IF('Adjustment Surface'!$O30="",-1,1)),$AN$27:$AN$46,0),MATCH(INDEX('Adjustment Surface'!$AO$26:$BH$26,1,MATCH(('Adjustment Surface'!AI$26),'Adjustment Surface'!$AO$26:$BH$26,1)),$AO$26:$BH$26,0))*('Adjustment Surface'!$O29-INDEX('Adjustment Surface'!$AN$27:$AN$46,MATCH(('Adjustment Surface'!$O29),'Adjustment Surface'!$AN$27:$AN$46,1)))*(INDEX('Adjustment Surface'!$AO$26:$BH$26,1,MATCH(('Adjustment Surface'!AI$26),'Adjustment Surface'!$AO$26:$BH$26,1)+IF('Adjustment Surface'!AJ$26="",-1,1))-'Adjustment Surface'!AI$26)+INDEX($AO$27:$BH$46,MATCH(INDEX('Adjustment Surface'!$AN$27:$AN$46,MATCH(('Adjustment Surface'!$O29),'Adjustment Surface'!$AN$27:$AN$46,1)),$AN$27:$AN$46,0),MATCH(INDEX('Adjustment Surface'!$AO$26:$BH$26,1,MATCH(('Adjustment Surface'!AI$26),'Adjustment Surface'!$AO$26:$BH$26,1)+IF('Adjustment Surface'!AJ$26="",-1,1)),$AO$26:$BH$26,0))*(INDEX('Adjustment Surface'!$AN$27:$AN$46,MATCH(('Adjustment Surface'!$O29),'Adjustment Surface'!$AN$27:$AN$46,1)+IF('Adjustment Surface'!$O30="",-1,1))-'Adjustment Surface'!$O29)*('Adjustment Surface'!AI$26-INDEX('Adjustment Surface'!$AO$26:$BH$26,1,MATCH(('Adjustment Surface'!AI$26),'Adjustment Surface'!$AO$26:$BH$26,1)))+INDEX($AO$27:$BH$46,MATCH(INDEX('Adjustment Surface'!$AN$27:$AN$46,MATCH(('Adjustment Surface'!$O29),'Adjustment Surface'!$AN$27:$AN$46,1)+IF('Adjustment Surface'!$O30="",-1,1)),$AN$27:$AN$46,0),MATCH(INDEX('Adjustment Surface'!$AO$26:$BH$26,1,MATCH(('Adjustment Surface'!AI$26),'Adjustment Surface'!$AO$26:$BH$26,1)+IF('Adjustment Surface'!AJ$26="",-1,1)),$AO$26:$BH$26,0))*('Adjustment Surface'!$O29-INDEX('Adjustment Surface'!$AN$27:$AN$46,MATCH(('Adjustment Surface'!$O29),'Adjustment Surface'!$AN$27:$AN$46,1)))*('Adjustment Surface'!AI$26-INDEX('Adjustment Surface'!$AO$26:$BH$26,1,MATCH(('Adjustment Surface'!AI$26),'Adjustment Surface'!$AO$26:$BH$26,1)))))</f>
        <v/>
      </c>
      <c r="AK29" s="203">
        <v>0.04</v>
      </c>
      <c r="AL29" s="207">
        <v>47160</v>
      </c>
      <c r="AN29" s="176">
        <v>0.04</v>
      </c>
      <c r="AO29" s="192" cm="1">
        <f t="array" ref="AO29">IF(OR(AO$26="",$AN29=""),"",INDEX(IF($C$2='Data Validation'!$A$2,'Bank Adjustments'!$I$4:$I$103,IF('Adjustment Surface'!$C$2='Data Validation'!$A$3,'Bank Adjustments'!$S$4:$S$103,"Unknown Option Type")),MATCH(1,($AN29=IF($C$2='Data Validation'!$A$2,'Bank Adjustments'!$C$4:$C$103,IF('Adjustment Surface'!$C$2='Data Validation'!$A$3,'Bank Adjustments'!$M$4:$M$103,"Unknown Option Type")))*(AO$26=IF($C$2='Data Validation'!$A$2,'Bank Adjustments'!$E$4:$E$103,IF('Adjustment Surface'!$C$2='Data Validation'!$A$3,'Bank Adjustments'!$O$4:$O$103,"Unknown Option Type"))),0)))</f>
        <v>1.5819752131975662</v>
      </c>
      <c r="AP29" s="193" cm="1">
        <f t="array" ref="AP29">IF(OR(AP$26="",$AN29=""),"",INDEX(IF($C$2='Data Validation'!$A$2,'Bank Adjustments'!$I$4:$I$103,IF('Adjustment Surface'!$C$2='Data Validation'!$A$3,'Bank Adjustments'!$S$4:$S$103,"Unknown Option Type")),MATCH(1,($AN29=IF($C$2='Data Validation'!$A$2,'Bank Adjustments'!$C$4:$C$103,IF('Adjustment Surface'!$C$2='Data Validation'!$A$3,'Bank Adjustments'!$M$4:$M$103,"Unknown Option Type")))*(AP$26=IF($C$2='Data Validation'!$A$2,'Bank Adjustments'!$E$4:$E$103,IF('Adjustment Surface'!$C$2='Data Validation'!$A$3,'Bank Adjustments'!$O$4:$O$103,"Unknown Option Type"))),0)))</f>
        <v>0.2777288978219612</v>
      </c>
      <c r="AQ29" s="193" cm="1">
        <f t="array" ref="AQ29">IF(OR(AQ$26="",$AN29=""),"",INDEX(IF($C$2='Data Validation'!$A$2,'Bank Adjustments'!$I$4:$I$103,IF('Adjustment Surface'!$C$2='Data Validation'!$A$3,'Bank Adjustments'!$S$4:$S$103,"Unknown Option Type")),MATCH(1,($AN29=IF($C$2='Data Validation'!$A$2,'Bank Adjustments'!$C$4:$C$103,IF('Adjustment Surface'!$C$2='Data Validation'!$A$3,'Bank Adjustments'!$M$4:$M$103,"Unknown Option Type")))*(AQ$26=IF($C$2='Data Validation'!$A$2,'Bank Adjustments'!$E$4:$E$103,IF('Adjustment Surface'!$C$2='Data Validation'!$A$3,'Bank Adjustments'!$O$4:$O$103,"Unknown Option Type"))),0)))</f>
        <v>0.21096747592695034</v>
      </c>
      <c r="AR29" s="193" t="str" cm="1">
        <f t="array" ref="AR29">IF(OR(AR$26="",$AN29=""),"",INDEX(IF($C$2='Data Validation'!$A$2,'Bank Adjustments'!$I$4:$I$103,IF('Adjustment Surface'!$C$2='Data Validation'!$A$3,'Bank Adjustments'!$S$4:$S$103,"Unknown Option Type")),MATCH(1,($AN29=IF($C$2='Data Validation'!$A$2,'Bank Adjustments'!$C$4:$C$103,IF('Adjustment Surface'!$C$2='Data Validation'!$A$3,'Bank Adjustments'!$M$4:$M$103,"Unknown Option Type")))*(AR$26=IF($C$2='Data Validation'!$A$2,'Bank Adjustments'!$E$4:$E$103,IF('Adjustment Surface'!$C$2='Data Validation'!$A$3,'Bank Adjustments'!$O$4:$O$103,"Unknown Option Type"))),0)))</f>
        <v/>
      </c>
      <c r="AS29" s="193" t="str" cm="1">
        <f t="array" ref="AS29">IF(OR(AS$26="",$AN29=""),"",INDEX(IF($C$2='Data Validation'!$A$2,'Bank Adjustments'!$I$4:$I$103,IF('Adjustment Surface'!$C$2='Data Validation'!$A$3,'Bank Adjustments'!$S$4:$S$103,"Unknown Option Type")),MATCH(1,($AN29=IF($C$2='Data Validation'!$A$2,'Bank Adjustments'!$C$4:$C$103,IF('Adjustment Surface'!$C$2='Data Validation'!$A$3,'Bank Adjustments'!$M$4:$M$103,"Unknown Option Type")))*(AS$26=IF($C$2='Data Validation'!$A$2,'Bank Adjustments'!$E$4:$E$103,IF('Adjustment Surface'!$C$2='Data Validation'!$A$3,'Bank Adjustments'!$O$4:$O$103,"Unknown Option Type"))),0)))</f>
        <v/>
      </c>
      <c r="AT29" s="193" t="str" cm="1">
        <f t="array" ref="AT29">IF(OR(AT$26="",$AN29=""),"",INDEX(IF($C$2='Data Validation'!$A$2,'Bank Adjustments'!$I$4:$I$103,IF('Adjustment Surface'!$C$2='Data Validation'!$A$3,'Bank Adjustments'!$S$4:$S$103,"Unknown Option Type")),MATCH(1,($AN29=IF($C$2='Data Validation'!$A$2,'Bank Adjustments'!$C$4:$C$103,IF('Adjustment Surface'!$C$2='Data Validation'!$A$3,'Bank Adjustments'!$M$4:$M$103,"Unknown Option Type")))*(AT$26=IF($C$2='Data Validation'!$A$2,'Bank Adjustments'!$E$4:$E$103,IF('Adjustment Surface'!$C$2='Data Validation'!$A$3,'Bank Adjustments'!$O$4:$O$103,"Unknown Option Type"))),0)))</f>
        <v/>
      </c>
      <c r="AU29" s="193" t="str" cm="1">
        <f t="array" ref="AU29">IF(OR(AU$26="",$AN29=""),"",INDEX(IF($C$2='Data Validation'!$A$2,'Bank Adjustments'!$I$4:$I$103,IF('Adjustment Surface'!$C$2='Data Validation'!$A$3,'Bank Adjustments'!$S$4:$S$103,"Unknown Option Type")),MATCH(1,($AN29=IF($C$2='Data Validation'!$A$2,'Bank Adjustments'!$C$4:$C$103,IF('Adjustment Surface'!$C$2='Data Validation'!$A$3,'Bank Adjustments'!$M$4:$M$103,"Unknown Option Type")))*(AU$26=IF($C$2='Data Validation'!$A$2,'Bank Adjustments'!$E$4:$E$103,IF('Adjustment Surface'!$C$2='Data Validation'!$A$3,'Bank Adjustments'!$O$4:$O$103,"Unknown Option Type"))),0)))</f>
        <v/>
      </c>
      <c r="AV29" s="193" t="str" cm="1">
        <f t="array" ref="AV29">IF(OR(AV$26="",$AN29=""),"",INDEX(IF($C$2='Data Validation'!$A$2,'Bank Adjustments'!$I$4:$I$103,IF('Adjustment Surface'!$C$2='Data Validation'!$A$3,'Bank Adjustments'!$S$4:$S$103,"Unknown Option Type")),MATCH(1,($AN29=IF($C$2='Data Validation'!$A$2,'Bank Adjustments'!$C$4:$C$103,IF('Adjustment Surface'!$C$2='Data Validation'!$A$3,'Bank Adjustments'!$M$4:$M$103,"Unknown Option Type")))*(AV$26=IF($C$2='Data Validation'!$A$2,'Bank Adjustments'!$E$4:$E$103,IF('Adjustment Surface'!$C$2='Data Validation'!$A$3,'Bank Adjustments'!$O$4:$O$103,"Unknown Option Type"))),0)))</f>
        <v/>
      </c>
      <c r="AW29" s="193" t="str" cm="1">
        <f t="array" ref="AW29">IF(OR(AW$26="",$AN29=""),"",INDEX(IF($C$2='Data Validation'!$A$2,'Bank Adjustments'!$I$4:$I$103,IF('Adjustment Surface'!$C$2='Data Validation'!$A$3,'Bank Adjustments'!$S$4:$S$103,"Unknown Option Type")),MATCH(1,($AN29=IF($C$2='Data Validation'!$A$2,'Bank Adjustments'!$C$4:$C$103,IF('Adjustment Surface'!$C$2='Data Validation'!$A$3,'Bank Adjustments'!$M$4:$M$103,"Unknown Option Type")))*(AW$26=IF($C$2='Data Validation'!$A$2,'Bank Adjustments'!$E$4:$E$103,IF('Adjustment Surface'!$C$2='Data Validation'!$A$3,'Bank Adjustments'!$O$4:$O$103,"Unknown Option Type"))),0)))</f>
        <v/>
      </c>
      <c r="AX29" s="193" t="str" cm="1">
        <f t="array" ref="AX29">IF(OR(AX$26="",$AN29=""),"",INDEX(IF($C$2='Data Validation'!$A$2,'Bank Adjustments'!$I$4:$I$103,IF('Adjustment Surface'!$C$2='Data Validation'!$A$3,'Bank Adjustments'!$S$4:$S$103,"Unknown Option Type")),MATCH(1,($AN29=IF($C$2='Data Validation'!$A$2,'Bank Adjustments'!$C$4:$C$103,IF('Adjustment Surface'!$C$2='Data Validation'!$A$3,'Bank Adjustments'!$M$4:$M$103,"Unknown Option Type")))*(AX$26=IF($C$2='Data Validation'!$A$2,'Bank Adjustments'!$E$4:$E$103,IF('Adjustment Surface'!$C$2='Data Validation'!$A$3,'Bank Adjustments'!$O$4:$O$103,"Unknown Option Type"))),0)))</f>
        <v/>
      </c>
      <c r="AY29" s="193" t="str" cm="1">
        <f t="array" ref="AY29">IF(OR(AY$26="",$AN29=""),"",INDEX(IF($C$2='Data Validation'!$A$2,'Bank Adjustments'!$I$4:$I$103,IF('Adjustment Surface'!$C$2='Data Validation'!$A$3,'Bank Adjustments'!$S$4:$S$103,"Unknown Option Type")),MATCH(1,($AN29=IF($C$2='Data Validation'!$A$2,'Bank Adjustments'!$C$4:$C$103,IF('Adjustment Surface'!$C$2='Data Validation'!$A$3,'Bank Adjustments'!$M$4:$M$103,"Unknown Option Type")))*(AY$26=IF($C$2='Data Validation'!$A$2,'Bank Adjustments'!$E$4:$E$103,IF('Adjustment Surface'!$C$2='Data Validation'!$A$3,'Bank Adjustments'!$O$4:$O$103,"Unknown Option Type"))),0)))</f>
        <v/>
      </c>
      <c r="AZ29" s="193" t="str" cm="1">
        <f t="array" ref="AZ29">IF(OR(AZ$26="",$AN29=""),"",INDEX(IF($C$2='Data Validation'!$A$2,'Bank Adjustments'!$I$4:$I$103,IF('Adjustment Surface'!$C$2='Data Validation'!$A$3,'Bank Adjustments'!$S$4:$S$103,"Unknown Option Type")),MATCH(1,($AN29=IF($C$2='Data Validation'!$A$2,'Bank Adjustments'!$C$4:$C$103,IF('Adjustment Surface'!$C$2='Data Validation'!$A$3,'Bank Adjustments'!$M$4:$M$103,"Unknown Option Type")))*(AZ$26=IF($C$2='Data Validation'!$A$2,'Bank Adjustments'!$E$4:$E$103,IF('Adjustment Surface'!$C$2='Data Validation'!$A$3,'Bank Adjustments'!$O$4:$O$103,"Unknown Option Type"))),0)))</f>
        <v/>
      </c>
      <c r="BA29" s="193" t="str" cm="1">
        <f t="array" ref="BA29">IF(OR(BA$26="",$AN29=""),"",INDEX(IF($C$2='Data Validation'!$A$2,'Bank Adjustments'!$I$4:$I$103,IF('Adjustment Surface'!$C$2='Data Validation'!$A$3,'Bank Adjustments'!$S$4:$S$103,"Unknown Option Type")),MATCH(1,($AN29=IF($C$2='Data Validation'!$A$2,'Bank Adjustments'!$C$4:$C$103,IF('Adjustment Surface'!$C$2='Data Validation'!$A$3,'Bank Adjustments'!$M$4:$M$103,"Unknown Option Type")))*(BA$26=IF($C$2='Data Validation'!$A$2,'Bank Adjustments'!$E$4:$E$103,IF('Adjustment Surface'!$C$2='Data Validation'!$A$3,'Bank Adjustments'!$O$4:$O$103,"Unknown Option Type"))),0)))</f>
        <v/>
      </c>
      <c r="BB29" s="193" t="str" cm="1">
        <f t="array" ref="BB29">IF(OR(BB$26="",$AN29=""),"",INDEX(IF($C$2='Data Validation'!$A$2,'Bank Adjustments'!$I$4:$I$103,IF('Adjustment Surface'!$C$2='Data Validation'!$A$3,'Bank Adjustments'!$S$4:$S$103,"Unknown Option Type")),MATCH(1,($AN29=IF($C$2='Data Validation'!$A$2,'Bank Adjustments'!$C$4:$C$103,IF('Adjustment Surface'!$C$2='Data Validation'!$A$3,'Bank Adjustments'!$M$4:$M$103,"Unknown Option Type")))*(BB$26=IF($C$2='Data Validation'!$A$2,'Bank Adjustments'!$E$4:$E$103,IF('Adjustment Surface'!$C$2='Data Validation'!$A$3,'Bank Adjustments'!$O$4:$O$103,"Unknown Option Type"))),0)))</f>
        <v/>
      </c>
      <c r="BC29" s="193" t="str" cm="1">
        <f t="array" ref="BC29">IF(OR(BC$26="",$AN29=""),"",INDEX(IF($C$2='Data Validation'!$A$2,'Bank Adjustments'!$I$4:$I$103,IF('Adjustment Surface'!$C$2='Data Validation'!$A$3,'Bank Adjustments'!$S$4:$S$103,"Unknown Option Type")),MATCH(1,($AN29=IF($C$2='Data Validation'!$A$2,'Bank Adjustments'!$C$4:$C$103,IF('Adjustment Surface'!$C$2='Data Validation'!$A$3,'Bank Adjustments'!$M$4:$M$103,"Unknown Option Type")))*(BC$26=IF($C$2='Data Validation'!$A$2,'Bank Adjustments'!$E$4:$E$103,IF('Adjustment Surface'!$C$2='Data Validation'!$A$3,'Bank Adjustments'!$O$4:$O$103,"Unknown Option Type"))),0)))</f>
        <v/>
      </c>
      <c r="BD29" s="193" t="str" cm="1">
        <f t="array" ref="BD29">IF(OR(BD$26="",$AN29=""),"",INDEX(IF($C$2='Data Validation'!$A$2,'Bank Adjustments'!$I$4:$I$103,IF('Adjustment Surface'!$C$2='Data Validation'!$A$3,'Bank Adjustments'!$S$4:$S$103,"Unknown Option Type")),MATCH(1,($AN29=IF($C$2='Data Validation'!$A$2,'Bank Adjustments'!$C$4:$C$103,IF('Adjustment Surface'!$C$2='Data Validation'!$A$3,'Bank Adjustments'!$M$4:$M$103,"Unknown Option Type")))*(BD$26=IF($C$2='Data Validation'!$A$2,'Bank Adjustments'!$E$4:$E$103,IF('Adjustment Surface'!$C$2='Data Validation'!$A$3,'Bank Adjustments'!$O$4:$O$103,"Unknown Option Type"))),0)))</f>
        <v/>
      </c>
      <c r="BE29" s="193" t="str" cm="1">
        <f t="array" ref="BE29">IF(OR(BE$26="",$AN29=""),"",INDEX(IF($C$2='Data Validation'!$A$2,'Bank Adjustments'!$I$4:$I$103,IF('Adjustment Surface'!$C$2='Data Validation'!$A$3,'Bank Adjustments'!$S$4:$S$103,"Unknown Option Type")),MATCH(1,($AN29=IF($C$2='Data Validation'!$A$2,'Bank Adjustments'!$C$4:$C$103,IF('Adjustment Surface'!$C$2='Data Validation'!$A$3,'Bank Adjustments'!$M$4:$M$103,"Unknown Option Type")))*(BE$26=IF($C$2='Data Validation'!$A$2,'Bank Adjustments'!$E$4:$E$103,IF('Adjustment Surface'!$C$2='Data Validation'!$A$3,'Bank Adjustments'!$O$4:$O$103,"Unknown Option Type"))),0)))</f>
        <v/>
      </c>
      <c r="BF29" s="193" t="str" cm="1">
        <f t="array" ref="BF29">IF(OR(BF$26="",$AN29=""),"",INDEX(IF($C$2='Data Validation'!$A$2,'Bank Adjustments'!$I$4:$I$103,IF('Adjustment Surface'!$C$2='Data Validation'!$A$3,'Bank Adjustments'!$S$4:$S$103,"Unknown Option Type")),MATCH(1,($AN29=IF($C$2='Data Validation'!$A$2,'Bank Adjustments'!$C$4:$C$103,IF('Adjustment Surface'!$C$2='Data Validation'!$A$3,'Bank Adjustments'!$M$4:$M$103,"Unknown Option Type")))*(BF$26=IF($C$2='Data Validation'!$A$2,'Bank Adjustments'!$E$4:$E$103,IF('Adjustment Surface'!$C$2='Data Validation'!$A$3,'Bank Adjustments'!$O$4:$O$103,"Unknown Option Type"))),0)))</f>
        <v/>
      </c>
      <c r="BG29" s="193" t="str" cm="1">
        <f t="array" ref="BG29">IF(OR(BG$26="",$AN29=""),"",INDEX(IF($C$2='Data Validation'!$A$2,'Bank Adjustments'!$I$4:$I$103,IF('Adjustment Surface'!$C$2='Data Validation'!$A$3,'Bank Adjustments'!$S$4:$S$103,"Unknown Option Type")),MATCH(1,($AN29=IF($C$2='Data Validation'!$A$2,'Bank Adjustments'!$C$4:$C$103,IF('Adjustment Surface'!$C$2='Data Validation'!$A$3,'Bank Adjustments'!$M$4:$M$103,"Unknown Option Type")))*(BG$26=IF($C$2='Data Validation'!$A$2,'Bank Adjustments'!$E$4:$E$103,IF('Adjustment Surface'!$C$2='Data Validation'!$A$3,'Bank Adjustments'!$O$4:$O$103,"Unknown Option Type"))),0)))</f>
        <v/>
      </c>
      <c r="BH29" s="194" t="str" cm="1">
        <f t="array" ref="BH29">IF(OR(BH$26="",$AN29=""),"",INDEX(IF($C$2='Data Validation'!$A$2,'Bank Adjustments'!$I$4:$I$103,IF('Adjustment Surface'!$C$2='Data Validation'!$A$3,'Bank Adjustments'!$S$4:$S$103,"Unknown Option Type")),MATCH(1,($AN29=IF($C$2='Data Validation'!$A$2,'Bank Adjustments'!$C$4:$C$103,IF('Adjustment Surface'!$C$2='Data Validation'!$A$3,'Bank Adjustments'!$M$4:$M$103,"Unknown Option Type")))*(BH$26=IF($C$2='Data Validation'!$A$2,'Bank Adjustments'!$E$4:$E$103,IF('Adjustment Surface'!$C$2='Data Validation'!$A$3,'Bank Adjustments'!$O$4:$O$103,"Unknown Option Type"))),0)))</f>
        <v/>
      </c>
    </row>
    <row r="30" spans="2:60" x14ac:dyDescent="0.25">
      <c r="B30" s="75">
        <f t="shared" ref="B30:B31" si="7">B23</f>
        <v>0.04</v>
      </c>
      <c r="C30" s="70" cm="1">
        <f t="array" ref="C30">IF(AND(COUNT(O4:O23)&lt;2,COUNT(P3:AI3)&lt;2),P4,IF(COUNT(O4:O23)&lt;2,_xlfn.FORECAST.LINEAR(C14,INDEX(P4:AI4,1,MATCH(IF(C14&lt;MIN(P3:AI3),INDEX(P3:AI3,1,MATCH(MIN(P3:AI3),P3:AI3,0)),IF(C14&gt;=MAX(P3:AI3),INDEX(P3:AI3,1,MATCH(MAX(P3:AI3),P3:AI3,0)),INDEX(P3:AI3,1,MATCH(C14,P3:AI3,1)))):IF(C14&lt;MIN(P3:AI3),INDEX(P3:AI3,1,MATCH(MIN(P3:AI3),P3:AI3,0)+1),IF(C14&gt;=MAX(P3:AI3),INDEX(P3:AI3,1,MATCH(MAX(P3:AI3),P3:AI3,0)-1),INDEX(P3:AI3,1,MATCH(C14,P3:AI3,1)+1))),P3:AI3,0)),IF(C14&lt;MIN(P3:AI3),INDEX(P3:AI3,1,MATCH(MIN(P3:AI3),P3:AI3,0)),IF(C14&gt;=MAX(P3:AI3),INDEX(P3:AI3,1,MATCH(MAX(P3:AI3),P3:AI3,0)),INDEX(P3:AI3,1,MATCH(C14,P3:AI3,1)))):IF(C14&lt;MIN(P3:AI3),INDEX(P3:AI3,1,MATCH(MIN(P3:AI3),P3:AI3,0)+1),IF(C14&gt;=MAX(P3:AI3),INDEX(P3:AI3,1,MATCH(MAX(P3:AI3),P3:AI3,0)-1),INDEX(P3:AI3,1,MATCH(C14,P3:AI3,1)+1)))),IF(COUNT(P3:AI3)&lt;2,_xlfn.FORECAST.LINEAR(B16,INDEX(P4:P23,MATCH(IF(B16&lt;MIN(O4:O23),INDEX(O4:O23,MATCH(MIN(O4:O23),O4:O23,0)),IF(B16&gt;=MAX(O4:O23),INDEX(O4:O23,MATCH(MAX(O4:O23),O4:O23,0)),INDEX(O4:O23,MATCH(B16,O4:O23,1)))):IF(B16&lt;MIN(O4:O23),INDEX(O4:O23,MATCH(MIN(O4:O23),O4:O23,0)+1),IF(B16&gt;=MAX(O4:O23),INDEX(O4:O23,MATCH(MAX(O4:O23),O4:O23,0)-1),INDEX(O4:O23,MATCH(B16,O4:O23,1)+1))),O4:O23,0)),IF(B16&lt;MIN(O4:O23),INDEX(O4:O23,MATCH(MIN(O4:O23),O4:O23,0)),IF(B16&gt;=MAX(O4:O23),INDEX(O4:O23,MATCH(MAX(O4:O23),O4:O23,0)),INDEX(O4:O23,MATCH(B16,O4:O23,1)))):IF(B16&lt;MIN(O4:O23),INDEX(O4:O23,MATCH(MIN(O4:O23),O4:O23,0)+1),IF(B16&gt;=MAX(O4:O23),INDEX(O4:O23,MATCH(MAX(O4:O23),O4:O23,0)-1),INDEX(O4:O23,MATCH(B16,O4:O23,1)+1)))),1/((INDEX(_xlfn._xlws.FILTER(H4:H23,(INDEX(H4:H23,MATCH(SMALL(J4:J23,1),J4:J23,0))=H4:H23)=FALSE()),MATCH(SMALL(J4:J23,2),_xlfn._xlws.FILTER(J4:J23,(INDEX(H4:H23,MATCH(SMALL(J4:J23,1),J4:J23,0))=H4:H23)=FALSE()),0))-INDEX(H4:H23,MATCH(SMALL(J4:J23,1),J4:J23,0)))*(INDEX(_xlfn._xlws.FILTER(H27:H46,(INDEX(H27:H46,MATCH(SMALL(K27:K46,1),K27:K46,0))=H27:H46)=FALSE()),MATCH(SMALL(K27:K46,2),_xlfn._xlws.FILTER(K27:K46,(INDEX(H27:H46,MATCH(SMALL(K27:K46,1),K27:K46,0))=H27:H46)=FALSE()),0))-INDEX(H27:H46,MATCH(SMALL(K27:K46,1),K27:K46,0))))*(INDEX(P4:AI23,MATCH(INDEX(H27:H46,MATCH(SMALL(K27:K46,1),K27:K46,0)),O4:O23,0),MATCH(INDEX(H4:H23,MATCH(SMALL(J4:J23,1),J4:J23,0)),P3:AI3,0))*(INDEX(_xlfn._xlws.FILTER(H4:H23,(INDEX(H4:H23,MATCH(SMALL(J4:J23,1),J4:J23,0))=H4:H23)=FALSE()),MATCH(SMALL(J4:J23,2),_xlfn._xlws.FILTER(J4:J23,(INDEX(H4:H23,MATCH(SMALL(J4:J23,1),J4:J23,0))=H4:H23)=FALSE()),0))-C14)*(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4:AI23,MATCH(INDEX(H27:H46,MATCH(SMALL(K27:K46,1),K27:K46,0)),O4:O23,0),MATCH(INDEX(_xlfn._xlws.FILTER(H4:H23,(INDEX(H4:H23,MATCH(SMALL(J4:J23,1),J4:J23,0))=H4:H23)=FALSE()),MATCH(SMALL(J4:J23,2),_xlfn._xlws.FILTER(J4:J23,(INDEX(H4:H23,MATCH(SMALL(J4:J23,1),J4:J23,0))=H4:H23)=FALSE()),0)),P3:AI3,0))*(C14-INDEX(H4:H23,MATCH(SMALL(J4:J23,1),J4:J23,0)))*(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4:AI23,MATCH(INDEX(_xlfn._xlws.FILTER(H27:H46,(INDEX(H27:H46,MATCH(SMALL(K27:K46,1),K27:K46,0))=H27:H46)=FALSE()),MATCH(SMALL(K27:K46,2),_xlfn._xlws.FILTER(K27:K46,(INDEX(H27:H46,MATCH(SMALL(K27:K46,1),K27:K46,0))=H27:H46)=FALSE()),0)),O4:O23,0),MATCH(INDEX(H4:H23,MATCH(SMALL(J4:J23,1),J4:J23,0)),P3:AI3,0))*(INDEX(_xlfn._xlws.FILTER(H4:H23,(INDEX(H4:H23,MATCH(SMALL(J4:J23,1),J4:J23,0))=H4:H23)=FALSE()),MATCH(SMALL(J4:J23,2),_xlfn._xlws.FILTER(J4:J23,(INDEX(H4:H23,MATCH(SMALL(J4:J23,1),J4:J23,0))=H4:H23)=FALSE()),0))-C14)*(IF(OR(C9='Data Validation'!D2,C9='Data Validation'!D3),B16,IF(C9='Data Validation'!D3,SUMPRODUCT('Bachelier Model'!N4:N124,'Bachelier Model'!O4:O124)/SUM('Bachelier Model'!N4:N124),"Strike Type Unknown"))-INDEX(H27:H46,MATCH(SMALL(K27:K46,1),K27:K46,0)))+INDEX(P4:AI23,MATCH(INDEX(_xlfn._xlws.FILTER(H27:H46,(INDEX(H27:H46,MATCH(SMALL(K27:K46,1),K27:K46,0))=H27:H46)=FALSE()),MATCH(SMALL(K27:K46,2),_xlfn._xlws.FILTER(K27:K46,(INDEX(H27:H46,MATCH(SMALL(K27:K46,1),K27:K46,0))=H27:H46)=FALSE()),0)),O4:O23,0),MATCH(INDEX(_xlfn._xlws.FILTER(H4:H23,(INDEX(H4:H23,MATCH(SMALL(J4:J23,1),J4:J23,0))=H4:H23)=FALSE()),MATCH(SMALL(J4:J23,2),_xlfn._xlws.FILTER(J4:J23,(INDEX(H4:H23,MATCH(SMALL(J4:J23,1),J4:J23,0))=H4:H23)=FALSE()),0)),P3:AI3,0))*(C14-INDEX(H4:H23,MATCH(SMALL(J4:J23,1),J4:J23,0)))*(IF(OR(C9='Data Validation'!D2,C9='Data Validation'!D3),B16,IF(C9='Data Validation'!D3,SUMPRODUCT('Bachelier Model'!N4:N124,'Bachelier Model'!O4:O124)/SUM('Bachelier Model'!N4:N124),"Strike Type Unknown"))-INDEX(H27:H46,MATCH(SMALL(K27:K46,1),K27:K46,0)))))))</f>
        <v>27.855189705711929</v>
      </c>
      <c r="D30" s="70" cm="1">
        <f t="array" ref="D30">IF(AND(COUNT(O4:O23)&lt;2,COUNT(P3:AI3)&lt;2),P4,IF(COUNT(O4:O23)&lt;2,_xlfn.FORECAST.LINEAR(D14,INDEX(P4:AI4,1,MATCH(IF(D14&lt;MIN(P3:AI3),INDEX(P3:AI3,1,MATCH(MIN(P3:AI3),P3:AI3,0)),IF(D14&gt;=MAX(P3:AI3),INDEX(P3:AI3,1,MATCH(MAX(P3:AI3),P3:AI3,0)),INDEX(P3:AI3,1,MATCH(D14,P3:AI3,1)))):IF(D14&lt;MIN(P3:AI3),INDEX(P3:AI3,1,MATCH(MIN(P3:AI3),P3:AI3,0)+1),IF(D14&gt;=MAX(P3:AI3),INDEX(P3:AI3,1,MATCH(MAX(P3:AI3),P3:AI3,0)-1),INDEX(P3:AI3,1,MATCH(D14,P3:AI3,1)+1))),P3:AI3,0)),IF(D14&lt;MIN(P3:AI3),INDEX(P3:AI3,1,MATCH(MIN(P3:AI3),P3:AI3,0)),IF(D14&gt;=MAX(P3:AI3),INDEX(P3:AI3,1,MATCH(MAX(P3:AI3),P3:AI3,0)),INDEX(P3:AI3,1,MATCH(D14,P3:AI3,1)))):IF(D14&lt;MIN(P3:AI3),INDEX(P3:AI3,1,MATCH(MIN(P3:AI3),P3:AI3,0)+1),IF(D14&gt;=MAX(P3:AI3),INDEX(P3:AI3,1,MATCH(MAX(P3:AI3),P3:AI3,0)-1),INDEX(P3:AI3,1,MATCH(D14,P3:AI3,1)+1)))),IF(COUNT(P3:AI3)&lt;2,_xlfn.FORECAST.LINEAR(B16,INDEX(P4:P23,MATCH(IF(B16&lt;MIN(O4:O23),INDEX(O4:O23,MATCH(MIN(O4:O23),O4:O23,0)),IF(B16&gt;=MAX(O4:O23),INDEX(O4:O23,MATCH(MAX(O4:O23),O4:O23,0)),INDEX(O4:O23,MATCH(B16,O4:O23,1)))):IF(B16&lt;MIN(O4:O23),INDEX(O4:O23,MATCH(MIN(O4:O23),O4:O23,0)+1),IF(B16&gt;=MAX(O4:O23),INDEX(O4:O23,MATCH(MAX(O4:O23),O4:O23,0)-1),INDEX(O4:O23,MATCH(B16,O4:O23,1)+1))),O4:O23,0)),IF(B16&lt;MIN(O4:O23),INDEX(O4:O23,MATCH(MIN(O4:O23),O4:O23,0)),IF(B16&gt;=MAX(O4:O23),INDEX(O4:O23,MATCH(MAX(O4:O23),O4:O23,0)),INDEX(O4:O23,MATCH(B16,O4:O23,1)))):IF(B16&lt;MIN(O4:O23),INDEX(O4:O23,MATCH(MIN(O4:O23),O4:O23,0)+1),IF(B16&gt;=MAX(O4:O23),INDEX(O4:O23,MATCH(MAX(O4:O23),O4:O23,0)-1),INDEX(O4:O23,MATCH(B16,O4:O23,1)+1)))),1/((INDEX(_xlfn._xlws.FILTER(H4:H23,(INDEX(H4:H23,MATCH(SMALL(K4:K23,1),K4:K23,0))=H4:H23)=FALSE()),MATCH(SMALL(K4:K23,2),_xlfn._xlws.FILTER(K4:K23,(INDEX(H4:H23,MATCH(SMALL(K4:K23,1),K4:K23,0))=H4:H23)=FALSE()),0))-INDEX(H4:H23,MATCH(SMALL(K4:K23,1),K4:K23,0)))*(INDEX(_xlfn._xlws.FILTER(H27:H46,(INDEX(H27:H46,MATCH(SMALL(K27:K46,1),K27:K46,0))=H27:H46)=FALSE()),MATCH(SMALL(K27:K46,2),_xlfn._xlws.FILTER(K27:K46,(INDEX(H27:H46,MATCH(SMALL(K27:K46,1),K27:K46,0))=H27:H46)=FALSE()),0))-INDEX(H27:H46,MATCH(SMALL(K27:K46,1),K27:K46,0))))*(INDEX(P4:AI23,MATCH(INDEX(H27:H46,MATCH(SMALL(K27:K46,1),K27:K46,0)),O4:O23,0),MATCH(INDEX(H4:H23,MATCH(SMALL(K4:K23,1),K4:K23,0)),P3:AI3,0))*(INDEX(_xlfn._xlws.FILTER(H4:H23,(INDEX(H4:H23,MATCH(SMALL(K4:K23,1),K4:K23,0))=H4:H23)=FALSE()),MATCH(SMALL(K4:K23,2),_xlfn._xlws.FILTER(K4:K23,(INDEX(H4:H23,MATCH(SMALL(K4:K23,1),K4:K23,0))=H4:H23)=FALSE()),0))-D14)*(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4:AI23,MATCH(INDEX(H27:H46,MATCH(SMALL(K27:K46,1),K27:K46,0)),O4:O23,0),MATCH(INDEX(_xlfn._xlws.FILTER(H4:H23,(INDEX(H4:H23,MATCH(SMALL(K4:K23,1),K4:K23,0))=H4:H23)=FALSE()),MATCH(SMALL(K4:K23,2),_xlfn._xlws.FILTER(K4:K23,(INDEX(H4:H23,MATCH(SMALL(K4:K23,1),K4:K23,0))=H4:H23)=FALSE()),0)),P3:AI3,0))*(D14-INDEX(H4:H23,MATCH(SMALL(K4:K23,1),K4:K23,0)))*(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4:AI23,MATCH(INDEX(_xlfn._xlws.FILTER(H27:H46,(INDEX(H27:H46,MATCH(SMALL(K27:K46,1),K27:K46,0))=H27:H46)=FALSE()),MATCH(SMALL(K27:K46,2),_xlfn._xlws.FILTER(K27:K46,(INDEX(H27:H46,MATCH(SMALL(K27:K46,1),K27:K46,0))=H27:H46)=FALSE()),0)),O4:O23,0),MATCH(INDEX(H4:H23,MATCH(SMALL(K4:K23,1),K4:K23,0)),P3:AI3,0))*(INDEX(_xlfn._xlws.FILTER(H4:H23,(INDEX(H4:H23,MATCH(SMALL(K4:K23,1),K4:K23,0))=H4:H23)=FALSE()),MATCH(SMALL(K4:K23,2),_xlfn._xlws.FILTER(K4:K23,(INDEX(H4:H23,MATCH(SMALL(K4:K23,1),K4:K23,0))=H4:H23)=FALSE()),0))-D14)*(IF(OR(C9='Data Validation'!D2,C9='Data Validation'!D3),B16,IF(C9='Data Validation'!D3,SUMPRODUCT('Bachelier Model'!N4:N124,'Bachelier Model'!O4:O124)/SUM('Bachelier Model'!N4:N124),"Strike Type Unknown"))-INDEX(H27:H46,MATCH(SMALL(K27:K46,1),K27:K46,0)))+INDEX(P4:AI23,MATCH(INDEX(_xlfn._xlws.FILTER(H27:H46,(INDEX(H27:H46,MATCH(SMALL(K27:K46,1),K27:K46,0))=H27:H46)=FALSE()),MATCH(SMALL(K27:K46,2),_xlfn._xlws.FILTER(K27:K46,(INDEX(H27:H46,MATCH(SMALL(K27:K46,1),K27:K46,0))=H27:H46)=FALSE()),0)),O4:O23,0),MATCH(INDEX(_xlfn._xlws.FILTER(H4:H23,(INDEX(H4:H23,MATCH(SMALL(K4:K23,1),K4:K23,0))=H4:H23)=FALSE()),MATCH(SMALL(K4:K23,2),_xlfn._xlws.FILTER(K4:K23,(INDEX(H4:H23,MATCH(SMALL(K4:K23,1),K4:K23,0))=H4:H23)=FALSE()),0)),P3:AI3,0))*(D14-INDEX(H4:H23,MATCH(SMALL(K4:K23,1),K4:K23,0)))*(IF(OR(C9='Data Validation'!D2,C9='Data Validation'!D3),B16,IF(C9='Data Validation'!D3,SUMPRODUCT('Bachelier Model'!N4:N124,'Bachelier Model'!O4:O124)/SUM('Bachelier Model'!N4:N124),"Strike Type Unknown"))-INDEX(H27:H46,MATCH(SMALL(K27:K46,1),K27:K46,0)))))))</f>
        <v>7.7611663960847599</v>
      </c>
      <c r="E30" s="70" cm="1">
        <f t="array" ref="E30">IF(AND(COUNT(O4:O23)&lt;2,COUNT(P3:AI3)&lt;2),P4,IF(COUNT(O4:O23)&lt;2,_xlfn.FORECAST.LINEAR(E14,INDEX(P4:AI4,1,MATCH(IF(E14&lt;MIN(P3:AI3),INDEX(P3:AI3,1,MATCH(MIN(P3:AI3),P3:AI3,0)),IF(E14&gt;=MAX(P3:AI3),INDEX(P3:AI3,1,MATCH(MAX(P3:AI3),P3:AI3,0)),INDEX(P3:AI3,1,MATCH(E14,P3:AI3,1)))):IF(E14&lt;MIN(P3:AI3),INDEX(P3:AI3,1,MATCH(MIN(P3:AI3),P3:AI3,0)+1),IF(E14&gt;=MAX(P3:AI3),INDEX(P3:AI3,1,MATCH(MAX(P3:AI3),P3:AI3,0)-1),INDEX(P3:AI3,1,MATCH(E14,P3:AI3,1)+1))),P3:AI3,0)),IF(E14&lt;MIN(P3:AI3),INDEX(P3:AI3,1,MATCH(MIN(P3:AI3),P3:AI3,0)),IF(E14&gt;=MAX(P3:AI3),INDEX(P3:AI3,1,MATCH(MAX(P3:AI3),P3:AI3,0)),INDEX(P3:AI3,1,MATCH(E14,P3:AI3,1)))):IF(E14&lt;MIN(P3:AI3),INDEX(P3:AI3,1,MATCH(MIN(P3:AI3),P3:AI3,0)+1),IF(E14&gt;=MAX(P3:AI3),INDEX(P3:AI3,1,MATCH(MAX(P3:AI3),P3:AI3,0)-1),INDEX(P3:AI3,1,MATCH(E14,P3:AI3,1)+1)))),IF(COUNT(P3:AI3)&lt;2,_xlfn.FORECAST.LINEAR(B16,INDEX(P4:P23,MATCH(IF(B16&lt;MIN(O4:O23),INDEX(O4:O23,MATCH(MIN(O4:O23),O4:O23,0)),IF(B16&gt;=MAX(O4:O23),INDEX(O4:O23,MATCH(MAX(O4:O23),O4:O23,0)),INDEX(O4:O23,MATCH(B16,O4:O23,1)))):IF(B16&lt;MIN(O4:O23),INDEX(O4:O23,MATCH(MIN(O4:O23),O4:O23,0)+1),IF(B16&gt;=MAX(O4:O23),INDEX(O4:O23,MATCH(MAX(O4:O23),O4:O23,0)-1),INDEX(O4:O23,MATCH(B16,O4:O23,1)+1))),O4:O23,0)),IF(B16&lt;MIN(O4:O23),INDEX(O4:O23,MATCH(MIN(O4:O23),O4:O23,0)),IF(B16&gt;=MAX(O4:O23),INDEX(O4:O23,MATCH(MAX(O4:O23),O4:O23,0)),INDEX(O4:O23,MATCH(B16,O4:O23,1)))):IF(B16&lt;MIN(O4:O23),INDEX(O4:O23,MATCH(MIN(O4:O23),O4:O23,0)+1),IF(B16&gt;=MAX(O4:O23),INDEX(O4:O23,MATCH(MAX(O4:O23),O4:O23,0)-1),INDEX(O4:O23,MATCH(B16,O4:O23,1)+1)))),1/((INDEX(_xlfn._xlws.FILTER(H4:H23,(INDEX(H4:H23,MATCH(SMALL(L4:L23,1),L4:L23,0))=H4:H23)=FALSE()),MATCH(SMALL(L4:L23,2),_xlfn._xlws.FILTER(L4:L23,(INDEX(H4:H23,MATCH(SMALL(L4:L23,1),L4:L23,0))=H4:H23)=FALSE()),0))-INDEX(H4:H23,MATCH(SMALL(L4:L23,1),L4:L23,0)))*(INDEX(_xlfn._xlws.FILTER(H27:H46,(INDEX(H27:H46,MATCH(SMALL(K27:K46,1),K27:K46,0))=H27:H46)=FALSE()),MATCH(SMALL(K27:K46,2),_xlfn._xlws.FILTER(K27:K46,(INDEX(H27:H46,MATCH(SMALL(K27:K46,1),K27:K46,0))=H27:H46)=FALSE()),0))-INDEX(H27:H46,MATCH(SMALL(K27:K46,1),K27:K46,0))))*(INDEX(P4:AI23,MATCH(INDEX(H27:H46,MATCH(SMALL(K27:K46,1),K27:K46,0)),O4:O23,0),MATCH(INDEX(H4:H23,MATCH(SMALL(L4:L23,1),L4:L23,0)),P3:AI3,0))*(INDEX(_xlfn._xlws.FILTER(H4:H23,(INDEX(H4:H23,MATCH(SMALL(L4:L23,1),L4:L23,0))=H4:H23)=FALSE()),MATCH(SMALL(L4:L23,2),_xlfn._xlws.FILTER(L4:L23,(INDEX(H4:H23,MATCH(SMALL(L4:L23,1),L4:L23,0))=H4:H23)=FALSE()),0))-E14)*(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4:AI23,MATCH(INDEX(H27:H46,MATCH(SMALL(K27:K46,1),K27:K46,0)),O4:O23,0),MATCH(INDEX(_xlfn._xlws.FILTER(H4:H23,(INDEX(H4:H23,MATCH(SMALL(L4:L23,1),L4:L23,0))=H4:H23)=FALSE()),MATCH(SMALL(L4:L23,2),_xlfn._xlws.FILTER(L4:L23,(INDEX(H4:H23,MATCH(SMALL(L4:L23,1),L4:L23,0))=H4:H23)=FALSE()),0)),P3:AI3,0))*(E14-INDEX(H4:H23,MATCH(SMALL(L4:L23,1),L4:L23,0)))*(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4:AI23,MATCH(INDEX(_xlfn._xlws.FILTER(H27:H46,(INDEX(H27:H46,MATCH(SMALL(K27:K46,1),K27:K46,0))=H27:H46)=FALSE()),MATCH(SMALL(K27:K46,2),_xlfn._xlws.FILTER(K27:K46,(INDEX(H27:H46,MATCH(SMALL(K27:K46,1),K27:K46,0))=H27:H46)=FALSE()),0)),O4:O23,0),MATCH(INDEX(H4:H23,MATCH(SMALL(L4:L23,1),L4:L23,0)),P3:AI3,0))*(INDEX(_xlfn._xlws.FILTER(H4:H23,(INDEX(H4:H23,MATCH(SMALL(L4:L23,1),L4:L23,0))=H4:H23)=FALSE()),MATCH(SMALL(L4:L23,2),_xlfn._xlws.FILTER(L4:L23,(INDEX(H4:H23,MATCH(SMALL(L4:L23,1),L4:L23,0))=H4:H23)=FALSE()),0))-E14)*(IF(OR(C9='Data Validation'!D2,C9='Data Validation'!D3),B16,IF(C9='Data Validation'!D3,SUMPRODUCT('Bachelier Model'!N4:N124,'Bachelier Model'!O4:O124)/SUM('Bachelier Model'!N4:N124),"Strike Type Unknown"))-INDEX(H27:H46,MATCH(SMALL(K27:K46,1),K27:K46,0)))+INDEX(P4:AI23,MATCH(INDEX(_xlfn._xlws.FILTER(H27:H46,(INDEX(H27:H46,MATCH(SMALL(K27:K46,1),K27:K46,0))=H27:H46)=FALSE()),MATCH(SMALL(K27:K46,2),_xlfn._xlws.FILTER(K27:K46,(INDEX(H27:H46,MATCH(SMALL(K27:K46,1),K27:K46,0))=H27:H46)=FALSE()),0)),O4:O23,0),MATCH(INDEX(_xlfn._xlws.FILTER(H4:H23,(INDEX(H4:H23,MATCH(SMALL(L4:L23,1),L4:L23,0))=H4:H23)=FALSE()),MATCH(SMALL(L4:L23,2),_xlfn._xlws.FILTER(L4:L23,(INDEX(H4:H23,MATCH(SMALL(L4:L23,1),L4:L23,0))=H4:H23)=FALSE()),0)),P3:AI3,0))*(E14-INDEX(H4:H23,MATCH(SMALL(L4:L23,1),L4:L23,0)))*(IF(OR(C9='Data Validation'!D2,C9='Data Validation'!D3),B16,IF(C9='Data Validation'!D3,SUMPRODUCT('Bachelier Model'!N4:N124,'Bachelier Model'!O4:O124)/SUM('Bachelier Model'!N4:N124),"Strike Type Unknown"))-INDEX(H27:H46,MATCH(SMALL(K27:K46,1),K27:K46,0)))))))</f>
        <v>8.6026374862867296</v>
      </c>
      <c r="F30" s="70" cm="1">
        <f t="array" ref="F30">IF(AND(COUNT(O4:O23)&lt;2,COUNT(P3:AI3)&lt;2),P4,IF(COUNT(O4:O23)&lt;2,_xlfn.FORECAST.LINEAR(F14,INDEX(P4:AI4,1,MATCH(IF(F14&lt;MIN(P3:AI3),INDEX(P3:AI3,1,MATCH(MIN(P3:AI3),P3:AI3,0)),IF(F14&gt;=MAX(P3:AI3),INDEX(P3:AI3,1,MATCH(MAX(P3:AI3),P3:AI3,0)),INDEX(P3:AI3,1,MATCH(F14,P3:AI3,1)))):IF(F14&lt;MIN(P3:AI3),INDEX(P3:AI3,1,MATCH(MIN(P3:AI3),P3:AI3,0)+1),IF(F14&gt;=MAX(P3:AI3),INDEX(P3:AI3,1,MATCH(MAX(P3:AI3),P3:AI3,0)-1),INDEX(P3:AI3,1,MATCH(F14,P3:AI3,1)+1))),P3:AI3,0)),IF(F14&lt;MIN(P3:AI3),INDEX(P3:AI3,1,MATCH(MIN(P3:AI3),P3:AI3,0)),IF(F14&gt;=MAX(P3:AI3),INDEX(P3:AI3,1,MATCH(MAX(P3:AI3),P3:AI3,0)),INDEX(P3:AI3,1,MATCH(F14,P3:AI3,1)))):IF(F14&lt;MIN(P3:AI3),INDEX(P3:AI3,1,MATCH(MIN(P3:AI3),P3:AI3,0)+1),IF(F14&gt;=MAX(P3:AI3),INDEX(P3:AI3,1,MATCH(MAX(P3:AI3),P3:AI3,0)-1),INDEX(P3:AI3,1,MATCH(F14,P3:AI3,1)+1)))),IF(COUNT(P3:AI3)&lt;2,_xlfn.FORECAST.LINEAR(B16,INDEX(P4:P23,MATCH(IF(B16&lt;MIN(O4:O23),INDEX(O4:O23,MATCH(MIN(O4:O23),O4:O23,0)),IF(B16&gt;=MAX(O4:O23),INDEX(O4:O23,MATCH(MAX(O4:O23),O4:O23,0)),INDEX(O4:O23,MATCH(B16,O4:O23,1)))):IF(B16&lt;MIN(O4:O23),INDEX(O4:O23,MATCH(MIN(O4:O23),O4:O23,0)+1),IF(B16&gt;=MAX(O4:O23),INDEX(O4:O23,MATCH(MAX(O4:O23),O4:O23,0)-1),INDEX(O4:O23,MATCH(B16,O4:O23,1)+1))),O4:O23,0)),IF(B16&lt;MIN(O4:O23),INDEX(O4:O23,MATCH(MIN(O4:O23),O4:O23,0)),IF(B16&gt;=MAX(O4:O23),INDEX(O4:O23,MATCH(MAX(O4:O23),O4:O23,0)),INDEX(O4:O23,MATCH(B16,O4:O23,1)))):IF(B16&lt;MIN(O4:O23),INDEX(O4:O23,MATCH(MIN(O4:O23),O4:O23,0)+1),IF(B16&gt;=MAX(O4:O23),INDEX(O4:O23,MATCH(MAX(O4:O23),O4:O23,0)-1),INDEX(O4:O23,MATCH(B16,O4:O23,1)+1)))),1/((INDEX(_xlfn._xlws.FILTER(H4:H23,(INDEX(H4:H23,MATCH(SMALL(M4:M23,1),M4:M23,0))=H4:H23)=FALSE()),MATCH(SMALL(M4:M23,2),_xlfn._xlws.FILTER(M4:M23,(INDEX(H4:H23,MATCH(SMALL(M4:M23,1),M4:M23,0))=H4:H23)=FALSE()),0))-INDEX(H4:H23,MATCH(SMALL(M4:M23,1),M4:M23,0)))*(INDEX(_xlfn._xlws.FILTER(H27:H46,(INDEX(H27:H46,MATCH(SMALL(K27:K46,1),K27:K46,0))=H27:H46)=FALSE()),MATCH(SMALL(K27:K46,2),_xlfn._xlws.FILTER(K27:K46,(INDEX(H27:H46,MATCH(SMALL(K27:K46,1),K27:K46,0))=H27:H46)=FALSE()),0))-INDEX(H27:H46,MATCH(SMALL(K27:K46,1),K27:K46,0))))*(INDEX(P4:AI23,MATCH(INDEX(H27:H46,MATCH(SMALL(K27:K46,1),K27:K46,0)),O4:O23,0),MATCH(INDEX(H4:H23,MATCH(SMALL(M4:M23,1),M4:M23,0)),P3:AI3,0))*(INDEX(_xlfn._xlws.FILTER(H4:H23,(INDEX(H4:H23,MATCH(SMALL(M4:M23,1),M4:M23,0))=H4:H23)=FALSE()),MATCH(SMALL(M4:M23,2),_xlfn._xlws.FILTER(M4:M23,(INDEX(H4:H23,MATCH(SMALL(M4:M23,1),M4:M23,0))=H4:H23)=FALSE()),0))-F14)*(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4:AI23,MATCH(INDEX(H27:H46,MATCH(SMALL(K27:K46,1),K27:K46,0)),O4:O23,0),MATCH(INDEX(_xlfn._xlws.FILTER(H4:H23,(INDEX(H4:H23,MATCH(SMALL(M4:M23,1),M4:M23,0))=H4:H23)=FALSE()),MATCH(SMALL(M4:M23,2),_xlfn._xlws.FILTER(M4:M23,(INDEX(H4:H23,MATCH(SMALL(M4:M23,1),M4:M23,0))=H4:H23)=FALSE()),0)),P3:AI3,0))*(F14-INDEX(H4:H23,MATCH(SMALL(M4:M23,1),M4:M23,0)))*(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4:AI23,MATCH(INDEX(_xlfn._xlws.FILTER(H27:H46,(INDEX(H27:H46,MATCH(SMALL(K27:K46,1),K27:K46,0))=H27:H46)=FALSE()),MATCH(SMALL(K27:K46,2),_xlfn._xlws.FILTER(K27:K46,(INDEX(H27:H46,MATCH(SMALL(K27:K46,1),K27:K46,0))=H27:H46)=FALSE()),0)),O4:O23,0),MATCH(INDEX(H4:H23,MATCH(SMALL(M4:M23,1),M4:M23,0)),P3:AI3,0))*(INDEX(_xlfn._xlws.FILTER(H4:H23,(INDEX(H4:H23,MATCH(SMALL(M4:M23,1),M4:M23,0))=H4:H23)=FALSE()),MATCH(SMALL(M4:M23,2),_xlfn._xlws.FILTER(M4:M23,(INDEX(H4:H23,MATCH(SMALL(M4:M23,1),M4:M23,0))=H4:H23)=FALSE()),0))-F14)*(IF(OR(C9='Data Validation'!D2,C9='Data Validation'!D3),B16,IF(C9='Data Validation'!D3,SUMPRODUCT('Bachelier Model'!N4:N124,'Bachelier Model'!O4:O124)/SUM('Bachelier Model'!N4:N124),"Strike Type Unknown"))-INDEX(H27:H46,MATCH(SMALL(K27:K46,1),K27:K46,0)))+INDEX(P4:AI23,MATCH(INDEX(_xlfn._xlws.FILTER(H27:H46,(INDEX(H27:H46,MATCH(SMALL(K27:K46,1),K27:K46,0))=H27:H46)=FALSE()),MATCH(SMALL(K27:K46,2),_xlfn._xlws.FILTER(K27:K46,(INDEX(H27:H46,MATCH(SMALL(K27:K46,1),K27:K46,0))=H27:H46)=FALSE()),0)),O4:O23,0),MATCH(INDEX(_xlfn._xlws.FILTER(H4:H23,(INDEX(H4:H23,MATCH(SMALL(M4:M23,1),M4:M23,0))=H4:H23)=FALSE()),MATCH(SMALL(M4:M23,2),_xlfn._xlws.FILTER(M4:M23,(INDEX(H4:H23,MATCH(SMALL(M4:M23,1),M4:M23,0))=H4:H23)=FALSE()),0)),P3:AI3,0))*(F14-INDEX(H4:H23,MATCH(SMALL(M4:M23,1),M4:M23,0)))*(IF(OR(C9='Data Validation'!D2,C9='Data Validation'!D3),B16,IF(C9='Data Validation'!D3,SUMPRODUCT('Bachelier Model'!N4:N124,'Bachelier Model'!O4:O124)/SUM('Bachelier Model'!N4:N124),"Strike Type Unknown"))-INDEX(H27:H46,MATCH(SMALL(K27:K46,1),K27:K46,0)))))))</f>
        <v>9.4418094751493538</v>
      </c>
      <c r="H30" s="176">
        <v>3.5000000000000003E-2</v>
      </c>
      <c r="I30" s="54">
        <f t="shared" si="6"/>
        <v>1.5000000000000003E-2</v>
      </c>
      <c r="J30" s="55">
        <f t="shared" si="6"/>
        <v>5.0000000000000044E-3</v>
      </c>
      <c r="K30" s="55">
        <f t="shared" si="6"/>
        <v>4.9999999999999975E-3</v>
      </c>
      <c r="L30" s="55">
        <f t="shared" si="6"/>
        <v>1.4999999999999999E-2</v>
      </c>
      <c r="M30" s="48">
        <f t="shared" si="6"/>
        <v>2.4999999999999994E-2</v>
      </c>
      <c r="O30" s="176">
        <v>3.5000000000000003E-2</v>
      </c>
      <c r="P30" s="192" cm="1">
        <f t="array" ref="P30">IF(OR(P$26="",$O30=""),"",1/((INDEX('Adjustment Surface'!$AN$27:$AN$46,MATCH(('Adjustment Surface'!$O30),'Adjustment Surface'!$AN$27:$AN$46,1)+IF('Adjustment Surface'!$O31="",-1,1))-INDEX('Adjustment Surface'!$AN$27:$AN$46,MATCH(('Adjustment Surface'!$O30),'Adjustment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Surface'!$O30),'Adjustment Surface'!$AN$27:$AN$46,1)),$AN$27:$AN$46,0),MATCH(INDEX('Adjustment Surface'!$AO$26:$BH$26,1,MATCH(('Adjustment Surface'!P$26),'Adjustment Surface'!$AO$26:$BH$26,1)),$AO$26:$BH$26,0))*(INDEX('Adjustment Surface'!$AN$27:$AN$46,MATCH(('Adjustment Surface'!$O30),'Adjustment Surface'!$AN$27:$AN$46,1)+IF('Adjustment Surface'!$O31="",-1,1))-'Adjustment Surface'!$O30)*(INDEX('Adjustment Surface'!$AO$26:$BH$26,1,MATCH(('Adjustment Surface'!P$26),'Adjustment Surface'!$AO$26:$BH$26,1)+IF('Adjustment Surface'!Q$26="",-1,1))-'Adjustment Surface'!P$26)+INDEX($AO$27:$BH$46,MATCH(INDEX('Adjustment Surface'!$AN$27:$AN$46,MATCH(('Adjustment Surface'!$O30),'Adjustment Surface'!$AN$27:$AN$46,1)+IF('Adjustment Surface'!$O31="",-1,1)),$AN$27:$AN$46,0),MATCH(INDEX('Adjustment Surface'!$AO$26:$BH$26,1,MATCH(('Adjustment Surface'!P$26),'Adjustment Surface'!$AO$26:$BH$26,1)),$AO$26:$BH$26,0))*('Adjustment Surface'!$O30-INDEX('Adjustment Surface'!$AN$27:$AN$46,MATCH(('Adjustment Surface'!$O30),'Adjustment Surface'!$AN$27:$AN$46,1)))*(INDEX('Adjustment Surface'!$AO$26:$BH$26,1,MATCH(('Adjustment Surface'!P$26),'Adjustment Surface'!$AO$26:$BH$26,1)+IF('Adjustment Surface'!Q$26="",-1,1))-'Adjustment Surface'!P$26)+INDEX($AO$27:$BH$46,MATCH(INDEX('Adjustment Surface'!$AN$27:$AN$46,MATCH(('Adjustment Surface'!$O30),'Adjustment Surface'!$AN$27:$AN$46,1)),$AN$27:$AN$46,0),MATCH(INDEX('Adjustment Surface'!$AO$26:$BH$26,1,MATCH(('Adjustment Surface'!P$26),'Adjustment Surface'!$AO$26:$BH$26,1)+IF('Adjustment Surface'!Q$26="",-1,1)),$AO$26:$BH$26,0))*(INDEX('Adjustment Surface'!$AN$27:$AN$46,MATCH(('Adjustment Surface'!$O30),'Adjustment Surface'!$AN$27:$AN$46,1)+IF('Adjustment Surface'!$O31="",-1,1))-'Adjustment Surface'!$O30)*('Adjustment Surface'!P$26-INDEX('Adjustment Surface'!$AO$26:$BH$26,1,MATCH(('Adjustment Surface'!P$26),'Adjustment Surface'!$AO$26:$BH$26,1)))+INDEX($AO$27:$BH$46,MATCH(INDEX('Adjustment Surface'!$AN$27:$AN$46,MATCH(('Adjustment Surface'!$O30),'Adjustment Surface'!$AN$27:$AN$46,1)+IF('Adjustment Surface'!$O31="",-1,1)),$AN$27:$AN$46,0),MATCH(INDEX('Adjustment Surface'!$AO$26:$BH$26,1,MATCH(('Adjustment Surface'!P$26),'Adjustment Surface'!$AO$26:$BH$26,1)+IF('Adjustment Surface'!Q$26="",-1,1)),$AO$26:$BH$26,0))*('Adjustment Surface'!$O30-INDEX('Adjustment Surface'!$AN$27:$AN$46,MATCH(('Adjustment Surface'!$O30),'Adjustment Surface'!$AN$27:$AN$46,1)))*('Adjustment Surface'!P$26-INDEX('Adjustment Surface'!$AO$26:$BH$26,1,MATCH(('Adjustment Surface'!P$26),'Adjustment Surface'!$AO$26:$BH$26,1)))))</f>
        <v>0.84610221377578243</v>
      </c>
      <c r="Q30" s="193" cm="1">
        <f t="array" ref="Q30">IF(OR(Q$26="",$O30=""),"",1/((INDEX('Adjustment Surface'!$AN$27:$AN$46,MATCH(('Adjustment Surface'!$O30),'Adjustment Surface'!$AN$27:$AN$46,1)+IF('Adjustment Surface'!$O31="",-1,1))-INDEX('Adjustment Surface'!$AN$27:$AN$46,MATCH(('Adjustment Surface'!$O30),'Adjustment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Surface'!$O30),'Adjustment Surface'!$AN$27:$AN$46,1)),$AN$27:$AN$46,0),MATCH(INDEX('Adjustment Surface'!$AO$26:$BH$26,1,MATCH(('Adjustment Surface'!Q$26),'Adjustment Surface'!$AO$26:$BH$26,1)),$AO$26:$BH$26,0))*(INDEX('Adjustment Surface'!$AN$27:$AN$46,MATCH(('Adjustment Surface'!$O30),'Adjustment Surface'!$AN$27:$AN$46,1)+IF('Adjustment Surface'!$O31="",-1,1))-'Adjustment Surface'!$O30)*(INDEX('Adjustment Surface'!$AO$26:$BH$26,1,MATCH(('Adjustment Surface'!Q$26),'Adjustment Surface'!$AO$26:$BH$26,1)+IF('Adjustment Surface'!R$26="",-1,1))-'Adjustment Surface'!Q$26)+INDEX($AO$27:$BH$46,MATCH(INDEX('Adjustment Surface'!$AN$27:$AN$46,MATCH(('Adjustment Surface'!$O30),'Adjustment Surface'!$AN$27:$AN$46,1)+IF('Adjustment Surface'!$O31="",-1,1)),$AN$27:$AN$46,0),MATCH(INDEX('Adjustment Surface'!$AO$26:$BH$26,1,MATCH(('Adjustment Surface'!Q$26),'Adjustment Surface'!$AO$26:$BH$26,1)),$AO$26:$BH$26,0))*('Adjustment Surface'!$O30-INDEX('Adjustment Surface'!$AN$27:$AN$46,MATCH(('Adjustment Surface'!$O30),'Adjustment Surface'!$AN$27:$AN$46,1)))*(INDEX('Adjustment Surface'!$AO$26:$BH$26,1,MATCH(('Adjustment Surface'!Q$26),'Adjustment Surface'!$AO$26:$BH$26,1)+IF('Adjustment Surface'!R$26="",-1,1))-'Adjustment Surface'!Q$26)+INDEX($AO$27:$BH$46,MATCH(INDEX('Adjustment Surface'!$AN$27:$AN$46,MATCH(('Adjustment Surface'!$O30),'Adjustment Surface'!$AN$27:$AN$46,1)),$AN$27:$AN$46,0),MATCH(INDEX('Adjustment Surface'!$AO$26:$BH$26,1,MATCH(('Adjustment Surface'!Q$26),'Adjustment Surface'!$AO$26:$BH$26,1)+IF('Adjustment Surface'!R$26="",-1,1)),$AO$26:$BH$26,0))*(INDEX('Adjustment Surface'!$AN$27:$AN$46,MATCH(('Adjustment Surface'!$O30),'Adjustment Surface'!$AN$27:$AN$46,1)+IF('Adjustment Surface'!$O31="",-1,1))-'Adjustment Surface'!$O30)*('Adjustment Surface'!Q$26-INDEX('Adjustment Surface'!$AO$26:$BH$26,1,MATCH(('Adjustment Surface'!Q$26),'Adjustment Surface'!$AO$26:$BH$26,1)))+INDEX($AO$27:$BH$46,MATCH(INDEX('Adjustment Surface'!$AN$27:$AN$46,MATCH(('Adjustment Surface'!$O30),'Adjustment Surface'!$AN$27:$AN$46,1)+IF('Adjustment Surface'!$O31="",-1,1)),$AN$27:$AN$46,0),MATCH(INDEX('Adjustment Surface'!$AO$26:$BH$26,1,MATCH(('Adjustment Surface'!Q$26),'Adjustment Surface'!$AO$26:$BH$26,1)+IF('Adjustment Surface'!R$26="",-1,1)),$AO$26:$BH$26,0))*('Adjustment Surface'!$O30-INDEX('Adjustment Surface'!$AN$27:$AN$46,MATCH(('Adjustment Surface'!$O30),'Adjustment Surface'!$AN$27:$AN$46,1)))*('Adjustment Surface'!Q$26-INDEX('Adjustment Surface'!$AO$26:$BH$26,1,MATCH(('Adjustment Surface'!Q$26),'Adjustment Surface'!$AO$26:$BH$26,1)))))</f>
        <v>0.69188449411261888</v>
      </c>
      <c r="R30" s="193" cm="1">
        <f t="array" ref="R30">IF(OR(R$26="",$O30=""),"",1/((INDEX('Adjustment Surface'!$AN$27:$AN$46,MATCH(('Adjustment Surface'!$O30),'Adjustment Surface'!$AN$27:$AN$46,1)+IF('Adjustment Surface'!$O31="",-1,1))-INDEX('Adjustment Surface'!$AN$27:$AN$46,MATCH(('Adjustment Surface'!$O30),'Adjustment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Surface'!$O30),'Adjustment Surface'!$AN$27:$AN$46,1)),$AN$27:$AN$46,0),MATCH(INDEX('Adjustment Surface'!$AO$26:$BH$26,1,MATCH(('Adjustment Surface'!R$26),'Adjustment Surface'!$AO$26:$BH$26,1)),$AO$26:$BH$26,0))*(INDEX('Adjustment Surface'!$AN$27:$AN$46,MATCH(('Adjustment Surface'!$O30),'Adjustment Surface'!$AN$27:$AN$46,1)+IF('Adjustment Surface'!$O31="",-1,1))-'Adjustment Surface'!$O30)*(INDEX('Adjustment Surface'!$AO$26:$BH$26,1,MATCH(('Adjustment Surface'!R$26),'Adjustment Surface'!$AO$26:$BH$26,1)+IF('Adjustment Surface'!S$26="",-1,1))-'Adjustment Surface'!R$26)+INDEX($AO$27:$BH$46,MATCH(INDEX('Adjustment Surface'!$AN$27:$AN$46,MATCH(('Adjustment Surface'!$O30),'Adjustment Surface'!$AN$27:$AN$46,1)+IF('Adjustment Surface'!$O31="",-1,1)),$AN$27:$AN$46,0),MATCH(INDEX('Adjustment Surface'!$AO$26:$BH$26,1,MATCH(('Adjustment Surface'!R$26),'Adjustment Surface'!$AO$26:$BH$26,1)),$AO$26:$BH$26,0))*('Adjustment Surface'!$O30-INDEX('Adjustment Surface'!$AN$27:$AN$46,MATCH(('Adjustment Surface'!$O30),'Adjustment Surface'!$AN$27:$AN$46,1)))*(INDEX('Adjustment Surface'!$AO$26:$BH$26,1,MATCH(('Adjustment Surface'!R$26),'Adjustment Surface'!$AO$26:$BH$26,1)+IF('Adjustment Surface'!S$26="",-1,1))-'Adjustment Surface'!R$26)+INDEX($AO$27:$BH$46,MATCH(INDEX('Adjustment Surface'!$AN$27:$AN$46,MATCH(('Adjustment Surface'!$O30),'Adjustment Surface'!$AN$27:$AN$46,1)),$AN$27:$AN$46,0),MATCH(INDEX('Adjustment Surface'!$AO$26:$BH$26,1,MATCH(('Adjustment Surface'!R$26),'Adjustment Surface'!$AO$26:$BH$26,1)+IF('Adjustment Surface'!S$26="",-1,1)),$AO$26:$BH$26,0))*(INDEX('Adjustment Surface'!$AN$27:$AN$46,MATCH(('Adjustment Surface'!$O30),'Adjustment Surface'!$AN$27:$AN$46,1)+IF('Adjustment Surface'!$O31="",-1,1))-'Adjustment Surface'!$O30)*('Adjustment Surface'!R$26-INDEX('Adjustment Surface'!$AO$26:$BH$26,1,MATCH(('Adjustment Surface'!R$26),'Adjustment Surface'!$AO$26:$BH$26,1)))+INDEX($AO$27:$BH$46,MATCH(INDEX('Adjustment Surface'!$AN$27:$AN$46,MATCH(('Adjustment Surface'!$O30),'Adjustment Surface'!$AN$27:$AN$46,1)+IF('Adjustment Surface'!$O31="",-1,1)),$AN$27:$AN$46,0),MATCH(INDEX('Adjustment Surface'!$AO$26:$BH$26,1,MATCH(('Adjustment Surface'!R$26),'Adjustment Surface'!$AO$26:$BH$26,1)+IF('Adjustment Surface'!S$26="",-1,1)),$AO$26:$BH$26,0))*('Adjustment Surface'!$O30-INDEX('Adjustment Surface'!$AN$27:$AN$46,MATCH(('Adjustment Surface'!$O30),'Adjustment Surface'!$AN$27:$AN$46,1)))*('Adjustment Surface'!R$26-INDEX('Adjustment Surface'!$AO$26:$BH$26,1,MATCH(('Adjustment Surface'!R$26),'Adjustment Surface'!$AO$26:$BH$26,1)))))</f>
        <v>0.53246842434844976</v>
      </c>
      <c r="S30" s="193" cm="1">
        <f t="array" ref="S30">IF(OR(S$26="",$O30=""),"",1/((INDEX('Adjustment Surface'!$AN$27:$AN$46,MATCH(('Adjustment Surface'!$O30),'Adjustment Surface'!$AN$27:$AN$46,1)+IF('Adjustment Surface'!$O31="",-1,1))-INDEX('Adjustment Surface'!$AN$27:$AN$46,MATCH(('Adjustment Surface'!$O30),'Adjustment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Surface'!$O30),'Adjustment Surface'!$AN$27:$AN$46,1)),$AN$27:$AN$46,0),MATCH(INDEX('Adjustment Surface'!$AO$26:$BH$26,1,MATCH(('Adjustment Surface'!S$26),'Adjustment Surface'!$AO$26:$BH$26,1)),$AO$26:$BH$26,0))*(INDEX('Adjustment Surface'!$AN$27:$AN$46,MATCH(('Adjustment Surface'!$O30),'Adjustment Surface'!$AN$27:$AN$46,1)+IF('Adjustment Surface'!$O31="",-1,1))-'Adjustment Surface'!$O30)*(INDEX('Adjustment Surface'!$AO$26:$BH$26,1,MATCH(('Adjustment Surface'!S$26),'Adjustment Surface'!$AO$26:$BH$26,1)+IF('Adjustment Surface'!T$26="",-1,1))-'Adjustment Surface'!S$26)+INDEX($AO$27:$BH$46,MATCH(INDEX('Adjustment Surface'!$AN$27:$AN$46,MATCH(('Adjustment Surface'!$O30),'Adjustment Surface'!$AN$27:$AN$46,1)+IF('Adjustment Surface'!$O31="",-1,1)),$AN$27:$AN$46,0),MATCH(INDEX('Adjustment Surface'!$AO$26:$BH$26,1,MATCH(('Adjustment Surface'!S$26),'Adjustment Surface'!$AO$26:$BH$26,1)),$AO$26:$BH$26,0))*('Adjustment Surface'!$O30-INDEX('Adjustment Surface'!$AN$27:$AN$46,MATCH(('Adjustment Surface'!$O30),'Adjustment Surface'!$AN$27:$AN$46,1)))*(INDEX('Adjustment Surface'!$AO$26:$BH$26,1,MATCH(('Adjustment Surface'!S$26),'Adjustment Surface'!$AO$26:$BH$26,1)+IF('Adjustment Surface'!T$26="",-1,1))-'Adjustment Surface'!S$26)+INDEX($AO$27:$BH$46,MATCH(INDEX('Adjustment Surface'!$AN$27:$AN$46,MATCH(('Adjustment Surface'!$O30),'Adjustment Surface'!$AN$27:$AN$46,1)),$AN$27:$AN$46,0),MATCH(INDEX('Adjustment Surface'!$AO$26:$BH$26,1,MATCH(('Adjustment Surface'!S$26),'Adjustment Surface'!$AO$26:$BH$26,1)+IF('Adjustment Surface'!T$26="",-1,1)),$AO$26:$BH$26,0))*(INDEX('Adjustment Surface'!$AN$27:$AN$46,MATCH(('Adjustment Surface'!$O30),'Adjustment Surface'!$AN$27:$AN$46,1)+IF('Adjustment Surface'!$O31="",-1,1))-'Adjustment Surface'!$O30)*('Adjustment Surface'!S$26-INDEX('Adjustment Surface'!$AO$26:$BH$26,1,MATCH(('Adjustment Surface'!S$26),'Adjustment Surface'!$AO$26:$BH$26,1)))+INDEX($AO$27:$BH$46,MATCH(INDEX('Adjustment Surface'!$AN$27:$AN$46,MATCH(('Adjustment Surface'!$O30),'Adjustment Surface'!$AN$27:$AN$46,1)+IF('Adjustment Surface'!$O31="",-1,1)),$AN$27:$AN$46,0),MATCH(INDEX('Adjustment Surface'!$AO$26:$BH$26,1,MATCH(('Adjustment Surface'!S$26),'Adjustment Surface'!$AO$26:$BH$26,1)+IF('Adjustment Surface'!T$26="",-1,1)),$AO$26:$BH$26,0))*('Adjustment Surface'!$O30-INDEX('Adjustment Surface'!$AN$27:$AN$46,MATCH(('Adjustment Surface'!$O30),'Adjustment Surface'!$AN$27:$AN$46,1)))*('Adjustment Surface'!S$26-INDEX('Adjustment Surface'!$AO$26:$BH$26,1,MATCH(('Adjustment Surface'!S$26),'Adjustment Surface'!$AO$26:$BH$26,1)))))</f>
        <v>0.37305235458428071</v>
      </c>
      <c r="T30" s="193" cm="1">
        <f t="array" ref="T30">IF(OR(T$26="",$O30=""),"",1/((INDEX('Adjustment Surface'!$AN$27:$AN$46,MATCH(('Adjustment Surface'!$O30),'Adjustment Surface'!$AN$27:$AN$46,1)+IF('Adjustment Surface'!$O31="",-1,1))-INDEX('Adjustment Surface'!$AN$27:$AN$46,MATCH(('Adjustment Surface'!$O30),'Adjustment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Surface'!$O30),'Adjustment Surface'!$AN$27:$AN$46,1)),$AN$27:$AN$46,0),MATCH(INDEX('Adjustment Surface'!$AO$26:$BH$26,1,MATCH(('Adjustment Surface'!T$26),'Adjustment Surface'!$AO$26:$BH$26,1)),$AO$26:$BH$26,0))*(INDEX('Adjustment Surface'!$AN$27:$AN$46,MATCH(('Adjustment Surface'!$O30),'Adjustment Surface'!$AN$27:$AN$46,1)+IF('Adjustment Surface'!$O31="",-1,1))-'Adjustment Surface'!$O30)*(INDEX('Adjustment Surface'!$AO$26:$BH$26,1,MATCH(('Adjustment Surface'!T$26),'Adjustment Surface'!$AO$26:$BH$26,1)+IF('Adjustment Surface'!U$26="",-1,1))-'Adjustment Surface'!T$26)+INDEX($AO$27:$BH$46,MATCH(INDEX('Adjustment Surface'!$AN$27:$AN$46,MATCH(('Adjustment Surface'!$O30),'Adjustment Surface'!$AN$27:$AN$46,1)+IF('Adjustment Surface'!$O31="",-1,1)),$AN$27:$AN$46,0),MATCH(INDEX('Adjustment Surface'!$AO$26:$BH$26,1,MATCH(('Adjustment Surface'!T$26),'Adjustment Surface'!$AO$26:$BH$26,1)),$AO$26:$BH$26,0))*('Adjustment Surface'!$O30-INDEX('Adjustment Surface'!$AN$27:$AN$46,MATCH(('Adjustment Surface'!$O30),'Adjustment Surface'!$AN$27:$AN$46,1)))*(INDEX('Adjustment Surface'!$AO$26:$BH$26,1,MATCH(('Adjustment Surface'!T$26),'Adjustment Surface'!$AO$26:$BH$26,1)+IF('Adjustment Surface'!U$26="",-1,1))-'Adjustment Surface'!T$26)+INDEX($AO$27:$BH$46,MATCH(INDEX('Adjustment Surface'!$AN$27:$AN$46,MATCH(('Adjustment Surface'!$O30),'Adjustment Surface'!$AN$27:$AN$46,1)),$AN$27:$AN$46,0),MATCH(INDEX('Adjustment Surface'!$AO$26:$BH$26,1,MATCH(('Adjustment Surface'!T$26),'Adjustment Surface'!$AO$26:$BH$26,1)+IF('Adjustment Surface'!U$26="",-1,1)),$AO$26:$BH$26,0))*(INDEX('Adjustment Surface'!$AN$27:$AN$46,MATCH(('Adjustment Surface'!$O30),'Adjustment Surface'!$AN$27:$AN$46,1)+IF('Adjustment Surface'!$O31="",-1,1))-'Adjustment Surface'!$O30)*('Adjustment Surface'!T$26-INDEX('Adjustment Surface'!$AO$26:$BH$26,1,MATCH(('Adjustment Surface'!T$26),'Adjustment Surface'!$AO$26:$BH$26,1)))+INDEX($AO$27:$BH$46,MATCH(INDEX('Adjustment Surface'!$AN$27:$AN$46,MATCH(('Adjustment Surface'!$O30),'Adjustment Surface'!$AN$27:$AN$46,1)+IF('Adjustment Surface'!$O31="",-1,1)),$AN$27:$AN$46,0),MATCH(INDEX('Adjustment Surface'!$AO$26:$BH$26,1,MATCH(('Adjustment Surface'!T$26),'Adjustment Surface'!$AO$26:$BH$26,1)+IF('Adjustment Surface'!U$26="",-1,1)),$AO$26:$BH$26,0))*('Adjustment Surface'!$O30-INDEX('Adjustment Surface'!$AN$27:$AN$46,MATCH(('Adjustment Surface'!$O30),'Adjustment Surface'!$AN$27:$AN$46,1)))*('Adjustment Surface'!T$26-INDEX('Adjustment Surface'!$AO$26:$BH$26,1,MATCH(('Adjustment Surface'!T$26),'Adjustment Surface'!$AO$26:$BH$26,1)))))</f>
        <v>0.21363628482011165</v>
      </c>
      <c r="U30" s="193" cm="1">
        <f t="array" ref="U30">IF(OR(U$26="",$O30=""),"",1/((INDEX('Adjustment Surface'!$AN$27:$AN$46,MATCH(('Adjustment Surface'!$O30),'Adjustment Surface'!$AN$27:$AN$46,1)+IF('Adjustment Surface'!$O31="",-1,1))-INDEX('Adjustment Surface'!$AN$27:$AN$46,MATCH(('Adjustment Surface'!$O30),'Adjustment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Surface'!$O30),'Adjustment Surface'!$AN$27:$AN$46,1)),$AN$27:$AN$46,0),MATCH(INDEX('Adjustment Surface'!$AO$26:$BH$26,1,MATCH(('Adjustment Surface'!U$26),'Adjustment Surface'!$AO$26:$BH$26,1)),$AO$26:$BH$26,0))*(INDEX('Adjustment Surface'!$AN$27:$AN$46,MATCH(('Adjustment Surface'!$O30),'Adjustment Surface'!$AN$27:$AN$46,1)+IF('Adjustment Surface'!$O31="",-1,1))-'Adjustment Surface'!$O30)*(INDEX('Adjustment Surface'!$AO$26:$BH$26,1,MATCH(('Adjustment Surface'!U$26),'Adjustment Surface'!$AO$26:$BH$26,1)+IF('Adjustment Surface'!V$26="",-1,1))-'Adjustment Surface'!U$26)+INDEX($AO$27:$BH$46,MATCH(INDEX('Adjustment Surface'!$AN$27:$AN$46,MATCH(('Adjustment Surface'!$O30),'Adjustment Surface'!$AN$27:$AN$46,1)+IF('Adjustment Surface'!$O31="",-1,1)),$AN$27:$AN$46,0),MATCH(INDEX('Adjustment Surface'!$AO$26:$BH$26,1,MATCH(('Adjustment Surface'!U$26),'Adjustment Surface'!$AO$26:$BH$26,1)),$AO$26:$BH$26,0))*('Adjustment Surface'!$O30-INDEX('Adjustment Surface'!$AN$27:$AN$46,MATCH(('Adjustment Surface'!$O30),'Adjustment Surface'!$AN$27:$AN$46,1)))*(INDEX('Adjustment Surface'!$AO$26:$BH$26,1,MATCH(('Adjustment Surface'!U$26),'Adjustment Surface'!$AO$26:$BH$26,1)+IF('Adjustment Surface'!V$26="",-1,1))-'Adjustment Surface'!U$26)+INDEX($AO$27:$BH$46,MATCH(INDEX('Adjustment Surface'!$AN$27:$AN$46,MATCH(('Adjustment Surface'!$O30),'Adjustment Surface'!$AN$27:$AN$46,1)),$AN$27:$AN$46,0),MATCH(INDEX('Adjustment Surface'!$AO$26:$BH$26,1,MATCH(('Adjustment Surface'!U$26),'Adjustment Surface'!$AO$26:$BH$26,1)+IF('Adjustment Surface'!V$26="",-1,1)),$AO$26:$BH$26,0))*(INDEX('Adjustment Surface'!$AN$27:$AN$46,MATCH(('Adjustment Surface'!$O30),'Adjustment Surface'!$AN$27:$AN$46,1)+IF('Adjustment Surface'!$O31="",-1,1))-'Adjustment Surface'!$O30)*('Adjustment Surface'!U$26-INDEX('Adjustment Surface'!$AO$26:$BH$26,1,MATCH(('Adjustment Surface'!U$26),'Adjustment Surface'!$AO$26:$BH$26,1)))+INDEX($AO$27:$BH$46,MATCH(INDEX('Adjustment Surface'!$AN$27:$AN$46,MATCH(('Adjustment Surface'!$O30),'Adjustment Surface'!$AN$27:$AN$46,1)+IF('Adjustment Surface'!$O31="",-1,1)),$AN$27:$AN$46,0),MATCH(INDEX('Adjustment Surface'!$AO$26:$BH$26,1,MATCH(('Adjustment Surface'!U$26),'Adjustment Surface'!$AO$26:$BH$26,1)+IF('Adjustment Surface'!V$26="",-1,1)),$AO$26:$BH$26,0))*('Adjustment Surface'!$O30-INDEX('Adjustment Surface'!$AN$27:$AN$46,MATCH(('Adjustment Surface'!$O30),'Adjustment Surface'!$AN$27:$AN$46,1)))*('Adjustment Surface'!U$26-INDEX('Adjustment Surface'!$AO$26:$BH$26,1,MATCH(('Adjustment Surface'!U$26),'Adjustment Surface'!$AO$26:$BH$26,1)))))</f>
        <v>0.19428002242622855</v>
      </c>
      <c r="V30" s="193" cm="1">
        <f t="array" ref="V30">IF(OR(V$26="",$O30=""),"",1/((INDEX('Adjustment Surface'!$AN$27:$AN$46,MATCH(('Adjustment Surface'!$O30),'Adjustment Surface'!$AN$27:$AN$46,1)+IF('Adjustment Surface'!$O31="",-1,1))-INDEX('Adjustment Surface'!$AN$27:$AN$46,MATCH(('Adjustment Surface'!$O30),'Adjustment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Surface'!$O30),'Adjustment Surface'!$AN$27:$AN$46,1)),$AN$27:$AN$46,0),MATCH(INDEX('Adjustment Surface'!$AO$26:$BH$26,1,MATCH(('Adjustment Surface'!V$26),'Adjustment Surface'!$AO$26:$BH$26,1)),$AO$26:$BH$26,0))*(INDEX('Adjustment Surface'!$AN$27:$AN$46,MATCH(('Adjustment Surface'!$O30),'Adjustment Surface'!$AN$27:$AN$46,1)+IF('Adjustment Surface'!$O31="",-1,1))-'Adjustment Surface'!$O30)*(INDEX('Adjustment Surface'!$AO$26:$BH$26,1,MATCH(('Adjustment Surface'!V$26),'Adjustment Surface'!$AO$26:$BH$26,1)+IF('Adjustment Surface'!W$26="",-1,1))-'Adjustment Surface'!V$26)+INDEX($AO$27:$BH$46,MATCH(INDEX('Adjustment Surface'!$AN$27:$AN$46,MATCH(('Adjustment Surface'!$O30),'Adjustment Surface'!$AN$27:$AN$46,1)+IF('Adjustment Surface'!$O31="",-1,1)),$AN$27:$AN$46,0),MATCH(INDEX('Adjustment Surface'!$AO$26:$BH$26,1,MATCH(('Adjustment Surface'!V$26),'Adjustment Surface'!$AO$26:$BH$26,1)),$AO$26:$BH$26,0))*('Adjustment Surface'!$O30-INDEX('Adjustment Surface'!$AN$27:$AN$46,MATCH(('Adjustment Surface'!$O30),'Adjustment Surface'!$AN$27:$AN$46,1)))*(INDEX('Adjustment Surface'!$AO$26:$BH$26,1,MATCH(('Adjustment Surface'!V$26),'Adjustment Surface'!$AO$26:$BH$26,1)+IF('Adjustment Surface'!W$26="",-1,1))-'Adjustment Surface'!V$26)+INDEX($AO$27:$BH$46,MATCH(INDEX('Adjustment Surface'!$AN$27:$AN$46,MATCH(('Adjustment Surface'!$O30),'Adjustment Surface'!$AN$27:$AN$46,1)),$AN$27:$AN$46,0),MATCH(INDEX('Adjustment Surface'!$AO$26:$BH$26,1,MATCH(('Adjustment Surface'!V$26),'Adjustment Surface'!$AO$26:$BH$26,1)+IF('Adjustment Surface'!W$26="",-1,1)),$AO$26:$BH$26,0))*(INDEX('Adjustment Surface'!$AN$27:$AN$46,MATCH(('Adjustment Surface'!$O30),'Adjustment Surface'!$AN$27:$AN$46,1)+IF('Adjustment Surface'!$O31="",-1,1))-'Adjustment Surface'!$O30)*('Adjustment Surface'!V$26-INDEX('Adjustment Surface'!$AO$26:$BH$26,1,MATCH(('Adjustment Surface'!V$26),'Adjustment Surface'!$AO$26:$BH$26,1)))+INDEX($AO$27:$BH$46,MATCH(INDEX('Adjustment Surface'!$AN$27:$AN$46,MATCH(('Adjustment Surface'!$O30),'Adjustment Surface'!$AN$27:$AN$46,1)+IF('Adjustment Surface'!$O31="",-1,1)),$AN$27:$AN$46,0),MATCH(INDEX('Adjustment Surface'!$AO$26:$BH$26,1,MATCH(('Adjustment Surface'!V$26),'Adjustment Surface'!$AO$26:$BH$26,1)+IF('Adjustment Surface'!W$26="",-1,1)),$AO$26:$BH$26,0))*('Adjustment Surface'!$O30-INDEX('Adjustment Surface'!$AN$27:$AN$46,MATCH(('Adjustment Surface'!$O30),'Adjustment Surface'!$AN$27:$AN$46,1)))*('Adjustment Surface'!V$26-INDEX('Adjustment Surface'!$AO$26:$BH$26,1,MATCH(('Adjustment Surface'!V$26),'Adjustment Surface'!$AO$26:$BH$26,1)))))</f>
        <v>0.17449362086803685</v>
      </c>
      <c r="W30" s="193" cm="1">
        <f t="array" ref="W30">IF(OR(W$26="",$O30=""),"",1/((INDEX('Adjustment Surface'!$AN$27:$AN$46,MATCH(('Adjustment Surface'!$O30),'Adjustment Surface'!$AN$27:$AN$46,1)+IF('Adjustment Surface'!$O31="",-1,1))-INDEX('Adjustment Surface'!$AN$27:$AN$46,MATCH(('Adjustment Surface'!$O30),'Adjustment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Surface'!$O30),'Adjustment Surface'!$AN$27:$AN$46,1)),$AN$27:$AN$46,0),MATCH(INDEX('Adjustment Surface'!$AO$26:$BH$26,1,MATCH(('Adjustment Surface'!W$26),'Adjustment Surface'!$AO$26:$BH$26,1)),$AO$26:$BH$26,0))*(INDEX('Adjustment Surface'!$AN$27:$AN$46,MATCH(('Adjustment Surface'!$O30),'Adjustment Surface'!$AN$27:$AN$46,1)+IF('Adjustment Surface'!$O31="",-1,1))-'Adjustment Surface'!$O30)*(INDEX('Adjustment Surface'!$AO$26:$BH$26,1,MATCH(('Adjustment Surface'!W$26),'Adjustment Surface'!$AO$26:$BH$26,1)+IF('Adjustment Surface'!X$26="",-1,1))-'Adjustment Surface'!W$26)+INDEX($AO$27:$BH$46,MATCH(INDEX('Adjustment Surface'!$AN$27:$AN$46,MATCH(('Adjustment Surface'!$O30),'Adjustment Surface'!$AN$27:$AN$46,1)+IF('Adjustment Surface'!$O31="",-1,1)),$AN$27:$AN$46,0),MATCH(INDEX('Adjustment Surface'!$AO$26:$BH$26,1,MATCH(('Adjustment Surface'!W$26),'Adjustment Surface'!$AO$26:$BH$26,1)),$AO$26:$BH$26,0))*('Adjustment Surface'!$O30-INDEX('Adjustment Surface'!$AN$27:$AN$46,MATCH(('Adjustment Surface'!$O30),'Adjustment Surface'!$AN$27:$AN$46,1)))*(INDEX('Adjustment Surface'!$AO$26:$BH$26,1,MATCH(('Adjustment Surface'!W$26),'Adjustment Surface'!$AO$26:$BH$26,1)+IF('Adjustment Surface'!X$26="",-1,1))-'Adjustment Surface'!W$26)+INDEX($AO$27:$BH$46,MATCH(INDEX('Adjustment Surface'!$AN$27:$AN$46,MATCH(('Adjustment Surface'!$O30),'Adjustment Surface'!$AN$27:$AN$46,1)),$AN$27:$AN$46,0),MATCH(INDEX('Adjustment Surface'!$AO$26:$BH$26,1,MATCH(('Adjustment Surface'!W$26),'Adjustment Surface'!$AO$26:$BH$26,1)+IF('Adjustment Surface'!X$26="",-1,1)),$AO$26:$BH$26,0))*(INDEX('Adjustment Surface'!$AN$27:$AN$46,MATCH(('Adjustment Surface'!$O30),'Adjustment Surface'!$AN$27:$AN$46,1)+IF('Adjustment Surface'!$O31="",-1,1))-'Adjustment Surface'!$O30)*('Adjustment Surface'!W$26-INDEX('Adjustment Surface'!$AO$26:$BH$26,1,MATCH(('Adjustment Surface'!W$26),'Adjustment Surface'!$AO$26:$BH$26,1)))+INDEX($AO$27:$BH$46,MATCH(INDEX('Adjustment Surface'!$AN$27:$AN$46,MATCH(('Adjustment Surface'!$O30),'Adjustment Surface'!$AN$27:$AN$46,1)+IF('Adjustment Surface'!$O31="",-1,1)),$AN$27:$AN$46,0),MATCH(INDEX('Adjustment Surface'!$AO$26:$BH$26,1,MATCH(('Adjustment Surface'!W$26),'Adjustment Surface'!$AO$26:$BH$26,1)+IF('Adjustment Surface'!X$26="",-1,1)),$AO$26:$BH$26,0))*('Adjustment Surface'!$O30-INDEX('Adjustment Surface'!$AN$27:$AN$46,MATCH(('Adjustment Surface'!$O30),'Adjustment Surface'!$AN$27:$AN$46,1)))*('Adjustment Surface'!W$26-INDEX('Adjustment Surface'!$AO$26:$BH$26,1,MATCH(('Adjustment Surface'!W$26),'Adjustment Surface'!$AO$26:$BH$26,1)))))</f>
        <v>0.15470721930984521</v>
      </c>
      <c r="X30" s="193" cm="1">
        <f t="array" ref="X30">IF(OR(X$26="",$O30=""),"",1/((INDEX('Adjustment Surface'!$AN$27:$AN$46,MATCH(('Adjustment Surface'!$O30),'Adjustment Surface'!$AN$27:$AN$46,1)+IF('Adjustment Surface'!$O31="",-1,1))-INDEX('Adjustment Surface'!$AN$27:$AN$46,MATCH(('Adjustment Surface'!$O30),'Adjustment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Surface'!$O30),'Adjustment Surface'!$AN$27:$AN$46,1)),$AN$27:$AN$46,0),MATCH(INDEX('Adjustment Surface'!$AO$26:$BH$26,1,MATCH(('Adjustment Surface'!X$26),'Adjustment Surface'!$AO$26:$BH$26,1)),$AO$26:$BH$26,0))*(INDEX('Adjustment Surface'!$AN$27:$AN$46,MATCH(('Adjustment Surface'!$O30),'Adjustment Surface'!$AN$27:$AN$46,1)+IF('Adjustment Surface'!$O31="",-1,1))-'Adjustment Surface'!$O30)*(INDEX('Adjustment Surface'!$AO$26:$BH$26,1,MATCH(('Adjustment Surface'!X$26),'Adjustment Surface'!$AO$26:$BH$26,1)+IF('Adjustment Surface'!Y$26="",-1,1))-'Adjustment Surface'!X$26)+INDEX($AO$27:$BH$46,MATCH(INDEX('Adjustment Surface'!$AN$27:$AN$46,MATCH(('Adjustment Surface'!$O30),'Adjustment Surface'!$AN$27:$AN$46,1)+IF('Adjustment Surface'!$O31="",-1,1)),$AN$27:$AN$46,0),MATCH(INDEX('Adjustment Surface'!$AO$26:$BH$26,1,MATCH(('Adjustment Surface'!X$26),'Adjustment Surface'!$AO$26:$BH$26,1)),$AO$26:$BH$26,0))*('Adjustment Surface'!$O30-INDEX('Adjustment Surface'!$AN$27:$AN$46,MATCH(('Adjustment Surface'!$O30),'Adjustment Surface'!$AN$27:$AN$46,1)))*(INDEX('Adjustment Surface'!$AO$26:$BH$26,1,MATCH(('Adjustment Surface'!X$26),'Adjustment Surface'!$AO$26:$BH$26,1)+IF('Adjustment Surface'!Y$26="",-1,1))-'Adjustment Surface'!X$26)+INDEX($AO$27:$BH$46,MATCH(INDEX('Adjustment Surface'!$AN$27:$AN$46,MATCH(('Adjustment Surface'!$O30),'Adjustment Surface'!$AN$27:$AN$46,1)),$AN$27:$AN$46,0),MATCH(INDEX('Adjustment Surface'!$AO$26:$BH$26,1,MATCH(('Adjustment Surface'!X$26),'Adjustment Surface'!$AO$26:$BH$26,1)+IF('Adjustment Surface'!Y$26="",-1,1)),$AO$26:$BH$26,0))*(INDEX('Adjustment Surface'!$AN$27:$AN$46,MATCH(('Adjustment Surface'!$O30),'Adjustment Surface'!$AN$27:$AN$46,1)+IF('Adjustment Surface'!$O31="",-1,1))-'Adjustment Surface'!$O30)*('Adjustment Surface'!X$26-INDEX('Adjustment Surface'!$AO$26:$BH$26,1,MATCH(('Adjustment Surface'!X$26),'Adjustment Surface'!$AO$26:$BH$26,1)))+INDEX($AO$27:$BH$46,MATCH(INDEX('Adjustment Surface'!$AN$27:$AN$46,MATCH(('Adjustment Surface'!$O30),'Adjustment Surface'!$AN$27:$AN$46,1)+IF('Adjustment Surface'!$O31="",-1,1)),$AN$27:$AN$46,0),MATCH(INDEX('Adjustment Surface'!$AO$26:$BH$26,1,MATCH(('Adjustment Surface'!X$26),'Adjustment Surface'!$AO$26:$BH$26,1)+IF('Adjustment Surface'!Y$26="",-1,1)),$AO$26:$BH$26,0))*('Adjustment Surface'!$O30-INDEX('Adjustment Surface'!$AN$27:$AN$46,MATCH(('Adjustment Surface'!$O30),'Adjustment Surface'!$AN$27:$AN$46,1)))*('Adjustment Surface'!X$26-INDEX('Adjustment Surface'!$AO$26:$BH$26,1,MATCH(('Adjustment Surface'!X$26),'Adjustment Surface'!$AO$26:$BH$26,1)))))</f>
        <v>0.13492081775165354</v>
      </c>
      <c r="Y30" s="193" t="str" cm="1">
        <f t="array" ref="Y30">IF(OR(Y$26="",$O30=""),"",1/((INDEX('Adjustment Surface'!$AN$27:$AN$46,MATCH(('Adjustment Surface'!$O30),'Adjustment Surface'!$AN$27:$AN$46,1)+IF('Adjustment Surface'!$O31="",-1,1))-INDEX('Adjustment Surface'!$AN$27:$AN$46,MATCH(('Adjustment Surface'!$O30),'Adjustment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Surface'!$O30),'Adjustment Surface'!$AN$27:$AN$46,1)),$AN$27:$AN$46,0),MATCH(INDEX('Adjustment Surface'!$AO$26:$BH$26,1,MATCH(('Adjustment Surface'!Y$26),'Adjustment Surface'!$AO$26:$BH$26,1)),$AO$26:$BH$26,0))*(INDEX('Adjustment Surface'!$AN$27:$AN$46,MATCH(('Adjustment Surface'!$O30),'Adjustment Surface'!$AN$27:$AN$46,1)+IF('Adjustment Surface'!$O31="",-1,1))-'Adjustment Surface'!$O30)*(INDEX('Adjustment Surface'!$AO$26:$BH$26,1,MATCH(('Adjustment Surface'!Y$26),'Adjustment Surface'!$AO$26:$BH$26,1)+IF('Adjustment Surface'!Z$26="",-1,1))-'Adjustment Surface'!Y$26)+INDEX($AO$27:$BH$46,MATCH(INDEX('Adjustment Surface'!$AN$27:$AN$46,MATCH(('Adjustment Surface'!$O30),'Adjustment Surface'!$AN$27:$AN$46,1)+IF('Adjustment Surface'!$O31="",-1,1)),$AN$27:$AN$46,0),MATCH(INDEX('Adjustment Surface'!$AO$26:$BH$26,1,MATCH(('Adjustment Surface'!Y$26),'Adjustment Surface'!$AO$26:$BH$26,1)),$AO$26:$BH$26,0))*('Adjustment Surface'!$O30-INDEX('Adjustment Surface'!$AN$27:$AN$46,MATCH(('Adjustment Surface'!$O30),'Adjustment Surface'!$AN$27:$AN$46,1)))*(INDEX('Adjustment Surface'!$AO$26:$BH$26,1,MATCH(('Adjustment Surface'!Y$26),'Adjustment Surface'!$AO$26:$BH$26,1)+IF('Adjustment Surface'!Z$26="",-1,1))-'Adjustment Surface'!Y$26)+INDEX($AO$27:$BH$46,MATCH(INDEX('Adjustment Surface'!$AN$27:$AN$46,MATCH(('Adjustment Surface'!$O30),'Adjustment Surface'!$AN$27:$AN$46,1)),$AN$27:$AN$46,0),MATCH(INDEX('Adjustment Surface'!$AO$26:$BH$26,1,MATCH(('Adjustment Surface'!Y$26),'Adjustment Surface'!$AO$26:$BH$26,1)+IF('Adjustment Surface'!Z$26="",-1,1)),$AO$26:$BH$26,0))*(INDEX('Adjustment Surface'!$AN$27:$AN$46,MATCH(('Adjustment Surface'!$O30),'Adjustment Surface'!$AN$27:$AN$46,1)+IF('Adjustment Surface'!$O31="",-1,1))-'Adjustment Surface'!$O30)*('Adjustment Surface'!Y$26-INDEX('Adjustment Surface'!$AO$26:$BH$26,1,MATCH(('Adjustment Surface'!Y$26),'Adjustment Surface'!$AO$26:$BH$26,1)))+INDEX($AO$27:$BH$46,MATCH(INDEX('Adjustment Surface'!$AN$27:$AN$46,MATCH(('Adjustment Surface'!$O30),'Adjustment Surface'!$AN$27:$AN$46,1)+IF('Adjustment Surface'!$O31="",-1,1)),$AN$27:$AN$46,0),MATCH(INDEX('Adjustment Surface'!$AO$26:$BH$26,1,MATCH(('Adjustment Surface'!Y$26),'Adjustment Surface'!$AO$26:$BH$26,1)+IF('Adjustment Surface'!Z$26="",-1,1)),$AO$26:$BH$26,0))*('Adjustment Surface'!$O30-INDEX('Adjustment Surface'!$AN$27:$AN$46,MATCH(('Adjustment Surface'!$O30),'Adjustment Surface'!$AN$27:$AN$46,1)))*('Adjustment Surface'!Y$26-INDEX('Adjustment Surface'!$AO$26:$BH$26,1,MATCH(('Adjustment Surface'!Y$26),'Adjustment Surface'!$AO$26:$BH$26,1)))))</f>
        <v/>
      </c>
      <c r="Z30" s="193" t="str" cm="1">
        <f t="array" ref="Z30">IF(OR(Z$26="",$O30=""),"",1/((INDEX('Adjustment Surface'!$AN$27:$AN$46,MATCH(('Adjustment Surface'!$O30),'Adjustment Surface'!$AN$27:$AN$46,1)+IF('Adjustment Surface'!$O31="",-1,1))-INDEX('Adjustment Surface'!$AN$27:$AN$46,MATCH(('Adjustment Surface'!$O30),'Adjustment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Surface'!$O30),'Adjustment Surface'!$AN$27:$AN$46,1)),$AN$27:$AN$46,0),MATCH(INDEX('Adjustment Surface'!$AO$26:$BH$26,1,MATCH(('Adjustment Surface'!Z$26),'Adjustment Surface'!$AO$26:$BH$26,1)),$AO$26:$BH$26,0))*(INDEX('Adjustment Surface'!$AN$27:$AN$46,MATCH(('Adjustment Surface'!$O30),'Adjustment Surface'!$AN$27:$AN$46,1)+IF('Adjustment Surface'!$O31="",-1,1))-'Adjustment Surface'!$O30)*(INDEX('Adjustment Surface'!$AO$26:$BH$26,1,MATCH(('Adjustment Surface'!Z$26),'Adjustment Surface'!$AO$26:$BH$26,1)+IF('Adjustment Surface'!AA$26="",-1,1))-'Adjustment Surface'!Z$26)+INDEX($AO$27:$BH$46,MATCH(INDEX('Adjustment Surface'!$AN$27:$AN$46,MATCH(('Adjustment Surface'!$O30),'Adjustment Surface'!$AN$27:$AN$46,1)+IF('Adjustment Surface'!$O31="",-1,1)),$AN$27:$AN$46,0),MATCH(INDEX('Adjustment Surface'!$AO$26:$BH$26,1,MATCH(('Adjustment Surface'!Z$26),'Adjustment Surface'!$AO$26:$BH$26,1)),$AO$26:$BH$26,0))*('Adjustment Surface'!$O30-INDEX('Adjustment Surface'!$AN$27:$AN$46,MATCH(('Adjustment Surface'!$O30),'Adjustment Surface'!$AN$27:$AN$46,1)))*(INDEX('Adjustment Surface'!$AO$26:$BH$26,1,MATCH(('Adjustment Surface'!Z$26),'Adjustment Surface'!$AO$26:$BH$26,1)+IF('Adjustment Surface'!AA$26="",-1,1))-'Adjustment Surface'!Z$26)+INDEX($AO$27:$BH$46,MATCH(INDEX('Adjustment Surface'!$AN$27:$AN$46,MATCH(('Adjustment Surface'!$O30),'Adjustment Surface'!$AN$27:$AN$46,1)),$AN$27:$AN$46,0),MATCH(INDEX('Adjustment Surface'!$AO$26:$BH$26,1,MATCH(('Adjustment Surface'!Z$26),'Adjustment Surface'!$AO$26:$BH$26,1)+IF('Adjustment Surface'!AA$26="",-1,1)),$AO$26:$BH$26,0))*(INDEX('Adjustment Surface'!$AN$27:$AN$46,MATCH(('Adjustment Surface'!$O30),'Adjustment Surface'!$AN$27:$AN$46,1)+IF('Adjustment Surface'!$O31="",-1,1))-'Adjustment Surface'!$O30)*('Adjustment Surface'!Z$26-INDEX('Adjustment Surface'!$AO$26:$BH$26,1,MATCH(('Adjustment Surface'!Z$26),'Adjustment Surface'!$AO$26:$BH$26,1)))+INDEX($AO$27:$BH$46,MATCH(INDEX('Adjustment Surface'!$AN$27:$AN$46,MATCH(('Adjustment Surface'!$O30),'Adjustment Surface'!$AN$27:$AN$46,1)+IF('Adjustment Surface'!$O31="",-1,1)),$AN$27:$AN$46,0),MATCH(INDEX('Adjustment Surface'!$AO$26:$BH$26,1,MATCH(('Adjustment Surface'!Z$26),'Adjustment Surface'!$AO$26:$BH$26,1)+IF('Adjustment Surface'!AA$26="",-1,1)),$AO$26:$BH$26,0))*('Adjustment Surface'!$O30-INDEX('Adjustment Surface'!$AN$27:$AN$46,MATCH(('Adjustment Surface'!$O30),'Adjustment Surface'!$AN$27:$AN$46,1)))*('Adjustment Surface'!Z$26-INDEX('Adjustment Surface'!$AO$26:$BH$26,1,MATCH(('Adjustment Surface'!Z$26),'Adjustment Surface'!$AO$26:$BH$26,1)))))</f>
        <v/>
      </c>
      <c r="AA30" s="193" t="str" cm="1">
        <f t="array" ref="AA30">IF(OR(AA$26="",$O30=""),"",1/((INDEX('Adjustment Surface'!$AN$27:$AN$46,MATCH(('Adjustment Surface'!$O30),'Adjustment Surface'!$AN$27:$AN$46,1)+IF('Adjustment Surface'!$O31="",-1,1))-INDEX('Adjustment Surface'!$AN$27:$AN$46,MATCH(('Adjustment Surface'!$O30),'Adjustment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Surface'!$O30),'Adjustment Surface'!$AN$27:$AN$46,1)),$AN$27:$AN$46,0),MATCH(INDEX('Adjustment Surface'!$AO$26:$BH$26,1,MATCH(('Adjustment Surface'!AA$26),'Adjustment Surface'!$AO$26:$BH$26,1)),$AO$26:$BH$26,0))*(INDEX('Adjustment Surface'!$AN$27:$AN$46,MATCH(('Adjustment Surface'!$O30),'Adjustment Surface'!$AN$27:$AN$46,1)+IF('Adjustment Surface'!$O31="",-1,1))-'Adjustment Surface'!$O30)*(INDEX('Adjustment Surface'!$AO$26:$BH$26,1,MATCH(('Adjustment Surface'!AA$26),'Adjustment Surface'!$AO$26:$BH$26,1)+IF('Adjustment Surface'!AB$26="",-1,1))-'Adjustment Surface'!AA$26)+INDEX($AO$27:$BH$46,MATCH(INDEX('Adjustment Surface'!$AN$27:$AN$46,MATCH(('Adjustment Surface'!$O30),'Adjustment Surface'!$AN$27:$AN$46,1)+IF('Adjustment Surface'!$O31="",-1,1)),$AN$27:$AN$46,0),MATCH(INDEX('Adjustment Surface'!$AO$26:$BH$26,1,MATCH(('Adjustment Surface'!AA$26),'Adjustment Surface'!$AO$26:$BH$26,1)),$AO$26:$BH$26,0))*('Adjustment Surface'!$O30-INDEX('Adjustment Surface'!$AN$27:$AN$46,MATCH(('Adjustment Surface'!$O30),'Adjustment Surface'!$AN$27:$AN$46,1)))*(INDEX('Adjustment Surface'!$AO$26:$BH$26,1,MATCH(('Adjustment Surface'!AA$26),'Adjustment Surface'!$AO$26:$BH$26,1)+IF('Adjustment Surface'!AB$26="",-1,1))-'Adjustment Surface'!AA$26)+INDEX($AO$27:$BH$46,MATCH(INDEX('Adjustment Surface'!$AN$27:$AN$46,MATCH(('Adjustment Surface'!$O30),'Adjustment Surface'!$AN$27:$AN$46,1)),$AN$27:$AN$46,0),MATCH(INDEX('Adjustment Surface'!$AO$26:$BH$26,1,MATCH(('Adjustment Surface'!AA$26),'Adjustment Surface'!$AO$26:$BH$26,1)+IF('Adjustment Surface'!AB$26="",-1,1)),$AO$26:$BH$26,0))*(INDEX('Adjustment Surface'!$AN$27:$AN$46,MATCH(('Adjustment Surface'!$O30),'Adjustment Surface'!$AN$27:$AN$46,1)+IF('Adjustment Surface'!$O31="",-1,1))-'Adjustment Surface'!$O30)*('Adjustment Surface'!AA$26-INDEX('Adjustment Surface'!$AO$26:$BH$26,1,MATCH(('Adjustment Surface'!AA$26),'Adjustment Surface'!$AO$26:$BH$26,1)))+INDEX($AO$27:$BH$46,MATCH(INDEX('Adjustment Surface'!$AN$27:$AN$46,MATCH(('Adjustment Surface'!$O30),'Adjustment Surface'!$AN$27:$AN$46,1)+IF('Adjustment Surface'!$O31="",-1,1)),$AN$27:$AN$46,0),MATCH(INDEX('Adjustment Surface'!$AO$26:$BH$26,1,MATCH(('Adjustment Surface'!AA$26),'Adjustment Surface'!$AO$26:$BH$26,1)+IF('Adjustment Surface'!AB$26="",-1,1)),$AO$26:$BH$26,0))*('Adjustment Surface'!$O30-INDEX('Adjustment Surface'!$AN$27:$AN$46,MATCH(('Adjustment Surface'!$O30),'Adjustment Surface'!$AN$27:$AN$46,1)))*('Adjustment Surface'!AA$26-INDEX('Adjustment Surface'!$AO$26:$BH$26,1,MATCH(('Adjustment Surface'!AA$26),'Adjustment Surface'!$AO$26:$BH$26,1)))))</f>
        <v/>
      </c>
      <c r="AB30" s="193" t="str" cm="1">
        <f t="array" ref="AB30">IF(OR(AB$26="",$O30=""),"",1/((INDEX('Adjustment Surface'!$AN$27:$AN$46,MATCH(('Adjustment Surface'!$O30),'Adjustment Surface'!$AN$27:$AN$46,1)+IF('Adjustment Surface'!$O31="",-1,1))-INDEX('Adjustment Surface'!$AN$27:$AN$46,MATCH(('Adjustment Surface'!$O30),'Adjustment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Surface'!$O30),'Adjustment Surface'!$AN$27:$AN$46,1)),$AN$27:$AN$46,0),MATCH(INDEX('Adjustment Surface'!$AO$26:$BH$26,1,MATCH(('Adjustment Surface'!AB$26),'Adjustment Surface'!$AO$26:$BH$26,1)),$AO$26:$BH$26,0))*(INDEX('Adjustment Surface'!$AN$27:$AN$46,MATCH(('Adjustment Surface'!$O30),'Adjustment Surface'!$AN$27:$AN$46,1)+IF('Adjustment Surface'!$O31="",-1,1))-'Adjustment Surface'!$O30)*(INDEX('Adjustment Surface'!$AO$26:$BH$26,1,MATCH(('Adjustment Surface'!AB$26),'Adjustment Surface'!$AO$26:$BH$26,1)+IF('Adjustment Surface'!AC$26="",-1,1))-'Adjustment Surface'!AB$26)+INDEX($AO$27:$BH$46,MATCH(INDEX('Adjustment Surface'!$AN$27:$AN$46,MATCH(('Adjustment Surface'!$O30),'Adjustment Surface'!$AN$27:$AN$46,1)+IF('Adjustment Surface'!$O31="",-1,1)),$AN$27:$AN$46,0),MATCH(INDEX('Adjustment Surface'!$AO$26:$BH$26,1,MATCH(('Adjustment Surface'!AB$26),'Adjustment Surface'!$AO$26:$BH$26,1)),$AO$26:$BH$26,0))*('Adjustment Surface'!$O30-INDEX('Adjustment Surface'!$AN$27:$AN$46,MATCH(('Adjustment Surface'!$O30),'Adjustment Surface'!$AN$27:$AN$46,1)))*(INDEX('Adjustment Surface'!$AO$26:$BH$26,1,MATCH(('Adjustment Surface'!AB$26),'Adjustment Surface'!$AO$26:$BH$26,1)+IF('Adjustment Surface'!AC$26="",-1,1))-'Adjustment Surface'!AB$26)+INDEX($AO$27:$BH$46,MATCH(INDEX('Adjustment Surface'!$AN$27:$AN$46,MATCH(('Adjustment Surface'!$O30),'Adjustment Surface'!$AN$27:$AN$46,1)),$AN$27:$AN$46,0),MATCH(INDEX('Adjustment Surface'!$AO$26:$BH$26,1,MATCH(('Adjustment Surface'!AB$26),'Adjustment Surface'!$AO$26:$BH$26,1)+IF('Adjustment Surface'!AC$26="",-1,1)),$AO$26:$BH$26,0))*(INDEX('Adjustment Surface'!$AN$27:$AN$46,MATCH(('Adjustment Surface'!$O30),'Adjustment Surface'!$AN$27:$AN$46,1)+IF('Adjustment Surface'!$O31="",-1,1))-'Adjustment Surface'!$O30)*('Adjustment Surface'!AB$26-INDEX('Adjustment Surface'!$AO$26:$BH$26,1,MATCH(('Adjustment Surface'!AB$26),'Adjustment Surface'!$AO$26:$BH$26,1)))+INDEX($AO$27:$BH$46,MATCH(INDEX('Adjustment Surface'!$AN$27:$AN$46,MATCH(('Adjustment Surface'!$O30),'Adjustment Surface'!$AN$27:$AN$46,1)+IF('Adjustment Surface'!$O31="",-1,1)),$AN$27:$AN$46,0),MATCH(INDEX('Adjustment Surface'!$AO$26:$BH$26,1,MATCH(('Adjustment Surface'!AB$26),'Adjustment Surface'!$AO$26:$BH$26,1)+IF('Adjustment Surface'!AC$26="",-1,1)),$AO$26:$BH$26,0))*('Adjustment Surface'!$O30-INDEX('Adjustment Surface'!$AN$27:$AN$46,MATCH(('Adjustment Surface'!$O30),'Adjustment Surface'!$AN$27:$AN$46,1)))*('Adjustment Surface'!AB$26-INDEX('Adjustment Surface'!$AO$26:$BH$26,1,MATCH(('Adjustment Surface'!AB$26),'Adjustment Surface'!$AO$26:$BH$26,1)))))</f>
        <v/>
      </c>
      <c r="AC30" s="193" t="str" cm="1">
        <f t="array" ref="AC30">IF(OR(AC$26="",$O30=""),"",1/((INDEX('Adjustment Surface'!$AN$27:$AN$46,MATCH(('Adjustment Surface'!$O30),'Adjustment Surface'!$AN$27:$AN$46,1)+IF('Adjustment Surface'!$O31="",-1,1))-INDEX('Adjustment Surface'!$AN$27:$AN$46,MATCH(('Adjustment Surface'!$O30),'Adjustment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Surface'!$O30),'Adjustment Surface'!$AN$27:$AN$46,1)),$AN$27:$AN$46,0),MATCH(INDEX('Adjustment Surface'!$AO$26:$BH$26,1,MATCH(('Adjustment Surface'!AC$26),'Adjustment Surface'!$AO$26:$BH$26,1)),$AO$26:$BH$26,0))*(INDEX('Adjustment Surface'!$AN$27:$AN$46,MATCH(('Adjustment Surface'!$O30),'Adjustment Surface'!$AN$27:$AN$46,1)+IF('Adjustment Surface'!$O31="",-1,1))-'Adjustment Surface'!$O30)*(INDEX('Adjustment Surface'!$AO$26:$BH$26,1,MATCH(('Adjustment Surface'!AC$26),'Adjustment Surface'!$AO$26:$BH$26,1)+IF('Adjustment Surface'!AD$26="",-1,1))-'Adjustment Surface'!AC$26)+INDEX($AO$27:$BH$46,MATCH(INDEX('Adjustment Surface'!$AN$27:$AN$46,MATCH(('Adjustment Surface'!$O30),'Adjustment Surface'!$AN$27:$AN$46,1)+IF('Adjustment Surface'!$O31="",-1,1)),$AN$27:$AN$46,0),MATCH(INDEX('Adjustment Surface'!$AO$26:$BH$26,1,MATCH(('Adjustment Surface'!AC$26),'Adjustment Surface'!$AO$26:$BH$26,1)),$AO$26:$BH$26,0))*('Adjustment Surface'!$O30-INDEX('Adjustment Surface'!$AN$27:$AN$46,MATCH(('Adjustment Surface'!$O30),'Adjustment Surface'!$AN$27:$AN$46,1)))*(INDEX('Adjustment Surface'!$AO$26:$BH$26,1,MATCH(('Adjustment Surface'!AC$26),'Adjustment Surface'!$AO$26:$BH$26,1)+IF('Adjustment Surface'!AD$26="",-1,1))-'Adjustment Surface'!AC$26)+INDEX($AO$27:$BH$46,MATCH(INDEX('Adjustment Surface'!$AN$27:$AN$46,MATCH(('Adjustment Surface'!$O30),'Adjustment Surface'!$AN$27:$AN$46,1)),$AN$27:$AN$46,0),MATCH(INDEX('Adjustment Surface'!$AO$26:$BH$26,1,MATCH(('Adjustment Surface'!AC$26),'Adjustment Surface'!$AO$26:$BH$26,1)+IF('Adjustment Surface'!AD$26="",-1,1)),$AO$26:$BH$26,0))*(INDEX('Adjustment Surface'!$AN$27:$AN$46,MATCH(('Adjustment Surface'!$O30),'Adjustment Surface'!$AN$27:$AN$46,1)+IF('Adjustment Surface'!$O31="",-1,1))-'Adjustment Surface'!$O30)*('Adjustment Surface'!AC$26-INDEX('Adjustment Surface'!$AO$26:$BH$26,1,MATCH(('Adjustment Surface'!AC$26),'Adjustment Surface'!$AO$26:$BH$26,1)))+INDEX($AO$27:$BH$46,MATCH(INDEX('Adjustment Surface'!$AN$27:$AN$46,MATCH(('Adjustment Surface'!$O30),'Adjustment Surface'!$AN$27:$AN$46,1)+IF('Adjustment Surface'!$O31="",-1,1)),$AN$27:$AN$46,0),MATCH(INDEX('Adjustment Surface'!$AO$26:$BH$26,1,MATCH(('Adjustment Surface'!AC$26),'Adjustment Surface'!$AO$26:$BH$26,1)+IF('Adjustment Surface'!AD$26="",-1,1)),$AO$26:$BH$26,0))*('Adjustment Surface'!$O30-INDEX('Adjustment Surface'!$AN$27:$AN$46,MATCH(('Adjustment Surface'!$O30),'Adjustment Surface'!$AN$27:$AN$46,1)))*('Adjustment Surface'!AC$26-INDEX('Adjustment Surface'!$AO$26:$BH$26,1,MATCH(('Adjustment Surface'!AC$26),'Adjustment Surface'!$AO$26:$BH$26,1)))))</f>
        <v/>
      </c>
      <c r="AD30" s="193" t="str" cm="1">
        <f t="array" ref="AD30">IF(OR(AD$26="",$O30=""),"",1/((INDEX('Adjustment Surface'!$AN$27:$AN$46,MATCH(('Adjustment Surface'!$O30),'Adjustment Surface'!$AN$27:$AN$46,1)+IF('Adjustment Surface'!$O31="",-1,1))-INDEX('Adjustment Surface'!$AN$27:$AN$46,MATCH(('Adjustment Surface'!$O30),'Adjustment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Surface'!$O30),'Adjustment Surface'!$AN$27:$AN$46,1)),$AN$27:$AN$46,0),MATCH(INDEX('Adjustment Surface'!$AO$26:$BH$26,1,MATCH(('Adjustment Surface'!AD$26),'Adjustment Surface'!$AO$26:$BH$26,1)),$AO$26:$BH$26,0))*(INDEX('Adjustment Surface'!$AN$27:$AN$46,MATCH(('Adjustment Surface'!$O30),'Adjustment Surface'!$AN$27:$AN$46,1)+IF('Adjustment Surface'!$O31="",-1,1))-'Adjustment Surface'!$O30)*(INDEX('Adjustment Surface'!$AO$26:$BH$26,1,MATCH(('Adjustment Surface'!AD$26),'Adjustment Surface'!$AO$26:$BH$26,1)+IF('Adjustment Surface'!AE$26="",-1,1))-'Adjustment Surface'!AD$26)+INDEX($AO$27:$BH$46,MATCH(INDEX('Adjustment Surface'!$AN$27:$AN$46,MATCH(('Adjustment Surface'!$O30),'Adjustment Surface'!$AN$27:$AN$46,1)+IF('Adjustment Surface'!$O31="",-1,1)),$AN$27:$AN$46,0),MATCH(INDEX('Adjustment Surface'!$AO$26:$BH$26,1,MATCH(('Adjustment Surface'!AD$26),'Adjustment Surface'!$AO$26:$BH$26,1)),$AO$26:$BH$26,0))*('Adjustment Surface'!$O30-INDEX('Adjustment Surface'!$AN$27:$AN$46,MATCH(('Adjustment Surface'!$O30),'Adjustment Surface'!$AN$27:$AN$46,1)))*(INDEX('Adjustment Surface'!$AO$26:$BH$26,1,MATCH(('Adjustment Surface'!AD$26),'Adjustment Surface'!$AO$26:$BH$26,1)+IF('Adjustment Surface'!AE$26="",-1,1))-'Adjustment Surface'!AD$26)+INDEX($AO$27:$BH$46,MATCH(INDEX('Adjustment Surface'!$AN$27:$AN$46,MATCH(('Adjustment Surface'!$O30),'Adjustment Surface'!$AN$27:$AN$46,1)),$AN$27:$AN$46,0),MATCH(INDEX('Adjustment Surface'!$AO$26:$BH$26,1,MATCH(('Adjustment Surface'!AD$26),'Adjustment Surface'!$AO$26:$BH$26,1)+IF('Adjustment Surface'!AE$26="",-1,1)),$AO$26:$BH$26,0))*(INDEX('Adjustment Surface'!$AN$27:$AN$46,MATCH(('Adjustment Surface'!$O30),'Adjustment Surface'!$AN$27:$AN$46,1)+IF('Adjustment Surface'!$O31="",-1,1))-'Adjustment Surface'!$O30)*('Adjustment Surface'!AD$26-INDEX('Adjustment Surface'!$AO$26:$BH$26,1,MATCH(('Adjustment Surface'!AD$26),'Adjustment Surface'!$AO$26:$BH$26,1)))+INDEX($AO$27:$BH$46,MATCH(INDEX('Adjustment Surface'!$AN$27:$AN$46,MATCH(('Adjustment Surface'!$O30),'Adjustment Surface'!$AN$27:$AN$46,1)+IF('Adjustment Surface'!$O31="",-1,1)),$AN$27:$AN$46,0),MATCH(INDEX('Adjustment Surface'!$AO$26:$BH$26,1,MATCH(('Adjustment Surface'!AD$26),'Adjustment Surface'!$AO$26:$BH$26,1)+IF('Adjustment Surface'!AE$26="",-1,1)),$AO$26:$BH$26,0))*('Adjustment Surface'!$O30-INDEX('Adjustment Surface'!$AN$27:$AN$46,MATCH(('Adjustment Surface'!$O30),'Adjustment Surface'!$AN$27:$AN$46,1)))*('Adjustment Surface'!AD$26-INDEX('Adjustment Surface'!$AO$26:$BH$26,1,MATCH(('Adjustment Surface'!AD$26),'Adjustment Surface'!$AO$26:$BH$26,1)))))</f>
        <v/>
      </c>
      <c r="AE30" s="193" t="str" cm="1">
        <f t="array" ref="AE30">IF(OR(AE$26="",$O30=""),"",1/((INDEX('Adjustment Surface'!$AN$27:$AN$46,MATCH(('Adjustment Surface'!$O30),'Adjustment Surface'!$AN$27:$AN$46,1)+IF('Adjustment Surface'!$O31="",-1,1))-INDEX('Adjustment Surface'!$AN$27:$AN$46,MATCH(('Adjustment Surface'!$O30),'Adjustment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Surface'!$O30),'Adjustment Surface'!$AN$27:$AN$46,1)),$AN$27:$AN$46,0),MATCH(INDEX('Adjustment Surface'!$AO$26:$BH$26,1,MATCH(('Adjustment Surface'!AE$26),'Adjustment Surface'!$AO$26:$BH$26,1)),$AO$26:$BH$26,0))*(INDEX('Adjustment Surface'!$AN$27:$AN$46,MATCH(('Adjustment Surface'!$O30),'Adjustment Surface'!$AN$27:$AN$46,1)+IF('Adjustment Surface'!$O31="",-1,1))-'Adjustment Surface'!$O30)*(INDEX('Adjustment Surface'!$AO$26:$BH$26,1,MATCH(('Adjustment Surface'!AE$26),'Adjustment Surface'!$AO$26:$BH$26,1)+IF('Adjustment Surface'!AF$26="",-1,1))-'Adjustment Surface'!AE$26)+INDEX($AO$27:$BH$46,MATCH(INDEX('Adjustment Surface'!$AN$27:$AN$46,MATCH(('Adjustment Surface'!$O30),'Adjustment Surface'!$AN$27:$AN$46,1)+IF('Adjustment Surface'!$O31="",-1,1)),$AN$27:$AN$46,0),MATCH(INDEX('Adjustment Surface'!$AO$26:$BH$26,1,MATCH(('Adjustment Surface'!AE$26),'Adjustment Surface'!$AO$26:$BH$26,1)),$AO$26:$BH$26,0))*('Adjustment Surface'!$O30-INDEX('Adjustment Surface'!$AN$27:$AN$46,MATCH(('Adjustment Surface'!$O30),'Adjustment Surface'!$AN$27:$AN$46,1)))*(INDEX('Adjustment Surface'!$AO$26:$BH$26,1,MATCH(('Adjustment Surface'!AE$26),'Adjustment Surface'!$AO$26:$BH$26,1)+IF('Adjustment Surface'!AF$26="",-1,1))-'Adjustment Surface'!AE$26)+INDEX($AO$27:$BH$46,MATCH(INDEX('Adjustment Surface'!$AN$27:$AN$46,MATCH(('Adjustment Surface'!$O30),'Adjustment Surface'!$AN$27:$AN$46,1)),$AN$27:$AN$46,0),MATCH(INDEX('Adjustment Surface'!$AO$26:$BH$26,1,MATCH(('Adjustment Surface'!AE$26),'Adjustment Surface'!$AO$26:$BH$26,1)+IF('Adjustment Surface'!AF$26="",-1,1)),$AO$26:$BH$26,0))*(INDEX('Adjustment Surface'!$AN$27:$AN$46,MATCH(('Adjustment Surface'!$O30),'Adjustment Surface'!$AN$27:$AN$46,1)+IF('Adjustment Surface'!$O31="",-1,1))-'Adjustment Surface'!$O30)*('Adjustment Surface'!AE$26-INDEX('Adjustment Surface'!$AO$26:$BH$26,1,MATCH(('Adjustment Surface'!AE$26),'Adjustment Surface'!$AO$26:$BH$26,1)))+INDEX($AO$27:$BH$46,MATCH(INDEX('Adjustment Surface'!$AN$27:$AN$46,MATCH(('Adjustment Surface'!$O30),'Adjustment Surface'!$AN$27:$AN$46,1)+IF('Adjustment Surface'!$O31="",-1,1)),$AN$27:$AN$46,0),MATCH(INDEX('Adjustment Surface'!$AO$26:$BH$26,1,MATCH(('Adjustment Surface'!AE$26),'Adjustment Surface'!$AO$26:$BH$26,1)+IF('Adjustment Surface'!AF$26="",-1,1)),$AO$26:$BH$26,0))*('Adjustment Surface'!$O30-INDEX('Adjustment Surface'!$AN$27:$AN$46,MATCH(('Adjustment Surface'!$O30),'Adjustment Surface'!$AN$27:$AN$46,1)))*('Adjustment Surface'!AE$26-INDEX('Adjustment Surface'!$AO$26:$BH$26,1,MATCH(('Adjustment Surface'!AE$26),'Adjustment Surface'!$AO$26:$BH$26,1)))))</f>
        <v/>
      </c>
      <c r="AF30" s="193" t="str" cm="1">
        <f t="array" ref="AF30">IF(OR(AF$26="",$O30=""),"",1/((INDEX('Adjustment Surface'!$AN$27:$AN$46,MATCH(('Adjustment Surface'!$O30),'Adjustment Surface'!$AN$27:$AN$46,1)+IF('Adjustment Surface'!$O31="",-1,1))-INDEX('Adjustment Surface'!$AN$27:$AN$46,MATCH(('Adjustment Surface'!$O30),'Adjustment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Surface'!$O30),'Adjustment Surface'!$AN$27:$AN$46,1)),$AN$27:$AN$46,0),MATCH(INDEX('Adjustment Surface'!$AO$26:$BH$26,1,MATCH(('Adjustment Surface'!AF$26),'Adjustment Surface'!$AO$26:$BH$26,1)),$AO$26:$BH$26,0))*(INDEX('Adjustment Surface'!$AN$27:$AN$46,MATCH(('Adjustment Surface'!$O30),'Adjustment Surface'!$AN$27:$AN$46,1)+IF('Adjustment Surface'!$O31="",-1,1))-'Adjustment Surface'!$O30)*(INDEX('Adjustment Surface'!$AO$26:$BH$26,1,MATCH(('Adjustment Surface'!AF$26),'Adjustment Surface'!$AO$26:$BH$26,1)+IF('Adjustment Surface'!AG$26="",-1,1))-'Adjustment Surface'!AF$26)+INDEX($AO$27:$BH$46,MATCH(INDEX('Adjustment Surface'!$AN$27:$AN$46,MATCH(('Adjustment Surface'!$O30),'Adjustment Surface'!$AN$27:$AN$46,1)+IF('Adjustment Surface'!$O31="",-1,1)),$AN$27:$AN$46,0),MATCH(INDEX('Adjustment Surface'!$AO$26:$BH$26,1,MATCH(('Adjustment Surface'!AF$26),'Adjustment Surface'!$AO$26:$BH$26,1)),$AO$26:$BH$26,0))*('Adjustment Surface'!$O30-INDEX('Adjustment Surface'!$AN$27:$AN$46,MATCH(('Adjustment Surface'!$O30),'Adjustment Surface'!$AN$27:$AN$46,1)))*(INDEX('Adjustment Surface'!$AO$26:$BH$26,1,MATCH(('Adjustment Surface'!AF$26),'Adjustment Surface'!$AO$26:$BH$26,1)+IF('Adjustment Surface'!AG$26="",-1,1))-'Adjustment Surface'!AF$26)+INDEX($AO$27:$BH$46,MATCH(INDEX('Adjustment Surface'!$AN$27:$AN$46,MATCH(('Adjustment Surface'!$O30),'Adjustment Surface'!$AN$27:$AN$46,1)),$AN$27:$AN$46,0),MATCH(INDEX('Adjustment Surface'!$AO$26:$BH$26,1,MATCH(('Adjustment Surface'!AF$26),'Adjustment Surface'!$AO$26:$BH$26,1)+IF('Adjustment Surface'!AG$26="",-1,1)),$AO$26:$BH$26,0))*(INDEX('Adjustment Surface'!$AN$27:$AN$46,MATCH(('Adjustment Surface'!$O30),'Adjustment Surface'!$AN$27:$AN$46,1)+IF('Adjustment Surface'!$O31="",-1,1))-'Adjustment Surface'!$O30)*('Adjustment Surface'!AF$26-INDEX('Adjustment Surface'!$AO$26:$BH$26,1,MATCH(('Adjustment Surface'!AF$26),'Adjustment Surface'!$AO$26:$BH$26,1)))+INDEX($AO$27:$BH$46,MATCH(INDEX('Adjustment Surface'!$AN$27:$AN$46,MATCH(('Adjustment Surface'!$O30),'Adjustment Surface'!$AN$27:$AN$46,1)+IF('Adjustment Surface'!$O31="",-1,1)),$AN$27:$AN$46,0),MATCH(INDEX('Adjustment Surface'!$AO$26:$BH$26,1,MATCH(('Adjustment Surface'!AF$26),'Adjustment Surface'!$AO$26:$BH$26,1)+IF('Adjustment Surface'!AG$26="",-1,1)),$AO$26:$BH$26,0))*('Adjustment Surface'!$O30-INDEX('Adjustment Surface'!$AN$27:$AN$46,MATCH(('Adjustment Surface'!$O30),'Adjustment Surface'!$AN$27:$AN$46,1)))*('Adjustment Surface'!AF$26-INDEX('Adjustment Surface'!$AO$26:$BH$26,1,MATCH(('Adjustment Surface'!AF$26),'Adjustment Surface'!$AO$26:$BH$26,1)))))</f>
        <v/>
      </c>
      <c r="AG30" s="193" t="str" cm="1">
        <f t="array" ref="AG30">IF(OR(AG$26="",$O30=""),"",1/((INDEX('Adjustment Surface'!$AN$27:$AN$46,MATCH(('Adjustment Surface'!$O30),'Adjustment Surface'!$AN$27:$AN$46,1)+IF('Adjustment Surface'!$O31="",-1,1))-INDEX('Adjustment Surface'!$AN$27:$AN$46,MATCH(('Adjustment Surface'!$O30),'Adjustment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Surface'!$O30),'Adjustment Surface'!$AN$27:$AN$46,1)),$AN$27:$AN$46,0),MATCH(INDEX('Adjustment Surface'!$AO$26:$BH$26,1,MATCH(('Adjustment Surface'!AG$26),'Adjustment Surface'!$AO$26:$BH$26,1)),$AO$26:$BH$26,0))*(INDEX('Adjustment Surface'!$AN$27:$AN$46,MATCH(('Adjustment Surface'!$O30),'Adjustment Surface'!$AN$27:$AN$46,1)+IF('Adjustment Surface'!$O31="",-1,1))-'Adjustment Surface'!$O30)*(INDEX('Adjustment Surface'!$AO$26:$BH$26,1,MATCH(('Adjustment Surface'!AG$26),'Adjustment Surface'!$AO$26:$BH$26,1)+IF('Adjustment Surface'!AH$26="",-1,1))-'Adjustment Surface'!AG$26)+INDEX($AO$27:$BH$46,MATCH(INDEX('Adjustment Surface'!$AN$27:$AN$46,MATCH(('Adjustment Surface'!$O30),'Adjustment Surface'!$AN$27:$AN$46,1)+IF('Adjustment Surface'!$O31="",-1,1)),$AN$27:$AN$46,0),MATCH(INDEX('Adjustment Surface'!$AO$26:$BH$26,1,MATCH(('Adjustment Surface'!AG$26),'Adjustment Surface'!$AO$26:$BH$26,1)),$AO$26:$BH$26,0))*('Adjustment Surface'!$O30-INDEX('Adjustment Surface'!$AN$27:$AN$46,MATCH(('Adjustment Surface'!$O30),'Adjustment Surface'!$AN$27:$AN$46,1)))*(INDEX('Adjustment Surface'!$AO$26:$BH$26,1,MATCH(('Adjustment Surface'!AG$26),'Adjustment Surface'!$AO$26:$BH$26,1)+IF('Adjustment Surface'!AH$26="",-1,1))-'Adjustment Surface'!AG$26)+INDEX($AO$27:$BH$46,MATCH(INDEX('Adjustment Surface'!$AN$27:$AN$46,MATCH(('Adjustment Surface'!$O30),'Adjustment Surface'!$AN$27:$AN$46,1)),$AN$27:$AN$46,0),MATCH(INDEX('Adjustment Surface'!$AO$26:$BH$26,1,MATCH(('Adjustment Surface'!AG$26),'Adjustment Surface'!$AO$26:$BH$26,1)+IF('Adjustment Surface'!AH$26="",-1,1)),$AO$26:$BH$26,0))*(INDEX('Adjustment Surface'!$AN$27:$AN$46,MATCH(('Adjustment Surface'!$O30),'Adjustment Surface'!$AN$27:$AN$46,1)+IF('Adjustment Surface'!$O31="",-1,1))-'Adjustment Surface'!$O30)*('Adjustment Surface'!AG$26-INDEX('Adjustment Surface'!$AO$26:$BH$26,1,MATCH(('Adjustment Surface'!AG$26),'Adjustment Surface'!$AO$26:$BH$26,1)))+INDEX($AO$27:$BH$46,MATCH(INDEX('Adjustment Surface'!$AN$27:$AN$46,MATCH(('Adjustment Surface'!$O30),'Adjustment Surface'!$AN$27:$AN$46,1)+IF('Adjustment Surface'!$O31="",-1,1)),$AN$27:$AN$46,0),MATCH(INDEX('Adjustment Surface'!$AO$26:$BH$26,1,MATCH(('Adjustment Surface'!AG$26),'Adjustment Surface'!$AO$26:$BH$26,1)+IF('Adjustment Surface'!AH$26="",-1,1)),$AO$26:$BH$26,0))*('Adjustment Surface'!$O30-INDEX('Adjustment Surface'!$AN$27:$AN$46,MATCH(('Adjustment Surface'!$O30),'Adjustment Surface'!$AN$27:$AN$46,1)))*('Adjustment Surface'!AG$26-INDEX('Adjustment Surface'!$AO$26:$BH$26,1,MATCH(('Adjustment Surface'!AG$26),'Adjustment Surface'!$AO$26:$BH$26,1)))))</f>
        <v/>
      </c>
      <c r="AH30" s="193" t="str" cm="1">
        <f t="array" ref="AH30">IF(OR(AH$26="",$O30=""),"",1/((INDEX('Adjustment Surface'!$AN$27:$AN$46,MATCH(('Adjustment Surface'!$O30),'Adjustment Surface'!$AN$27:$AN$46,1)+IF('Adjustment Surface'!$O31="",-1,1))-INDEX('Adjustment Surface'!$AN$27:$AN$46,MATCH(('Adjustment Surface'!$O30),'Adjustment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Surface'!$O30),'Adjustment Surface'!$AN$27:$AN$46,1)),$AN$27:$AN$46,0),MATCH(INDEX('Adjustment Surface'!$AO$26:$BH$26,1,MATCH(('Adjustment Surface'!AH$26),'Adjustment Surface'!$AO$26:$BH$26,1)),$AO$26:$BH$26,0))*(INDEX('Adjustment Surface'!$AN$27:$AN$46,MATCH(('Adjustment Surface'!$O30),'Adjustment Surface'!$AN$27:$AN$46,1)+IF('Adjustment Surface'!$O31="",-1,1))-'Adjustment Surface'!$O30)*(INDEX('Adjustment Surface'!$AO$26:$BH$26,1,MATCH(('Adjustment Surface'!AH$26),'Adjustment Surface'!$AO$26:$BH$26,1)+IF('Adjustment Surface'!AI$26="",-1,1))-'Adjustment Surface'!AH$26)+INDEX($AO$27:$BH$46,MATCH(INDEX('Adjustment Surface'!$AN$27:$AN$46,MATCH(('Adjustment Surface'!$O30),'Adjustment Surface'!$AN$27:$AN$46,1)+IF('Adjustment Surface'!$O31="",-1,1)),$AN$27:$AN$46,0),MATCH(INDEX('Adjustment Surface'!$AO$26:$BH$26,1,MATCH(('Adjustment Surface'!AH$26),'Adjustment Surface'!$AO$26:$BH$26,1)),$AO$26:$BH$26,0))*('Adjustment Surface'!$O30-INDEX('Adjustment Surface'!$AN$27:$AN$46,MATCH(('Adjustment Surface'!$O30),'Adjustment Surface'!$AN$27:$AN$46,1)))*(INDEX('Adjustment Surface'!$AO$26:$BH$26,1,MATCH(('Adjustment Surface'!AH$26),'Adjustment Surface'!$AO$26:$BH$26,1)+IF('Adjustment Surface'!AI$26="",-1,1))-'Adjustment Surface'!AH$26)+INDEX($AO$27:$BH$46,MATCH(INDEX('Adjustment Surface'!$AN$27:$AN$46,MATCH(('Adjustment Surface'!$O30),'Adjustment Surface'!$AN$27:$AN$46,1)),$AN$27:$AN$46,0),MATCH(INDEX('Adjustment Surface'!$AO$26:$BH$26,1,MATCH(('Adjustment Surface'!AH$26),'Adjustment Surface'!$AO$26:$BH$26,1)+IF('Adjustment Surface'!AI$26="",-1,1)),$AO$26:$BH$26,0))*(INDEX('Adjustment Surface'!$AN$27:$AN$46,MATCH(('Adjustment Surface'!$O30),'Adjustment Surface'!$AN$27:$AN$46,1)+IF('Adjustment Surface'!$O31="",-1,1))-'Adjustment Surface'!$O30)*('Adjustment Surface'!AH$26-INDEX('Adjustment Surface'!$AO$26:$BH$26,1,MATCH(('Adjustment Surface'!AH$26),'Adjustment Surface'!$AO$26:$BH$26,1)))+INDEX($AO$27:$BH$46,MATCH(INDEX('Adjustment Surface'!$AN$27:$AN$46,MATCH(('Adjustment Surface'!$O30),'Adjustment Surface'!$AN$27:$AN$46,1)+IF('Adjustment Surface'!$O31="",-1,1)),$AN$27:$AN$46,0),MATCH(INDEX('Adjustment Surface'!$AO$26:$BH$26,1,MATCH(('Adjustment Surface'!AH$26),'Adjustment Surface'!$AO$26:$BH$26,1)+IF('Adjustment Surface'!AI$26="",-1,1)),$AO$26:$BH$26,0))*('Adjustment Surface'!$O30-INDEX('Adjustment Surface'!$AN$27:$AN$46,MATCH(('Adjustment Surface'!$O30),'Adjustment Surface'!$AN$27:$AN$46,1)))*('Adjustment Surface'!AH$26-INDEX('Adjustment Surface'!$AO$26:$BH$26,1,MATCH(('Adjustment Surface'!AH$26),'Adjustment Surface'!$AO$26:$BH$26,1)))))</f>
        <v/>
      </c>
      <c r="AI30" s="194" t="str" cm="1">
        <f t="array" ref="AI30">IF(OR(AI$26="",$O30=""),"",1/((INDEX('Adjustment Surface'!$AN$27:$AN$46,MATCH(('Adjustment Surface'!$O30),'Adjustment Surface'!$AN$27:$AN$46,1)+IF('Adjustment Surface'!$O31="",-1,1))-INDEX('Adjustment Surface'!$AN$27:$AN$46,MATCH(('Adjustment Surface'!$O30),'Adjustment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Surface'!$O30),'Adjustment Surface'!$AN$27:$AN$46,1)),$AN$27:$AN$46,0),MATCH(INDEX('Adjustment Surface'!$AO$26:$BH$26,1,MATCH(('Adjustment Surface'!AI$26),'Adjustment Surface'!$AO$26:$BH$26,1)),$AO$26:$BH$26,0))*(INDEX('Adjustment Surface'!$AN$27:$AN$46,MATCH(('Adjustment Surface'!$O30),'Adjustment Surface'!$AN$27:$AN$46,1)+IF('Adjustment Surface'!$O31="",-1,1))-'Adjustment Surface'!$O30)*(INDEX('Adjustment Surface'!$AO$26:$BH$26,1,MATCH(('Adjustment Surface'!AI$26),'Adjustment Surface'!$AO$26:$BH$26,1)+IF('Adjustment Surface'!AJ$26="",-1,1))-'Adjustment Surface'!AI$26)+INDEX($AO$27:$BH$46,MATCH(INDEX('Adjustment Surface'!$AN$27:$AN$46,MATCH(('Adjustment Surface'!$O30),'Adjustment Surface'!$AN$27:$AN$46,1)+IF('Adjustment Surface'!$O31="",-1,1)),$AN$27:$AN$46,0),MATCH(INDEX('Adjustment Surface'!$AO$26:$BH$26,1,MATCH(('Adjustment Surface'!AI$26),'Adjustment Surface'!$AO$26:$BH$26,1)),$AO$26:$BH$26,0))*('Adjustment Surface'!$O30-INDEX('Adjustment Surface'!$AN$27:$AN$46,MATCH(('Adjustment Surface'!$O30),'Adjustment Surface'!$AN$27:$AN$46,1)))*(INDEX('Adjustment Surface'!$AO$26:$BH$26,1,MATCH(('Adjustment Surface'!AI$26),'Adjustment Surface'!$AO$26:$BH$26,1)+IF('Adjustment Surface'!AJ$26="",-1,1))-'Adjustment Surface'!AI$26)+INDEX($AO$27:$BH$46,MATCH(INDEX('Adjustment Surface'!$AN$27:$AN$46,MATCH(('Adjustment Surface'!$O30),'Adjustment Surface'!$AN$27:$AN$46,1)),$AN$27:$AN$46,0),MATCH(INDEX('Adjustment Surface'!$AO$26:$BH$26,1,MATCH(('Adjustment Surface'!AI$26),'Adjustment Surface'!$AO$26:$BH$26,1)+IF('Adjustment Surface'!AJ$26="",-1,1)),$AO$26:$BH$26,0))*(INDEX('Adjustment Surface'!$AN$27:$AN$46,MATCH(('Adjustment Surface'!$O30),'Adjustment Surface'!$AN$27:$AN$46,1)+IF('Adjustment Surface'!$O31="",-1,1))-'Adjustment Surface'!$O30)*('Adjustment Surface'!AI$26-INDEX('Adjustment Surface'!$AO$26:$BH$26,1,MATCH(('Adjustment Surface'!AI$26),'Adjustment Surface'!$AO$26:$BH$26,1)))+INDEX($AO$27:$BH$46,MATCH(INDEX('Adjustment Surface'!$AN$27:$AN$46,MATCH(('Adjustment Surface'!$O30),'Adjustment Surface'!$AN$27:$AN$46,1)+IF('Adjustment Surface'!$O31="",-1,1)),$AN$27:$AN$46,0),MATCH(INDEX('Adjustment Surface'!$AO$26:$BH$26,1,MATCH(('Adjustment Surface'!AI$26),'Adjustment Surface'!$AO$26:$BH$26,1)+IF('Adjustment Surface'!AJ$26="",-1,1)),$AO$26:$BH$26,0))*('Adjustment Surface'!$O30-INDEX('Adjustment Surface'!$AN$27:$AN$46,MATCH(('Adjustment Surface'!$O30),'Adjustment Surface'!$AN$27:$AN$46,1)))*('Adjustment Surface'!AI$26-INDEX('Adjustment Surface'!$AO$26:$BH$26,1,MATCH(('Adjustment Surface'!AI$26),'Adjustment Surface'!$AO$26:$BH$26,1)))))</f>
        <v/>
      </c>
      <c r="AK30" s="203">
        <v>0.03</v>
      </c>
      <c r="AL30" s="207" t="str">
        <v/>
      </c>
      <c r="AN30" s="176">
        <v>0.05</v>
      </c>
      <c r="AO30" s="192" cm="1">
        <f t="array" ref="AO30">IF(OR(AO$26="",$AN30=""),"",INDEX(IF($C$2='Data Validation'!$A$2,'Bank Adjustments'!$I$4:$I$103,IF('Adjustment Surface'!$C$2='Data Validation'!$A$3,'Bank Adjustments'!$S$4:$S$103,"Unknown Option Type")),MATCH(1,($AN30=IF($C$2='Data Validation'!$A$2,'Bank Adjustments'!$C$4:$C$103,IF('Adjustment Surface'!$C$2='Data Validation'!$A$3,'Bank Adjustments'!$M$4:$M$103,"Unknown Option Type")))*(AO$26=IF($C$2='Data Validation'!$A$2,'Bank Adjustments'!$E$4:$E$103,IF('Adjustment Surface'!$C$2='Data Validation'!$A$3,'Bank Adjustments'!$O$4:$O$103,"Unknown Option Type"))),0)))</f>
        <v>20.377199981093053</v>
      </c>
      <c r="AP30" s="193" cm="1">
        <f t="array" ref="AP30">IF(OR(AP$26="",$AN30=""),"",INDEX(IF($C$2='Data Validation'!$A$2,'Bank Adjustments'!$I$4:$I$103,IF('Adjustment Surface'!$C$2='Data Validation'!$A$3,'Bank Adjustments'!$S$4:$S$103,"Unknown Option Type")),MATCH(1,($AN30=IF($C$2='Data Validation'!$A$2,'Bank Adjustments'!$C$4:$C$103,IF('Adjustment Surface'!$C$2='Data Validation'!$A$3,'Bank Adjustments'!$M$4:$M$103,"Unknown Option Type")))*(AP$26=IF($C$2='Data Validation'!$A$2,'Bank Adjustments'!$E$4:$E$103,IF('Adjustment Surface'!$C$2='Data Validation'!$A$3,'Bank Adjustments'!$O$4:$O$103,"Unknown Option Type"))),0)))</f>
        <v>0.88914289006595615</v>
      </c>
      <c r="AQ30" s="193" cm="1">
        <f t="array" ref="AQ30">IF(OR(AQ$26="",$AN30=""),"",INDEX(IF($C$2='Data Validation'!$A$2,'Bank Adjustments'!$I$4:$I$103,IF('Adjustment Surface'!$C$2='Data Validation'!$A$3,'Bank Adjustments'!$S$4:$S$103,"Unknown Option Type")),MATCH(1,($AN30=IF($C$2='Data Validation'!$A$2,'Bank Adjustments'!$C$4:$C$103,IF('Adjustment Surface'!$C$2='Data Validation'!$A$3,'Bank Adjustments'!$M$4:$M$103,"Unknown Option Type")))*(AQ$26=IF($C$2='Data Validation'!$A$2,'Bank Adjustments'!$E$4:$E$103,IF('Adjustment Surface'!$C$2='Data Validation'!$A$3,'Bank Adjustments'!$O$4:$O$103,"Unknown Option Type"))),0)))</f>
        <v>0.45480169289721001</v>
      </c>
      <c r="AR30" s="193" t="str" cm="1">
        <f t="array" ref="AR30">IF(OR(AR$26="",$AN30=""),"",INDEX(IF($C$2='Data Validation'!$A$2,'Bank Adjustments'!$I$4:$I$103,IF('Adjustment Surface'!$C$2='Data Validation'!$A$3,'Bank Adjustments'!$S$4:$S$103,"Unknown Option Type")),MATCH(1,($AN30=IF($C$2='Data Validation'!$A$2,'Bank Adjustments'!$C$4:$C$103,IF('Adjustment Surface'!$C$2='Data Validation'!$A$3,'Bank Adjustments'!$M$4:$M$103,"Unknown Option Type")))*(AR$26=IF($C$2='Data Validation'!$A$2,'Bank Adjustments'!$E$4:$E$103,IF('Adjustment Surface'!$C$2='Data Validation'!$A$3,'Bank Adjustments'!$O$4:$O$103,"Unknown Option Type"))),0)))</f>
        <v/>
      </c>
      <c r="AS30" s="193" t="str" cm="1">
        <f t="array" ref="AS30">IF(OR(AS$26="",$AN30=""),"",INDEX(IF($C$2='Data Validation'!$A$2,'Bank Adjustments'!$I$4:$I$103,IF('Adjustment Surface'!$C$2='Data Validation'!$A$3,'Bank Adjustments'!$S$4:$S$103,"Unknown Option Type")),MATCH(1,($AN30=IF($C$2='Data Validation'!$A$2,'Bank Adjustments'!$C$4:$C$103,IF('Adjustment Surface'!$C$2='Data Validation'!$A$3,'Bank Adjustments'!$M$4:$M$103,"Unknown Option Type")))*(AS$26=IF($C$2='Data Validation'!$A$2,'Bank Adjustments'!$E$4:$E$103,IF('Adjustment Surface'!$C$2='Data Validation'!$A$3,'Bank Adjustments'!$O$4:$O$103,"Unknown Option Type"))),0)))</f>
        <v/>
      </c>
      <c r="AT30" s="193" t="str" cm="1">
        <f t="array" ref="AT30">IF(OR(AT$26="",$AN30=""),"",INDEX(IF($C$2='Data Validation'!$A$2,'Bank Adjustments'!$I$4:$I$103,IF('Adjustment Surface'!$C$2='Data Validation'!$A$3,'Bank Adjustments'!$S$4:$S$103,"Unknown Option Type")),MATCH(1,($AN30=IF($C$2='Data Validation'!$A$2,'Bank Adjustments'!$C$4:$C$103,IF('Adjustment Surface'!$C$2='Data Validation'!$A$3,'Bank Adjustments'!$M$4:$M$103,"Unknown Option Type")))*(AT$26=IF($C$2='Data Validation'!$A$2,'Bank Adjustments'!$E$4:$E$103,IF('Adjustment Surface'!$C$2='Data Validation'!$A$3,'Bank Adjustments'!$O$4:$O$103,"Unknown Option Type"))),0)))</f>
        <v/>
      </c>
      <c r="AU30" s="193" t="str" cm="1">
        <f t="array" ref="AU30">IF(OR(AU$26="",$AN30=""),"",INDEX(IF($C$2='Data Validation'!$A$2,'Bank Adjustments'!$I$4:$I$103,IF('Adjustment Surface'!$C$2='Data Validation'!$A$3,'Bank Adjustments'!$S$4:$S$103,"Unknown Option Type")),MATCH(1,($AN30=IF($C$2='Data Validation'!$A$2,'Bank Adjustments'!$C$4:$C$103,IF('Adjustment Surface'!$C$2='Data Validation'!$A$3,'Bank Adjustments'!$M$4:$M$103,"Unknown Option Type")))*(AU$26=IF($C$2='Data Validation'!$A$2,'Bank Adjustments'!$E$4:$E$103,IF('Adjustment Surface'!$C$2='Data Validation'!$A$3,'Bank Adjustments'!$O$4:$O$103,"Unknown Option Type"))),0)))</f>
        <v/>
      </c>
      <c r="AV30" s="193" t="str" cm="1">
        <f t="array" ref="AV30">IF(OR(AV$26="",$AN30=""),"",INDEX(IF($C$2='Data Validation'!$A$2,'Bank Adjustments'!$I$4:$I$103,IF('Adjustment Surface'!$C$2='Data Validation'!$A$3,'Bank Adjustments'!$S$4:$S$103,"Unknown Option Type")),MATCH(1,($AN30=IF($C$2='Data Validation'!$A$2,'Bank Adjustments'!$C$4:$C$103,IF('Adjustment Surface'!$C$2='Data Validation'!$A$3,'Bank Adjustments'!$M$4:$M$103,"Unknown Option Type")))*(AV$26=IF($C$2='Data Validation'!$A$2,'Bank Adjustments'!$E$4:$E$103,IF('Adjustment Surface'!$C$2='Data Validation'!$A$3,'Bank Adjustments'!$O$4:$O$103,"Unknown Option Type"))),0)))</f>
        <v/>
      </c>
      <c r="AW30" s="193" t="str" cm="1">
        <f t="array" ref="AW30">IF(OR(AW$26="",$AN30=""),"",INDEX(IF($C$2='Data Validation'!$A$2,'Bank Adjustments'!$I$4:$I$103,IF('Adjustment Surface'!$C$2='Data Validation'!$A$3,'Bank Adjustments'!$S$4:$S$103,"Unknown Option Type")),MATCH(1,($AN30=IF($C$2='Data Validation'!$A$2,'Bank Adjustments'!$C$4:$C$103,IF('Adjustment Surface'!$C$2='Data Validation'!$A$3,'Bank Adjustments'!$M$4:$M$103,"Unknown Option Type")))*(AW$26=IF($C$2='Data Validation'!$A$2,'Bank Adjustments'!$E$4:$E$103,IF('Adjustment Surface'!$C$2='Data Validation'!$A$3,'Bank Adjustments'!$O$4:$O$103,"Unknown Option Type"))),0)))</f>
        <v/>
      </c>
      <c r="AX30" s="193" t="str" cm="1">
        <f t="array" ref="AX30">IF(OR(AX$26="",$AN30=""),"",INDEX(IF($C$2='Data Validation'!$A$2,'Bank Adjustments'!$I$4:$I$103,IF('Adjustment Surface'!$C$2='Data Validation'!$A$3,'Bank Adjustments'!$S$4:$S$103,"Unknown Option Type")),MATCH(1,($AN30=IF($C$2='Data Validation'!$A$2,'Bank Adjustments'!$C$4:$C$103,IF('Adjustment Surface'!$C$2='Data Validation'!$A$3,'Bank Adjustments'!$M$4:$M$103,"Unknown Option Type")))*(AX$26=IF($C$2='Data Validation'!$A$2,'Bank Adjustments'!$E$4:$E$103,IF('Adjustment Surface'!$C$2='Data Validation'!$A$3,'Bank Adjustments'!$O$4:$O$103,"Unknown Option Type"))),0)))</f>
        <v/>
      </c>
      <c r="AY30" s="193" t="str" cm="1">
        <f t="array" ref="AY30">IF(OR(AY$26="",$AN30=""),"",INDEX(IF($C$2='Data Validation'!$A$2,'Bank Adjustments'!$I$4:$I$103,IF('Adjustment Surface'!$C$2='Data Validation'!$A$3,'Bank Adjustments'!$S$4:$S$103,"Unknown Option Type")),MATCH(1,($AN30=IF($C$2='Data Validation'!$A$2,'Bank Adjustments'!$C$4:$C$103,IF('Adjustment Surface'!$C$2='Data Validation'!$A$3,'Bank Adjustments'!$M$4:$M$103,"Unknown Option Type")))*(AY$26=IF($C$2='Data Validation'!$A$2,'Bank Adjustments'!$E$4:$E$103,IF('Adjustment Surface'!$C$2='Data Validation'!$A$3,'Bank Adjustments'!$O$4:$O$103,"Unknown Option Type"))),0)))</f>
        <v/>
      </c>
      <c r="AZ30" s="193" t="str" cm="1">
        <f t="array" ref="AZ30">IF(OR(AZ$26="",$AN30=""),"",INDEX(IF($C$2='Data Validation'!$A$2,'Bank Adjustments'!$I$4:$I$103,IF('Adjustment Surface'!$C$2='Data Validation'!$A$3,'Bank Adjustments'!$S$4:$S$103,"Unknown Option Type")),MATCH(1,($AN30=IF($C$2='Data Validation'!$A$2,'Bank Adjustments'!$C$4:$C$103,IF('Adjustment Surface'!$C$2='Data Validation'!$A$3,'Bank Adjustments'!$M$4:$M$103,"Unknown Option Type")))*(AZ$26=IF($C$2='Data Validation'!$A$2,'Bank Adjustments'!$E$4:$E$103,IF('Adjustment Surface'!$C$2='Data Validation'!$A$3,'Bank Adjustments'!$O$4:$O$103,"Unknown Option Type"))),0)))</f>
        <v/>
      </c>
      <c r="BA30" s="193" t="str" cm="1">
        <f t="array" ref="BA30">IF(OR(BA$26="",$AN30=""),"",INDEX(IF($C$2='Data Validation'!$A$2,'Bank Adjustments'!$I$4:$I$103,IF('Adjustment Surface'!$C$2='Data Validation'!$A$3,'Bank Adjustments'!$S$4:$S$103,"Unknown Option Type")),MATCH(1,($AN30=IF($C$2='Data Validation'!$A$2,'Bank Adjustments'!$C$4:$C$103,IF('Adjustment Surface'!$C$2='Data Validation'!$A$3,'Bank Adjustments'!$M$4:$M$103,"Unknown Option Type")))*(BA$26=IF($C$2='Data Validation'!$A$2,'Bank Adjustments'!$E$4:$E$103,IF('Adjustment Surface'!$C$2='Data Validation'!$A$3,'Bank Adjustments'!$O$4:$O$103,"Unknown Option Type"))),0)))</f>
        <v/>
      </c>
      <c r="BB30" s="193" t="str" cm="1">
        <f t="array" ref="BB30">IF(OR(BB$26="",$AN30=""),"",INDEX(IF($C$2='Data Validation'!$A$2,'Bank Adjustments'!$I$4:$I$103,IF('Adjustment Surface'!$C$2='Data Validation'!$A$3,'Bank Adjustments'!$S$4:$S$103,"Unknown Option Type")),MATCH(1,($AN30=IF($C$2='Data Validation'!$A$2,'Bank Adjustments'!$C$4:$C$103,IF('Adjustment Surface'!$C$2='Data Validation'!$A$3,'Bank Adjustments'!$M$4:$M$103,"Unknown Option Type")))*(BB$26=IF($C$2='Data Validation'!$A$2,'Bank Adjustments'!$E$4:$E$103,IF('Adjustment Surface'!$C$2='Data Validation'!$A$3,'Bank Adjustments'!$O$4:$O$103,"Unknown Option Type"))),0)))</f>
        <v/>
      </c>
      <c r="BC30" s="193" t="str" cm="1">
        <f t="array" ref="BC30">IF(OR(BC$26="",$AN30=""),"",INDEX(IF($C$2='Data Validation'!$A$2,'Bank Adjustments'!$I$4:$I$103,IF('Adjustment Surface'!$C$2='Data Validation'!$A$3,'Bank Adjustments'!$S$4:$S$103,"Unknown Option Type")),MATCH(1,($AN30=IF($C$2='Data Validation'!$A$2,'Bank Adjustments'!$C$4:$C$103,IF('Adjustment Surface'!$C$2='Data Validation'!$A$3,'Bank Adjustments'!$M$4:$M$103,"Unknown Option Type")))*(BC$26=IF($C$2='Data Validation'!$A$2,'Bank Adjustments'!$E$4:$E$103,IF('Adjustment Surface'!$C$2='Data Validation'!$A$3,'Bank Adjustments'!$O$4:$O$103,"Unknown Option Type"))),0)))</f>
        <v/>
      </c>
      <c r="BD30" s="193" t="str" cm="1">
        <f t="array" ref="BD30">IF(OR(BD$26="",$AN30=""),"",INDEX(IF($C$2='Data Validation'!$A$2,'Bank Adjustments'!$I$4:$I$103,IF('Adjustment Surface'!$C$2='Data Validation'!$A$3,'Bank Adjustments'!$S$4:$S$103,"Unknown Option Type")),MATCH(1,($AN30=IF($C$2='Data Validation'!$A$2,'Bank Adjustments'!$C$4:$C$103,IF('Adjustment Surface'!$C$2='Data Validation'!$A$3,'Bank Adjustments'!$M$4:$M$103,"Unknown Option Type")))*(BD$26=IF($C$2='Data Validation'!$A$2,'Bank Adjustments'!$E$4:$E$103,IF('Adjustment Surface'!$C$2='Data Validation'!$A$3,'Bank Adjustments'!$O$4:$O$103,"Unknown Option Type"))),0)))</f>
        <v/>
      </c>
      <c r="BE30" s="193" t="str" cm="1">
        <f t="array" ref="BE30">IF(OR(BE$26="",$AN30=""),"",INDEX(IF($C$2='Data Validation'!$A$2,'Bank Adjustments'!$I$4:$I$103,IF('Adjustment Surface'!$C$2='Data Validation'!$A$3,'Bank Adjustments'!$S$4:$S$103,"Unknown Option Type")),MATCH(1,($AN30=IF($C$2='Data Validation'!$A$2,'Bank Adjustments'!$C$4:$C$103,IF('Adjustment Surface'!$C$2='Data Validation'!$A$3,'Bank Adjustments'!$M$4:$M$103,"Unknown Option Type")))*(BE$26=IF($C$2='Data Validation'!$A$2,'Bank Adjustments'!$E$4:$E$103,IF('Adjustment Surface'!$C$2='Data Validation'!$A$3,'Bank Adjustments'!$O$4:$O$103,"Unknown Option Type"))),0)))</f>
        <v/>
      </c>
      <c r="BF30" s="193" t="str" cm="1">
        <f t="array" ref="BF30">IF(OR(BF$26="",$AN30=""),"",INDEX(IF($C$2='Data Validation'!$A$2,'Bank Adjustments'!$I$4:$I$103,IF('Adjustment Surface'!$C$2='Data Validation'!$A$3,'Bank Adjustments'!$S$4:$S$103,"Unknown Option Type")),MATCH(1,($AN30=IF($C$2='Data Validation'!$A$2,'Bank Adjustments'!$C$4:$C$103,IF('Adjustment Surface'!$C$2='Data Validation'!$A$3,'Bank Adjustments'!$M$4:$M$103,"Unknown Option Type")))*(BF$26=IF($C$2='Data Validation'!$A$2,'Bank Adjustments'!$E$4:$E$103,IF('Adjustment Surface'!$C$2='Data Validation'!$A$3,'Bank Adjustments'!$O$4:$O$103,"Unknown Option Type"))),0)))</f>
        <v/>
      </c>
      <c r="BG30" s="193" t="str" cm="1">
        <f t="array" ref="BG30">IF(OR(BG$26="",$AN30=""),"",INDEX(IF($C$2='Data Validation'!$A$2,'Bank Adjustments'!$I$4:$I$103,IF('Adjustment Surface'!$C$2='Data Validation'!$A$3,'Bank Adjustments'!$S$4:$S$103,"Unknown Option Type")),MATCH(1,($AN30=IF($C$2='Data Validation'!$A$2,'Bank Adjustments'!$C$4:$C$103,IF('Adjustment Surface'!$C$2='Data Validation'!$A$3,'Bank Adjustments'!$M$4:$M$103,"Unknown Option Type")))*(BG$26=IF($C$2='Data Validation'!$A$2,'Bank Adjustments'!$E$4:$E$103,IF('Adjustment Surface'!$C$2='Data Validation'!$A$3,'Bank Adjustments'!$O$4:$O$103,"Unknown Option Type"))),0)))</f>
        <v/>
      </c>
      <c r="BH30" s="194" t="str" cm="1">
        <f t="array" ref="BH30">IF(OR(BH$26="",$AN30=""),"",INDEX(IF($C$2='Data Validation'!$A$2,'Bank Adjustments'!$I$4:$I$103,IF('Adjustment Surface'!$C$2='Data Validation'!$A$3,'Bank Adjustments'!$S$4:$S$103,"Unknown Option Type")),MATCH(1,($AN30=IF($C$2='Data Validation'!$A$2,'Bank Adjustments'!$C$4:$C$103,IF('Adjustment Surface'!$C$2='Data Validation'!$A$3,'Bank Adjustments'!$M$4:$M$103,"Unknown Option Type")))*(BH$26=IF($C$2='Data Validation'!$A$2,'Bank Adjustments'!$E$4:$E$103,IF('Adjustment Surface'!$C$2='Data Validation'!$A$3,'Bank Adjustments'!$O$4:$O$103,"Unknown Option Type"))),0)))</f>
        <v/>
      </c>
    </row>
    <row r="31" spans="2:60" x14ac:dyDescent="0.25">
      <c r="B31" s="75">
        <f t="shared" si="7"/>
        <v>0.05</v>
      </c>
      <c r="C31" s="70" cm="1">
        <f t="array" ref="C31">IF(AND(COUNT(O4:O23)&lt;2,COUNT(P3:AI3)&lt;2),P4,IF(COUNT(O4:O23)&lt;2,_xlfn.FORECAST.LINEAR(C14,INDEX(P4:AI4,1,MATCH(IF(C14&lt;MIN(P3:AI3),INDEX(P3:AI3,1,MATCH(MIN(P3:AI3),P3:AI3,0)),IF(C14&gt;=MAX(P3:AI3),INDEX(P3:AI3,1,MATCH(MAX(P3:AI3),P3:AI3,0)),INDEX(P3:AI3,1,MATCH(C14,P3:AI3,1)))):IF(C14&lt;MIN(P3:AI3),INDEX(P3:AI3,1,MATCH(MIN(P3:AI3),P3:AI3,0)+1),IF(C14&gt;=MAX(P3:AI3),INDEX(P3:AI3,1,MATCH(MAX(P3:AI3),P3:AI3,0)-1),INDEX(P3:AI3,1,MATCH(C14,P3:AI3,1)+1))),P3:AI3,0)),IF(C14&lt;MIN(P3:AI3),INDEX(P3:AI3,1,MATCH(MIN(P3:AI3),P3:AI3,0)),IF(C14&gt;=MAX(P3:AI3),INDEX(P3:AI3,1,MATCH(MAX(P3:AI3),P3:AI3,0)),INDEX(P3:AI3,1,MATCH(C14,P3:AI3,1)))):IF(C14&lt;MIN(P3:AI3),INDEX(P3:AI3,1,MATCH(MIN(P3:AI3),P3:AI3,0)+1),IF(C14&gt;=MAX(P3:AI3),INDEX(P3:AI3,1,MATCH(MAX(P3:AI3),P3:AI3,0)-1),INDEX(P3:AI3,1,MATCH(C14,P3:AI3,1)+1)))),IF(COUNT(P3:AI3)&lt;2,_xlfn.FORECAST.LINEAR(B17,INDEX(P4:P23,MATCH(IF(B17&lt;MIN(O4:O23),INDEX(O4:O23,MATCH(MIN(O4:O23),O4:O23,0)),IF(B17&gt;=MAX(O4:O23),INDEX(O4:O23,MATCH(MAX(O4:O23),O4:O23,0)),INDEX(O4:O23,MATCH(B17,O4:O23,1)))):IF(B17&lt;MIN(O4:O23),INDEX(O4:O23,MATCH(MIN(O4:O23),O4:O23,0)+1),IF(B17&gt;=MAX(O4:O23),INDEX(O4:O23,MATCH(MAX(O4:O23),O4:O23,0)-1),INDEX(O4:O23,MATCH(B17,O4:O23,1)+1))),O4:O23,0)),IF(B17&lt;MIN(O4:O23),INDEX(O4:O23,MATCH(MIN(O4:O23),O4:O23,0)),IF(B17&gt;=MAX(O4:O23),INDEX(O4:O23,MATCH(MAX(O4:O23),O4:O23,0)),INDEX(O4:O23,MATCH(B17,O4:O23,1)))):IF(B17&lt;MIN(O4:O23),INDEX(O4:O23,MATCH(MIN(O4:O23),O4:O23,0)+1),IF(B17&gt;=MAX(O4:O23),INDEX(O4:O23,MATCH(MAX(O4:O23),O4:O23,0)-1),INDEX(O4:O23,MATCH(B17,O4:O23,1)+1)))),1/((INDEX(_xlfn._xlws.FILTER(H4:H23,(INDEX(H4:H23,MATCH(SMALL(J4:J23,1),J4:J23,0))=H4:H23)=FALSE()),MATCH(SMALL(J4:J23,2),_xlfn._xlws.FILTER(J4:J23,(INDEX(H4:H23,MATCH(SMALL(J4:J23,1),J4:J23,0))=H4:H23)=FALSE()),0))-INDEX(H4:H23,MATCH(SMALL(J4:J23,1),J4:J23,0)))*(INDEX(_xlfn._xlws.FILTER(H27:H46,(INDEX(H27:H46,MATCH(SMALL(L27:L46,1),L27:L46,0))=H27:H46)=FALSE()),MATCH(SMALL(L27:L46,2),_xlfn._xlws.FILTER(L27:L46,(INDEX(H27:H46,MATCH(SMALL(L27:L46,1),L27:L46,0))=H27:H46)=FALSE()),0))-INDEX(H27:H46,MATCH(SMALL(L27:L46,1),L27:L46,0))))*(INDEX(P4:AI23,MATCH(INDEX(H27:H46,MATCH(SMALL(L27:L46,1),L27:L46,0)),O4:O23,0),MATCH(INDEX(H4:H23,MATCH(SMALL(J4:J23,1),J4:J23,0)),P3:AI3,0))*(INDEX(_xlfn._xlws.FILTER(H4:H23,(INDEX(H4:H23,MATCH(SMALL(J4:J23,1),J4:J23,0))=H4:H23)=FALSE()),MATCH(SMALL(J4:J23,2),_xlfn._xlws.FILTER(J4:J23,(INDEX(H4:H23,MATCH(SMALL(J4:J23,1),J4:J23,0))=H4:H23)=FALSE()),0))-C14)*(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4:AI23,MATCH(INDEX(H27:H46,MATCH(SMALL(L27:L46,1),L27:L46,0)),O4:O23,0),MATCH(INDEX(_xlfn._xlws.FILTER(H4:H23,(INDEX(H4:H23,MATCH(SMALL(J4:J23,1),J4:J23,0))=H4:H23)=FALSE()),MATCH(SMALL(J4:J23,2),_xlfn._xlws.FILTER(J4:J23,(INDEX(H4:H23,MATCH(SMALL(J4:J23,1),J4:J23,0))=H4:H23)=FALSE()),0)),P3:AI3,0))*(C14-INDEX(H4:H23,MATCH(SMALL(J4:J23,1),J4:J23,0)))*(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4:AI23,MATCH(INDEX(_xlfn._xlws.FILTER(H27:H46,(INDEX(H27:H46,MATCH(SMALL(L27:L46,1),L27:L46,0))=H27:H46)=FALSE()),MATCH(SMALL(L27:L46,2),_xlfn._xlws.FILTER(L27:L46,(INDEX(H27:H46,MATCH(SMALL(L27:L46,1),L27:L46,0))=H27:H46)=FALSE()),0)),O4:O23,0),MATCH(INDEX(H4:H23,MATCH(SMALL(J4:J23,1),J4:J23,0)),P3:AI3,0))*(INDEX(_xlfn._xlws.FILTER(H4:H23,(INDEX(H4:H23,MATCH(SMALL(J4:J23,1),J4:J23,0))=H4:H23)=FALSE()),MATCH(SMALL(J4:J23,2),_xlfn._xlws.FILTER(J4:J23,(INDEX(H4:H23,MATCH(SMALL(J4:J23,1),J4:J23,0))=H4:H23)=FALSE()),0))-C14)*(IF(OR(C9='Data Validation'!D2,C9='Data Validation'!D3),B17,IF(C9='Data Validation'!D3,SUMPRODUCT('Bachelier Model'!N4:N124,'Bachelier Model'!O4:O124)/SUM('Bachelier Model'!N4:N124),"Strike Type Unknown"))-INDEX(H27:H46,MATCH(SMALL(L27:L46,1),L27:L46,0)))+INDEX(P4:AI23,MATCH(INDEX(_xlfn._xlws.FILTER(H27:H46,(INDEX(H27:H46,MATCH(SMALL(L27:L46,1),L27:L46,0))=H27:H46)=FALSE()),MATCH(SMALL(L27:L46,2),_xlfn._xlws.FILTER(L27:L46,(INDEX(H27:H46,MATCH(SMALL(L27:L46,1),L27:L46,0))=H27:H46)=FALSE()),0)),O4:O23,0),MATCH(INDEX(_xlfn._xlws.FILTER(H4:H23,(INDEX(H4:H23,MATCH(SMALL(J4:J23,1),J4:J23,0))=H4:H23)=FALSE()),MATCH(SMALL(J4:J23,2),_xlfn._xlws.FILTER(J4:J23,(INDEX(H4:H23,MATCH(SMALL(J4:J23,1),J4:J23,0))=H4:H23)=FALSE()),0)),P3:AI3,0))*(C14-INDEX(H4:H23,MATCH(SMALL(J4:J23,1),J4:J23,0)))*(IF(OR(C9='Data Validation'!D2,C9='Data Validation'!D3),B17,IF(C9='Data Validation'!D3,SUMPRODUCT('Bachelier Model'!N4:N124,'Bachelier Model'!O4:O124)/SUM('Bachelier Model'!N4:N124),"Strike Type Unknown"))-INDEX(H27:H46,MATCH(SMALL(L27:L46,1),L27:L46,0)))))))</f>
        <v>216.44095319229098</v>
      </c>
      <c r="D31" s="70" cm="1">
        <f t="array" ref="D31">IF(AND(COUNT(O4:O23)&lt;2,COUNT(P3:AI3)&lt;2),P4,IF(COUNT(O4:O23)&lt;2,_xlfn.FORECAST.LINEAR(D14,INDEX(P4:AI4,1,MATCH(IF(D14&lt;MIN(P3:AI3),INDEX(P3:AI3,1,MATCH(MIN(P3:AI3),P3:AI3,0)),IF(D14&gt;=MAX(P3:AI3),INDEX(P3:AI3,1,MATCH(MAX(P3:AI3),P3:AI3,0)),INDEX(P3:AI3,1,MATCH(D14,P3:AI3,1)))):IF(D14&lt;MIN(P3:AI3),INDEX(P3:AI3,1,MATCH(MIN(P3:AI3),P3:AI3,0)+1),IF(D14&gt;=MAX(P3:AI3),INDEX(P3:AI3,1,MATCH(MAX(P3:AI3),P3:AI3,0)-1),INDEX(P3:AI3,1,MATCH(D14,P3:AI3,1)+1))),P3:AI3,0)),IF(D14&lt;MIN(P3:AI3),INDEX(P3:AI3,1,MATCH(MIN(P3:AI3),P3:AI3,0)),IF(D14&gt;=MAX(P3:AI3),INDEX(P3:AI3,1,MATCH(MAX(P3:AI3),P3:AI3,0)),INDEX(P3:AI3,1,MATCH(D14,P3:AI3,1)))):IF(D14&lt;MIN(P3:AI3),INDEX(P3:AI3,1,MATCH(MIN(P3:AI3),P3:AI3,0)+1),IF(D14&gt;=MAX(P3:AI3),INDEX(P3:AI3,1,MATCH(MAX(P3:AI3),P3:AI3,0)-1),INDEX(P3:AI3,1,MATCH(D14,P3:AI3,1)+1)))),IF(COUNT(P3:AI3)&lt;2,_xlfn.FORECAST.LINEAR(B17,INDEX(P4:P23,MATCH(IF(B17&lt;MIN(O4:O23),INDEX(O4:O23,MATCH(MIN(O4:O23),O4:O23,0)),IF(B17&gt;=MAX(O4:O23),INDEX(O4:O23,MATCH(MAX(O4:O23),O4:O23,0)),INDEX(O4:O23,MATCH(B17,O4:O23,1)))):IF(B17&lt;MIN(O4:O23),INDEX(O4:O23,MATCH(MIN(O4:O23),O4:O23,0)+1),IF(B17&gt;=MAX(O4:O23),INDEX(O4:O23,MATCH(MAX(O4:O23),O4:O23,0)-1),INDEX(O4:O23,MATCH(B17,O4:O23,1)+1))),O4:O23,0)),IF(B17&lt;MIN(O4:O23),INDEX(O4:O23,MATCH(MIN(O4:O23),O4:O23,0)),IF(B17&gt;=MAX(O4:O23),INDEX(O4:O23,MATCH(MAX(O4:O23),O4:O23,0)),INDEX(O4:O23,MATCH(B17,O4:O23,1)))):IF(B17&lt;MIN(O4:O23),INDEX(O4:O23,MATCH(MIN(O4:O23),O4:O23,0)+1),IF(B17&gt;=MAX(O4:O23),INDEX(O4:O23,MATCH(MAX(O4:O23),O4:O23,0)-1),INDEX(O4:O23,MATCH(B17,O4:O23,1)+1)))),1/((INDEX(_xlfn._xlws.FILTER(H4:H23,(INDEX(H4:H23,MATCH(SMALL(K4:K23,1),K4:K23,0))=H4:H23)=FALSE()),MATCH(SMALL(K4:K23,2),_xlfn._xlws.FILTER(K4:K23,(INDEX(H4:H23,MATCH(SMALL(K4:K23,1),K4:K23,0))=H4:H23)=FALSE()),0))-INDEX(H4:H23,MATCH(SMALL(K4:K23,1),K4:K23,0)))*(INDEX(_xlfn._xlws.FILTER(H27:H46,(INDEX(H27:H46,MATCH(SMALL(L27:L46,1),L27:L46,0))=H27:H46)=FALSE()),MATCH(SMALL(L27:L46,2),_xlfn._xlws.FILTER(L27:L46,(INDEX(H27:H46,MATCH(SMALL(L27:L46,1),L27:L46,0))=H27:H46)=FALSE()),0))-INDEX(H27:H46,MATCH(SMALL(L27:L46,1),L27:L46,0))))*(INDEX(P4:AI23,MATCH(INDEX(H27:H46,MATCH(SMALL(L27:L46,1),L27:L46,0)),O4:O23,0),MATCH(INDEX(H4:H23,MATCH(SMALL(K4:K23,1),K4:K23,0)),P3:AI3,0))*(INDEX(_xlfn._xlws.FILTER(H4:H23,(INDEX(H4:H23,MATCH(SMALL(K4:K23,1),K4:K23,0))=H4:H23)=FALSE()),MATCH(SMALL(K4:K23,2),_xlfn._xlws.FILTER(K4:K23,(INDEX(H4:H23,MATCH(SMALL(K4:K23,1),K4:K23,0))=H4:H23)=FALSE()),0))-D14)*(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4:AI23,MATCH(INDEX(H27:H46,MATCH(SMALL(L27:L46,1),L27:L46,0)),O4:O23,0),MATCH(INDEX(_xlfn._xlws.FILTER(H4:H23,(INDEX(H4:H23,MATCH(SMALL(K4:K23,1),K4:K23,0))=H4:H23)=FALSE()),MATCH(SMALL(K4:K23,2),_xlfn._xlws.FILTER(K4:K23,(INDEX(H4:H23,MATCH(SMALL(K4:K23,1),K4:K23,0))=H4:H23)=FALSE()),0)),P3:AI3,0))*(D14-INDEX(H4:H23,MATCH(SMALL(K4:K23,1),K4:K23,0)))*(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4:AI23,MATCH(INDEX(_xlfn._xlws.FILTER(H27:H46,(INDEX(H27:H46,MATCH(SMALL(L27:L46,1),L27:L46,0))=H27:H46)=FALSE()),MATCH(SMALL(L27:L46,2),_xlfn._xlws.FILTER(L27:L46,(INDEX(H27:H46,MATCH(SMALL(L27:L46,1),L27:L46,0))=H27:H46)=FALSE()),0)),O4:O23,0),MATCH(INDEX(H4:H23,MATCH(SMALL(K4:K23,1),K4:K23,0)),P3:AI3,0))*(INDEX(_xlfn._xlws.FILTER(H4:H23,(INDEX(H4:H23,MATCH(SMALL(K4:K23,1),K4:K23,0))=H4:H23)=FALSE()),MATCH(SMALL(K4:K23,2),_xlfn._xlws.FILTER(K4:K23,(INDEX(H4:H23,MATCH(SMALL(K4:K23,1),K4:K23,0))=H4:H23)=FALSE()),0))-D14)*(IF(OR(C9='Data Validation'!D2,C9='Data Validation'!D3),B17,IF(C9='Data Validation'!D3,SUMPRODUCT('Bachelier Model'!N4:N124,'Bachelier Model'!O4:O124)/SUM('Bachelier Model'!N4:N124),"Strike Type Unknown"))-INDEX(H27:H46,MATCH(SMALL(L27:L46,1),L27:L46,0)))+INDEX(P4:AI23,MATCH(INDEX(_xlfn._xlws.FILTER(H27:H46,(INDEX(H27:H46,MATCH(SMALL(L27:L46,1),L27:L46,0))=H27:H46)=FALSE()),MATCH(SMALL(L27:L46,2),_xlfn._xlws.FILTER(L27:L46,(INDEX(H27:H46,MATCH(SMALL(L27:L46,1),L27:L46,0))=H27:H46)=FALSE()),0)),O4:O23,0),MATCH(INDEX(_xlfn._xlws.FILTER(H4:H23,(INDEX(H4:H23,MATCH(SMALL(K4:K23,1),K4:K23,0))=H4:H23)=FALSE()),MATCH(SMALL(K4:K23,2),_xlfn._xlws.FILTER(K4:K23,(INDEX(H4:H23,MATCH(SMALL(K4:K23,1),K4:K23,0))=H4:H23)=FALSE()),0)),P3:AI3,0))*(D14-INDEX(H4:H23,MATCH(SMALL(K4:K23,1),K4:K23,0)))*(IF(OR(C9='Data Validation'!D2,C9='Data Validation'!D3),B17,IF(C9='Data Validation'!D3,SUMPRODUCT('Bachelier Model'!N4:N124,'Bachelier Model'!O4:O124)/SUM('Bachelier Model'!N4:N124),"Strike Type Unknown"))-INDEX(H27:H46,MATCH(SMALL(L27:L46,1),L27:L46,0)))))))</f>
        <v>17.976011931848522</v>
      </c>
      <c r="E31" s="70" cm="1">
        <f t="array" ref="E31">IF(AND(COUNT(O4:O23)&lt;2,COUNT(P3:AI3)&lt;2),P4,IF(COUNT(O4:O23)&lt;2,_xlfn.FORECAST.LINEAR(E14,INDEX(P4:AI4,1,MATCH(IF(E14&lt;MIN(P3:AI3),INDEX(P3:AI3,1,MATCH(MIN(P3:AI3),P3:AI3,0)),IF(E14&gt;=MAX(P3:AI3),INDEX(P3:AI3,1,MATCH(MAX(P3:AI3),P3:AI3,0)),INDEX(P3:AI3,1,MATCH(E14,P3:AI3,1)))):IF(E14&lt;MIN(P3:AI3),INDEX(P3:AI3,1,MATCH(MIN(P3:AI3),P3:AI3,0)+1),IF(E14&gt;=MAX(P3:AI3),INDEX(P3:AI3,1,MATCH(MAX(P3:AI3),P3:AI3,0)-1),INDEX(P3:AI3,1,MATCH(E14,P3:AI3,1)+1))),P3:AI3,0)),IF(E14&lt;MIN(P3:AI3),INDEX(P3:AI3,1,MATCH(MIN(P3:AI3),P3:AI3,0)),IF(E14&gt;=MAX(P3:AI3),INDEX(P3:AI3,1,MATCH(MAX(P3:AI3),P3:AI3,0)),INDEX(P3:AI3,1,MATCH(E14,P3:AI3,1)))):IF(E14&lt;MIN(P3:AI3),INDEX(P3:AI3,1,MATCH(MIN(P3:AI3),P3:AI3,0)+1),IF(E14&gt;=MAX(P3:AI3),INDEX(P3:AI3,1,MATCH(MAX(P3:AI3),P3:AI3,0)-1),INDEX(P3:AI3,1,MATCH(E14,P3:AI3,1)+1)))),IF(COUNT(P3:AI3)&lt;2,_xlfn.FORECAST.LINEAR(B17,INDEX(P4:P23,MATCH(IF(B17&lt;MIN(O4:O23),INDEX(O4:O23,MATCH(MIN(O4:O23),O4:O23,0)),IF(B17&gt;=MAX(O4:O23),INDEX(O4:O23,MATCH(MAX(O4:O23),O4:O23,0)),INDEX(O4:O23,MATCH(B17,O4:O23,1)))):IF(B17&lt;MIN(O4:O23),INDEX(O4:O23,MATCH(MIN(O4:O23),O4:O23,0)+1),IF(B17&gt;=MAX(O4:O23),INDEX(O4:O23,MATCH(MAX(O4:O23),O4:O23,0)-1),INDEX(O4:O23,MATCH(B17,O4:O23,1)+1))),O4:O23,0)),IF(B17&lt;MIN(O4:O23),INDEX(O4:O23,MATCH(MIN(O4:O23),O4:O23,0)),IF(B17&gt;=MAX(O4:O23),INDEX(O4:O23,MATCH(MAX(O4:O23),O4:O23,0)),INDEX(O4:O23,MATCH(B17,O4:O23,1)))):IF(B17&lt;MIN(O4:O23),INDEX(O4:O23,MATCH(MIN(O4:O23),O4:O23,0)+1),IF(B17&gt;=MAX(O4:O23),INDEX(O4:O23,MATCH(MAX(O4:O23),O4:O23,0)-1),INDEX(O4:O23,MATCH(B17,O4:O23,1)+1)))),1/((INDEX(_xlfn._xlws.FILTER(H4:H23,(INDEX(H4:H23,MATCH(SMALL(L4:L23,1),L4:L23,0))=H4:H23)=FALSE()),MATCH(SMALL(L4:L23,2),_xlfn._xlws.FILTER(L4:L23,(INDEX(H4:H23,MATCH(SMALL(L4:L23,1),L4:L23,0))=H4:H23)=FALSE()),0))-INDEX(H4:H23,MATCH(SMALL(L4:L23,1),L4:L23,0)))*(INDEX(_xlfn._xlws.FILTER(H27:H46,(INDEX(H27:H46,MATCH(SMALL(L27:L46,1),L27:L46,0))=H27:H46)=FALSE()),MATCH(SMALL(L27:L46,2),_xlfn._xlws.FILTER(L27:L46,(INDEX(H27:H46,MATCH(SMALL(L27:L46,1),L27:L46,0))=H27:H46)=FALSE()),0))-INDEX(H27:H46,MATCH(SMALL(L27:L46,1),L27:L46,0))))*(INDEX(P4:AI23,MATCH(INDEX(H27:H46,MATCH(SMALL(L27:L46,1),L27:L46,0)),O4:O23,0),MATCH(INDEX(H4:H23,MATCH(SMALL(L4:L23,1),L4:L23,0)),P3:AI3,0))*(INDEX(_xlfn._xlws.FILTER(H4:H23,(INDEX(H4:H23,MATCH(SMALL(L4:L23,1),L4:L23,0))=H4:H23)=FALSE()),MATCH(SMALL(L4:L23,2),_xlfn._xlws.FILTER(L4:L23,(INDEX(H4:H23,MATCH(SMALL(L4:L23,1),L4:L23,0))=H4:H23)=FALSE()),0))-E14)*(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4:AI23,MATCH(INDEX(H27:H46,MATCH(SMALL(L27:L46,1),L27:L46,0)),O4:O23,0),MATCH(INDEX(_xlfn._xlws.FILTER(H4:H23,(INDEX(H4:H23,MATCH(SMALL(L4:L23,1),L4:L23,0))=H4:H23)=FALSE()),MATCH(SMALL(L4:L23,2),_xlfn._xlws.FILTER(L4:L23,(INDEX(H4:H23,MATCH(SMALL(L4:L23,1),L4:L23,0))=H4:H23)=FALSE()),0)),P3:AI3,0))*(E14-INDEX(H4:H23,MATCH(SMALL(L4:L23,1),L4:L23,0)))*(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4:AI23,MATCH(INDEX(_xlfn._xlws.FILTER(H27:H46,(INDEX(H27:H46,MATCH(SMALL(L27:L46,1),L27:L46,0))=H27:H46)=FALSE()),MATCH(SMALL(L27:L46,2),_xlfn._xlws.FILTER(L27:L46,(INDEX(H27:H46,MATCH(SMALL(L27:L46,1),L27:L46,0))=H27:H46)=FALSE()),0)),O4:O23,0),MATCH(INDEX(H4:H23,MATCH(SMALL(L4:L23,1),L4:L23,0)),P3:AI3,0))*(INDEX(_xlfn._xlws.FILTER(H4:H23,(INDEX(H4:H23,MATCH(SMALL(L4:L23,1),L4:L23,0))=H4:H23)=FALSE()),MATCH(SMALL(L4:L23,2),_xlfn._xlws.FILTER(L4:L23,(INDEX(H4:H23,MATCH(SMALL(L4:L23,1),L4:L23,0))=H4:H23)=FALSE()),0))-E14)*(IF(OR(C9='Data Validation'!D2,C9='Data Validation'!D3),B17,IF(C9='Data Validation'!D3,SUMPRODUCT('Bachelier Model'!N4:N124,'Bachelier Model'!O4:O124)/SUM('Bachelier Model'!N4:N124),"Strike Type Unknown"))-INDEX(H27:H46,MATCH(SMALL(L27:L46,1),L27:L46,0)))+INDEX(P4:AI23,MATCH(INDEX(_xlfn._xlws.FILTER(H27:H46,(INDEX(H27:H46,MATCH(SMALL(L27:L46,1),L27:L46,0))=H27:H46)=FALSE()),MATCH(SMALL(L27:L46,2),_xlfn._xlws.FILTER(L27:L46,(INDEX(H27:H46,MATCH(SMALL(L27:L46,1),L27:L46,0))=H27:H46)=FALSE()),0)),O4:O23,0),MATCH(INDEX(_xlfn._xlws.FILTER(H4:H23,(INDEX(H4:H23,MATCH(SMALL(L4:L23,1),L4:L23,0))=H4:H23)=FALSE()),MATCH(SMALL(L4:L23,2),_xlfn._xlws.FILTER(L4:L23,(INDEX(H4:H23,MATCH(SMALL(L4:L23,1),L4:L23,0))=H4:H23)=FALSE()),0)),P3:AI3,0))*(E14-INDEX(H4:H23,MATCH(SMALL(L4:L23,1),L4:L23,0)))*(IF(OR(C9='Data Validation'!D2,C9='Data Validation'!D3),B17,IF(C9='Data Validation'!D3,SUMPRODUCT('Bachelier Model'!N4:N124,'Bachelier Model'!O4:O124)/SUM('Bachelier Model'!N4:N124),"Strike Type Unknown"))-INDEX(H27:H46,MATCH(SMALL(L27:L46,1),L27:L46,0)))))))</f>
        <v>13.45989045498643</v>
      </c>
      <c r="F31" s="70" cm="1">
        <f t="array" ref="F31">IF(AND(COUNT(O4:O23)&lt;2,COUNT(P3:AI3)&lt;2),P4,IF(COUNT(O4:O23)&lt;2,_xlfn.FORECAST.LINEAR(F14,INDEX(P4:AI4,1,MATCH(IF(F14&lt;MIN(P3:AI3),INDEX(P3:AI3,1,MATCH(MIN(P3:AI3),P3:AI3,0)),IF(F14&gt;=MAX(P3:AI3),INDEX(P3:AI3,1,MATCH(MAX(P3:AI3),P3:AI3,0)),INDEX(P3:AI3,1,MATCH(F14,P3:AI3,1)))):IF(F14&lt;MIN(P3:AI3),INDEX(P3:AI3,1,MATCH(MIN(P3:AI3),P3:AI3,0)+1),IF(F14&gt;=MAX(P3:AI3),INDEX(P3:AI3,1,MATCH(MAX(P3:AI3),P3:AI3,0)-1),INDEX(P3:AI3,1,MATCH(F14,P3:AI3,1)+1))),P3:AI3,0)),IF(F14&lt;MIN(P3:AI3),INDEX(P3:AI3,1,MATCH(MIN(P3:AI3),P3:AI3,0)),IF(F14&gt;=MAX(P3:AI3),INDEX(P3:AI3,1,MATCH(MAX(P3:AI3),P3:AI3,0)),INDEX(P3:AI3,1,MATCH(F14,P3:AI3,1)))):IF(F14&lt;MIN(P3:AI3),INDEX(P3:AI3,1,MATCH(MIN(P3:AI3),P3:AI3,0)+1),IF(F14&gt;=MAX(P3:AI3),INDEX(P3:AI3,1,MATCH(MAX(P3:AI3),P3:AI3,0)-1),INDEX(P3:AI3,1,MATCH(F14,P3:AI3,1)+1)))),IF(COUNT(P3:AI3)&lt;2,_xlfn.FORECAST.LINEAR(B17,INDEX(P4:P23,MATCH(IF(B17&lt;MIN(O4:O23),INDEX(O4:O23,MATCH(MIN(O4:O23),O4:O23,0)),IF(B17&gt;=MAX(O4:O23),INDEX(O4:O23,MATCH(MAX(O4:O23),O4:O23,0)),INDEX(O4:O23,MATCH(B17,O4:O23,1)))):IF(B17&lt;MIN(O4:O23),INDEX(O4:O23,MATCH(MIN(O4:O23),O4:O23,0)+1),IF(B17&gt;=MAX(O4:O23),INDEX(O4:O23,MATCH(MAX(O4:O23),O4:O23,0)-1),INDEX(O4:O23,MATCH(B17,O4:O23,1)+1))),O4:O23,0)),IF(B17&lt;MIN(O4:O23),INDEX(O4:O23,MATCH(MIN(O4:O23),O4:O23,0)),IF(B17&gt;=MAX(O4:O23),INDEX(O4:O23,MATCH(MAX(O4:O23),O4:O23,0)),INDEX(O4:O23,MATCH(B17,O4:O23,1)))):IF(B17&lt;MIN(O4:O23),INDEX(O4:O23,MATCH(MIN(O4:O23),O4:O23,0)+1),IF(B17&gt;=MAX(O4:O23),INDEX(O4:O23,MATCH(MAX(O4:O23),O4:O23,0)-1),INDEX(O4:O23,MATCH(B17,O4:O23,1)+1)))),1/((INDEX(_xlfn._xlws.FILTER(H4:H23,(INDEX(H4:H23,MATCH(SMALL(M4:M23,1),M4:M23,0))=H4:H23)=FALSE()),MATCH(SMALL(M4:M23,2),_xlfn._xlws.FILTER(M4:M23,(INDEX(H4:H23,MATCH(SMALL(M4:M23,1),M4:M23,0))=H4:H23)=FALSE()),0))-INDEX(H4:H23,MATCH(SMALL(M4:M23,1),M4:M23,0)))*(INDEX(_xlfn._xlws.FILTER(H27:H46,(INDEX(H27:H46,MATCH(SMALL(L27:L46,1),L27:L46,0))=H27:H46)=FALSE()),MATCH(SMALL(L27:L46,2),_xlfn._xlws.FILTER(L27:L46,(INDEX(H27:H46,MATCH(SMALL(L27:L46,1),L27:L46,0))=H27:H46)=FALSE()),0))-INDEX(H27:H46,MATCH(SMALL(L27:L46,1),L27:L46,0))))*(INDEX(P4:AI23,MATCH(INDEX(H27:H46,MATCH(SMALL(L27:L46,1),L27:L46,0)),O4:O23,0),MATCH(INDEX(H4:H23,MATCH(SMALL(M4:M23,1),M4:M23,0)),P3:AI3,0))*(INDEX(_xlfn._xlws.FILTER(H4:H23,(INDEX(H4:H23,MATCH(SMALL(M4:M23,1),M4:M23,0))=H4:H23)=FALSE()),MATCH(SMALL(M4:M23,2),_xlfn._xlws.FILTER(M4:M23,(INDEX(H4:H23,MATCH(SMALL(M4:M23,1),M4:M23,0))=H4:H23)=FALSE()),0))-F14)*(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4:AI23,MATCH(INDEX(H27:H46,MATCH(SMALL(L27:L46,1),L27:L46,0)),O4:O23,0),MATCH(INDEX(_xlfn._xlws.FILTER(H4:H23,(INDEX(H4:H23,MATCH(SMALL(M4:M23,1),M4:M23,0))=H4:H23)=FALSE()),MATCH(SMALL(M4:M23,2),_xlfn._xlws.FILTER(M4:M23,(INDEX(H4:H23,MATCH(SMALL(M4:M23,1),M4:M23,0))=H4:H23)=FALSE()),0)),P3:AI3,0))*(F14-INDEX(H4:H23,MATCH(SMALL(M4:M23,1),M4:M23,0)))*(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4:AI23,MATCH(INDEX(_xlfn._xlws.FILTER(H27:H46,(INDEX(H27:H46,MATCH(SMALL(L27:L46,1),L27:L46,0))=H27:H46)=FALSE()),MATCH(SMALL(L27:L46,2),_xlfn._xlws.FILTER(L27:L46,(INDEX(H27:H46,MATCH(SMALL(L27:L46,1),L27:L46,0))=H27:H46)=FALSE()),0)),O4:O23,0),MATCH(INDEX(H4:H23,MATCH(SMALL(M4:M23,1),M4:M23,0)),P3:AI3,0))*(INDEX(_xlfn._xlws.FILTER(H4:H23,(INDEX(H4:H23,MATCH(SMALL(M4:M23,1),M4:M23,0))=H4:H23)=FALSE()),MATCH(SMALL(M4:M23,2),_xlfn._xlws.FILTER(M4:M23,(INDEX(H4:H23,MATCH(SMALL(M4:M23,1),M4:M23,0))=H4:H23)=FALSE()),0))-F14)*(IF(OR(C9='Data Validation'!D2,C9='Data Validation'!D3),B17,IF(C9='Data Validation'!D3,SUMPRODUCT('Bachelier Model'!N4:N124,'Bachelier Model'!O4:O124)/SUM('Bachelier Model'!N4:N124),"Strike Type Unknown"))-INDEX(H27:H46,MATCH(SMALL(L27:L46,1),L27:L46,0)))+INDEX(P4:AI23,MATCH(INDEX(_xlfn._xlws.FILTER(H27:H46,(INDEX(H27:H46,MATCH(SMALL(L27:L46,1),L27:L46,0))=H27:H46)=FALSE()),MATCH(SMALL(L27:L46,2),_xlfn._xlws.FILTER(L27:L46,(INDEX(H27:H46,MATCH(SMALL(L27:L46,1),L27:L46,0))=H27:H46)=FALSE()),0)),O4:O23,0),MATCH(INDEX(_xlfn._xlws.FILTER(H4:H23,(INDEX(H4:H23,MATCH(SMALL(M4:M23,1),M4:M23,0))=H4:H23)=FALSE()),MATCH(SMALL(M4:M23,2),_xlfn._xlws.FILTER(M4:M23,(INDEX(H4:H23,MATCH(SMALL(M4:M23,1),M4:M23,0))=H4:H23)=FALSE()),0)),P3:AI3,0))*(F14-INDEX(H4:H23,MATCH(SMALL(M4:M23,1),M4:M23,0)))*(IF(OR(C9='Data Validation'!D2,C9='Data Validation'!D3),B17,IF(C9='Data Validation'!D3,SUMPRODUCT('Bachelier Model'!N4:N124,'Bachelier Model'!O4:O124)/SUM('Bachelier Model'!N4:N124),"Strike Type Unknown"))-INDEX(H27:H46,MATCH(SMALL(L27:L46,1),L27:L46,0)))))))</f>
        <v>8.9561081078425353</v>
      </c>
      <c r="H31" s="176">
        <v>0.04</v>
      </c>
      <c r="I31" s="54">
        <f t="shared" si="6"/>
        <v>0.02</v>
      </c>
      <c r="J31" s="55">
        <f t="shared" si="6"/>
        <v>1.0000000000000002E-2</v>
      </c>
      <c r="K31" s="55">
        <f t="shared" si="6"/>
        <v>0</v>
      </c>
      <c r="L31" s="55">
        <f t="shared" si="6"/>
        <v>1.0000000000000002E-2</v>
      </c>
      <c r="M31" s="48">
        <f t="shared" si="6"/>
        <v>1.9999999999999997E-2</v>
      </c>
      <c r="O31" s="176">
        <v>0.04</v>
      </c>
      <c r="P31" s="192" cm="1">
        <f t="array" ref="P31">IF(OR(P$26="",$O31=""),"",1/((INDEX('Adjustment Surface'!$AN$27:$AN$46,MATCH(('Adjustment Surface'!$O31),'Adjustment Surface'!$AN$27:$AN$46,1)+IF('Adjustment Surface'!$O32="",-1,1))-INDEX('Adjustment Surface'!$AN$27:$AN$46,MATCH(('Adjustment Surface'!$O31),'Adjustment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Surface'!$O31),'Adjustment Surface'!$AN$27:$AN$46,1)),$AN$27:$AN$46,0),MATCH(INDEX('Adjustment Surface'!$AO$26:$BH$26,1,MATCH(('Adjustment Surface'!P$26),'Adjustment Surface'!$AO$26:$BH$26,1)),$AO$26:$BH$26,0))*(INDEX('Adjustment Surface'!$AN$27:$AN$46,MATCH(('Adjustment Surface'!$O31),'Adjustment Surface'!$AN$27:$AN$46,1)+IF('Adjustment Surface'!$O32="",-1,1))-'Adjustment Surface'!$O31)*(INDEX('Adjustment Surface'!$AO$26:$BH$26,1,MATCH(('Adjustment Surface'!P$26),'Adjustment Surface'!$AO$26:$BH$26,1)+IF('Adjustment Surface'!Q$26="",-1,1))-'Adjustment Surface'!P$26)+INDEX($AO$27:$BH$46,MATCH(INDEX('Adjustment Surface'!$AN$27:$AN$46,MATCH(('Adjustment Surface'!$O31),'Adjustment Surface'!$AN$27:$AN$46,1)+IF('Adjustment Surface'!$O32="",-1,1)),$AN$27:$AN$46,0),MATCH(INDEX('Adjustment Surface'!$AO$26:$BH$26,1,MATCH(('Adjustment Surface'!P$26),'Adjustment Surface'!$AO$26:$BH$26,1)),$AO$26:$BH$26,0))*('Adjustment Surface'!$O31-INDEX('Adjustment Surface'!$AN$27:$AN$46,MATCH(('Adjustment Surface'!$O31),'Adjustment Surface'!$AN$27:$AN$46,1)))*(INDEX('Adjustment Surface'!$AO$26:$BH$26,1,MATCH(('Adjustment Surface'!P$26),'Adjustment Surface'!$AO$26:$BH$26,1)+IF('Adjustment Surface'!Q$26="",-1,1))-'Adjustment Surface'!P$26)+INDEX($AO$27:$BH$46,MATCH(INDEX('Adjustment Surface'!$AN$27:$AN$46,MATCH(('Adjustment Surface'!$O31),'Adjustment Surface'!$AN$27:$AN$46,1)),$AN$27:$AN$46,0),MATCH(INDEX('Adjustment Surface'!$AO$26:$BH$26,1,MATCH(('Adjustment Surface'!P$26),'Adjustment Surface'!$AO$26:$BH$26,1)+IF('Adjustment Surface'!Q$26="",-1,1)),$AO$26:$BH$26,0))*(INDEX('Adjustment Surface'!$AN$27:$AN$46,MATCH(('Adjustment Surface'!$O31),'Adjustment Surface'!$AN$27:$AN$46,1)+IF('Adjustment Surface'!$O32="",-1,1))-'Adjustment Surface'!$O31)*('Adjustment Surface'!P$26-INDEX('Adjustment Surface'!$AO$26:$BH$26,1,MATCH(('Adjustment Surface'!P$26),'Adjustment Surface'!$AO$26:$BH$26,1)))+INDEX($AO$27:$BH$46,MATCH(INDEX('Adjustment Surface'!$AN$27:$AN$46,MATCH(('Adjustment Surface'!$O31),'Adjustment Surface'!$AN$27:$AN$46,1)+IF('Adjustment Surface'!$O32="",-1,1)),$AN$27:$AN$46,0),MATCH(INDEX('Adjustment Surface'!$AO$26:$BH$26,1,MATCH(('Adjustment Surface'!P$26),'Adjustment Surface'!$AO$26:$BH$26,1)+IF('Adjustment Surface'!Q$26="",-1,1)),$AO$26:$BH$26,0))*('Adjustment Surface'!$O31-INDEX('Adjustment Surface'!$AN$27:$AN$46,MATCH(('Adjustment Surface'!$O31),'Adjustment Surface'!$AN$27:$AN$46,1)))*('Adjustment Surface'!P$26-INDEX('Adjustment Surface'!$AO$26:$BH$26,1,MATCH(('Adjustment Surface'!P$26),'Adjustment Surface'!$AO$26:$BH$26,1)))))</f>
        <v>1.5819752131975662</v>
      </c>
      <c r="Q31" s="193" cm="1">
        <f t="array" ref="Q31">IF(OR(Q$26="",$O31=""),"",1/((INDEX('Adjustment Surface'!$AN$27:$AN$46,MATCH(('Adjustment Surface'!$O31),'Adjustment Surface'!$AN$27:$AN$46,1)+IF('Adjustment Surface'!$O32="",-1,1))-INDEX('Adjustment Surface'!$AN$27:$AN$46,MATCH(('Adjustment Surface'!$O31),'Adjustment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Surface'!$O31),'Adjustment Surface'!$AN$27:$AN$46,1)),$AN$27:$AN$46,0),MATCH(INDEX('Adjustment Surface'!$AO$26:$BH$26,1,MATCH(('Adjustment Surface'!Q$26),'Adjustment Surface'!$AO$26:$BH$26,1)),$AO$26:$BH$26,0))*(INDEX('Adjustment Surface'!$AN$27:$AN$46,MATCH(('Adjustment Surface'!$O31),'Adjustment Surface'!$AN$27:$AN$46,1)+IF('Adjustment Surface'!$O32="",-1,1))-'Adjustment Surface'!$O31)*(INDEX('Adjustment Surface'!$AO$26:$BH$26,1,MATCH(('Adjustment Surface'!Q$26),'Adjustment Surface'!$AO$26:$BH$26,1)+IF('Adjustment Surface'!R$26="",-1,1))-'Adjustment Surface'!Q$26)+INDEX($AO$27:$BH$46,MATCH(INDEX('Adjustment Surface'!$AN$27:$AN$46,MATCH(('Adjustment Surface'!$O31),'Adjustment Surface'!$AN$27:$AN$46,1)+IF('Adjustment Surface'!$O32="",-1,1)),$AN$27:$AN$46,0),MATCH(INDEX('Adjustment Surface'!$AO$26:$BH$26,1,MATCH(('Adjustment Surface'!Q$26),'Adjustment Surface'!$AO$26:$BH$26,1)),$AO$26:$BH$26,0))*('Adjustment Surface'!$O31-INDEX('Adjustment Surface'!$AN$27:$AN$46,MATCH(('Adjustment Surface'!$O31),'Adjustment Surface'!$AN$27:$AN$46,1)))*(INDEX('Adjustment Surface'!$AO$26:$BH$26,1,MATCH(('Adjustment Surface'!Q$26),'Adjustment Surface'!$AO$26:$BH$26,1)+IF('Adjustment Surface'!R$26="",-1,1))-'Adjustment Surface'!Q$26)+INDEX($AO$27:$BH$46,MATCH(INDEX('Adjustment Surface'!$AN$27:$AN$46,MATCH(('Adjustment Surface'!$O31),'Adjustment Surface'!$AN$27:$AN$46,1)),$AN$27:$AN$46,0),MATCH(INDEX('Adjustment Surface'!$AO$26:$BH$26,1,MATCH(('Adjustment Surface'!Q$26),'Adjustment Surface'!$AO$26:$BH$26,1)+IF('Adjustment Surface'!R$26="",-1,1)),$AO$26:$BH$26,0))*(INDEX('Adjustment Surface'!$AN$27:$AN$46,MATCH(('Adjustment Surface'!$O31),'Adjustment Surface'!$AN$27:$AN$46,1)+IF('Adjustment Surface'!$O32="",-1,1))-'Adjustment Surface'!$O31)*('Adjustment Surface'!Q$26-INDEX('Adjustment Surface'!$AO$26:$BH$26,1,MATCH(('Adjustment Surface'!Q$26),'Adjustment Surface'!$AO$26:$BH$26,1)))+INDEX($AO$27:$BH$46,MATCH(INDEX('Adjustment Surface'!$AN$27:$AN$46,MATCH(('Adjustment Surface'!$O31),'Adjustment Surface'!$AN$27:$AN$46,1)+IF('Adjustment Surface'!$O32="",-1,1)),$AN$27:$AN$46,0),MATCH(INDEX('Adjustment Surface'!$AO$26:$BH$26,1,MATCH(('Adjustment Surface'!Q$26),'Adjustment Surface'!$AO$26:$BH$26,1)+IF('Adjustment Surface'!R$26="",-1,1)),$AO$26:$BH$26,0))*('Adjustment Surface'!$O31-INDEX('Adjustment Surface'!$AN$27:$AN$46,MATCH(('Adjustment Surface'!$O31),'Adjustment Surface'!$AN$27:$AN$46,1)))*('Adjustment Surface'!Q$26-INDEX('Adjustment Surface'!$AO$26:$BH$26,1,MATCH(('Adjustment Surface'!Q$26),'Adjustment Surface'!$AO$26:$BH$26,1)))))</f>
        <v>1.2639535089005007</v>
      </c>
      <c r="R31" s="193" cm="1">
        <f t="array" ref="R31">IF(OR(R$26="",$O31=""),"",1/((INDEX('Adjustment Surface'!$AN$27:$AN$46,MATCH(('Adjustment Surface'!$O31),'Adjustment Surface'!$AN$27:$AN$46,1)+IF('Adjustment Surface'!$O32="",-1,1))-INDEX('Adjustment Surface'!$AN$27:$AN$46,MATCH(('Adjustment Surface'!$O31),'Adjustment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Surface'!$O31),'Adjustment Surface'!$AN$27:$AN$46,1)),$AN$27:$AN$46,0),MATCH(INDEX('Adjustment Surface'!$AO$26:$BH$26,1,MATCH(('Adjustment Surface'!R$26),'Adjustment Surface'!$AO$26:$BH$26,1)),$AO$26:$BH$26,0))*(INDEX('Adjustment Surface'!$AN$27:$AN$46,MATCH(('Adjustment Surface'!$O31),'Adjustment Surface'!$AN$27:$AN$46,1)+IF('Adjustment Surface'!$O32="",-1,1))-'Adjustment Surface'!$O31)*(INDEX('Adjustment Surface'!$AO$26:$BH$26,1,MATCH(('Adjustment Surface'!R$26),'Adjustment Surface'!$AO$26:$BH$26,1)+IF('Adjustment Surface'!S$26="",-1,1))-'Adjustment Surface'!R$26)+INDEX($AO$27:$BH$46,MATCH(INDEX('Adjustment Surface'!$AN$27:$AN$46,MATCH(('Adjustment Surface'!$O31),'Adjustment Surface'!$AN$27:$AN$46,1)+IF('Adjustment Surface'!$O32="",-1,1)),$AN$27:$AN$46,0),MATCH(INDEX('Adjustment Surface'!$AO$26:$BH$26,1,MATCH(('Adjustment Surface'!R$26),'Adjustment Surface'!$AO$26:$BH$26,1)),$AO$26:$BH$26,0))*('Adjustment Surface'!$O31-INDEX('Adjustment Surface'!$AN$27:$AN$46,MATCH(('Adjustment Surface'!$O31),'Adjustment Surface'!$AN$27:$AN$46,1)))*(INDEX('Adjustment Surface'!$AO$26:$BH$26,1,MATCH(('Adjustment Surface'!R$26),'Adjustment Surface'!$AO$26:$BH$26,1)+IF('Adjustment Surface'!S$26="",-1,1))-'Adjustment Surface'!R$26)+INDEX($AO$27:$BH$46,MATCH(INDEX('Adjustment Surface'!$AN$27:$AN$46,MATCH(('Adjustment Surface'!$O31),'Adjustment Surface'!$AN$27:$AN$46,1)),$AN$27:$AN$46,0),MATCH(INDEX('Adjustment Surface'!$AO$26:$BH$26,1,MATCH(('Adjustment Surface'!R$26),'Adjustment Surface'!$AO$26:$BH$26,1)+IF('Adjustment Surface'!S$26="",-1,1)),$AO$26:$BH$26,0))*(INDEX('Adjustment Surface'!$AN$27:$AN$46,MATCH(('Adjustment Surface'!$O31),'Adjustment Surface'!$AN$27:$AN$46,1)+IF('Adjustment Surface'!$O32="",-1,1))-'Adjustment Surface'!$O31)*('Adjustment Surface'!R$26-INDEX('Adjustment Surface'!$AO$26:$BH$26,1,MATCH(('Adjustment Surface'!R$26),'Adjustment Surface'!$AO$26:$BH$26,1)))+INDEX($AO$27:$BH$46,MATCH(INDEX('Adjustment Surface'!$AN$27:$AN$46,MATCH(('Adjustment Surface'!$O31),'Adjustment Surface'!$AN$27:$AN$46,1)+IF('Adjustment Surface'!$O32="",-1,1)),$AN$27:$AN$46,0),MATCH(INDEX('Adjustment Surface'!$AO$26:$BH$26,1,MATCH(('Adjustment Surface'!R$26),'Adjustment Surface'!$AO$26:$BH$26,1)+IF('Adjustment Surface'!S$26="",-1,1)),$AO$26:$BH$26,0))*('Adjustment Surface'!$O31-INDEX('Adjustment Surface'!$AN$27:$AN$46,MATCH(('Adjustment Surface'!$O31),'Adjustment Surface'!$AN$27:$AN$46,1)))*('Adjustment Surface'!R$26-INDEX('Adjustment Surface'!$AO$26:$BH$26,1,MATCH(('Adjustment Surface'!R$26),'Adjustment Surface'!$AO$26:$BH$26,1)))))</f>
        <v>0.93521197187432092</v>
      </c>
      <c r="S31" s="193" cm="1">
        <f t="array" ref="S31">IF(OR(S$26="",$O31=""),"",1/((INDEX('Adjustment Surface'!$AN$27:$AN$46,MATCH(('Adjustment Surface'!$O31),'Adjustment Surface'!$AN$27:$AN$46,1)+IF('Adjustment Surface'!$O32="",-1,1))-INDEX('Adjustment Surface'!$AN$27:$AN$46,MATCH(('Adjustment Surface'!$O31),'Adjustment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Surface'!$O31),'Adjustment Surface'!$AN$27:$AN$46,1)),$AN$27:$AN$46,0),MATCH(INDEX('Adjustment Surface'!$AO$26:$BH$26,1,MATCH(('Adjustment Surface'!S$26),'Adjustment Surface'!$AO$26:$BH$26,1)),$AO$26:$BH$26,0))*(INDEX('Adjustment Surface'!$AN$27:$AN$46,MATCH(('Adjustment Surface'!$O31),'Adjustment Surface'!$AN$27:$AN$46,1)+IF('Adjustment Surface'!$O32="",-1,1))-'Adjustment Surface'!$O31)*(INDEX('Adjustment Surface'!$AO$26:$BH$26,1,MATCH(('Adjustment Surface'!S$26),'Adjustment Surface'!$AO$26:$BH$26,1)+IF('Adjustment Surface'!T$26="",-1,1))-'Adjustment Surface'!S$26)+INDEX($AO$27:$BH$46,MATCH(INDEX('Adjustment Surface'!$AN$27:$AN$46,MATCH(('Adjustment Surface'!$O31),'Adjustment Surface'!$AN$27:$AN$46,1)+IF('Adjustment Surface'!$O32="",-1,1)),$AN$27:$AN$46,0),MATCH(INDEX('Adjustment Surface'!$AO$26:$BH$26,1,MATCH(('Adjustment Surface'!S$26),'Adjustment Surface'!$AO$26:$BH$26,1)),$AO$26:$BH$26,0))*('Adjustment Surface'!$O31-INDEX('Adjustment Surface'!$AN$27:$AN$46,MATCH(('Adjustment Surface'!$O31),'Adjustment Surface'!$AN$27:$AN$46,1)))*(INDEX('Adjustment Surface'!$AO$26:$BH$26,1,MATCH(('Adjustment Surface'!S$26),'Adjustment Surface'!$AO$26:$BH$26,1)+IF('Adjustment Surface'!T$26="",-1,1))-'Adjustment Surface'!S$26)+INDEX($AO$27:$BH$46,MATCH(INDEX('Adjustment Surface'!$AN$27:$AN$46,MATCH(('Adjustment Surface'!$O31),'Adjustment Surface'!$AN$27:$AN$46,1)),$AN$27:$AN$46,0),MATCH(INDEX('Adjustment Surface'!$AO$26:$BH$26,1,MATCH(('Adjustment Surface'!S$26),'Adjustment Surface'!$AO$26:$BH$26,1)+IF('Adjustment Surface'!T$26="",-1,1)),$AO$26:$BH$26,0))*(INDEX('Adjustment Surface'!$AN$27:$AN$46,MATCH(('Adjustment Surface'!$O31),'Adjustment Surface'!$AN$27:$AN$46,1)+IF('Adjustment Surface'!$O32="",-1,1))-'Adjustment Surface'!$O31)*('Adjustment Surface'!S$26-INDEX('Adjustment Surface'!$AO$26:$BH$26,1,MATCH(('Adjustment Surface'!S$26),'Adjustment Surface'!$AO$26:$BH$26,1)))+INDEX($AO$27:$BH$46,MATCH(INDEX('Adjustment Surface'!$AN$27:$AN$46,MATCH(('Adjustment Surface'!$O31),'Adjustment Surface'!$AN$27:$AN$46,1)+IF('Adjustment Surface'!$O32="",-1,1)),$AN$27:$AN$46,0),MATCH(INDEX('Adjustment Surface'!$AO$26:$BH$26,1,MATCH(('Adjustment Surface'!S$26),'Adjustment Surface'!$AO$26:$BH$26,1)+IF('Adjustment Surface'!T$26="",-1,1)),$AO$26:$BH$26,0))*('Adjustment Surface'!$O31-INDEX('Adjustment Surface'!$AN$27:$AN$46,MATCH(('Adjustment Surface'!$O31),'Adjustment Surface'!$AN$27:$AN$46,1)))*('Adjustment Surface'!S$26-INDEX('Adjustment Surface'!$AO$26:$BH$26,1,MATCH(('Adjustment Surface'!S$26),'Adjustment Surface'!$AO$26:$BH$26,1)))))</f>
        <v>0.60647043484814112</v>
      </c>
      <c r="T31" s="193" cm="1">
        <f t="array" ref="T31">IF(OR(T$26="",$O31=""),"",1/((INDEX('Adjustment Surface'!$AN$27:$AN$46,MATCH(('Adjustment Surface'!$O31),'Adjustment Surface'!$AN$27:$AN$46,1)+IF('Adjustment Surface'!$O32="",-1,1))-INDEX('Adjustment Surface'!$AN$27:$AN$46,MATCH(('Adjustment Surface'!$O31),'Adjustment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Surface'!$O31),'Adjustment Surface'!$AN$27:$AN$46,1)),$AN$27:$AN$46,0),MATCH(INDEX('Adjustment Surface'!$AO$26:$BH$26,1,MATCH(('Adjustment Surface'!T$26),'Adjustment Surface'!$AO$26:$BH$26,1)),$AO$26:$BH$26,0))*(INDEX('Adjustment Surface'!$AN$27:$AN$46,MATCH(('Adjustment Surface'!$O31),'Adjustment Surface'!$AN$27:$AN$46,1)+IF('Adjustment Surface'!$O32="",-1,1))-'Adjustment Surface'!$O31)*(INDEX('Adjustment Surface'!$AO$26:$BH$26,1,MATCH(('Adjustment Surface'!T$26),'Adjustment Surface'!$AO$26:$BH$26,1)+IF('Adjustment Surface'!U$26="",-1,1))-'Adjustment Surface'!T$26)+INDEX($AO$27:$BH$46,MATCH(INDEX('Adjustment Surface'!$AN$27:$AN$46,MATCH(('Adjustment Surface'!$O31),'Adjustment Surface'!$AN$27:$AN$46,1)+IF('Adjustment Surface'!$O32="",-1,1)),$AN$27:$AN$46,0),MATCH(INDEX('Adjustment Surface'!$AO$26:$BH$26,1,MATCH(('Adjustment Surface'!T$26),'Adjustment Surface'!$AO$26:$BH$26,1)),$AO$26:$BH$26,0))*('Adjustment Surface'!$O31-INDEX('Adjustment Surface'!$AN$27:$AN$46,MATCH(('Adjustment Surface'!$O31),'Adjustment Surface'!$AN$27:$AN$46,1)))*(INDEX('Adjustment Surface'!$AO$26:$BH$26,1,MATCH(('Adjustment Surface'!T$26),'Adjustment Surface'!$AO$26:$BH$26,1)+IF('Adjustment Surface'!U$26="",-1,1))-'Adjustment Surface'!T$26)+INDEX($AO$27:$BH$46,MATCH(INDEX('Adjustment Surface'!$AN$27:$AN$46,MATCH(('Adjustment Surface'!$O31),'Adjustment Surface'!$AN$27:$AN$46,1)),$AN$27:$AN$46,0),MATCH(INDEX('Adjustment Surface'!$AO$26:$BH$26,1,MATCH(('Adjustment Surface'!T$26),'Adjustment Surface'!$AO$26:$BH$26,1)+IF('Adjustment Surface'!U$26="",-1,1)),$AO$26:$BH$26,0))*(INDEX('Adjustment Surface'!$AN$27:$AN$46,MATCH(('Adjustment Surface'!$O31),'Adjustment Surface'!$AN$27:$AN$46,1)+IF('Adjustment Surface'!$O32="",-1,1))-'Adjustment Surface'!$O31)*('Adjustment Surface'!T$26-INDEX('Adjustment Surface'!$AO$26:$BH$26,1,MATCH(('Adjustment Surface'!T$26),'Adjustment Surface'!$AO$26:$BH$26,1)))+INDEX($AO$27:$BH$46,MATCH(INDEX('Adjustment Surface'!$AN$27:$AN$46,MATCH(('Adjustment Surface'!$O31),'Adjustment Surface'!$AN$27:$AN$46,1)+IF('Adjustment Surface'!$O32="",-1,1)),$AN$27:$AN$46,0),MATCH(INDEX('Adjustment Surface'!$AO$26:$BH$26,1,MATCH(('Adjustment Surface'!T$26),'Adjustment Surface'!$AO$26:$BH$26,1)+IF('Adjustment Surface'!U$26="",-1,1)),$AO$26:$BH$26,0))*('Adjustment Surface'!$O31-INDEX('Adjustment Surface'!$AN$27:$AN$46,MATCH(('Adjustment Surface'!$O31),'Adjustment Surface'!$AN$27:$AN$46,1)))*('Adjustment Surface'!T$26-INDEX('Adjustment Surface'!$AO$26:$BH$26,1,MATCH(('Adjustment Surface'!T$26),'Adjustment Surface'!$AO$26:$BH$26,1)))))</f>
        <v>0.27772889782196125</v>
      </c>
      <c r="U31" s="193" cm="1">
        <f t="array" ref="U31">IF(OR(U$26="",$O31=""),"",1/((INDEX('Adjustment Surface'!$AN$27:$AN$46,MATCH(('Adjustment Surface'!$O31),'Adjustment Surface'!$AN$27:$AN$46,1)+IF('Adjustment Surface'!$O32="",-1,1))-INDEX('Adjustment Surface'!$AN$27:$AN$46,MATCH(('Adjustment Surface'!$O31),'Adjustment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Surface'!$O31),'Adjustment Surface'!$AN$27:$AN$46,1)),$AN$27:$AN$46,0),MATCH(INDEX('Adjustment Surface'!$AO$26:$BH$26,1,MATCH(('Adjustment Surface'!U$26),'Adjustment Surface'!$AO$26:$BH$26,1)),$AO$26:$BH$26,0))*(INDEX('Adjustment Surface'!$AN$27:$AN$46,MATCH(('Adjustment Surface'!$O31),'Adjustment Surface'!$AN$27:$AN$46,1)+IF('Adjustment Surface'!$O32="",-1,1))-'Adjustment Surface'!$O31)*(INDEX('Adjustment Surface'!$AO$26:$BH$26,1,MATCH(('Adjustment Surface'!U$26),'Adjustment Surface'!$AO$26:$BH$26,1)+IF('Adjustment Surface'!V$26="",-1,1))-'Adjustment Surface'!U$26)+INDEX($AO$27:$BH$46,MATCH(INDEX('Adjustment Surface'!$AN$27:$AN$46,MATCH(('Adjustment Surface'!$O31),'Adjustment Surface'!$AN$27:$AN$46,1)+IF('Adjustment Surface'!$O32="",-1,1)),$AN$27:$AN$46,0),MATCH(INDEX('Adjustment Surface'!$AO$26:$BH$26,1,MATCH(('Adjustment Surface'!U$26),'Adjustment Surface'!$AO$26:$BH$26,1)),$AO$26:$BH$26,0))*('Adjustment Surface'!$O31-INDEX('Adjustment Surface'!$AN$27:$AN$46,MATCH(('Adjustment Surface'!$O31),'Adjustment Surface'!$AN$27:$AN$46,1)))*(INDEX('Adjustment Surface'!$AO$26:$BH$26,1,MATCH(('Adjustment Surface'!U$26),'Adjustment Surface'!$AO$26:$BH$26,1)+IF('Adjustment Surface'!V$26="",-1,1))-'Adjustment Surface'!U$26)+INDEX($AO$27:$BH$46,MATCH(INDEX('Adjustment Surface'!$AN$27:$AN$46,MATCH(('Adjustment Surface'!$O31),'Adjustment Surface'!$AN$27:$AN$46,1)),$AN$27:$AN$46,0),MATCH(INDEX('Adjustment Surface'!$AO$26:$BH$26,1,MATCH(('Adjustment Surface'!U$26),'Adjustment Surface'!$AO$26:$BH$26,1)+IF('Adjustment Surface'!V$26="",-1,1)),$AO$26:$BH$26,0))*(INDEX('Adjustment Surface'!$AN$27:$AN$46,MATCH(('Adjustment Surface'!$O31),'Adjustment Surface'!$AN$27:$AN$46,1)+IF('Adjustment Surface'!$O32="",-1,1))-'Adjustment Surface'!$O31)*('Adjustment Surface'!U$26-INDEX('Adjustment Surface'!$AO$26:$BH$26,1,MATCH(('Adjustment Surface'!U$26),'Adjustment Surface'!$AO$26:$BH$26,1)))+INDEX($AO$27:$BH$46,MATCH(INDEX('Adjustment Surface'!$AN$27:$AN$46,MATCH(('Adjustment Surface'!$O31),'Adjustment Surface'!$AN$27:$AN$46,1)+IF('Adjustment Surface'!$O32="",-1,1)),$AN$27:$AN$46,0),MATCH(INDEX('Adjustment Surface'!$AO$26:$BH$26,1,MATCH(('Adjustment Surface'!U$26),'Adjustment Surface'!$AO$26:$BH$26,1)+IF('Adjustment Surface'!V$26="",-1,1)),$AO$26:$BH$26,0))*('Adjustment Surface'!$O31-INDEX('Adjustment Surface'!$AN$27:$AN$46,MATCH(('Adjustment Surface'!$O31),'Adjustment Surface'!$AN$27:$AN$46,1)))*('Adjustment Surface'!U$26-INDEX('Adjustment Surface'!$AO$26:$BH$26,1,MATCH(('Adjustment Surface'!U$26),'Adjustment Surface'!$AO$26:$BH$26,1)))))</f>
        <v>0.2613121547330241</v>
      </c>
      <c r="V31" s="193" cm="1">
        <f t="array" ref="V31">IF(OR(V$26="",$O31=""),"",1/((INDEX('Adjustment Surface'!$AN$27:$AN$46,MATCH(('Adjustment Surface'!$O31),'Adjustment Surface'!$AN$27:$AN$46,1)+IF('Adjustment Surface'!$O32="",-1,1))-INDEX('Adjustment Surface'!$AN$27:$AN$46,MATCH(('Adjustment Surface'!$O31),'Adjustment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Surface'!$O31),'Adjustment Surface'!$AN$27:$AN$46,1)),$AN$27:$AN$46,0),MATCH(INDEX('Adjustment Surface'!$AO$26:$BH$26,1,MATCH(('Adjustment Surface'!V$26),'Adjustment Surface'!$AO$26:$BH$26,1)),$AO$26:$BH$26,0))*(INDEX('Adjustment Surface'!$AN$27:$AN$46,MATCH(('Adjustment Surface'!$O31),'Adjustment Surface'!$AN$27:$AN$46,1)+IF('Adjustment Surface'!$O32="",-1,1))-'Adjustment Surface'!$O31)*(INDEX('Adjustment Surface'!$AO$26:$BH$26,1,MATCH(('Adjustment Surface'!V$26),'Adjustment Surface'!$AO$26:$BH$26,1)+IF('Adjustment Surface'!W$26="",-1,1))-'Adjustment Surface'!V$26)+INDEX($AO$27:$BH$46,MATCH(INDEX('Adjustment Surface'!$AN$27:$AN$46,MATCH(('Adjustment Surface'!$O31),'Adjustment Surface'!$AN$27:$AN$46,1)+IF('Adjustment Surface'!$O32="",-1,1)),$AN$27:$AN$46,0),MATCH(INDEX('Adjustment Surface'!$AO$26:$BH$26,1,MATCH(('Adjustment Surface'!V$26),'Adjustment Surface'!$AO$26:$BH$26,1)),$AO$26:$BH$26,0))*('Adjustment Surface'!$O31-INDEX('Adjustment Surface'!$AN$27:$AN$46,MATCH(('Adjustment Surface'!$O31),'Adjustment Surface'!$AN$27:$AN$46,1)))*(INDEX('Adjustment Surface'!$AO$26:$BH$26,1,MATCH(('Adjustment Surface'!V$26),'Adjustment Surface'!$AO$26:$BH$26,1)+IF('Adjustment Surface'!W$26="",-1,1))-'Adjustment Surface'!V$26)+INDEX($AO$27:$BH$46,MATCH(INDEX('Adjustment Surface'!$AN$27:$AN$46,MATCH(('Adjustment Surface'!$O31),'Adjustment Surface'!$AN$27:$AN$46,1)),$AN$27:$AN$46,0),MATCH(INDEX('Adjustment Surface'!$AO$26:$BH$26,1,MATCH(('Adjustment Surface'!V$26),'Adjustment Surface'!$AO$26:$BH$26,1)+IF('Adjustment Surface'!W$26="",-1,1)),$AO$26:$BH$26,0))*(INDEX('Adjustment Surface'!$AN$27:$AN$46,MATCH(('Adjustment Surface'!$O31),'Adjustment Surface'!$AN$27:$AN$46,1)+IF('Adjustment Surface'!$O32="",-1,1))-'Adjustment Surface'!$O31)*('Adjustment Surface'!V$26-INDEX('Adjustment Surface'!$AO$26:$BH$26,1,MATCH(('Adjustment Surface'!V$26),'Adjustment Surface'!$AO$26:$BH$26,1)))+INDEX($AO$27:$BH$46,MATCH(INDEX('Adjustment Surface'!$AN$27:$AN$46,MATCH(('Adjustment Surface'!$O31),'Adjustment Surface'!$AN$27:$AN$46,1)+IF('Adjustment Surface'!$O32="",-1,1)),$AN$27:$AN$46,0),MATCH(INDEX('Adjustment Surface'!$AO$26:$BH$26,1,MATCH(('Adjustment Surface'!V$26),'Adjustment Surface'!$AO$26:$BH$26,1)+IF('Adjustment Surface'!W$26="",-1,1)),$AO$26:$BH$26,0))*('Adjustment Surface'!$O31-INDEX('Adjustment Surface'!$AN$27:$AN$46,MATCH(('Adjustment Surface'!$O31),'Adjustment Surface'!$AN$27:$AN$46,1)))*('Adjustment Surface'!V$26-INDEX('Adjustment Surface'!$AO$26:$BH$26,1,MATCH(('Adjustment Surface'!V$26),'Adjustment Surface'!$AO$26:$BH$26,1)))))</f>
        <v>0.24453059513099953</v>
      </c>
      <c r="W31" s="193" cm="1">
        <f t="array" ref="W31">IF(OR(W$26="",$O31=""),"",1/((INDEX('Adjustment Surface'!$AN$27:$AN$46,MATCH(('Adjustment Surface'!$O31),'Adjustment Surface'!$AN$27:$AN$46,1)+IF('Adjustment Surface'!$O32="",-1,1))-INDEX('Adjustment Surface'!$AN$27:$AN$46,MATCH(('Adjustment Surface'!$O31),'Adjustment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Surface'!$O31),'Adjustment Surface'!$AN$27:$AN$46,1)),$AN$27:$AN$46,0),MATCH(INDEX('Adjustment Surface'!$AO$26:$BH$26,1,MATCH(('Adjustment Surface'!W$26),'Adjustment Surface'!$AO$26:$BH$26,1)),$AO$26:$BH$26,0))*(INDEX('Adjustment Surface'!$AN$27:$AN$46,MATCH(('Adjustment Surface'!$O31),'Adjustment Surface'!$AN$27:$AN$46,1)+IF('Adjustment Surface'!$O32="",-1,1))-'Adjustment Surface'!$O31)*(INDEX('Adjustment Surface'!$AO$26:$BH$26,1,MATCH(('Adjustment Surface'!W$26),'Adjustment Surface'!$AO$26:$BH$26,1)+IF('Adjustment Surface'!X$26="",-1,1))-'Adjustment Surface'!W$26)+INDEX($AO$27:$BH$46,MATCH(INDEX('Adjustment Surface'!$AN$27:$AN$46,MATCH(('Adjustment Surface'!$O31),'Adjustment Surface'!$AN$27:$AN$46,1)+IF('Adjustment Surface'!$O32="",-1,1)),$AN$27:$AN$46,0),MATCH(INDEX('Adjustment Surface'!$AO$26:$BH$26,1,MATCH(('Adjustment Surface'!W$26),'Adjustment Surface'!$AO$26:$BH$26,1)),$AO$26:$BH$26,0))*('Adjustment Surface'!$O31-INDEX('Adjustment Surface'!$AN$27:$AN$46,MATCH(('Adjustment Surface'!$O31),'Adjustment Surface'!$AN$27:$AN$46,1)))*(INDEX('Adjustment Surface'!$AO$26:$BH$26,1,MATCH(('Adjustment Surface'!W$26),'Adjustment Surface'!$AO$26:$BH$26,1)+IF('Adjustment Surface'!X$26="",-1,1))-'Adjustment Surface'!W$26)+INDEX($AO$27:$BH$46,MATCH(INDEX('Adjustment Surface'!$AN$27:$AN$46,MATCH(('Adjustment Surface'!$O31),'Adjustment Surface'!$AN$27:$AN$46,1)),$AN$27:$AN$46,0),MATCH(INDEX('Adjustment Surface'!$AO$26:$BH$26,1,MATCH(('Adjustment Surface'!W$26),'Adjustment Surface'!$AO$26:$BH$26,1)+IF('Adjustment Surface'!X$26="",-1,1)),$AO$26:$BH$26,0))*(INDEX('Adjustment Surface'!$AN$27:$AN$46,MATCH(('Adjustment Surface'!$O31),'Adjustment Surface'!$AN$27:$AN$46,1)+IF('Adjustment Surface'!$O32="",-1,1))-'Adjustment Surface'!$O31)*('Adjustment Surface'!W$26-INDEX('Adjustment Surface'!$AO$26:$BH$26,1,MATCH(('Adjustment Surface'!W$26),'Adjustment Surface'!$AO$26:$BH$26,1)))+INDEX($AO$27:$BH$46,MATCH(INDEX('Adjustment Surface'!$AN$27:$AN$46,MATCH(('Adjustment Surface'!$O31),'Adjustment Surface'!$AN$27:$AN$46,1)+IF('Adjustment Surface'!$O32="",-1,1)),$AN$27:$AN$46,0),MATCH(INDEX('Adjustment Surface'!$AO$26:$BH$26,1,MATCH(('Adjustment Surface'!W$26),'Adjustment Surface'!$AO$26:$BH$26,1)+IF('Adjustment Surface'!X$26="",-1,1)),$AO$26:$BH$26,0))*('Adjustment Surface'!$O31-INDEX('Adjustment Surface'!$AN$27:$AN$46,MATCH(('Adjustment Surface'!$O31),'Adjustment Surface'!$AN$27:$AN$46,1)))*('Adjustment Surface'!W$26-INDEX('Adjustment Surface'!$AO$26:$BH$26,1,MATCH(('Adjustment Surface'!W$26),'Adjustment Surface'!$AO$26:$BH$26,1)))))</f>
        <v>0.22774903552897496</v>
      </c>
      <c r="X31" s="193" cm="1">
        <f t="array" ref="X31">IF(OR(X$26="",$O31=""),"",1/((INDEX('Adjustment Surface'!$AN$27:$AN$46,MATCH(('Adjustment Surface'!$O31),'Adjustment Surface'!$AN$27:$AN$46,1)+IF('Adjustment Surface'!$O32="",-1,1))-INDEX('Adjustment Surface'!$AN$27:$AN$46,MATCH(('Adjustment Surface'!$O31),'Adjustment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Surface'!$O31),'Adjustment Surface'!$AN$27:$AN$46,1)),$AN$27:$AN$46,0),MATCH(INDEX('Adjustment Surface'!$AO$26:$BH$26,1,MATCH(('Adjustment Surface'!X$26),'Adjustment Surface'!$AO$26:$BH$26,1)),$AO$26:$BH$26,0))*(INDEX('Adjustment Surface'!$AN$27:$AN$46,MATCH(('Adjustment Surface'!$O31),'Adjustment Surface'!$AN$27:$AN$46,1)+IF('Adjustment Surface'!$O32="",-1,1))-'Adjustment Surface'!$O31)*(INDEX('Adjustment Surface'!$AO$26:$BH$26,1,MATCH(('Adjustment Surface'!X$26),'Adjustment Surface'!$AO$26:$BH$26,1)+IF('Adjustment Surface'!Y$26="",-1,1))-'Adjustment Surface'!X$26)+INDEX($AO$27:$BH$46,MATCH(INDEX('Adjustment Surface'!$AN$27:$AN$46,MATCH(('Adjustment Surface'!$O31),'Adjustment Surface'!$AN$27:$AN$46,1)+IF('Adjustment Surface'!$O32="",-1,1)),$AN$27:$AN$46,0),MATCH(INDEX('Adjustment Surface'!$AO$26:$BH$26,1,MATCH(('Adjustment Surface'!X$26),'Adjustment Surface'!$AO$26:$BH$26,1)),$AO$26:$BH$26,0))*('Adjustment Surface'!$O31-INDEX('Adjustment Surface'!$AN$27:$AN$46,MATCH(('Adjustment Surface'!$O31),'Adjustment Surface'!$AN$27:$AN$46,1)))*(INDEX('Adjustment Surface'!$AO$26:$BH$26,1,MATCH(('Adjustment Surface'!X$26),'Adjustment Surface'!$AO$26:$BH$26,1)+IF('Adjustment Surface'!Y$26="",-1,1))-'Adjustment Surface'!X$26)+INDEX($AO$27:$BH$46,MATCH(INDEX('Adjustment Surface'!$AN$27:$AN$46,MATCH(('Adjustment Surface'!$O31),'Adjustment Surface'!$AN$27:$AN$46,1)),$AN$27:$AN$46,0),MATCH(INDEX('Adjustment Surface'!$AO$26:$BH$26,1,MATCH(('Adjustment Surface'!X$26),'Adjustment Surface'!$AO$26:$BH$26,1)+IF('Adjustment Surface'!Y$26="",-1,1)),$AO$26:$BH$26,0))*(INDEX('Adjustment Surface'!$AN$27:$AN$46,MATCH(('Adjustment Surface'!$O31),'Adjustment Surface'!$AN$27:$AN$46,1)+IF('Adjustment Surface'!$O32="",-1,1))-'Adjustment Surface'!$O31)*('Adjustment Surface'!X$26-INDEX('Adjustment Surface'!$AO$26:$BH$26,1,MATCH(('Adjustment Surface'!X$26),'Adjustment Surface'!$AO$26:$BH$26,1)))+INDEX($AO$27:$BH$46,MATCH(INDEX('Adjustment Surface'!$AN$27:$AN$46,MATCH(('Adjustment Surface'!$O31),'Adjustment Surface'!$AN$27:$AN$46,1)+IF('Adjustment Surface'!$O32="",-1,1)),$AN$27:$AN$46,0),MATCH(INDEX('Adjustment Surface'!$AO$26:$BH$26,1,MATCH(('Adjustment Surface'!X$26),'Adjustment Surface'!$AO$26:$BH$26,1)+IF('Adjustment Surface'!Y$26="",-1,1)),$AO$26:$BH$26,0))*('Adjustment Surface'!$O31-INDEX('Adjustment Surface'!$AN$27:$AN$46,MATCH(('Adjustment Surface'!$O31),'Adjustment Surface'!$AN$27:$AN$46,1)))*('Adjustment Surface'!X$26-INDEX('Adjustment Surface'!$AO$26:$BH$26,1,MATCH(('Adjustment Surface'!X$26),'Adjustment Surface'!$AO$26:$BH$26,1)))))</f>
        <v>0.21096747592695034</v>
      </c>
      <c r="Y31" s="193" t="str" cm="1">
        <f t="array" ref="Y31">IF(OR(Y$26="",$O31=""),"",1/((INDEX('Adjustment Surface'!$AN$27:$AN$46,MATCH(('Adjustment Surface'!$O31),'Adjustment Surface'!$AN$27:$AN$46,1)+IF('Adjustment Surface'!$O32="",-1,1))-INDEX('Adjustment Surface'!$AN$27:$AN$46,MATCH(('Adjustment Surface'!$O31),'Adjustment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Surface'!$O31),'Adjustment Surface'!$AN$27:$AN$46,1)),$AN$27:$AN$46,0),MATCH(INDEX('Adjustment Surface'!$AO$26:$BH$26,1,MATCH(('Adjustment Surface'!Y$26),'Adjustment Surface'!$AO$26:$BH$26,1)),$AO$26:$BH$26,0))*(INDEX('Adjustment Surface'!$AN$27:$AN$46,MATCH(('Adjustment Surface'!$O31),'Adjustment Surface'!$AN$27:$AN$46,1)+IF('Adjustment Surface'!$O32="",-1,1))-'Adjustment Surface'!$O31)*(INDEX('Adjustment Surface'!$AO$26:$BH$26,1,MATCH(('Adjustment Surface'!Y$26),'Adjustment Surface'!$AO$26:$BH$26,1)+IF('Adjustment Surface'!Z$26="",-1,1))-'Adjustment Surface'!Y$26)+INDEX($AO$27:$BH$46,MATCH(INDEX('Adjustment Surface'!$AN$27:$AN$46,MATCH(('Adjustment Surface'!$O31),'Adjustment Surface'!$AN$27:$AN$46,1)+IF('Adjustment Surface'!$O32="",-1,1)),$AN$27:$AN$46,0),MATCH(INDEX('Adjustment Surface'!$AO$26:$BH$26,1,MATCH(('Adjustment Surface'!Y$26),'Adjustment Surface'!$AO$26:$BH$26,1)),$AO$26:$BH$26,0))*('Adjustment Surface'!$O31-INDEX('Adjustment Surface'!$AN$27:$AN$46,MATCH(('Adjustment Surface'!$O31),'Adjustment Surface'!$AN$27:$AN$46,1)))*(INDEX('Adjustment Surface'!$AO$26:$BH$26,1,MATCH(('Adjustment Surface'!Y$26),'Adjustment Surface'!$AO$26:$BH$26,1)+IF('Adjustment Surface'!Z$26="",-1,1))-'Adjustment Surface'!Y$26)+INDEX($AO$27:$BH$46,MATCH(INDEX('Adjustment Surface'!$AN$27:$AN$46,MATCH(('Adjustment Surface'!$O31),'Adjustment Surface'!$AN$27:$AN$46,1)),$AN$27:$AN$46,0),MATCH(INDEX('Adjustment Surface'!$AO$26:$BH$26,1,MATCH(('Adjustment Surface'!Y$26),'Adjustment Surface'!$AO$26:$BH$26,1)+IF('Adjustment Surface'!Z$26="",-1,1)),$AO$26:$BH$26,0))*(INDEX('Adjustment Surface'!$AN$27:$AN$46,MATCH(('Adjustment Surface'!$O31),'Adjustment Surface'!$AN$27:$AN$46,1)+IF('Adjustment Surface'!$O32="",-1,1))-'Adjustment Surface'!$O31)*('Adjustment Surface'!Y$26-INDEX('Adjustment Surface'!$AO$26:$BH$26,1,MATCH(('Adjustment Surface'!Y$26),'Adjustment Surface'!$AO$26:$BH$26,1)))+INDEX($AO$27:$BH$46,MATCH(INDEX('Adjustment Surface'!$AN$27:$AN$46,MATCH(('Adjustment Surface'!$O31),'Adjustment Surface'!$AN$27:$AN$46,1)+IF('Adjustment Surface'!$O32="",-1,1)),$AN$27:$AN$46,0),MATCH(INDEX('Adjustment Surface'!$AO$26:$BH$26,1,MATCH(('Adjustment Surface'!Y$26),'Adjustment Surface'!$AO$26:$BH$26,1)+IF('Adjustment Surface'!Z$26="",-1,1)),$AO$26:$BH$26,0))*('Adjustment Surface'!$O31-INDEX('Adjustment Surface'!$AN$27:$AN$46,MATCH(('Adjustment Surface'!$O31),'Adjustment Surface'!$AN$27:$AN$46,1)))*('Adjustment Surface'!Y$26-INDEX('Adjustment Surface'!$AO$26:$BH$26,1,MATCH(('Adjustment Surface'!Y$26),'Adjustment Surface'!$AO$26:$BH$26,1)))))</f>
        <v/>
      </c>
      <c r="Z31" s="193" t="str" cm="1">
        <f t="array" ref="Z31">IF(OR(Z$26="",$O31=""),"",1/((INDEX('Adjustment Surface'!$AN$27:$AN$46,MATCH(('Adjustment Surface'!$O31),'Adjustment Surface'!$AN$27:$AN$46,1)+IF('Adjustment Surface'!$O32="",-1,1))-INDEX('Adjustment Surface'!$AN$27:$AN$46,MATCH(('Adjustment Surface'!$O31),'Adjustment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Surface'!$O31),'Adjustment Surface'!$AN$27:$AN$46,1)),$AN$27:$AN$46,0),MATCH(INDEX('Adjustment Surface'!$AO$26:$BH$26,1,MATCH(('Adjustment Surface'!Z$26),'Adjustment Surface'!$AO$26:$BH$26,1)),$AO$26:$BH$26,0))*(INDEX('Adjustment Surface'!$AN$27:$AN$46,MATCH(('Adjustment Surface'!$O31),'Adjustment Surface'!$AN$27:$AN$46,1)+IF('Adjustment Surface'!$O32="",-1,1))-'Adjustment Surface'!$O31)*(INDEX('Adjustment Surface'!$AO$26:$BH$26,1,MATCH(('Adjustment Surface'!Z$26),'Adjustment Surface'!$AO$26:$BH$26,1)+IF('Adjustment Surface'!AA$26="",-1,1))-'Adjustment Surface'!Z$26)+INDEX($AO$27:$BH$46,MATCH(INDEX('Adjustment Surface'!$AN$27:$AN$46,MATCH(('Adjustment Surface'!$O31),'Adjustment Surface'!$AN$27:$AN$46,1)+IF('Adjustment Surface'!$O32="",-1,1)),$AN$27:$AN$46,0),MATCH(INDEX('Adjustment Surface'!$AO$26:$BH$26,1,MATCH(('Adjustment Surface'!Z$26),'Adjustment Surface'!$AO$26:$BH$26,1)),$AO$26:$BH$26,0))*('Adjustment Surface'!$O31-INDEX('Adjustment Surface'!$AN$27:$AN$46,MATCH(('Adjustment Surface'!$O31),'Adjustment Surface'!$AN$27:$AN$46,1)))*(INDEX('Adjustment Surface'!$AO$26:$BH$26,1,MATCH(('Adjustment Surface'!Z$26),'Adjustment Surface'!$AO$26:$BH$26,1)+IF('Adjustment Surface'!AA$26="",-1,1))-'Adjustment Surface'!Z$26)+INDEX($AO$27:$BH$46,MATCH(INDEX('Adjustment Surface'!$AN$27:$AN$46,MATCH(('Adjustment Surface'!$O31),'Adjustment Surface'!$AN$27:$AN$46,1)),$AN$27:$AN$46,0),MATCH(INDEX('Adjustment Surface'!$AO$26:$BH$26,1,MATCH(('Adjustment Surface'!Z$26),'Adjustment Surface'!$AO$26:$BH$26,1)+IF('Adjustment Surface'!AA$26="",-1,1)),$AO$26:$BH$26,0))*(INDEX('Adjustment Surface'!$AN$27:$AN$46,MATCH(('Adjustment Surface'!$O31),'Adjustment Surface'!$AN$27:$AN$46,1)+IF('Adjustment Surface'!$O32="",-1,1))-'Adjustment Surface'!$O31)*('Adjustment Surface'!Z$26-INDEX('Adjustment Surface'!$AO$26:$BH$26,1,MATCH(('Adjustment Surface'!Z$26),'Adjustment Surface'!$AO$26:$BH$26,1)))+INDEX($AO$27:$BH$46,MATCH(INDEX('Adjustment Surface'!$AN$27:$AN$46,MATCH(('Adjustment Surface'!$O31),'Adjustment Surface'!$AN$27:$AN$46,1)+IF('Adjustment Surface'!$O32="",-1,1)),$AN$27:$AN$46,0),MATCH(INDEX('Adjustment Surface'!$AO$26:$BH$26,1,MATCH(('Adjustment Surface'!Z$26),'Adjustment Surface'!$AO$26:$BH$26,1)+IF('Adjustment Surface'!AA$26="",-1,1)),$AO$26:$BH$26,0))*('Adjustment Surface'!$O31-INDEX('Adjustment Surface'!$AN$27:$AN$46,MATCH(('Adjustment Surface'!$O31),'Adjustment Surface'!$AN$27:$AN$46,1)))*('Adjustment Surface'!Z$26-INDEX('Adjustment Surface'!$AO$26:$BH$26,1,MATCH(('Adjustment Surface'!Z$26),'Adjustment Surface'!$AO$26:$BH$26,1)))))</f>
        <v/>
      </c>
      <c r="AA31" s="193" t="str" cm="1">
        <f t="array" ref="AA31">IF(OR(AA$26="",$O31=""),"",1/((INDEX('Adjustment Surface'!$AN$27:$AN$46,MATCH(('Adjustment Surface'!$O31),'Adjustment Surface'!$AN$27:$AN$46,1)+IF('Adjustment Surface'!$O32="",-1,1))-INDEX('Adjustment Surface'!$AN$27:$AN$46,MATCH(('Adjustment Surface'!$O31),'Adjustment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Surface'!$O31),'Adjustment Surface'!$AN$27:$AN$46,1)),$AN$27:$AN$46,0),MATCH(INDEX('Adjustment Surface'!$AO$26:$BH$26,1,MATCH(('Adjustment Surface'!AA$26),'Adjustment Surface'!$AO$26:$BH$26,1)),$AO$26:$BH$26,0))*(INDEX('Adjustment Surface'!$AN$27:$AN$46,MATCH(('Adjustment Surface'!$O31),'Adjustment Surface'!$AN$27:$AN$46,1)+IF('Adjustment Surface'!$O32="",-1,1))-'Adjustment Surface'!$O31)*(INDEX('Adjustment Surface'!$AO$26:$BH$26,1,MATCH(('Adjustment Surface'!AA$26),'Adjustment Surface'!$AO$26:$BH$26,1)+IF('Adjustment Surface'!AB$26="",-1,1))-'Adjustment Surface'!AA$26)+INDEX($AO$27:$BH$46,MATCH(INDEX('Adjustment Surface'!$AN$27:$AN$46,MATCH(('Adjustment Surface'!$O31),'Adjustment Surface'!$AN$27:$AN$46,1)+IF('Adjustment Surface'!$O32="",-1,1)),$AN$27:$AN$46,0),MATCH(INDEX('Adjustment Surface'!$AO$26:$BH$26,1,MATCH(('Adjustment Surface'!AA$26),'Adjustment Surface'!$AO$26:$BH$26,1)),$AO$26:$BH$26,0))*('Adjustment Surface'!$O31-INDEX('Adjustment Surface'!$AN$27:$AN$46,MATCH(('Adjustment Surface'!$O31),'Adjustment Surface'!$AN$27:$AN$46,1)))*(INDEX('Adjustment Surface'!$AO$26:$BH$26,1,MATCH(('Adjustment Surface'!AA$26),'Adjustment Surface'!$AO$26:$BH$26,1)+IF('Adjustment Surface'!AB$26="",-1,1))-'Adjustment Surface'!AA$26)+INDEX($AO$27:$BH$46,MATCH(INDEX('Adjustment Surface'!$AN$27:$AN$46,MATCH(('Adjustment Surface'!$O31),'Adjustment Surface'!$AN$27:$AN$46,1)),$AN$27:$AN$46,0),MATCH(INDEX('Adjustment Surface'!$AO$26:$BH$26,1,MATCH(('Adjustment Surface'!AA$26),'Adjustment Surface'!$AO$26:$BH$26,1)+IF('Adjustment Surface'!AB$26="",-1,1)),$AO$26:$BH$26,0))*(INDEX('Adjustment Surface'!$AN$27:$AN$46,MATCH(('Adjustment Surface'!$O31),'Adjustment Surface'!$AN$27:$AN$46,1)+IF('Adjustment Surface'!$O32="",-1,1))-'Adjustment Surface'!$O31)*('Adjustment Surface'!AA$26-INDEX('Adjustment Surface'!$AO$26:$BH$26,1,MATCH(('Adjustment Surface'!AA$26),'Adjustment Surface'!$AO$26:$BH$26,1)))+INDEX($AO$27:$BH$46,MATCH(INDEX('Adjustment Surface'!$AN$27:$AN$46,MATCH(('Adjustment Surface'!$O31),'Adjustment Surface'!$AN$27:$AN$46,1)+IF('Adjustment Surface'!$O32="",-1,1)),$AN$27:$AN$46,0),MATCH(INDEX('Adjustment Surface'!$AO$26:$BH$26,1,MATCH(('Adjustment Surface'!AA$26),'Adjustment Surface'!$AO$26:$BH$26,1)+IF('Adjustment Surface'!AB$26="",-1,1)),$AO$26:$BH$26,0))*('Adjustment Surface'!$O31-INDEX('Adjustment Surface'!$AN$27:$AN$46,MATCH(('Adjustment Surface'!$O31),'Adjustment Surface'!$AN$27:$AN$46,1)))*('Adjustment Surface'!AA$26-INDEX('Adjustment Surface'!$AO$26:$BH$26,1,MATCH(('Adjustment Surface'!AA$26),'Adjustment Surface'!$AO$26:$BH$26,1)))))</f>
        <v/>
      </c>
      <c r="AB31" s="193" t="str" cm="1">
        <f t="array" ref="AB31">IF(OR(AB$26="",$O31=""),"",1/((INDEX('Adjustment Surface'!$AN$27:$AN$46,MATCH(('Adjustment Surface'!$O31),'Adjustment Surface'!$AN$27:$AN$46,1)+IF('Adjustment Surface'!$O32="",-1,1))-INDEX('Adjustment Surface'!$AN$27:$AN$46,MATCH(('Adjustment Surface'!$O31),'Adjustment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Surface'!$O31),'Adjustment Surface'!$AN$27:$AN$46,1)),$AN$27:$AN$46,0),MATCH(INDEX('Adjustment Surface'!$AO$26:$BH$26,1,MATCH(('Adjustment Surface'!AB$26),'Adjustment Surface'!$AO$26:$BH$26,1)),$AO$26:$BH$26,0))*(INDEX('Adjustment Surface'!$AN$27:$AN$46,MATCH(('Adjustment Surface'!$O31),'Adjustment Surface'!$AN$27:$AN$46,1)+IF('Adjustment Surface'!$O32="",-1,1))-'Adjustment Surface'!$O31)*(INDEX('Adjustment Surface'!$AO$26:$BH$26,1,MATCH(('Adjustment Surface'!AB$26),'Adjustment Surface'!$AO$26:$BH$26,1)+IF('Adjustment Surface'!AC$26="",-1,1))-'Adjustment Surface'!AB$26)+INDEX($AO$27:$BH$46,MATCH(INDEX('Adjustment Surface'!$AN$27:$AN$46,MATCH(('Adjustment Surface'!$O31),'Adjustment Surface'!$AN$27:$AN$46,1)+IF('Adjustment Surface'!$O32="",-1,1)),$AN$27:$AN$46,0),MATCH(INDEX('Adjustment Surface'!$AO$26:$BH$26,1,MATCH(('Adjustment Surface'!AB$26),'Adjustment Surface'!$AO$26:$BH$26,1)),$AO$26:$BH$26,0))*('Adjustment Surface'!$O31-INDEX('Adjustment Surface'!$AN$27:$AN$46,MATCH(('Adjustment Surface'!$O31),'Adjustment Surface'!$AN$27:$AN$46,1)))*(INDEX('Adjustment Surface'!$AO$26:$BH$26,1,MATCH(('Adjustment Surface'!AB$26),'Adjustment Surface'!$AO$26:$BH$26,1)+IF('Adjustment Surface'!AC$26="",-1,1))-'Adjustment Surface'!AB$26)+INDEX($AO$27:$BH$46,MATCH(INDEX('Adjustment Surface'!$AN$27:$AN$46,MATCH(('Adjustment Surface'!$O31),'Adjustment Surface'!$AN$27:$AN$46,1)),$AN$27:$AN$46,0),MATCH(INDEX('Adjustment Surface'!$AO$26:$BH$26,1,MATCH(('Adjustment Surface'!AB$26),'Adjustment Surface'!$AO$26:$BH$26,1)+IF('Adjustment Surface'!AC$26="",-1,1)),$AO$26:$BH$26,0))*(INDEX('Adjustment Surface'!$AN$27:$AN$46,MATCH(('Adjustment Surface'!$O31),'Adjustment Surface'!$AN$27:$AN$46,1)+IF('Adjustment Surface'!$O32="",-1,1))-'Adjustment Surface'!$O31)*('Adjustment Surface'!AB$26-INDEX('Adjustment Surface'!$AO$26:$BH$26,1,MATCH(('Adjustment Surface'!AB$26),'Adjustment Surface'!$AO$26:$BH$26,1)))+INDEX($AO$27:$BH$46,MATCH(INDEX('Adjustment Surface'!$AN$27:$AN$46,MATCH(('Adjustment Surface'!$O31),'Adjustment Surface'!$AN$27:$AN$46,1)+IF('Adjustment Surface'!$O32="",-1,1)),$AN$27:$AN$46,0),MATCH(INDEX('Adjustment Surface'!$AO$26:$BH$26,1,MATCH(('Adjustment Surface'!AB$26),'Adjustment Surface'!$AO$26:$BH$26,1)+IF('Adjustment Surface'!AC$26="",-1,1)),$AO$26:$BH$26,0))*('Adjustment Surface'!$O31-INDEX('Adjustment Surface'!$AN$27:$AN$46,MATCH(('Adjustment Surface'!$O31),'Adjustment Surface'!$AN$27:$AN$46,1)))*('Adjustment Surface'!AB$26-INDEX('Adjustment Surface'!$AO$26:$BH$26,1,MATCH(('Adjustment Surface'!AB$26),'Adjustment Surface'!$AO$26:$BH$26,1)))))</f>
        <v/>
      </c>
      <c r="AC31" s="193" t="str" cm="1">
        <f t="array" ref="AC31">IF(OR(AC$26="",$O31=""),"",1/((INDEX('Adjustment Surface'!$AN$27:$AN$46,MATCH(('Adjustment Surface'!$O31),'Adjustment Surface'!$AN$27:$AN$46,1)+IF('Adjustment Surface'!$O32="",-1,1))-INDEX('Adjustment Surface'!$AN$27:$AN$46,MATCH(('Adjustment Surface'!$O31),'Adjustment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Surface'!$O31),'Adjustment Surface'!$AN$27:$AN$46,1)),$AN$27:$AN$46,0),MATCH(INDEX('Adjustment Surface'!$AO$26:$BH$26,1,MATCH(('Adjustment Surface'!AC$26),'Adjustment Surface'!$AO$26:$BH$26,1)),$AO$26:$BH$26,0))*(INDEX('Adjustment Surface'!$AN$27:$AN$46,MATCH(('Adjustment Surface'!$O31),'Adjustment Surface'!$AN$27:$AN$46,1)+IF('Adjustment Surface'!$O32="",-1,1))-'Adjustment Surface'!$O31)*(INDEX('Adjustment Surface'!$AO$26:$BH$26,1,MATCH(('Adjustment Surface'!AC$26),'Adjustment Surface'!$AO$26:$BH$26,1)+IF('Adjustment Surface'!AD$26="",-1,1))-'Adjustment Surface'!AC$26)+INDEX($AO$27:$BH$46,MATCH(INDEX('Adjustment Surface'!$AN$27:$AN$46,MATCH(('Adjustment Surface'!$O31),'Adjustment Surface'!$AN$27:$AN$46,1)+IF('Adjustment Surface'!$O32="",-1,1)),$AN$27:$AN$46,0),MATCH(INDEX('Adjustment Surface'!$AO$26:$BH$26,1,MATCH(('Adjustment Surface'!AC$26),'Adjustment Surface'!$AO$26:$BH$26,1)),$AO$26:$BH$26,0))*('Adjustment Surface'!$O31-INDEX('Adjustment Surface'!$AN$27:$AN$46,MATCH(('Adjustment Surface'!$O31),'Adjustment Surface'!$AN$27:$AN$46,1)))*(INDEX('Adjustment Surface'!$AO$26:$BH$26,1,MATCH(('Adjustment Surface'!AC$26),'Adjustment Surface'!$AO$26:$BH$26,1)+IF('Adjustment Surface'!AD$26="",-1,1))-'Adjustment Surface'!AC$26)+INDEX($AO$27:$BH$46,MATCH(INDEX('Adjustment Surface'!$AN$27:$AN$46,MATCH(('Adjustment Surface'!$O31),'Adjustment Surface'!$AN$27:$AN$46,1)),$AN$27:$AN$46,0),MATCH(INDEX('Adjustment Surface'!$AO$26:$BH$26,1,MATCH(('Adjustment Surface'!AC$26),'Adjustment Surface'!$AO$26:$BH$26,1)+IF('Adjustment Surface'!AD$26="",-1,1)),$AO$26:$BH$26,0))*(INDEX('Adjustment Surface'!$AN$27:$AN$46,MATCH(('Adjustment Surface'!$O31),'Adjustment Surface'!$AN$27:$AN$46,1)+IF('Adjustment Surface'!$O32="",-1,1))-'Adjustment Surface'!$O31)*('Adjustment Surface'!AC$26-INDEX('Adjustment Surface'!$AO$26:$BH$26,1,MATCH(('Adjustment Surface'!AC$26),'Adjustment Surface'!$AO$26:$BH$26,1)))+INDEX($AO$27:$BH$46,MATCH(INDEX('Adjustment Surface'!$AN$27:$AN$46,MATCH(('Adjustment Surface'!$O31),'Adjustment Surface'!$AN$27:$AN$46,1)+IF('Adjustment Surface'!$O32="",-1,1)),$AN$27:$AN$46,0),MATCH(INDEX('Adjustment Surface'!$AO$26:$BH$26,1,MATCH(('Adjustment Surface'!AC$26),'Adjustment Surface'!$AO$26:$BH$26,1)+IF('Adjustment Surface'!AD$26="",-1,1)),$AO$26:$BH$26,0))*('Adjustment Surface'!$O31-INDEX('Adjustment Surface'!$AN$27:$AN$46,MATCH(('Adjustment Surface'!$O31),'Adjustment Surface'!$AN$27:$AN$46,1)))*('Adjustment Surface'!AC$26-INDEX('Adjustment Surface'!$AO$26:$BH$26,1,MATCH(('Adjustment Surface'!AC$26),'Adjustment Surface'!$AO$26:$BH$26,1)))))</f>
        <v/>
      </c>
      <c r="AD31" s="193" t="str" cm="1">
        <f t="array" ref="AD31">IF(OR(AD$26="",$O31=""),"",1/((INDEX('Adjustment Surface'!$AN$27:$AN$46,MATCH(('Adjustment Surface'!$O31),'Adjustment Surface'!$AN$27:$AN$46,1)+IF('Adjustment Surface'!$O32="",-1,1))-INDEX('Adjustment Surface'!$AN$27:$AN$46,MATCH(('Adjustment Surface'!$O31),'Adjustment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Surface'!$O31),'Adjustment Surface'!$AN$27:$AN$46,1)),$AN$27:$AN$46,0),MATCH(INDEX('Adjustment Surface'!$AO$26:$BH$26,1,MATCH(('Adjustment Surface'!AD$26),'Adjustment Surface'!$AO$26:$BH$26,1)),$AO$26:$BH$26,0))*(INDEX('Adjustment Surface'!$AN$27:$AN$46,MATCH(('Adjustment Surface'!$O31),'Adjustment Surface'!$AN$27:$AN$46,1)+IF('Adjustment Surface'!$O32="",-1,1))-'Adjustment Surface'!$O31)*(INDEX('Adjustment Surface'!$AO$26:$BH$26,1,MATCH(('Adjustment Surface'!AD$26),'Adjustment Surface'!$AO$26:$BH$26,1)+IF('Adjustment Surface'!AE$26="",-1,1))-'Adjustment Surface'!AD$26)+INDEX($AO$27:$BH$46,MATCH(INDEX('Adjustment Surface'!$AN$27:$AN$46,MATCH(('Adjustment Surface'!$O31),'Adjustment Surface'!$AN$27:$AN$46,1)+IF('Adjustment Surface'!$O32="",-1,1)),$AN$27:$AN$46,0),MATCH(INDEX('Adjustment Surface'!$AO$26:$BH$26,1,MATCH(('Adjustment Surface'!AD$26),'Adjustment Surface'!$AO$26:$BH$26,1)),$AO$26:$BH$26,0))*('Adjustment Surface'!$O31-INDEX('Adjustment Surface'!$AN$27:$AN$46,MATCH(('Adjustment Surface'!$O31),'Adjustment Surface'!$AN$27:$AN$46,1)))*(INDEX('Adjustment Surface'!$AO$26:$BH$26,1,MATCH(('Adjustment Surface'!AD$26),'Adjustment Surface'!$AO$26:$BH$26,1)+IF('Adjustment Surface'!AE$26="",-1,1))-'Adjustment Surface'!AD$26)+INDEX($AO$27:$BH$46,MATCH(INDEX('Adjustment Surface'!$AN$27:$AN$46,MATCH(('Adjustment Surface'!$O31),'Adjustment Surface'!$AN$27:$AN$46,1)),$AN$27:$AN$46,0),MATCH(INDEX('Adjustment Surface'!$AO$26:$BH$26,1,MATCH(('Adjustment Surface'!AD$26),'Adjustment Surface'!$AO$26:$BH$26,1)+IF('Adjustment Surface'!AE$26="",-1,1)),$AO$26:$BH$26,0))*(INDEX('Adjustment Surface'!$AN$27:$AN$46,MATCH(('Adjustment Surface'!$O31),'Adjustment Surface'!$AN$27:$AN$46,1)+IF('Adjustment Surface'!$O32="",-1,1))-'Adjustment Surface'!$O31)*('Adjustment Surface'!AD$26-INDEX('Adjustment Surface'!$AO$26:$BH$26,1,MATCH(('Adjustment Surface'!AD$26),'Adjustment Surface'!$AO$26:$BH$26,1)))+INDEX($AO$27:$BH$46,MATCH(INDEX('Adjustment Surface'!$AN$27:$AN$46,MATCH(('Adjustment Surface'!$O31),'Adjustment Surface'!$AN$27:$AN$46,1)+IF('Adjustment Surface'!$O32="",-1,1)),$AN$27:$AN$46,0),MATCH(INDEX('Adjustment Surface'!$AO$26:$BH$26,1,MATCH(('Adjustment Surface'!AD$26),'Adjustment Surface'!$AO$26:$BH$26,1)+IF('Adjustment Surface'!AE$26="",-1,1)),$AO$26:$BH$26,0))*('Adjustment Surface'!$O31-INDEX('Adjustment Surface'!$AN$27:$AN$46,MATCH(('Adjustment Surface'!$O31),'Adjustment Surface'!$AN$27:$AN$46,1)))*('Adjustment Surface'!AD$26-INDEX('Adjustment Surface'!$AO$26:$BH$26,1,MATCH(('Adjustment Surface'!AD$26),'Adjustment Surface'!$AO$26:$BH$26,1)))))</f>
        <v/>
      </c>
      <c r="AE31" s="193" t="str" cm="1">
        <f t="array" ref="AE31">IF(OR(AE$26="",$O31=""),"",1/((INDEX('Adjustment Surface'!$AN$27:$AN$46,MATCH(('Adjustment Surface'!$O31),'Adjustment Surface'!$AN$27:$AN$46,1)+IF('Adjustment Surface'!$O32="",-1,1))-INDEX('Adjustment Surface'!$AN$27:$AN$46,MATCH(('Adjustment Surface'!$O31),'Adjustment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Surface'!$O31),'Adjustment Surface'!$AN$27:$AN$46,1)),$AN$27:$AN$46,0),MATCH(INDEX('Adjustment Surface'!$AO$26:$BH$26,1,MATCH(('Adjustment Surface'!AE$26),'Adjustment Surface'!$AO$26:$BH$26,1)),$AO$26:$BH$26,0))*(INDEX('Adjustment Surface'!$AN$27:$AN$46,MATCH(('Adjustment Surface'!$O31),'Adjustment Surface'!$AN$27:$AN$46,1)+IF('Adjustment Surface'!$O32="",-1,1))-'Adjustment Surface'!$O31)*(INDEX('Adjustment Surface'!$AO$26:$BH$26,1,MATCH(('Adjustment Surface'!AE$26),'Adjustment Surface'!$AO$26:$BH$26,1)+IF('Adjustment Surface'!AF$26="",-1,1))-'Adjustment Surface'!AE$26)+INDEX($AO$27:$BH$46,MATCH(INDEX('Adjustment Surface'!$AN$27:$AN$46,MATCH(('Adjustment Surface'!$O31),'Adjustment Surface'!$AN$27:$AN$46,1)+IF('Adjustment Surface'!$O32="",-1,1)),$AN$27:$AN$46,0),MATCH(INDEX('Adjustment Surface'!$AO$26:$BH$26,1,MATCH(('Adjustment Surface'!AE$26),'Adjustment Surface'!$AO$26:$BH$26,1)),$AO$26:$BH$26,0))*('Adjustment Surface'!$O31-INDEX('Adjustment Surface'!$AN$27:$AN$46,MATCH(('Adjustment Surface'!$O31),'Adjustment Surface'!$AN$27:$AN$46,1)))*(INDEX('Adjustment Surface'!$AO$26:$BH$26,1,MATCH(('Adjustment Surface'!AE$26),'Adjustment Surface'!$AO$26:$BH$26,1)+IF('Adjustment Surface'!AF$26="",-1,1))-'Adjustment Surface'!AE$26)+INDEX($AO$27:$BH$46,MATCH(INDEX('Adjustment Surface'!$AN$27:$AN$46,MATCH(('Adjustment Surface'!$O31),'Adjustment Surface'!$AN$27:$AN$46,1)),$AN$27:$AN$46,0),MATCH(INDEX('Adjustment Surface'!$AO$26:$BH$26,1,MATCH(('Adjustment Surface'!AE$26),'Adjustment Surface'!$AO$26:$BH$26,1)+IF('Adjustment Surface'!AF$26="",-1,1)),$AO$26:$BH$26,0))*(INDEX('Adjustment Surface'!$AN$27:$AN$46,MATCH(('Adjustment Surface'!$O31),'Adjustment Surface'!$AN$27:$AN$46,1)+IF('Adjustment Surface'!$O32="",-1,1))-'Adjustment Surface'!$O31)*('Adjustment Surface'!AE$26-INDEX('Adjustment Surface'!$AO$26:$BH$26,1,MATCH(('Adjustment Surface'!AE$26),'Adjustment Surface'!$AO$26:$BH$26,1)))+INDEX($AO$27:$BH$46,MATCH(INDEX('Adjustment Surface'!$AN$27:$AN$46,MATCH(('Adjustment Surface'!$O31),'Adjustment Surface'!$AN$27:$AN$46,1)+IF('Adjustment Surface'!$O32="",-1,1)),$AN$27:$AN$46,0),MATCH(INDEX('Adjustment Surface'!$AO$26:$BH$26,1,MATCH(('Adjustment Surface'!AE$26),'Adjustment Surface'!$AO$26:$BH$26,1)+IF('Adjustment Surface'!AF$26="",-1,1)),$AO$26:$BH$26,0))*('Adjustment Surface'!$O31-INDEX('Adjustment Surface'!$AN$27:$AN$46,MATCH(('Adjustment Surface'!$O31),'Adjustment Surface'!$AN$27:$AN$46,1)))*('Adjustment Surface'!AE$26-INDEX('Adjustment Surface'!$AO$26:$BH$26,1,MATCH(('Adjustment Surface'!AE$26),'Adjustment Surface'!$AO$26:$BH$26,1)))))</f>
        <v/>
      </c>
      <c r="AF31" s="193" t="str" cm="1">
        <f t="array" ref="AF31">IF(OR(AF$26="",$O31=""),"",1/((INDEX('Adjustment Surface'!$AN$27:$AN$46,MATCH(('Adjustment Surface'!$O31),'Adjustment Surface'!$AN$27:$AN$46,1)+IF('Adjustment Surface'!$O32="",-1,1))-INDEX('Adjustment Surface'!$AN$27:$AN$46,MATCH(('Adjustment Surface'!$O31),'Adjustment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Surface'!$O31),'Adjustment Surface'!$AN$27:$AN$46,1)),$AN$27:$AN$46,0),MATCH(INDEX('Adjustment Surface'!$AO$26:$BH$26,1,MATCH(('Adjustment Surface'!AF$26),'Adjustment Surface'!$AO$26:$BH$26,1)),$AO$26:$BH$26,0))*(INDEX('Adjustment Surface'!$AN$27:$AN$46,MATCH(('Adjustment Surface'!$O31),'Adjustment Surface'!$AN$27:$AN$46,1)+IF('Adjustment Surface'!$O32="",-1,1))-'Adjustment Surface'!$O31)*(INDEX('Adjustment Surface'!$AO$26:$BH$26,1,MATCH(('Adjustment Surface'!AF$26),'Adjustment Surface'!$AO$26:$BH$26,1)+IF('Adjustment Surface'!AG$26="",-1,1))-'Adjustment Surface'!AF$26)+INDEX($AO$27:$BH$46,MATCH(INDEX('Adjustment Surface'!$AN$27:$AN$46,MATCH(('Adjustment Surface'!$O31),'Adjustment Surface'!$AN$27:$AN$46,1)+IF('Adjustment Surface'!$O32="",-1,1)),$AN$27:$AN$46,0),MATCH(INDEX('Adjustment Surface'!$AO$26:$BH$26,1,MATCH(('Adjustment Surface'!AF$26),'Adjustment Surface'!$AO$26:$BH$26,1)),$AO$26:$BH$26,0))*('Adjustment Surface'!$O31-INDEX('Adjustment Surface'!$AN$27:$AN$46,MATCH(('Adjustment Surface'!$O31),'Adjustment Surface'!$AN$27:$AN$46,1)))*(INDEX('Adjustment Surface'!$AO$26:$BH$26,1,MATCH(('Adjustment Surface'!AF$26),'Adjustment Surface'!$AO$26:$BH$26,1)+IF('Adjustment Surface'!AG$26="",-1,1))-'Adjustment Surface'!AF$26)+INDEX($AO$27:$BH$46,MATCH(INDEX('Adjustment Surface'!$AN$27:$AN$46,MATCH(('Adjustment Surface'!$O31),'Adjustment Surface'!$AN$27:$AN$46,1)),$AN$27:$AN$46,0),MATCH(INDEX('Adjustment Surface'!$AO$26:$BH$26,1,MATCH(('Adjustment Surface'!AF$26),'Adjustment Surface'!$AO$26:$BH$26,1)+IF('Adjustment Surface'!AG$26="",-1,1)),$AO$26:$BH$26,0))*(INDEX('Adjustment Surface'!$AN$27:$AN$46,MATCH(('Adjustment Surface'!$O31),'Adjustment Surface'!$AN$27:$AN$46,1)+IF('Adjustment Surface'!$O32="",-1,1))-'Adjustment Surface'!$O31)*('Adjustment Surface'!AF$26-INDEX('Adjustment Surface'!$AO$26:$BH$26,1,MATCH(('Adjustment Surface'!AF$26),'Adjustment Surface'!$AO$26:$BH$26,1)))+INDEX($AO$27:$BH$46,MATCH(INDEX('Adjustment Surface'!$AN$27:$AN$46,MATCH(('Adjustment Surface'!$O31),'Adjustment Surface'!$AN$27:$AN$46,1)+IF('Adjustment Surface'!$O32="",-1,1)),$AN$27:$AN$46,0),MATCH(INDEX('Adjustment Surface'!$AO$26:$BH$26,1,MATCH(('Adjustment Surface'!AF$26),'Adjustment Surface'!$AO$26:$BH$26,1)+IF('Adjustment Surface'!AG$26="",-1,1)),$AO$26:$BH$26,0))*('Adjustment Surface'!$O31-INDEX('Adjustment Surface'!$AN$27:$AN$46,MATCH(('Adjustment Surface'!$O31),'Adjustment Surface'!$AN$27:$AN$46,1)))*('Adjustment Surface'!AF$26-INDEX('Adjustment Surface'!$AO$26:$BH$26,1,MATCH(('Adjustment Surface'!AF$26),'Adjustment Surface'!$AO$26:$BH$26,1)))))</f>
        <v/>
      </c>
      <c r="AG31" s="193" t="str" cm="1">
        <f t="array" ref="AG31">IF(OR(AG$26="",$O31=""),"",1/((INDEX('Adjustment Surface'!$AN$27:$AN$46,MATCH(('Adjustment Surface'!$O31),'Adjustment Surface'!$AN$27:$AN$46,1)+IF('Adjustment Surface'!$O32="",-1,1))-INDEX('Adjustment Surface'!$AN$27:$AN$46,MATCH(('Adjustment Surface'!$O31),'Adjustment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Surface'!$O31),'Adjustment Surface'!$AN$27:$AN$46,1)),$AN$27:$AN$46,0),MATCH(INDEX('Adjustment Surface'!$AO$26:$BH$26,1,MATCH(('Adjustment Surface'!AG$26),'Adjustment Surface'!$AO$26:$BH$26,1)),$AO$26:$BH$26,0))*(INDEX('Adjustment Surface'!$AN$27:$AN$46,MATCH(('Adjustment Surface'!$O31),'Adjustment Surface'!$AN$27:$AN$46,1)+IF('Adjustment Surface'!$O32="",-1,1))-'Adjustment Surface'!$O31)*(INDEX('Adjustment Surface'!$AO$26:$BH$26,1,MATCH(('Adjustment Surface'!AG$26),'Adjustment Surface'!$AO$26:$BH$26,1)+IF('Adjustment Surface'!AH$26="",-1,1))-'Adjustment Surface'!AG$26)+INDEX($AO$27:$BH$46,MATCH(INDEX('Adjustment Surface'!$AN$27:$AN$46,MATCH(('Adjustment Surface'!$O31),'Adjustment Surface'!$AN$27:$AN$46,1)+IF('Adjustment Surface'!$O32="",-1,1)),$AN$27:$AN$46,0),MATCH(INDEX('Adjustment Surface'!$AO$26:$BH$26,1,MATCH(('Adjustment Surface'!AG$26),'Adjustment Surface'!$AO$26:$BH$26,1)),$AO$26:$BH$26,0))*('Adjustment Surface'!$O31-INDEX('Adjustment Surface'!$AN$27:$AN$46,MATCH(('Adjustment Surface'!$O31),'Adjustment Surface'!$AN$27:$AN$46,1)))*(INDEX('Adjustment Surface'!$AO$26:$BH$26,1,MATCH(('Adjustment Surface'!AG$26),'Adjustment Surface'!$AO$26:$BH$26,1)+IF('Adjustment Surface'!AH$26="",-1,1))-'Adjustment Surface'!AG$26)+INDEX($AO$27:$BH$46,MATCH(INDEX('Adjustment Surface'!$AN$27:$AN$46,MATCH(('Adjustment Surface'!$O31),'Adjustment Surface'!$AN$27:$AN$46,1)),$AN$27:$AN$46,0),MATCH(INDEX('Adjustment Surface'!$AO$26:$BH$26,1,MATCH(('Adjustment Surface'!AG$26),'Adjustment Surface'!$AO$26:$BH$26,1)+IF('Adjustment Surface'!AH$26="",-1,1)),$AO$26:$BH$26,0))*(INDEX('Adjustment Surface'!$AN$27:$AN$46,MATCH(('Adjustment Surface'!$O31),'Adjustment Surface'!$AN$27:$AN$46,1)+IF('Adjustment Surface'!$O32="",-1,1))-'Adjustment Surface'!$O31)*('Adjustment Surface'!AG$26-INDEX('Adjustment Surface'!$AO$26:$BH$26,1,MATCH(('Adjustment Surface'!AG$26),'Adjustment Surface'!$AO$26:$BH$26,1)))+INDEX($AO$27:$BH$46,MATCH(INDEX('Adjustment Surface'!$AN$27:$AN$46,MATCH(('Adjustment Surface'!$O31),'Adjustment Surface'!$AN$27:$AN$46,1)+IF('Adjustment Surface'!$O32="",-1,1)),$AN$27:$AN$46,0),MATCH(INDEX('Adjustment Surface'!$AO$26:$BH$26,1,MATCH(('Adjustment Surface'!AG$26),'Adjustment Surface'!$AO$26:$BH$26,1)+IF('Adjustment Surface'!AH$26="",-1,1)),$AO$26:$BH$26,0))*('Adjustment Surface'!$O31-INDEX('Adjustment Surface'!$AN$27:$AN$46,MATCH(('Adjustment Surface'!$O31),'Adjustment Surface'!$AN$27:$AN$46,1)))*('Adjustment Surface'!AG$26-INDEX('Adjustment Surface'!$AO$26:$BH$26,1,MATCH(('Adjustment Surface'!AG$26),'Adjustment Surface'!$AO$26:$BH$26,1)))))</f>
        <v/>
      </c>
      <c r="AH31" s="193" t="str" cm="1">
        <f t="array" ref="AH31">IF(OR(AH$26="",$O31=""),"",1/((INDEX('Adjustment Surface'!$AN$27:$AN$46,MATCH(('Adjustment Surface'!$O31),'Adjustment Surface'!$AN$27:$AN$46,1)+IF('Adjustment Surface'!$O32="",-1,1))-INDEX('Adjustment Surface'!$AN$27:$AN$46,MATCH(('Adjustment Surface'!$O31),'Adjustment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Surface'!$O31),'Adjustment Surface'!$AN$27:$AN$46,1)),$AN$27:$AN$46,0),MATCH(INDEX('Adjustment Surface'!$AO$26:$BH$26,1,MATCH(('Adjustment Surface'!AH$26),'Adjustment Surface'!$AO$26:$BH$26,1)),$AO$26:$BH$26,0))*(INDEX('Adjustment Surface'!$AN$27:$AN$46,MATCH(('Adjustment Surface'!$O31),'Adjustment Surface'!$AN$27:$AN$46,1)+IF('Adjustment Surface'!$O32="",-1,1))-'Adjustment Surface'!$O31)*(INDEX('Adjustment Surface'!$AO$26:$BH$26,1,MATCH(('Adjustment Surface'!AH$26),'Adjustment Surface'!$AO$26:$BH$26,1)+IF('Adjustment Surface'!AI$26="",-1,1))-'Adjustment Surface'!AH$26)+INDEX($AO$27:$BH$46,MATCH(INDEX('Adjustment Surface'!$AN$27:$AN$46,MATCH(('Adjustment Surface'!$O31),'Adjustment Surface'!$AN$27:$AN$46,1)+IF('Adjustment Surface'!$O32="",-1,1)),$AN$27:$AN$46,0),MATCH(INDEX('Adjustment Surface'!$AO$26:$BH$26,1,MATCH(('Adjustment Surface'!AH$26),'Adjustment Surface'!$AO$26:$BH$26,1)),$AO$26:$BH$26,0))*('Adjustment Surface'!$O31-INDEX('Adjustment Surface'!$AN$27:$AN$46,MATCH(('Adjustment Surface'!$O31),'Adjustment Surface'!$AN$27:$AN$46,1)))*(INDEX('Adjustment Surface'!$AO$26:$BH$26,1,MATCH(('Adjustment Surface'!AH$26),'Adjustment Surface'!$AO$26:$BH$26,1)+IF('Adjustment Surface'!AI$26="",-1,1))-'Adjustment Surface'!AH$26)+INDEX($AO$27:$BH$46,MATCH(INDEX('Adjustment Surface'!$AN$27:$AN$46,MATCH(('Adjustment Surface'!$O31),'Adjustment Surface'!$AN$27:$AN$46,1)),$AN$27:$AN$46,0),MATCH(INDEX('Adjustment Surface'!$AO$26:$BH$26,1,MATCH(('Adjustment Surface'!AH$26),'Adjustment Surface'!$AO$26:$BH$26,1)+IF('Adjustment Surface'!AI$26="",-1,1)),$AO$26:$BH$26,0))*(INDEX('Adjustment Surface'!$AN$27:$AN$46,MATCH(('Adjustment Surface'!$O31),'Adjustment Surface'!$AN$27:$AN$46,1)+IF('Adjustment Surface'!$O32="",-1,1))-'Adjustment Surface'!$O31)*('Adjustment Surface'!AH$26-INDEX('Adjustment Surface'!$AO$26:$BH$26,1,MATCH(('Adjustment Surface'!AH$26),'Adjustment Surface'!$AO$26:$BH$26,1)))+INDEX($AO$27:$BH$46,MATCH(INDEX('Adjustment Surface'!$AN$27:$AN$46,MATCH(('Adjustment Surface'!$O31),'Adjustment Surface'!$AN$27:$AN$46,1)+IF('Adjustment Surface'!$O32="",-1,1)),$AN$27:$AN$46,0),MATCH(INDEX('Adjustment Surface'!$AO$26:$BH$26,1,MATCH(('Adjustment Surface'!AH$26),'Adjustment Surface'!$AO$26:$BH$26,1)+IF('Adjustment Surface'!AI$26="",-1,1)),$AO$26:$BH$26,0))*('Adjustment Surface'!$O31-INDEX('Adjustment Surface'!$AN$27:$AN$46,MATCH(('Adjustment Surface'!$O31),'Adjustment Surface'!$AN$27:$AN$46,1)))*('Adjustment Surface'!AH$26-INDEX('Adjustment Surface'!$AO$26:$BH$26,1,MATCH(('Adjustment Surface'!AH$26),'Adjustment Surface'!$AO$26:$BH$26,1)))))</f>
        <v/>
      </c>
      <c r="AI31" s="194" t="str" cm="1">
        <f t="array" ref="AI31">IF(OR(AI$26="",$O31=""),"",1/((INDEX('Adjustment Surface'!$AN$27:$AN$46,MATCH(('Adjustment Surface'!$O31),'Adjustment Surface'!$AN$27:$AN$46,1)+IF('Adjustment Surface'!$O32="",-1,1))-INDEX('Adjustment Surface'!$AN$27:$AN$46,MATCH(('Adjustment Surface'!$O31),'Adjustment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Surface'!$O31),'Adjustment Surface'!$AN$27:$AN$46,1)),$AN$27:$AN$46,0),MATCH(INDEX('Adjustment Surface'!$AO$26:$BH$26,1,MATCH(('Adjustment Surface'!AI$26),'Adjustment Surface'!$AO$26:$BH$26,1)),$AO$26:$BH$26,0))*(INDEX('Adjustment Surface'!$AN$27:$AN$46,MATCH(('Adjustment Surface'!$O31),'Adjustment Surface'!$AN$27:$AN$46,1)+IF('Adjustment Surface'!$O32="",-1,1))-'Adjustment Surface'!$O31)*(INDEX('Adjustment Surface'!$AO$26:$BH$26,1,MATCH(('Adjustment Surface'!AI$26),'Adjustment Surface'!$AO$26:$BH$26,1)+IF('Adjustment Surface'!AJ$26="",-1,1))-'Adjustment Surface'!AI$26)+INDEX($AO$27:$BH$46,MATCH(INDEX('Adjustment Surface'!$AN$27:$AN$46,MATCH(('Adjustment Surface'!$O31),'Adjustment Surface'!$AN$27:$AN$46,1)+IF('Adjustment Surface'!$O32="",-1,1)),$AN$27:$AN$46,0),MATCH(INDEX('Adjustment Surface'!$AO$26:$BH$26,1,MATCH(('Adjustment Surface'!AI$26),'Adjustment Surface'!$AO$26:$BH$26,1)),$AO$26:$BH$26,0))*('Adjustment Surface'!$O31-INDEX('Adjustment Surface'!$AN$27:$AN$46,MATCH(('Adjustment Surface'!$O31),'Adjustment Surface'!$AN$27:$AN$46,1)))*(INDEX('Adjustment Surface'!$AO$26:$BH$26,1,MATCH(('Adjustment Surface'!AI$26),'Adjustment Surface'!$AO$26:$BH$26,1)+IF('Adjustment Surface'!AJ$26="",-1,1))-'Adjustment Surface'!AI$26)+INDEX($AO$27:$BH$46,MATCH(INDEX('Adjustment Surface'!$AN$27:$AN$46,MATCH(('Adjustment Surface'!$O31),'Adjustment Surface'!$AN$27:$AN$46,1)),$AN$27:$AN$46,0),MATCH(INDEX('Adjustment Surface'!$AO$26:$BH$26,1,MATCH(('Adjustment Surface'!AI$26),'Adjustment Surface'!$AO$26:$BH$26,1)+IF('Adjustment Surface'!AJ$26="",-1,1)),$AO$26:$BH$26,0))*(INDEX('Adjustment Surface'!$AN$27:$AN$46,MATCH(('Adjustment Surface'!$O31),'Adjustment Surface'!$AN$27:$AN$46,1)+IF('Adjustment Surface'!$O32="",-1,1))-'Adjustment Surface'!$O31)*('Adjustment Surface'!AI$26-INDEX('Adjustment Surface'!$AO$26:$BH$26,1,MATCH(('Adjustment Surface'!AI$26),'Adjustment Surface'!$AO$26:$BH$26,1)))+INDEX($AO$27:$BH$46,MATCH(INDEX('Adjustment Surface'!$AN$27:$AN$46,MATCH(('Adjustment Surface'!$O31),'Adjustment Surface'!$AN$27:$AN$46,1)+IF('Adjustment Surface'!$O32="",-1,1)),$AN$27:$AN$46,0),MATCH(INDEX('Adjustment Surface'!$AO$26:$BH$26,1,MATCH(('Adjustment Surface'!AI$26),'Adjustment Surface'!$AO$26:$BH$26,1)+IF('Adjustment Surface'!AJ$26="",-1,1)),$AO$26:$BH$26,0))*('Adjustment Surface'!$O31-INDEX('Adjustment Surface'!$AN$27:$AN$46,MATCH(('Adjustment Surface'!$O31),'Adjustment Surface'!$AN$27:$AN$46,1)))*('Adjustment Surface'!AI$26-INDEX('Adjustment Surface'!$AO$26:$BH$26,1,MATCH(('Adjustment Surface'!AI$26),'Adjustment Surface'!$AO$26:$BH$26,1)))))</f>
        <v/>
      </c>
      <c r="AK31" s="203">
        <v>0.02</v>
      </c>
      <c r="AL31" s="207" t="str">
        <v/>
      </c>
      <c r="AN31" s="176">
        <v>0.06</v>
      </c>
      <c r="AO31" s="192" cm="1">
        <f t="array" ref="AO31">IF(OR(AO$26="",$AN31=""),"",INDEX(IF($C$2='Data Validation'!$A$2,'Bank Adjustments'!$I$4:$I$103,IF('Adjustment Surface'!$C$2='Data Validation'!$A$3,'Bank Adjustments'!$S$4:$S$103,"Unknown Option Type")),MATCH(1,($AN31=IF($C$2='Data Validation'!$A$2,'Bank Adjustments'!$C$4:$C$103,IF('Adjustment Surface'!$C$2='Data Validation'!$A$3,'Bank Adjustments'!$M$4:$M$103,"Unknown Option Type")))*(AO$26=IF($C$2='Data Validation'!$A$2,'Bank Adjustments'!$E$4:$E$103,IF('Adjustment Surface'!$C$2='Data Validation'!$A$3,'Bank Adjustments'!$O$4:$O$103,"Unknown Option Type"))),0)))</f>
        <v>79.879195367547808</v>
      </c>
      <c r="AP31" s="193" cm="1">
        <f t="array" ref="AP31">IF(OR(AP$26="",$AN31=""),"",INDEX(IF($C$2='Data Validation'!$A$2,'Bank Adjustments'!$I$4:$I$103,IF('Adjustment Surface'!$C$2='Data Validation'!$A$3,'Bank Adjustments'!$S$4:$S$103,"Unknown Option Type")),MATCH(1,($AN31=IF($C$2='Data Validation'!$A$2,'Bank Adjustments'!$C$4:$C$103,IF('Adjustment Surface'!$C$2='Data Validation'!$A$3,'Bank Adjustments'!$M$4:$M$103,"Unknown Option Type")))*(AP$26=IF($C$2='Data Validation'!$A$2,'Bank Adjustments'!$E$4:$E$103,IF('Adjustment Surface'!$C$2='Data Validation'!$A$3,'Bank Adjustments'!$O$4:$O$103,"Unknown Option Type"))),0)))</f>
        <v>2.6777238045805349</v>
      </c>
      <c r="AQ31" s="193" cm="1">
        <f t="array" ref="AQ31">IF(OR(AQ$26="",$AN31=""),"",INDEX(IF($C$2='Data Validation'!$A$2,'Bank Adjustments'!$I$4:$I$103,IF('Adjustment Surface'!$C$2='Data Validation'!$A$3,'Bank Adjustments'!$S$4:$S$103,"Unknown Option Type")),MATCH(1,($AN31=IF($C$2='Data Validation'!$A$2,'Bank Adjustments'!$C$4:$C$103,IF('Adjustment Surface'!$C$2='Data Validation'!$A$3,'Bank Adjustments'!$M$4:$M$103,"Unknown Option Type")))*(AQ$26=IF($C$2='Data Validation'!$A$2,'Bank Adjustments'!$E$4:$E$103,IF('Adjustment Surface'!$C$2='Data Validation'!$A$3,'Bank Adjustments'!$O$4:$O$103,"Unknown Option Type"))),0)))</f>
        <v>0.51220518446777774</v>
      </c>
      <c r="AR31" s="193" t="str" cm="1">
        <f t="array" ref="AR31">IF(OR(AR$26="",$AN31=""),"",INDEX(IF($C$2='Data Validation'!$A$2,'Bank Adjustments'!$I$4:$I$103,IF('Adjustment Surface'!$C$2='Data Validation'!$A$3,'Bank Adjustments'!$S$4:$S$103,"Unknown Option Type")),MATCH(1,($AN31=IF($C$2='Data Validation'!$A$2,'Bank Adjustments'!$C$4:$C$103,IF('Adjustment Surface'!$C$2='Data Validation'!$A$3,'Bank Adjustments'!$M$4:$M$103,"Unknown Option Type")))*(AR$26=IF($C$2='Data Validation'!$A$2,'Bank Adjustments'!$E$4:$E$103,IF('Adjustment Surface'!$C$2='Data Validation'!$A$3,'Bank Adjustments'!$O$4:$O$103,"Unknown Option Type"))),0)))</f>
        <v/>
      </c>
      <c r="AS31" s="193" t="str" cm="1">
        <f t="array" ref="AS31">IF(OR(AS$26="",$AN31=""),"",INDEX(IF($C$2='Data Validation'!$A$2,'Bank Adjustments'!$I$4:$I$103,IF('Adjustment Surface'!$C$2='Data Validation'!$A$3,'Bank Adjustments'!$S$4:$S$103,"Unknown Option Type")),MATCH(1,($AN31=IF($C$2='Data Validation'!$A$2,'Bank Adjustments'!$C$4:$C$103,IF('Adjustment Surface'!$C$2='Data Validation'!$A$3,'Bank Adjustments'!$M$4:$M$103,"Unknown Option Type")))*(AS$26=IF($C$2='Data Validation'!$A$2,'Bank Adjustments'!$E$4:$E$103,IF('Adjustment Surface'!$C$2='Data Validation'!$A$3,'Bank Adjustments'!$O$4:$O$103,"Unknown Option Type"))),0)))</f>
        <v/>
      </c>
      <c r="AT31" s="193" t="str" cm="1">
        <f t="array" ref="AT31">IF(OR(AT$26="",$AN31=""),"",INDEX(IF($C$2='Data Validation'!$A$2,'Bank Adjustments'!$I$4:$I$103,IF('Adjustment Surface'!$C$2='Data Validation'!$A$3,'Bank Adjustments'!$S$4:$S$103,"Unknown Option Type")),MATCH(1,($AN31=IF($C$2='Data Validation'!$A$2,'Bank Adjustments'!$C$4:$C$103,IF('Adjustment Surface'!$C$2='Data Validation'!$A$3,'Bank Adjustments'!$M$4:$M$103,"Unknown Option Type")))*(AT$26=IF($C$2='Data Validation'!$A$2,'Bank Adjustments'!$E$4:$E$103,IF('Adjustment Surface'!$C$2='Data Validation'!$A$3,'Bank Adjustments'!$O$4:$O$103,"Unknown Option Type"))),0)))</f>
        <v/>
      </c>
      <c r="AU31" s="193" t="str" cm="1">
        <f t="array" ref="AU31">IF(OR(AU$26="",$AN31=""),"",INDEX(IF($C$2='Data Validation'!$A$2,'Bank Adjustments'!$I$4:$I$103,IF('Adjustment Surface'!$C$2='Data Validation'!$A$3,'Bank Adjustments'!$S$4:$S$103,"Unknown Option Type")),MATCH(1,($AN31=IF($C$2='Data Validation'!$A$2,'Bank Adjustments'!$C$4:$C$103,IF('Adjustment Surface'!$C$2='Data Validation'!$A$3,'Bank Adjustments'!$M$4:$M$103,"Unknown Option Type")))*(AU$26=IF($C$2='Data Validation'!$A$2,'Bank Adjustments'!$E$4:$E$103,IF('Adjustment Surface'!$C$2='Data Validation'!$A$3,'Bank Adjustments'!$O$4:$O$103,"Unknown Option Type"))),0)))</f>
        <v/>
      </c>
      <c r="AV31" s="193" t="str" cm="1">
        <f t="array" ref="AV31">IF(OR(AV$26="",$AN31=""),"",INDEX(IF($C$2='Data Validation'!$A$2,'Bank Adjustments'!$I$4:$I$103,IF('Adjustment Surface'!$C$2='Data Validation'!$A$3,'Bank Adjustments'!$S$4:$S$103,"Unknown Option Type")),MATCH(1,($AN31=IF($C$2='Data Validation'!$A$2,'Bank Adjustments'!$C$4:$C$103,IF('Adjustment Surface'!$C$2='Data Validation'!$A$3,'Bank Adjustments'!$M$4:$M$103,"Unknown Option Type")))*(AV$26=IF($C$2='Data Validation'!$A$2,'Bank Adjustments'!$E$4:$E$103,IF('Adjustment Surface'!$C$2='Data Validation'!$A$3,'Bank Adjustments'!$O$4:$O$103,"Unknown Option Type"))),0)))</f>
        <v/>
      </c>
      <c r="AW31" s="193" t="str" cm="1">
        <f t="array" ref="AW31">IF(OR(AW$26="",$AN31=""),"",INDEX(IF($C$2='Data Validation'!$A$2,'Bank Adjustments'!$I$4:$I$103,IF('Adjustment Surface'!$C$2='Data Validation'!$A$3,'Bank Adjustments'!$S$4:$S$103,"Unknown Option Type")),MATCH(1,($AN31=IF($C$2='Data Validation'!$A$2,'Bank Adjustments'!$C$4:$C$103,IF('Adjustment Surface'!$C$2='Data Validation'!$A$3,'Bank Adjustments'!$M$4:$M$103,"Unknown Option Type")))*(AW$26=IF($C$2='Data Validation'!$A$2,'Bank Adjustments'!$E$4:$E$103,IF('Adjustment Surface'!$C$2='Data Validation'!$A$3,'Bank Adjustments'!$O$4:$O$103,"Unknown Option Type"))),0)))</f>
        <v/>
      </c>
      <c r="AX31" s="193" t="str" cm="1">
        <f t="array" ref="AX31">IF(OR(AX$26="",$AN31=""),"",INDEX(IF($C$2='Data Validation'!$A$2,'Bank Adjustments'!$I$4:$I$103,IF('Adjustment Surface'!$C$2='Data Validation'!$A$3,'Bank Adjustments'!$S$4:$S$103,"Unknown Option Type")),MATCH(1,($AN31=IF($C$2='Data Validation'!$A$2,'Bank Adjustments'!$C$4:$C$103,IF('Adjustment Surface'!$C$2='Data Validation'!$A$3,'Bank Adjustments'!$M$4:$M$103,"Unknown Option Type")))*(AX$26=IF($C$2='Data Validation'!$A$2,'Bank Adjustments'!$E$4:$E$103,IF('Adjustment Surface'!$C$2='Data Validation'!$A$3,'Bank Adjustments'!$O$4:$O$103,"Unknown Option Type"))),0)))</f>
        <v/>
      </c>
      <c r="AY31" s="193" t="str" cm="1">
        <f t="array" ref="AY31">IF(OR(AY$26="",$AN31=""),"",INDEX(IF($C$2='Data Validation'!$A$2,'Bank Adjustments'!$I$4:$I$103,IF('Adjustment Surface'!$C$2='Data Validation'!$A$3,'Bank Adjustments'!$S$4:$S$103,"Unknown Option Type")),MATCH(1,($AN31=IF($C$2='Data Validation'!$A$2,'Bank Adjustments'!$C$4:$C$103,IF('Adjustment Surface'!$C$2='Data Validation'!$A$3,'Bank Adjustments'!$M$4:$M$103,"Unknown Option Type")))*(AY$26=IF($C$2='Data Validation'!$A$2,'Bank Adjustments'!$E$4:$E$103,IF('Adjustment Surface'!$C$2='Data Validation'!$A$3,'Bank Adjustments'!$O$4:$O$103,"Unknown Option Type"))),0)))</f>
        <v/>
      </c>
      <c r="AZ31" s="193" t="str" cm="1">
        <f t="array" ref="AZ31">IF(OR(AZ$26="",$AN31=""),"",INDEX(IF($C$2='Data Validation'!$A$2,'Bank Adjustments'!$I$4:$I$103,IF('Adjustment Surface'!$C$2='Data Validation'!$A$3,'Bank Adjustments'!$S$4:$S$103,"Unknown Option Type")),MATCH(1,($AN31=IF($C$2='Data Validation'!$A$2,'Bank Adjustments'!$C$4:$C$103,IF('Adjustment Surface'!$C$2='Data Validation'!$A$3,'Bank Adjustments'!$M$4:$M$103,"Unknown Option Type")))*(AZ$26=IF($C$2='Data Validation'!$A$2,'Bank Adjustments'!$E$4:$E$103,IF('Adjustment Surface'!$C$2='Data Validation'!$A$3,'Bank Adjustments'!$O$4:$O$103,"Unknown Option Type"))),0)))</f>
        <v/>
      </c>
      <c r="BA31" s="193" t="str" cm="1">
        <f t="array" ref="BA31">IF(OR(BA$26="",$AN31=""),"",INDEX(IF($C$2='Data Validation'!$A$2,'Bank Adjustments'!$I$4:$I$103,IF('Adjustment Surface'!$C$2='Data Validation'!$A$3,'Bank Adjustments'!$S$4:$S$103,"Unknown Option Type")),MATCH(1,($AN31=IF($C$2='Data Validation'!$A$2,'Bank Adjustments'!$C$4:$C$103,IF('Adjustment Surface'!$C$2='Data Validation'!$A$3,'Bank Adjustments'!$M$4:$M$103,"Unknown Option Type")))*(BA$26=IF($C$2='Data Validation'!$A$2,'Bank Adjustments'!$E$4:$E$103,IF('Adjustment Surface'!$C$2='Data Validation'!$A$3,'Bank Adjustments'!$O$4:$O$103,"Unknown Option Type"))),0)))</f>
        <v/>
      </c>
      <c r="BB31" s="193" t="str" cm="1">
        <f t="array" ref="BB31">IF(OR(BB$26="",$AN31=""),"",INDEX(IF($C$2='Data Validation'!$A$2,'Bank Adjustments'!$I$4:$I$103,IF('Adjustment Surface'!$C$2='Data Validation'!$A$3,'Bank Adjustments'!$S$4:$S$103,"Unknown Option Type")),MATCH(1,($AN31=IF($C$2='Data Validation'!$A$2,'Bank Adjustments'!$C$4:$C$103,IF('Adjustment Surface'!$C$2='Data Validation'!$A$3,'Bank Adjustments'!$M$4:$M$103,"Unknown Option Type")))*(BB$26=IF($C$2='Data Validation'!$A$2,'Bank Adjustments'!$E$4:$E$103,IF('Adjustment Surface'!$C$2='Data Validation'!$A$3,'Bank Adjustments'!$O$4:$O$103,"Unknown Option Type"))),0)))</f>
        <v/>
      </c>
      <c r="BC31" s="193" t="str" cm="1">
        <f t="array" ref="BC31">IF(OR(BC$26="",$AN31=""),"",INDEX(IF($C$2='Data Validation'!$A$2,'Bank Adjustments'!$I$4:$I$103,IF('Adjustment Surface'!$C$2='Data Validation'!$A$3,'Bank Adjustments'!$S$4:$S$103,"Unknown Option Type")),MATCH(1,($AN31=IF($C$2='Data Validation'!$A$2,'Bank Adjustments'!$C$4:$C$103,IF('Adjustment Surface'!$C$2='Data Validation'!$A$3,'Bank Adjustments'!$M$4:$M$103,"Unknown Option Type")))*(BC$26=IF($C$2='Data Validation'!$A$2,'Bank Adjustments'!$E$4:$E$103,IF('Adjustment Surface'!$C$2='Data Validation'!$A$3,'Bank Adjustments'!$O$4:$O$103,"Unknown Option Type"))),0)))</f>
        <v/>
      </c>
      <c r="BD31" s="193" t="str" cm="1">
        <f t="array" ref="BD31">IF(OR(BD$26="",$AN31=""),"",INDEX(IF($C$2='Data Validation'!$A$2,'Bank Adjustments'!$I$4:$I$103,IF('Adjustment Surface'!$C$2='Data Validation'!$A$3,'Bank Adjustments'!$S$4:$S$103,"Unknown Option Type")),MATCH(1,($AN31=IF($C$2='Data Validation'!$A$2,'Bank Adjustments'!$C$4:$C$103,IF('Adjustment Surface'!$C$2='Data Validation'!$A$3,'Bank Adjustments'!$M$4:$M$103,"Unknown Option Type")))*(BD$26=IF($C$2='Data Validation'!$A$2,'Bank Adjustments'!$E$4:$E$103,IF('Adjustment Surface'!$C$2='Data Validation'!$A$3,'Bank Adjustments'!$O$4:$O$103,"Unknown Option Type"))),0)))</f>
        <v/>
      </c>
      <c r="BE31" s="193" t="str" cm="1">
        <f t="array" ref="BE31">IF(OR(BE$26="",$AN31=""),"",INDEX(IF($C$2='Data Validation'!$A$2,'Bank Adjustments'!$I$4:$I$103,IF('Adjustment Surface'!$C$2='Data Validation'!$A$3,'Bank Adjustments'!$S$4:$S$103,"Unknown Option Type")),MATCH(1,($AN31=IF($C$2='Data Validation'!$A$2,'Bank Adjustments'!$C$4:$C$103,IF('Adjustment Surface'!$C$2='Data Validation'!$A$3,'Bank Adjustments'!$M$4:$M$103,"Unknown Option Type")))*(BE$26=IF($C$2='Data Validation'!$A$2,'Bank Adjustments'!$E$4:$E$103,IF('Adjustment Surface'!$C$2='Data Validation'!$A$3,'Bank Adjustments'!$O$4:$O$103,"Unknown Option Type"))),0)))</f>
        <v/>
      </c>
      <c r="BF31" s="193" t="str" cm="1">
        <f t="array" ref="BF31">IF(OR(BF$26="",$AN31=""),"",INDEX(IF($C$2='Data Validation'!$A$2,'Bank Adjustments'!$I$4:$I$103,IF('Adjustment Surface'!$C$2='Data Validation'!$A$3,'Bank Adjustments'!$S$4:$S$103,"Unknown Option Type")),MATCH(1,($AN31=IF($C$2='Data Validation'!$A$2,'Bank Adjustments'!$C$4:$C$103,IF('Adjustment Surface'!$C$2='Data Validation'!$A$3,'Bank Adjustments'!$M$4:$M$103,"Unknown Option Type")))*(BF$26=IF($C$2='Data Validation'!$A$2,'Bank Adjustments'!$E$4:$E$103,IF('Adjustment Surface'!$C$2='Data Validation'!$A$3,'Bank Adjustments'!$O$4:$O$103,"Unknown Option Type"))),0)))</f>
        <v/>
      </c>
      <c r="BG31" s="193" t="str" cm="1">
        <f t="array" ref="BG31">IF(OR(BG$26="",$AN31=""),"",INDEX(IF($C$2='Data Validation'!$A$2,'Bank Adjustments'!$I$4:$I$103,IF('Adjustment Surface'!$C$2='Data Validation'!$A$3,'Bank Adjustments'!$S$4:$S$103,"Unknown Option Type")),MATCH(1,($AN31=IF($C$2='Data Validation'!$A$2,'Bank Adjustments'!$C$4:$C$103,IF('Adjustment Surface'!$C$2='Data Validation'!$A$3,'Bank Adjustments'!$M$4:$M$103,"Unknown Option Type")))*(BG$26=IF($C$2='Data Validation'!$A$2,'Bank Adjustments'!$E$4:$E$103,IF('Adjustment Surface'!$C$2='Data Validation'!$A$3,'Bank Adjustments'!$O$4:$O$103,"Unknown Option Type"))),0)))</f>
        <v/>
      </c>
      <c r="BH31" s="194" t="str" cm="1">
        <f t="array" ref="BH31">IF(OR(BH$26="",$AN31=""),"",INDEX(IF($C$2='Data Validation'!$A$2,'Bank Adjustments'!$I$4:$I$103,IF('Adjustment Surface'!$C$2='Data Validation'!$A$3,'Bank Adjustments'!$S$4:$S$103,"Unknown Option Type")),MATCH(1,($AN31=IF($C$2='Data Validation'!$A$2,'Bank Adjustments'!$C$4:$C$103,IF('Adjustment Surface'!$C$2='Data Validation'!$A$3,'Bank Adjustments'!$M$4:$M$103,"Unknown Option Type")))*(BH$26=IF($C$2='Data Validation'!$A$2,'Bank Adjustments'!$E$4:$E$103,IF('Adjustment Surface'!$C$2='Data Validation'!$A$3,'Bank Adjustments'!$O$4:$O$103,"Unknown Option Type"))),0)))</f>
        <v/>
      </c>
    </row>
    <row r="32" spans="2:60" x14ac:dyDescent="0.25">
      <c r="B32" s="75">
        <f>B25</f>
        <v>0.06</v>
      </c>
      <c r="C32" s="70" cm="1">
        <f t="array" ref="C32">IF(AND(COUNT(O4:O23)&lt;2,COUNT(P3:AI3)&lt;2),P4,IF(COUNT(O4:O23)&lt;2,_xlfn.FORECAST.LINEAR(C14,INDEX(P4:AI4,1,MATCH(IF(C14&lt;MIN(P3:AI3),INDEX(P3:AI3,1,MATCH(MIN(P3:AI3),P3:AI3,0)),IF(C14&gt;=MAX(P3:AI3),INDEX(P3:AI3,1,MATCH(MAX(P3:AI3),P3:AI3,0)),INDEX(P3:AI3,1,MATCH(C14,P3:AI3,1)))):IF(C14&lt;MIN(P3:AI3),INDEX(P3:AI3,1,MATCH(MIN(P3:AI3),P3:AI3,0)+1),IF(C14&gt;=MAX(P3:AI3),INDEX(P3:AI3,1,MATCH(MAX(P3:AI3),P3:AI3,0)-1),INDEX(P3:AI3,1,MATCH(C14,P3:AI3,1)+1))),P3:AI3,0)),IF(C14&lt;MIN(P3:AI3),INDEX(P3:AI3,1,MATCH(MIN(P3:AI3),P3:AI3,0)),IF(C14&gt;=MAX(P3:AI3),INDEX(P3:AI3,1,MATCH(MAX(P3:AI3),P3:AI3,0)),INDEX(P3:AI3,1,MATCH(C14,P3:AI3,1)))):IF(C14&lt;MIN(P3:AI3),INDEX(P3:AI3,1,MATCH(MIN(P3:AI3),P3:AI3,0)+1),IF(C14&gt;=MAX(P3:AI3),INDEX(P3:AI3,1,MATCH(MAX(P3:AI3),P3:AI3,0)-1),INDEX(P3:AI3,1,MATCH(C14,P3:AI3,1)+1)))),IF(COUNT(P3:AI3)&lt;2,_xlfn.FORECAST.LINEAR(B18,INDEX(P4:P23,MATCH(IF(B18&lt;MIN(O4:O23),INDEX(O4:O23,MATCH(MIN(O4:O23),O4:O23,0)),IF(B18&gt;=MAX(O4:O23),INDEX(O4:O23,MATCH(MAX(O4:O23),O4:O23,0)),INDEX(O4:O23,MATCH(B18,O4:O23,1)))):IF(B18&lt;MIN(O4:O23),INDEX(O4:O23,MATCH(MIN(O4:O23),O4:O23,0)+1),IF(B18&gt;=MAX(O4:O23),INDEX(O4:O23,MATCH(MAX(O4:O23),O4:O23,0)-1),INDEX(O4:O23,MATCH(B18,O4:O23,1)+1))),O4:O23,0)),IF(B18&lt;MIN(O4:O23),INDEX(O4:O23,MATCH(MIN(O4:O23),O4:O23,0)),IF(B18&gt;=MAX(O4:O23),INDEX(O4:O23,MATCH(MAX(O4:O23),O4:O23,0)),INDEX(O4:O23,MATCH(B18,O4:O23,1)))):IF(B18&lt;MIN(O4:O23),INDEX(O4:O23,MATCH(MIN(O4:O23),O4:O23,0)+1),IF(B18&gt;=MAX(O4:O23),INDEX(O4:O23,MATCH(MAX(O4:O23),O4:O23,0)-1),INDEX(O4:O23,MATCH(B18,O4:O23,1)+1)))),1/((INDEX(_xlfn._xlws.FILTER(H4:H23,(INDEX(H4:H23,MATCH(SMALL(J4:J23,1),J4:J23,0))=H4:H23)=FALSE()),MATCH(SMALL(J4:J23,2),_xlfn._xlws.FILTER(J4:J23,(INDEX(H4:H23,MATCH(SMALL(J4:J23,1),J4:J23,0))=H4:H23)=FALSE()),0))-INDEX(H4:H23,MATCH(SMALL(J4:J23,1),J4:J23,0)))*(INDEX(_xlfn._xlws.FILTER(H27:H46,(INDEX(H27:H46,MATCH(SMALL(M27:M46,1),M27:M46,0))=H27:H46)=FALSE()),MATCH(SMALL(M27:M46,2),_xlfn._xlws.FILTER(M27:M46,(INDEX(H27:H46,MATCH(SMALL(M27:M46,1),M27:M46,0))=H27:H46)=FALSE()),0))-INDEX(H27:H46,MATCH(SMALL(M27:M46,1),M27:M46,0))))*(INDEX(P4:AI23,MATCH(INDEX(H27:H46,MATCH(SMALL(M27:M46,1),M27:M46,0)),O4:O23,0),MATCH(INDEX(H4:H23,MATCH(SMALL(J4:J23,1),J4:J23,0)),P3:AI3,0))*(INDEX(_xlfn._xlws.FILTER(H4:H23,(INDEX(H4:H23,MATCH(SMALL(J4:J23,1),J4:J23,0))=H4:H23)=FALSE()),MATCH(SMALL(J4:J23,2),_xlfn._xlws.FILTER(J4:J23,(INDEX(H4:H23,MATCH(SMALL(J4:J23,1),J4:J23,0))=H4:H23)=FALSE()),0))-C14)*(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4:AI23,MATCH(INDEX(H27:H46,MATCH(SMALL(M27:M46,1),M27:M46,0)),O4:O23,0),MATCH(INDEX(_xlfn._xlws.FILTER(H4:H23,(INDEX(H4:H23,MATCH(SMALL(J4:J23,1),J4:J23,0))=H4:H23)=FALSE()),MATCH(SMALL(J4:J23,2),_xlfn._xlws.FILTER(J4:J23,(INDEX(H4:H23,MATCH(SMALL(J4:J23,1),J4:J23,0))=H4:H23)=FALSE()),0)),P3:AI3,0))*(C14-INDEX(H4:H23,MATCH(SMALL(J4:J23,1),J4:J23,0)))*(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4:AI23,MATCH(INDEX(_xlfn._xlws.FILTER(H27:H46,(INDEX(H27:H46,MATCH(SMALL(M27:M46,1),M27:M46,0))=H27:H46)=FALSE()),MATCH(SMALL(M27:M46,2),_xlfn._xlws.FILTER(M27:M46,(INDEX(H27:H46,MATCH(SMALL(M27:M46,1),M27:M46,0))=H27:H46)=FALSE()),0)),O4:O23,0),MATCH(INDEX(H4:H23,MATCH(SMALL(J4:J23,1),J4:J23,0)),P3:AI3,0))*(INDEX(_xlfn._xlws.FILTER(H4:H23,(INDEX(H4:H23,MATCH(SMALL(J4:J23,1),J4:J23,0))=H4:H23)=FALSE()),MATCH(SMALL(J4:J23,2),_xlfn._xlws.FILTER(J4:J23,(INDEX(H4:H23,MATCH(SMALL(J4:J23,1),J4:J23,0))=H4:H23)=FALSE()),0))-C14)*(IF(OR(C9='Data Validation'!D2,C9='Data Validation'!D3),B18,IF(C9='Data Validation'!D3,SUMPRODUCT('Bachelier Model'!N4:N124,'Bachelier Model'!O4:O124)/SUM('Bachelier Model'!N4:N124),"Strike Type Unknown"))-INDEX(H27:H46,MATCH(SMALL(M27:M46,1),M27:M46,0)))+INDEX(P4:AI23,MATCH(INDEX(_xlfn._xlws.FILTER(H27:H46,(INDEX(H27:H46,MATCH(SMALL(M27:M46,1),M27:M46,0))=H27:H46)=FALSE()),MATCH(SMALL(M27:M46,2),_xlfn._xlws.FILTER(M27:M46,(INDEX(H27:H46,MATCH(SMALL(M27:M46,1),M27:M46,0))=H27:H46)=FALSE()),0)),O4:O23,0),MATCH(INDEX(_xlfn._xlws.FILTER(H4:H23,(INDEX(H4:H23,MATCH(SMALL(J4:J23,1),J4:J23,0))=H4:H23)=FALSE()),MATCH(SMALL(J4:J23,2),_xlfn._xlws.FILTER(J4:J23,(INDEX(H4:H23,MATCH(SMALL(J4:J23,1),J4:J23,0))=H4:H23)=FALSE()),0)),P3:AI3,0))*(C14-INDEX(H4:H23,MATCH(SMALL(J4:J23,1),J4:J23,0)))*(IF(OR(C9='Data Validation'!D2,C9='Data Validation'!D3),B18,IF(C9='Data Validation'!D3,SUMPRODUCT('Bachelier Model'!N4:N124,'Bachelier Model'!O4:O124)/SUM('Bachelier Model'!N4:N124),"Strike Type Unknown"))-INDEX(H27:H46,MATCH(SMALL(M27:M46,1),M27:M46,0)))))))</f>
        <v>796.94267797378689</v>
      </c>
      <c r="D32" s="70" cm="1">
        <f t="array" ref="D32">IF(AND(COUNT(O4:O23)&lt;2,COUNT(P3:AI3)&lt;2),P4,IF(COUNT(O4:O23)&lt;2,_xlfn.FORECAST.LINEAR(D14,INDEX(P4:AI4,1,MATCH(IF(D14&lt;MIN(P3:AI3),INDEX(P3:AI3,1,MATCH(MIN(P3:AI3),P3:AI3,0)),IF(D14&gt;=MAX(P3:AI3),INDEX(P3:AI3,1,MATCH(MAX(P3:AI3),P3:AI3,0)),INDEX(P3:AI3,1,MATCH(D14,P3:AI3,1)))):IF(D14&lt;MIN(P3:AI3),INDEX(P3:AI3,1,MATCH(MIN(P3:AI3),P3:AI3,0)+1),IF(D14&gt;=MAX(P3:AI3),INDEX(P3:AI3,1,MATCH(MAX(P3:AI3),P3:AI3,0)-1),INDEX(P3:AI3,1,MATCH(D14,P3:AI3,1)+1))),P3:AI3,0)),IF(D14&lt;MIN(P3:AI3),INDEX(P3:AI3,1,MATCH(MIN(P3:AI3),P3:AI3,0)),IF(D14&gt;=MAX(P3:AI3),INDEX(P3:AI3,1,MATCH(MAX(P3:AI3),P3:AI3,0)),INDEX(P3:AI3,1,MATCH(D14,P3:AI3,1)))):IF(D14&lt;MIN(P3:AI3),INDEX(P3:AI3,1,MATCH(MIN(P3:AI3),P3:AI3,0)+1),IF(D14&gt;=MAX(P3:AI3),INDEX(P3:AI3,1,MATCH(MAX(P3:AI3),P3:AI3,0)-1),INDEX(P3:AI3,1,MATCH(D14,P3:AI3,1)+1)))),IF(COUNT(P3:AI3)&lt;2,_xlfn.FORECAST.LINEAR(B18,INDEX(P4:P23,MATCH(IF(B18&lt;MIN(O4:O23),INDEX(O4:O23,MATCH(MIN(O4:O23),O4:O23,0)),IF(B18&gt;=MAX(O4:O23),INDEX(O4:O23,MATCH(MAX(O4:O23),O4:O23,0)),INDEX(O4:O23,MATCH(B18,O4:O23,1)))):IF(B18&lt;MIN(O4:O23),INDEX(O4:O23,MATCH(MIN(O4:O23),O4:O23,0)+1),IF(B18&gt;=MAX(O4:O23),INDEX(O4:O23,MATCH(MAX(O4:O23),O4:O23,0)-1),INDEX(O4:O23,MATCH(B18,O4:O23,1)+1))),O4:O23,0)),IF(B18&lt;MIN(O4:O23),INDEX(O4:O23,MATCH(MIN(O4:O23),O4:O23,0)),IF(B18&gt;=MAX(O4:O23),INDEX(O4:O23,MATCH(MAX(O4:O23),O4:O23,0)),INDEX(O4:O23,MATCH(B18,O4:O23,1)))):IF(B18&lt;MIN(O4:O23),INDEX(O4:O23,MATCH(MIN(O4:O23),O4:O23,0)+1),IF(B18&gt;=MAX(O4:O23),INDEX(O4:O23,MATCH(MAX(O4:O23),O4:O23,0)-1),INDEX(O4:O23,MATCH(B18,O4:O23,1)+1)))),1/((INDEX(_xlfn._xlws.FILTER(H4:H23,(INDEX(H4:H23,MATCH(SMALL(K4:K23,1),K4:K23,0))=H4:H23)=FALSE()),MATCH(SMALL(K4:K23,2),_xlfn._xlws.FILTER(K4:K23,(INDEX(H4:H23,MATCH(SMALL(K4:K23,1),K4:K23,0))=H4:H23)=FALSE()),0))-INDEX(H4:H23,MATCH(SMALL(K4:K23,1),K4:K23,0)))*(INDEX(_xlfn._xlws.FILTER(H27:H46,(INDEX(H27:H46,MATCH(SMALL(M27:M46,1),M27:M46,0))=H27:H46)=FALSE()),MATCH(SMALL(M27:M46,2),_xlfn._xlws.FILTER(M27:M46,(INDEX(H27:H46,MATCH(SMALL(M27:M46,1),M27:M46,0))=H27:H46)=FALSE()),0))-INDEX(H27:H46,MATCH(SMALL(M27:M46,1),M27:M46,0))))*(INDEX(P4:AI23,MATCH(INDEX(H27:H46,MATCH(SMALL(M27:M46,1),M27:M46,0)),O4:O23,0),MATCH(INDEX(H4:H23,MATCH(SMALL(K4:K23,1),K4:K23,0)),P3:AI3,0))*(INDEX(_xlfn._xlws.FILTER(H4:H23,(INDEX(H4:H23,MATCH(SMALL(K4:K23,1),K4:K23,0))=H4:H23)=FALSE()),MATCH(SMALL(K4:K23,2),_xlfn._xlws.FILTER(K4:K23,(INDEX(H4:H23,MATCH(SMALL(K4:K23,1),K4:K23,0))=H4:H23)=FALSE()),0))-D14)*(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4:AI23,MATCH(INDEX(H27:H46,MATCH(SMALL(M27:M46,1),M27:M46,0)),O4:O23,0),MATCH(INDEX(_xlfn._xlws.FILTER(H4:H23,(INDEX(H4:H23,MATCH(SMALL(K4:K23,1),K4:K23,0))=H4:H23)=FALSE()),MATCH(SMALL(K4:K23,2),_xlfn._xlws.FILTER(K4:K23,(INDEX(H4:H23,MATCH(SMALL(K4:K23,1),K4:K23,0))=H4:H23)=FALSE()),0)),P3:AI3,0))*(D14-INDEX(H4:H23,MATCH(SMALL(K4:K23,1),K4:K23,0)))*(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4:AI23,MATCH(INDEX(_xlfn._xlws.FILTER(H27:H46,(INDEX(H27:H46,MATCH(SMALL(M27:M46,1),M27:M46,0))=H27:H46)=FALSE()),MATCH(SMALL(M27:M46,2),_xlfn._xlws.FILTER(M27:M46,(INDEX(H27:H46,MATCH(SMALL(M27:M46,1),M27:M46,0))=H27:H46)=FALSE()),0)),O4:O23,0),MATCH(INDEX(H4:H23,MATCH(SMALL(K4:K23,1),K4:K23,0)),P3:AI3,0))*(INDEX(_xlfn._xlws.FILTER(H4:H23,(INDEX(H4:H23,MATCH(SMALL(K4:K23,1),K4:K23,0))=H4:H23)=FALSE()),MATCH(SMALL(K4:K23,2),_xlfn._xlws.FILTER(K4:K23,(INDEX(H4:H23,MATCH(SMALL(K4:K23,1),K4:K23,0))=H4:H23)=FALSE()),0))-D14)*(IF(OR(C9='Data Validation'!D2,C9='Data Validation'!D3),B18,IF(C9='Data Validation'!D3,SUMPRODUCT('Bachelier Model'!N4:N124,'Bachelier Model'!O4:O124)/SUM('Bachelier Model'!N4:N124),"Strike Type Unknown"))-INDEX(H27:H46,MATCH(SMALL(M27:M46,1),M27:M46,0)))+INDEX(P4:AI23,MATCH(INDEX(_xlfn._xlws.FILTER(H27:H46,(INDEX(H27:H46,MATCH(SMALL(M27:M46,1),M27:M46,0))=H27:H46)=FALSE()),MATCH(SMALL(M27:M46,2),_xlfn._xlws.FILTER(M27:M46,(INDEX(H27:H46,MATCH(SMALL(M27:M46,1),M27:M46,0))=H27:H46)=FALSE()),0)),O4:O23,0),MATCH(INDEX(_xlfn._xlws.FILTER(H4:H23,(INDEX(H4:H23,MATCH(SMALL(K4:K23,1),K4:K23,0))=H4:H23)=FALSE()),MATCH(SMALL(K4:K23,2),_xlfn._xlws.FILTER(K4:K23,(INDEX(H4:H23,MATCH(SMALL(K4:K23,1),K4:K23,0))=H4:H23)=FALSE()),0)),P3:AI3,0))*(D14-INDEX(H4:H23,MATCH(SMALL(K4:K23,1),K4:K23,0)))*(IF(OR(C9='Data Validation'!D2,C9='Data Validation'!D3),B18,IF(C9='Data Validation'!D3,SUMPRODUCT('Bachelier Model'!N4:N124,'Bachelier Model'!O4:O124)/SUM('Bachelier Model'!N4:N124),"Strike Type Unknown"))-INDEX(H27:H46,MATCH(SMALL(M27:M46,1),M27:M46,0)))))))</f>
        <v>49.69416385073297</v>
      </c>
      <c r="E32" s="70" cm="1">
        <f t="array" ref="E32">IF(AND(COUNT(O4:O23)&lt;2,COUNT(P3:AI3)&lt;2),P4,IF(COUNT(O4:O23)&lt;2,_xlfn.FORECAST.LINEAR(E14,INDEX(P4:AI4,1,MATCH(IF(E14&lt;MIN(P3:AI3),INDEX(P3:AI3,1,MATCH(MIN(P3:AI3),P3:AI3,0)),IF(E14&gt;=MAX(P3:AI3),INDEX(P3:AI3,1,MATCH(MAX(P3:AI3),P3:AI3,0)),INDEX(P3:AI3,1,MATCH(E14,P3:AI3,1)))):IF(E14&lt;MIN(P3:AI3),INDEX(P3:AI3,1,MATCH(MIN(P3:AI3),P3:AI3,0)+1),IF(E14&gt;=MAX(P3:AI3),INDEX(P3:AI3,1,MATCH(MAX(P3:AI3),P3:AI3,0)-1),INDEX(P3:AI3,1,MATCH(E14,P3:AI3,1)+1))),P3:AI3,0)),IF(E14&lt;MIN(P3:AI3),INDEX(P3:AI3,1,MATCH(MIN(P3:AI3),P3:AI3,0)),IF(E14&gt;=MAX(P3:AI3),INDEX(P3:AI3,1,MATCH(MAX(P3:AI3),P3:AI3,0)),INDEX(P3:AI3,1,MATCH(E14,P3:AI3,1)))):IF(E14&lt;MIN(P3:AI3),INDEX(P3:AI3,1,MATCH(MIN(P3:AI3),P3:AI3,0)+1),IF(E14&gt;=MAX(P3:AI3),INDEX(P3:AI3,1,MATCH(MAX(P3:AI3),P3:AI3,0)-1),INDEX(P3:AI3,1,MATCH(E14,P3:AI3,1)+1)))),IF(COUNT(P3:AI3)&lt;2,_xlfn.FORECAST.LINEAR(B18,INDEX(P4:P23,MATCH(IF(B18&lt;MIN(O4:O23),INDEX(O4:O23,MATCH(MIN(O4:O23),O4:O23,0)),IF(B18&gt;=MAX(O4:O23),INDEX(O4:O23,MATCH(MAX(O4:O23),O4:O23,0)),INDEX(O4:O23,MATCH(B18,O4:O23,1)))):IF(B18&lt;MIN(O4:O23),INDEX(O4:O23,MATCH(MIN(O4:O23),O4:O23,0)+1),IF(B18&gt;=MAX(O4:O23),INDEX(O4:O23,MATCH(MAX(O4:O23),O4:O23,0)-1),INDEX(O4:O23,MATCH(B18,O4:O23,1)+1))),O4:O23,0)),IF(B18&lt;MIN(O4:O23),INDEX(O4:O23,MATCH(MIN(O4:O23),O4:O23,0)),IF(B18&gt;=MAX(O4:O23),INDEX(O4:O23,MATCH(MAX(O4:O23),O4:O23,0)),INDEX(O4:O23,MATCH(B18,O4:O23,1)))):IF(B18&lt;MIN(O4:O23),INDEX(O4:O23,MATCH(MIN(O4:O23),O4:O23,0)+1),IF(B18&gt;=MAX(O4:O23),INDEX(O4:O23,MATCH(MAX(O4:O23),O4:O23,0)-1),INDEX(O4:O23,MATCH(B18,O4:O23,1)+1)))),1/((INDEX(_xlfn._xlws.FILTER(H4:H23,(INDEX(H4:H23,MATCH(SMALL(L4:L23,1),L4:L23,0))=H4:H23)=FALSE()),MATCH(SMALL(L4:L23,2),_xlfn._xlws.FILTER(L4:L23,(INDEX(H4:H23,MATCH(SMALL(L4:L23,1),L4:L23,0))=H4:H23)=FALSE()),0))-INDEX(H4:H23,MATCH(SMALL(L4:L23,1),L4:L23,0)))*(INDEX(_xlfn._xlws.FILTER(H27:H46,(INDEX(H27:H46,MATCH(SMALL(M27:M46,1),M27:M46,0))=H27:H46)=FALSE()),MATCH(SMALL(M27:M46,2),_xlfn._xlws.FILTER(M27:M46,(INDEX(H27:H46,MATCH(SMALL(M27:M46,1),M27:M46,0))=H27:H46)=FALSE()),0))-INDEX(H27:H46,MATCH(SMALL(M27:M46,1),M27:M46,0))))*(INDEX(P4:AI23,MATCH(INDEX(H27:H46,MATCH(SMALL(M27:M46,1),M27:M46,0)),O4:O23,0),MATCH(INDEX(H4:H23,MATCH(SMALL(L4:L23,1),L4:L23,0)),P3:AI3,0))*(INDEX(_xlfn._xlws.FILTER(H4:H23,(INDEX(H4:H23,MATCH(SMALL(L4:L23,1),L4:L23,0))=H4:H23)=FALSE()),MATCH(SMALL(L4:L23,2),_xlfn._xlws.FILTER(L4:L23,(INDEX(H4:H23,MATCH(SMALL(L4:L23,1),L4:L23,0))=H4:H23)=FALSE()),0))-E14)*(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4:AI23,MATCH(INDEX(H27:H46,MATCH(SMALL(M27:M46,1),M27:M46,0)),O4:O23,0),MATCH(INDEX(_xlfn._xlws.FILTER(H4:H23,(INDEX(H4:H23,MATCH(SMALL(L4:L23,1),L4:L23,0))=H4:H23)=FALSE()),MATCH(SMALL(L4:L23,2),_xlfn._xlws.FILTER(L4:L23,(INDEX(H4:H23,MATCH(SMALL(L4:L23,1),L4:L23,0))=H4:H23)=FALSE()),0)),P3:AI3,0))*(E14-INDEX(H4:H23,MATCH(SMALL(L4:L23,1),L4:L23,0)))*(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4:AI23,MATCH(INDEX(_xlfn._xlws.FILTER(H27:H46,(INDEX(H27:H46,MATCH(SMALL(M27:M46,1),M27:M46,0))=H27:H46)=FALSE()),MATCH(SMALL(M27:M46,2),_xlfn._xlws.FILTER(M27:M46,(INDEX(H27:H46,MATCH(SMALL(M27:M46,1),M27:M46,0))=H27:H46)=FALSE()),0)),O4:O23,0),MATCH(INDEX(H4:H23,MATCH(SMALL(L4:L23,1),L4:L23,0)),P3:AI3,0))*(INDEX(_xlfn._xlws.FILTER(H4:H23,(INDEX(H4:H23,MATCH(SMALL(L4:L23,1),L4:L23,0))=H4:H23)=FALSE()),MATCH(SMALL(L4:L23,2),_xlfn._xlws.FILTER(L4:L23,(INDEX(H4:H23,MATCH(SMALL(L4:L23,1),L4:L23,0))=H4:H23)=FALSE()),0))-E14)*(IF(OR(C9='Data Validation'!D2,C9='Data Validation'!D3),B18,IF(C9='Data Validation'!D3,SUMPRODUCT('Bachelier Model'!N4:N124,'Bachelier Model'!O4:O124)/SUM('Bachelier Model'!N4:N124),"Strike Type Unknown"))-INDEX(H27:H46,MATCH(SMALL(M27:M46,1),M27:M46,0)))+INDEX(P4:AI23,MATCH(INDEX(_xlfn._xlws.FILTER(H27:H46,(INDEX(H27:H46,MATCH(SMALL(M27:M46,1),M27:M46,0))=H27:H46)=FALSE()),MATCH(SMALL(M27:M46,2),_xlfn._xlws.FILTER(M27:M46,(INDEX(H27:H46,MATCH(SMALL(M27:M46,1),M27:M46,0))=H27:H46)=FALSE()),0)),O4:O23,0),MATCH(INDEX(_xlfn._xlws.FILTER(H4:H23,(INDEX(H4:H23,MATCH(SMALL(L4:L23,1),L4:L23,0))=H4:H23)=FALSE()),MATCH(SMALL(L4:L23,2),_xlfn._xlws.FILTER(L4:L23,(INDEX(H4:H23,MATCH(SMALL(L4:L23,1),L4:L23,0))=H4:H23)=FALSE()),0)),P3:AI3,0))*(E14-INDEX(H4:H23,MATCH(SMALL(L4:L23,1),L4:L23,0)))*(IF(OR(C9='Data Validation'!D2,C9='Data Validation'!D3),B18,IF(C9='Data Validation'!D3,SUMPRODUCT('Bachelier Model'!N4:N124,'Bachelier Model'!O4:O124)/SUM('Bachelier Model'!N4:N124),"Strike Type Unknown"))-INDEX(H27:H46,MATCH(SMALL(M27:M46,1),M27:M46,0)))))))</f>
        <v>13.267721103964563</v>
      </c>
      <c r="F32" s="70" cm="1">
        <f t="array" ref="F32">IF(AND(COUNT(O4:O23)&lt;2,COUNT(P3:AI3)&lt;2),P4,IF(COUNT(O4:O23)&lt;2,_xlfn.FORECAST.LINEAR(F14,INDEX(P4:AI4,1,MATCH(IF(F14&lt;MIN(P3:AI3),INDEX(P3:AI3,1,MATCH(MIN(P3:AI3),P3:AI3,0)),IF(F14&gt;=MAX(P3:AI3),INDEX(P3:AI3,1,MATCH(MAX(P3:AI3),P3:AI3,0)),INDEX(P3:AI3,1,MATCH(F14,P3:AI3,1)))):IF(F14&lt;MIN(P3:AI3),INDEX(P3:AI3,1,MATCH(MIN(P3:AI3),P3:AI3,0)+1),IF(F14&gt;=MAX(P3:AI3),INDEX(P3:AI3,1,MATCH(MAX(P3:AI3),P3:AI3,0)-1),INDEX(P3:AI3,1,MATCH(F14,P3:AI3,1)+1))),P3:AI3,0)),IF(F14&lt;MIN(P3:AI3),INDEX(P3:AI3,1,MATCH(MIN(P3:AI3),P3:AI3,0)),IF(F14&gt;=MAX(P3:AI3),INDEX(P3:AI3,1,MATCH(MAX(P3:AI3),P3:AI3,0)),INDEX(P3:AI3,1,MATCH(F14,P3:AI3,1)))):IF(F14&lt;MIN(P3:AI3),INDEX(P3:AI3,1,MATCH(MIN(P3:AI3),P3:AI3,0)+1),IF(F14&gt;=MAX(P3:AI3),INDEX(P3:AI3,1,MATCH(MAX(P3:AI3),P3:AI3,0)-1),INDEX(P3:AI3,1,MATCH(F14,P3:AI3,1)+1)))),IF(COUNT(P3:AI3)&lt;2,_xlfn.FORECAST.LINEAR(B18,INDEX(P4:P23,MATCH(IF(B18&lt;MIN(O4:O23),INDEX(O4:O23,MATCH(MIN(O4:O23),O4:O23,0)),IF(B18&gt;=MAX(O4:O23),INDEX(O4:O23,MATCH(MAX(O4:O23),O4:O23,0)),INDEX(O4:O23,MATCH(B18,O4:O23,1)))):IF(B18&lt;MIN(O4:O23),INDEX(O4:O23,MATCH(MIN(O4:O23),O4:O23,0)+1),IF(B18&gt;=MAX(O4:O23),INDEX(O4:O23,MATCH(MAX(O4:O23),O4:O23,0)-1),INDEX(O4:O23,MATCH(B18,O4:O23,1)+1))),O4:O23,0)),IF(B18&lt;MIN(O4:O23),INDEX(O4:O23,MATCH(MIN(O4:O23),O4:O23,0)),IF(B18&gt;=MAX(O4:O23),INDEX(O4:O23,MATCH(MAX(O4:O23),O4:O23,0)),INDEX(O4:O23,MATCH(B18,O4:O23,1)))):IF(B18&lt;MIN(O4:O23),INDEX(O4:O23,MATCH(MIN(O4:O23),O4:O23,0)+1),IF(B18&gt;=MAX(O4:O23),INDEX(O4:O23,MATCH(MAX(O4:O23),O4:O23,0)-1),INDEX(O4:O23,MATCH(B18,O4:O23,1)+1)))),1/((INDEX(_xlfn._xlws.FILTER(H4:H23,(INDEX(H4:H23,MATCH(SMALL(M4:M23,1),M4:M23,0))=H4:H23)=FALSE()),MATCH(SMALL(M4:M23,2),_xlfn._xlws.FILTER(M4:M23,(INDEX(H4:H23,MATCH(SMALL(M4:M23,1),M4:M23,0))=H4:H23)=FALSE()),0))-INDEX(H4:H23,MATCH(SMALL(M4:M23,1),M4:M23,0)))*(INDEX(_xlfn._xlws.FILTER(H27:H46,(INDEX(H27:H46,MATCH(SMALL(M27:M46,1),M27:M46,0))=H27:H46)=FALSE()),MATCH(SMALL(M27:M46,2),_xlfn._xlws.FILTER(M27:M46,(INDEX(H27:H46,MATCH(SMALL(M27:M46,1),M27:M46,0))=H27:H46)=FALSE()),0))-INDEX(H27:H46,MATCH(SMALL(M27:M46,1),M27:M46,0))))*(INDEX(P4:AI23,MATCH(INDEX(H27:H46,MATCH(SMALL(M27:M46,1),M27:M46,0)),O4:O23,0),MATCH(INDEX(H4:H23,MATCH(SMALL(M4:M23,1),M4:M23,0)),P3:AI3,0))*(INDEX(_xlfn._xlws.FILTER(H4:H23,(INDEX(H4:H23,MATCH(SMALL(M4:M23,1),M4:M23,0))=H4:H23)=FALSE()),MATCH(SMALL(M4:M23,2),_xlfn._xlws.FILTER(M4:M23,(INDEX(H4:H23,MATCH(SMALL(M4:M23,1),M4:M23,0))=H4:H23)=FALSE()),0))-F14)*(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4:AI23,MATCH(INDEX(H27:H46,MATCH(SMALL(M27:M46,1),M27:M46,0)),O4:O23,0),MATCH(INDEX(_xlfn._xlws.FILTER(H4:H23,(INDEX(H4:H23,MATCH(SMALL(M4:M23,1),M4:M23,0))=H4:H23)=FALSE()),MATCH(SMALL(M4:M23,2),_xlfn._xlws.FILTER(M4:M23,(INDEX(H4:H23,MATCH(SMALL(M4:M23,1),M4:M23,0))=H4:H23)=FALSE()),0)),P3:AI3,0))*(F14-INDEX(H4:H23,MATCH(SMALL(M4:M23,1),M4:M23,0)))*(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4:AI23,MATCH(INDEX(_xlfn._xlws.FILTER(H27:H46,(INDEX(H27:H46,MATCH(SMALL(M27:M46,1),M27:M46,0))=H27:H46)=FALSE()),MATCH(SMALL(M27:M46,2),_xlfn._xlws.FILTER(M27:M46,(INDEX(H27:H46,MATCH(SMALL(M27:M46,1),M27:M46,0))=H27:H46)=FALSE()),0)),O4:O23,0),MATCH(INDEX(H4:H23,MATCH(SMALL(M4:M23,1),M4:M23,0)),P3:AI3,0))*(INDEX(_xlfn._xlws.FILTER(H4:H23,(INDEX(H4:H23,MATCH(SMALL(M4:M23,1),M4:M23,0))=H4:H23)=FALSE()),MATCH(SMALL(M4:M23,2),_xlfn._xlws.FILTER(M4:M23,(INDEX(H4:H23,MATCH(SMALL(M4:M23,1),M4:M23,0))=H4:H23)=FALSE()),0))-F14)*(IF(OR(C9='Data Validation'!D2,C9='Data Validation'!D3),B18,IF(C9='Data Validation'!D3,SUMPRODUCT('Bachelier Model'!N4:N124,'Bachelier Model'!O4:O124)/SUM('Bachelier Model'!N4:N124),"Strike Type Unknown"))-INDEX(H27:H46,MATCH(SMALL(M27:M46,1),M27:M46,0)))+INDEX(P4:AI23,MATCH(INDEX(_xlfn._xlws.FILTER(H27:H46,(INDEX(H27:H46,MATCH(SMALL(M27:M46,1),M27:M46,0))=H27:H46)=FALSE()),MATCH(SMALL(M27:M46,2),_xlfn._xlws.FILTER(M27:M46,(INDEX(H27:H46,MATCH(SMALL(M27:M46,1),M27:M46,0))=H27:H46)=FALSE()),0)),O4:O23,0),MATCH(INDEX(_xlfn._xlws.FILTER(H4:H23,(INDEX(H4:H23,MATCH(SMALL(M4:M23,1),M4:M23,0))=H4:H23)=FALSE()),MATCH(SMALL(M4:M23,2),_xlfn._xlws.FILTER(M4:M23,(INDEX(H4:H23,MATCH(SMALL(M4:M23,1),M4:M23,0))=H4:H23)=FALSE()),0)),P3:AI3,0))*(F14-INDEX(H4:H23,MATCH(SMALL(M4:M23,1),M4:M23,0)))*(IF(OR(C9='Data Validation'!D2,C9='Data Validation'!D3),B18,IF(C9='Data Validation'!D3,SUMPRODUCT('Bachelier Model'!N4:N124,'Bachelier Model'!O4:O124)/SUM('Bachelier Model'!N4:N124),"Strike Type Unknown"))-INDEX(H27:H46,MATCH(SMALL(M27:M46,1),M27:M46,0)))))))</f>
        <v>-23.059195842949286</v>
      </c>
      <c r="H32" s="176">
        <v>4.4999999999999998E-2</v>
      </c>
      <c r="I32" s="54">
        <f t="shared" si="6"/>
        <v>2.4999999999999998E-2</v>
      </c>
      <c r="J32" s="55">
        <f t="shared" si="6"/>
        <v>1.4999999999999999E-2</v>
      </c>
      <c r="K32" s="55">
        <f t="shared" si="6"/>
        <v>4.9999999999999975E-3</v>
      </c>
      <c r="L32" s="55">
        <f t="shared" si="6"/>
        <v>5.0000000000000044E-3</v>
      </c>
      <c r="M32" s="48">
        <f t="shared" si="6"/>
        <v>1.4999999999999999E-2</v>
      </c>
      <c r="O32" s="176">
        <v>4.4999999999999998E-2</v>
      </c>
      <c r="P32" s="192" cm="1">
        <f t="array" ref="P32">IF(OR(P$26="",$O32=""),"",1/((INDEX('Adjustment Surface'!$AN$27:$AN$46,MATCH(('Adjustment Surface'!$O32),'Adjustment Surface'!$AN$27:$AN$46,1)+IF('Adjustment Surface'!$O33="",-1,1))-INDEX('Adjustment Surface'!$AN$27:$AN$46,MATCH(('Adjustment Surface'!$O32),'Adjustment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Surface'!$O32),'Adjustment Surface'!$AN$27:$AN$46,1)),$AN$27:$AN$46,0),MATCH(INDEX('Adjustment Surface'!$AO$26:$BH$26,1,MATCH(('Adjustment Surface'!P$26),'Adjustment Surface'!$AO$26:$BH$26,1)),$AO$26:$BH$26,0))*(INDEX('Adjustment Surface'!$AN$27:$AN$46,MATCH(('Adjustment Surface'!$O32),'Adjustment Surface'!$AN$27:$AN$46,1)+IF('Adjustment Surface'!$O33="",-1,1))-'Adjustment Surface'!$O32)*(INDEX('Adjustment Surface'!$AO$26:$BH$26,1,MATCH(('Adjustment Surface'!P$26),'Adjustment Surface'!$AO$26:$BH$26,1)+IF('Adjustment Surface'!Q$26="",-1,1))-'Adjustment Surface'!P$26)+INDEX($AO$27:$BH$46,MATCH(INDEX('Adjustment Surface'!$AN$27:$AN$46,MATCH(('Adjustment Surface'!$O32),'Adjustment Surface'!$AN$27:$AN$46,1)+IF('Adjustment Surface'!$O33="",-1,1)),$AN$27:$AN$46,0),MATCH(INDEX('Adjustment Surface'!$AO$26:$BH$26,1,MATCH(('Adjustment Surface'!P$26),'Adjustment Surface'!$AO$26:$BH$26,1)),$AO$26:$BH$26,0))*('Adjustment Surface'!$O32-INDEX('Adjustment Surface'!$AN$27:$AN$46,MATCH(('Adjustment Surface'!$O32),'Adjustment Surface'!$AN$27:$AN$46,1)))*(INDEX('Adjustment Surface'!$AO$26:$BH$26,1,MATCH(('Adjustment Surface'!P$26),'Adjustment Surface'!$AO$26:$BH$26,1)+IF('Adjustment Surface'!Q$26="",-1,1))-'Adjustment Surface'!P$26)+INDEX($AO$27:$BH$46,MATCH(INDEX('Adjustment Surface'!$AN$27:$AN$46,MATCH(('Adjustment Surface'!$O32),'Adjustment Surface'!$AN$27:$AN$46,1)),$AN$27:$AN$46,0),MATCH(INDEX('Adjustment Surface'!$AO$26:$BH$26,1,MATCH(('Adjustment Surface'!P$26),'Adjustment Surface'!$AO$26:$BH$26,1)+IF('Adjustment Surface'!Q$26="",-1,1)),$AO$26:$BH$26,0))*(INDEX('Adjustment Surface'!$AN$27:$AN$46,MATCH(('Adjustment Surface'!$O32),'Adjustment Surface'!$AN$27:$AN$46,1)+IF('Adjustment Surface'!$O33="",-1,1))-'Adjustment Surface'!$O32)*('Adjustment Surface'!P$26-INDEX('Adjustment Surface'!$AO$26:$BH$26,1,MATCH(('Adjustment Surface'!P$26),'Adjustment Surface'!$AO$26:$BH$26,1)))+INDEX($AO$27:$BH$46,MATCH(INDEX('Adjustment Surface'!$AN$27:$AN$46,MATCH(('Adjustment Surface'!$O32),'Adjustment Surface'!$AN$27:$AN$46,1)+IF('Adjustment Surface'!$O33="",-1,1)),$AN$27:$AN$46,0),MATCH(INDEX('Adjustment Surface'!$AO$26:$BH$26,1,MATCH(('Adjustment Surface'!P$26),'Adjustment Surface'!$AO$26:$BH$26,1)+IF('Adjustment Surface'!Q$26="",-1,1)),$AO$26:$BH$26,0))*('Adjustment Surface'!$O32-INDEX('Adjustment Surface'!$AN$27:$AN$46,MATCH(('Adjustment Surface'!$O32),'Adjustment Surface'!$AN$27:$AN$46,1)))*('Adjustment Surface'!P$26-INDEX('Adjustment Surface'!$AO$26:$BH$26,1,MATCH(('Adjustment Surface'!P$26),'Adjustment Surface'!$AO$26:$BH$26,1)))))</f>
        <v>10.979587597145303</v>
      </c>
      <c r="Q32" s="193" cm="1">
        <f t="array" ref="Q32">IF(OR(Q$26="",$O32=""),"",1/((INDEX('Adjustment Surface'!$AN$27:$AN$46,MATCH(('Adjustment Surface'!$O32),'Adjustment Surface'!$AN$27:$AN$46,1)+IF('Adjustment Surface'!$O33="",-1,1))-INDEX('Adjustment Surface'!$AN$27:$AN$46,MATCH(('Adjustment Surface'!$O32),'Adjustment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Surface'!$O32),'Adjustment Surface'!$AN$27:$AN$46,1)),$AN$27:$AN$46,0),MATCH(INDEX('Adjustment Surface'!$AO$26:$BH$26,1,MATCH(('Adjustment Surface'!Q$26),'Adjustment Surface'!$AO$26:$BH$26,1)),$AO$26:$BH$26,0))*(INDEX('Adjustment Surface'!$AN$27:$AN$46,MATCH(('Adjustment Surface'!$O32),'Adjustment Surface'!$AN$27:$AN$46,1)+IF('Adjustment Surface'!$O33="",-1,1))-'Adjustment Surface'!$O32)*(INDEX('Adjustment Surface'!$AO$26:$BH$26,1,MATCH(('Adjustment Surface'!Q$26),'Adjustment Surface'!$AO$26:$BH$26,1)+IF('Adjustment Surface'!R$26="",-1,1))-'Adjustment Surface'!Q$26)+INDEX($AO$27:$BH$46,MATCH(INDEX('Adjustment Surface'!$AN$27:$AN$46,MATCH(('Adjustment Surface'!$O32),'Adjustment Surface'!$AN$27:$AN$46,1)+IF('Adjustment Surface'!$O33="",-1,1)),$AN$27:$AN$46,0),MATCH(INDEX('Adjustment Surface'!$AO$26:$BH$26,1,MATCH(('Adjustment Surface'!Q$26),'Adjustment Surface'!$AO$26:$BH$26,1)),$AO$26:$BH$26,0))*('Adjustment Surface'!$O32-INDEX('Adjustment Surface'!$AN$27:$AN$46,MATCH(('Adjustment Surface'!$O32),'Adjustment Surface'!$AN$27:$AN$46,1)))*(INDEX('Adjustment Surface'!$AO$26:$BH$26,1,MATCH(('Adjustment Surface'!Q$26),'Adjustment Surface'!$AO$26:$BH$26,1)+IF('Adjustment Surface'!R$26="",-1,1))-'Adjustment Surface'!Q$26)+INDEX($AO$27:$BH$46,MATCH(INDEX('Adjustment Surface'!$AN$27:$AN$46,MATCH(('Adjustment Surface'!$O32),'Adjustment Surface'!$AN$27:$AN$46,1)),$AN$27:$AN$46,0),MATCH(INDEX('Adjustment Surface'!$AO$26:$BH$26,1,MATCH(('Adjustment Surface'!Q$26),'Adjustment Surface'!$AO$26:$BH$26,1)+IF('Adjustment Surface'!R$26="",-1,1)),$AO$26:$BH$26,0))*(INDEX('Adjustment Surface'!$AN$27:$AN$46,MATCH(('Adjustment Surface'!$O32),'Adjustment Surface'!$AN$27:$AN$46,1)+IF('Adjustment Surface'!$O33="",-1,1))-'Adjustment Surface'!$O32)*('Adjustment Surface'!Q$26-INDEX('Adjustment Surface'!$AO$26:$BH$26,1,MATCH(('Adjustment Surface'!Q$26),'Adjustment Surface'!$AO$26:$BH$26,1)))+INDEX($AO$27:$BH$46,MATCH(INDEX('Adjustment Surface'!$AN$27:$AN$46,MATCH(('Adjustment Surface'!$O32),'Adjustment Surface'!$AN$27:$AN$46,1)+IF('Adjustment Surface'!$O33="",-1,1)),$AN$27:$AN$46,0),MATCH(INDEX('Adjustment Surface'!$AO$26:$BH$26,1,MATCH(('Adjustment Surface'!Q$26),'Adjustment Surface'!$AO$26:$BH$26,1)+IF('Adjustment Surface'!R$26="",-1,1)),$AO$26:$BH$26,0))*('Adjustment Surface'!$O32-INDEX('Adjustment Surface'!$AN$27:$AN$46,MATCH(('Adjustment Surface'!$O32),'Adjustment Surface'!$AN$27:$AN$46,1)))*('Adjustment Surface'!Q$26-INDEX('Adjustment Surface'!$AO$26:$BH$26,1,MATCH(('Adjustment Surface'!Q$26),'Adjustment Surface'!$AO$26:$BH$26,1)))))</f>
        <v>8.4446355380085354</v>
      </c>
      <c r="R32" s="193" cm="1">
        <f t="array" ref="R32">IF(OR(R$26="",$O32=""),"",1/((INDEX('Adjustment Surface'!$AN$27:$AN$46,MATCH(('Adjustment Surface'!$O32),'Adjustment Surface'!$AN$27:$AN$46,1)+IF('Adjustment Surface'!$O33="",-1,1))-INDEX('Adjustment Surface'!$AN$27:$AN$46,MATCH(('Adjustment Surface'!$O32),'Adjustment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Surface'!$O32),'Adjustment Surface'!$AN$27:$AN$46,1)),$AN$27:$AN$46,0),MATCH(INDEX('Adjustment Surface'!$AO$26:$BH$26,1,MATCH(('Adjustment Surface'!R$26),'Adjustment Surface'!$AO$26:$BH$26,1)),$AO$26:$BH$26,0))*(INDEX('Adjustment Surface'!$AN$27:$AN$46,MATCH(('Adjustment Surface'!$O32),'Adjustment Surface'!$AN$27:$AN$46,1)+IF('Adjustment Surface'!$O33="",-1,1))-'Adjustment Surface'!$O32)*(INDEX('Adjustment Surface'!$AO$26:$BH$26,1,MATCH(('Adjustment Surface'!R$26),'Adjustment Surface'!$AO$26:$BH$26,1)+IF('Adjustment Surface'!S$26="",-1,1))-'Adjustment Surface'!R$26)+INDEX($AO$27:$BH$46,MATCH(INDEX('Adjustment Surface'!$AN$27:$AN$46,MATCH(('Adjustment Surface'!$O32),'Adjustment Surface'!$AN$27:$AN$46,1)+IF('Adjustment Surface'!$O33="",-1,1)),$AN$27:$AN$46,0),MATCH(INDEX('Adjustment Surface'!$AO$26:$BH$26,1,MATCH(('Adjustment Surface'!R$26),'Adjustment Surface'!$AO$26:$BH$26,1)),$AO$26:$BH$26,0))*('Adjustment Surface'!$O32-INDEX('Adjustment Surface'!$AN$27:$AN$46,MATCH(('Adjustment Surface'!$O32),'Adjustment Surface'!$AN$27:$AN$46,1)))*(INDEX('Adjustment Surface'!$AO$26:$BH$26,1,MATCH(('Adjustment Surface'!R$26),'Adjustment Surface'!$AO$26:$BH$26,1)+IF('Adjustment Surface'!S$26="",-1,1))-'Adjustment Surface'!R$26)+INDEX($AO$27:$BH$46,MATCH(INDEX('Adjustment Surface'!$AN$27:$AN$46,MATCH(('Adjustment Surface'!$O32),'Adjustment Surface'!$AN$27:$AN$46,1)),$AN$27:$AN$46,0),MATCH(INDEX('Adjustment Surface'!$AO$26:$BH$26,1,MATCH(('Adjustment Surface'!R$26),'Adjustment Surface'!$AO$26:$BH$26,1)+IF('Adjustment Surface'!S$26="",-1,1)),$AO$26:$BH$26,0))*(INDEX('Adjustment Surface'!$AN$27:$AN$46,MATCH(('Adjustment Surface'!$O32),'Adjustment Surface'!$AN$27:$AN$46,1)+IF('Adjustment Surface'!$O33="",-1,1))-'Adjustment Surface'!$O32)*('Adjustment Surface'!R$26-INDEX('Adjustment Surface'!$AO$26:$BH$26,1,MATCH(('Adjustment Surface'!R$26),'Adjustment Surface'!$AO$26:$BH$26,1)))+INDEX($AO$27:$BH$46,MATCH(INDEX('Adjustment Surface'!$AN$27:$AN$46,MATCH(('Adjustment Surface'!$O32),'Adjustment Surface'!$AN$27:$AN$46,1)+IF('Adjustment Surface'!$O33="",-1,1)),$AN$27:$AN$46,0),MATCH(INDEX('Adjustment Surface'!$AO$26:$BH$26,1,MATCH(('Adjustment Surface'!R$26),'Adjustment Surface'!$AO$26:$BH$26,1)+IF('Adjustment Surface'!S$26="",-1,1)),$AO$26:$BH$26,0))*('Adjustment Surface'!$O32-INDEX('Adjustment Surface'!$AN$27:$AN$46,MATCH(('Adjustment Surface'!$O32),'Adjustment Surface'!$AN$27:$AN$46,1)))*('Adjustment Surface'!R$26-INDEX('Adjustment Surface'!$AO$26:$BH$26,1,MATCH(('Adjustment Surface'!R$26),'Adjustment Surface'!$AO$26:$BH$26,1)))))</f>
        <v>5.824235656653677</v>
      </c>
      <c r="S32" s="193" cm="1">
        <f t="array" ref="S32">IF(OR(S$26="",$O32=""),"",1/((INDEX('Adjustment Surface'!$AN$27:$AN$46,MATCH(('Adjustment Surface'!$O32),'Adjustment Surface'!$AN$27:$AN$46,1)+IF('Adjustment Surface'!$O33="",-1,1))-INDEX('Adjustment Surface'!$AN$27:$AN$46,MATCH(('Adjustment Surface'!$O32),'Adjustment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Surface'!$O32),'Adjustment Surface'!$AN$27:$AN$46,1)),$AN$27:$AN$46,0),MATCH(INDEX('Adjustment Surface'!$AO$26:$BH$26,1,MATCH(('Adjustment Surface'!S$26),'Adjustment Surface'!$AO$26:$BH$26,1)),$AO$26:$BH$26,0))*(INDEX('Adjustment Surface'!$AN$27:$AN$46,MATCH(('Adjustment Surface'!$O32),'Adjustment Surface'!$AN$27:$AN$46,1)+IF('Adjustment Surface'!$O33="",-1,1))-'Adjustment Surface'!$O32)*(INDEX('Adjustment Surface'!$AO$26:$BH$26,1,MATCH(('Adjustment Surface'!S$26),'Adjustment Surface'!$AO$26:$BH$26,1)+IF('Adjustment Surface'!T$26="",-1,1))-'Adjustment Surface'!S$26)+INDEX($AO$27:$BH$46,MATCH(INDEX('Adjustment Surface'!$AN$27:$AN$46,MATCH(('Adjustment Surface'!$O32),'Adjustment Surface'!$AN$27:$AN$46,1)+IF('Adjustment Surface'!$O33="",-1,1)),$AN$27:$AN$46,0),MATCH(INDEX('Adjustment Surface'!$AO$26:$BH$26,1,MATCH(('Adjustment Surface'!S$26),'Adjustment Surface'!$AO$26:$BH$26,1)),$AO$26:$BH$26,0))*('Adjustment Surface'!$O32-INDEX('Adjustment Surface'!$AN$27:$AN$46,MATCH(('Adjustment Surface'!$O32),'Adjustment Surface'!$AN$27:$AN$46,1)))*(INDEX('Adjustment Surface'!$AO$26:$BH$26,1,MATCH(('Adjustment Surface'!S$26),'Adjustment Surface'!$AO$26:$BH$26,1)+IF('Adjustment Surface'!T$26="",-1,1))-'Adjustment Surface'!S$26)+INDEX($AO$27:$BH$46,MATCH(INDEX('Adjustment Surface'!$AN$27:$AN$46,MATCH(('Adjustment Surface'!$O32),'Adjustment Surface'!$AN$27:$AN$46,1)),$AN$27:$AN$46,0),MATCH(INDEX('Adjustment Surface'!$AO$26:$BH$26,1,MATCH(('Adjustment Surface'!S$26),'Adjustment Surface'!$AO$26:$BH$26,1)+IF('Adjustment Surface'!T$26="",-1,1)),$AO$26:$BH$26,0))*(INDEX('Adjustment Surface'!$AN$27:$AN$46,MATCH(('Adjustment Surface'!$O32),'Adjustment Surface'!$AN$27:$AN$46,1)+IF('Adjustment Surface'!$O33="",-1,1))-'Adjustment Surface'!$O32)*('Adjustment Surface'!S$26-INDEX('Adjustment Surface'!$AO$26:$BH$26,1,MATCH(('Adjustment Surface'!S$26),'Adjustment Surface'!$AO$26:$BH$26,1)))+INDEX($AO$27:$BH$46,MATCH(INDEX('Adjustment Surface'!$AN$27:$AN$46,MATCH(('Adjustment Surface'!$O32),'Adjustment Surface'!$AN$27:$AN$46,1)+IF('Adjustment Surface'!$O33="",-1,1)),$AN$27:$AN$46,0),MATCH(INDEX('Adjustment Surface'!$AO$26:$BH$26,1,MATCH(('Adjustment Surface'!S$26),'Adjustment Surface'!$AO$26:$BH$26,1)+IF('Adjustment Surface'!T$26="",-1,1)),$AO$26:$BH$26,0))*('Adjustment Surface'!$O32-INDEX('Adjustment Surface'!$AN$27:$AN$46,MATCH(('Adjustment Surface'!$O32),'Adjustment Surface'!$AN$27:$AN$46,1)))*('Adjustment Surface'!S$26-INDEX('Adjustment Surface'!$AO$26:$BH$26,1,MATCH(('Adjustment Surface'!S$26),'Adjustment Surface'!$AO$26:$BH$26,1)))))</f>
        <v>3.2038357752988174</v>
      </c>
      <c r="T32" s="193" cm="1">
        <f t="array" ref="T32">IF(OR(T$26="",$O32=""),"",1/((INDEX('Adjustment Surface'!$AN$27:$AN$46,MATCH(('Adjustment Surface'!$O32),'Adjustment Surface'!$AN$27:$AN$46,1)+IF('Adjustment Surface'!$O33="",-1,1))-INDEX('Adjustment Surface'!$AN$27:$AN$46,MATCH(('Adjustment Surface'!$O32),'Adjustment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Surface'!$O32),'Adjustment Surface'!$AN$27:$AN$46,1)),$AN$27:$AN$46,0),MATCH(INDEX('Adjustment Surface'!$AO$26:$BH$26,1,MATCH(('Adjustment Surface'!T$26),'Adjustment Surface'!$AO$26:$BH$26,1)),$AO$26:$BH$26,0))*(INDEX('Adjustment Surface'!$AN$27:$AN$46,MATCH(('Adjustment Surface'!$O32),'Adjustment Surface'!$AN$27:$AN$46,1)+IF('Adjustment Surface'!$O33="",-1,1))-'Adjustment Surface'!$O32)*(INDEX('Adjustment Surface'!$AO$26:$BH$26,1,MATCH(('Adjustment Surface'!T$26),'Adjustment Surface'!$AO$26:$BH$26,1)+IF('Adjustment Surface'!U$26="",-1,1))-'Adjustment Surface'!T$26)+INDEX($AO$27:$BH$46,MATCH(INDEX('Adjustment Surface'!$AN$27:$AN$46,MATCH(('Adjustment Surface'!$O32),'Adjustment Surface'!$AN$27:$AN$46,1)+IF('Adjustment Surface'!$O33="",-1,1)),$AN$27:$AN$46,0),MATCH(INDEX('Adjustment Surface'!$AO$26:$BH$26,1,MATCH(('Adjustment Surface'!T$26),'Adjustment Surface'!$AO$26:$BH$26,1)),$AO$26:$BH$26,0))*('Adjustment Surface'!$O32-INDEX('Adjustment Surface'!$AN$27:$AN$46,MATCH(('Adjustment Surface'!$O32),'Adjustment Surface'!$AN$27:$AN$46,1)))*(INDEX('Adjustment Surface'!$AO$26:$BH$26,1,MATCH(('Adjustment Surface'!T$26),'Adjustment Surface'!$AO$26:$BH$26,1)+IF('Adjustment Surface'!U$26="",-1,1))-'Adjustment Surface'!T$26)+INDEX($AO$27:$BH$46,MATCH(INDEX('Adjustment Surface'!$AN$27:$AN$46,MATCH(('Adjustment Surface'!$O32),'Adjustment Surface'!$AN$27:$AN$46,1)),$AN$27:$AN$46,0),MATCH(INDEX('Adjustment Surface'!$AO$26:$BH$26,1,MATCH(('Adjustment Surface'!T$26),'Adjustment Surface'!$AO$26:$BH$26,1)+IF('Adjustment Surface'!U$26="",-1,1)),$AO$26:$BH$26,0))*(INDEX('Adjustment Surface'!$AN$27:$AN$46,MATCH(('Adjustment Surface'!$O32),'Adjustment Surface'!$AN$27:$AN$46,1)+IF('Adjustment Surface'!$O33="",-1,1))-'Adjustment Surface'!$O32)*('Adjustment Surface'!T$26-INDEX('Adjustment Surface'!$AO$26:$BH$26,1,MATCH(('Adjustment Surface'!T$26),'Adjustment Surface'!$AO$26:$BH$26,1)))+INDEX($AO$27:$BH$46,MATCH(INDEX('Adjustment Surface'!$AN$27:$AN$46,MATCH(('Adjustment Surface'!$O32),'Adjustment Surface'!$AN$27:$AN$46,1)+IF('Adjustment Surface'!$O33="",-1,1)),$AN$27:$AN$46,0),MATCH(INDEX('Adjustment Surface'!$AO$26:$BH$26,1,MATCH(('Adjustment Surface'!T$26),'Adjustment Surface'!$AO$26:$BH$26,1)+IF('Adjustment Surface'!U$26="",-1,1)),$AO$26:$BH$26,0))*('Adjustment Surface'!$O32-INDEX('Adjustment Surface'!$AN$27:$AN$46,MATCH(('Adjustment Surface'!$O32),'Adjustment Surface'!$AN$27:$AN$46,1)))*('Adjustment Surface'!T$26-INDEX('Adjustment Surface'!$AO$26:$BH$26,1,MATCH(('Adjustment Surface'!T$26),'Adjustment Surface'!$AO$26:$BH$26,1)))))</f>
        <v>0.58343589394395856</v>
      </c>
      <c r="U32" s="193" cm="1">
        <f t="array" ref="U32">IF(OR(U$26="",$O32=""),"",1/((INDEX('Adjustment Surface'!$AN$27:$AN$46,MATCH(('Adjustment Surface'!$O32),'Adjustment Surface'!$AN$27:$AN$46,1)+IF('Adjustment Surface'!$O33="",-1,1))-INDEX('Adjustment Surface'!$AN$27:$AN$46,MATCH(('Adjustment Surface'!$O32),'Adjustment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Surface'!$O32),'Adjustment Surface'!$AN$27:$AN$46,1)),$AN$27:$AN$46,0),MATCH(INDEX('Adjustment Surface'!$AO$26:$BH$26,1,MATCH(('Adjustment Surface'!U$26),'Adjustment Surface'!$AO$26:$BH$26,1)),$AO$26:$BH$26,0))*(INDEX('Adjustment Surface'!$AN$27:$AN$46,MATCH(('Adjustment Surface'!$O32),'Adjustment Surface'!$AN$27:$AN$46,1)+IF('Adjustment Surface'!$O33="",-1,1))-'Adjustment Surface'!$O32)*(INDEX('Adjustment Surface'!$AO$26:$BH$26,1,MATCH(('Adjustment Surface'!U$26),'Adjustment Surface'!$AO$26:$BH$26,1)+IF('Adjustment Surface'!V$26="",-1,1))-'Adjustment Surface'!U$26)+INDEX($AO$27:$BH$46,MATCH(INDEX('Adjustment Surface'!$AN$27:$AN$46,MATCH(('Adjustment Surface'!$O32),'Adjustment Surface'!$AN$27:$AN$46,1)+IF('Adjustment Surface'!$O33="",-1,1)),$AN$27:$AN$46,0),MATCH(INDEX('Adjustment Surface'!$AO$26:$BH$26,1,MATCH(('Adjustment Surface'!U$26),'Adjustment Surface'!$AO$26:$BH$26,1)),$AO$26:$BH$26,0))*('Adjustment Surface'!$O32-INDEX('Adjustment Surface'!$AN$27:$AN$46,MATCH(('Adjustment Surface'!$O32),'Adjustment Surface'!$AN$27:$AN$46,1)))*(INDEX('Adjustment Surface'!$AO$26:$BH$26,1,MATCH(('Adjustment Surface'!U$26),'Adjustment Surface'!$AO$26:$BH$26,1)+IF('Adjustment Surface'!V$26="",-1,1))-'Adjustment Surface'!U$26)+INDEX($AO$27:$BH$46,MATCH(INDEX('Adjustment Surface'!$AN$27:$AN$46,MATCH(('Adjustment Surface'!$O32),'Adjustment Surface'!$AN$27:$AN$46,1)),$AN$27:$AN$46,0),MATCH(INDEX('Adjustment Surface'!$AO$26:$BH$26,1,MATCH(('Adjustment Surface'!U$26),'Adjustment Surface'!$AO$26:$BH$26,1)+IF('Adjustment Surface'!V$26="",-1,1)),$AO$26:$BH$26,0))*(INDEX('Adjustment Surface'!$AN$27:$AN$46,MATCH(('Adjustment Surface'!$O32),'Adjustment Surface'!$AN$27:$AN$46,1)+IF('Adjustment Surface'!$O33="",-1,1))-'Adjustment Surface'!$O32)*('Adjustment Surface'!U$26-INDEX('Adjustment Surface'!$AO$26:$BH$26,1,MATCH(('Adjustment Surface'!U$26),'Adjustment Surface'!$AO$26:$BH$26,1)))+INDEX($AO$27:$BH$46,MATCH(INDEX('Adjustment Surface'!$AN$27:$AN$46,MATCH(('Adjustment Surface'!$O32),'Adjustment Surface'!$AN$27:$AN$46,1)+IF('Adjustment Surface'!$O33="",-1,1)),$AN$27:$AN$46,0),MATCH(INDEX('Adjustment Surface'!$AO$26:$BH$26,1,MATCH(('Adjustment Surface'!U$26),'Adjustment Surface'!$AO$26:$BH$26,1)+IF('Adjustment Surface'!V$26="",-1,1)),$AO$26:$BH$26,0))*('Adjustment Surface'!$O32-INDEX('Adjustment Surface'!$AN$27:$AN$46,MATCH(('Adjustment Surface'!$O32),'Adjustment Surface'!$AN$27:$AN$46,1)))*('Adjustment Surface'!U$26-INDEX('Adjustment Surface'!$AO$26:$BH$26,1,MATCH(('Adjustment Surface'!U$26),'Adjustment Surface'!$AO$26:$BH$26,1)))))</f>
        <v>0.52182491619021798</v>
      </c>
      <c r="V32" s="193" cm="1">
        <f t="array" ref="V32">IF(OR(V$26="",$O32=""),"",1/((INDEX('Adjustment Surface'!$AN$27:$AN$46,MATCH(('Adjustment Surface'!$O32),'Adjustment Surface'!$AN$27:$AN$46,1)+IF('Adjustment Surface'!$O33="",-1,1))-INDEX('Adjustment Surface'!$AN$27:$AN$46,MATCH(('Adjustment Surface'!$O32),'Adjustment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Surface'!$O32),'Adjustment Surface'!$AN$27:$AN$46,1)),$AN$27:$AN$46,0),MATCH(INDEX('Adjustment Surface'!$AO$26:$BH$26,1,MATCH(('Adjustment Surface'!V$26),'Adjustment Surface'!$AO$26:$BH$26,1)),$AO$26:$BH$26,0))*(INDEX('Adjustment Surface'!$AN$27:$AN$46,MATCH(('Adjustment Surface'!$O32),'Adjustment Surface'!$AN$27:$AN$46,1)+IF('Adjustment Surface'!$O33="",-1,1))-'Adjustment Surface'!$O32)*(INDEX('Adjustment Surface'!$AO$26:$BH$26,1,MATCH(('Adjustment Surface'!V$26),'Adjustment Surface'!$AO$26:$BH$26,1)+IF('Adjustment Surface'!W$26="",-1,1))-'Adjustment Surface'!V$26)+INDEX($AO$27:$BH$46,MATCH(INDEX('Adjustment Surface'!$AN$27:$AN$46,MATCH(('Adjustment Surface'!$O32),'Adjustment Surface'!$AN$27:$AN$46,1)+IF('Adjustment Surface'!$O33="",-1,1)),$AN$27:$AN$46,0),MATCH(INDEX('Adjustment Surface'!$AO$26:$BH$26,1,MATCH(('Adjustment Surface'!V$26),'Adjustment Surface'!$AO$26:$BH$26,1)),$AO$26:$BH$26,0))*('Adjustment Surface'!$O32-INDEX('Adjustment Surface'!$AN$27:$AN$46,MATCH(('Adjustment Surface'!$O32),'Adjustment Surface'!$AN$27:$AN$46,1)))*(INDEX('Adjustment Surface'!$AO$26:$BH$26,1,MATCH(('Adjustment Surface'!V$26),'Adjustment Surface'!$AO$26:$BH$26,1)+IF('Adjustment Surface'!W$26="",-1,1))-'Adjustment Surface'!V$26)+INDEX($AO$27:$BH$46,MATCH(INDEX('Adjustment Surface'!$AN$27:$AN$46,MATCH(('Adjustment Surface'!$O32),'Adjustment Surface'!$AN$27:$AN$46,1)),$AN$27:$AN$46,0),MATCH(INDEX('Adjustment Surface'!$AO$26:$BH$26,1,MATCH(('Adjustment Surface'!V$26),'Adjustment Surface'!$AO$26:$BH$26,1)+IF('Adjustment Surface'!W$26="",-1,1)),$AO$26:$BH$26,0))*(INDEX('Adjustment Surface'!$AN$27:$AN$46,MATCH(('Adjustment Surface'!$O32),'Adjustment Surface'!$AN$27:$AN$46,1)+IF('Adjustment Surface'!$O33="",-1,1))-'Adjustment Surface'!$O32)*('Adjustment Surface'!V$26-INDEX('Adjustment Surface'!$AO$26:$BH$26,1,MATCH(('Adjustment Surface'!V$26),'Adjustment Surface'!$AO$26:$BH$26,1)))+INDEX($AO$27:$BH$46,MATCH(INDEX('Adjustment Surface'!$AN$27:$AN$46,MATCH(('Adjustment Surface'!$O32),'Adjustment Surface'!$AN$27:$AN$46,1)+IF('Adjustment Surface'!$O33="",-1,1)),$AN$27:$AN$46,0),MATCH(INDEX('Adjustment Surface'!$AO$26:$BH$26,1,MATCH(('Adjustment Surface'!V$26),'Adjustment Surface'!$AO$26:$BH$26,1)+IF('Adjustment Surface'!W$26="",-1,1)),$AO$26:$BH$26,0))*('Adjustment Surface'!$O32-INDEX('Adjustment Surface'!$AN$27:$AN$46,MATCH(('Adjustment Surface'!$O32),'Adjustment Surface'!$AN$27:$AN$46,1)))*('Adjustment Surface'!V$26-INDEX('Adjustment Surface'!$AO$26:$BH$26,1,MATCH(('Adjustment Surface'!V$26),'Adjustment Surface'!$AO$26:$BH$26,1)))))</f>
        <v>0.4588448055975054</v>
      </c>
      <c r="W32" s="193" cm="1">
        <f t="array" ref="W32">IF(OR(W$26="",$O32=""),"",1/((INDEX('Adjustment Surface'!$AN$27:$AN$46,MATCH(('Adjustment Surface'!$O32),'Adjustment Surface'!$AN$27:$AN$46,1)+IF('Adjustment Surface'!$O33="",-1,1))-INDEX('Adjustment Surface'!$AN$27:$AN$46,MATCH(('Adjustment Surface'!$O32),'Adjustment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Surface'!$O32),'Adjustment Surface'!$AN$27:$AN$46,1)),$AN$27:$AN$46,0),MATCH(INDEX('Adjustment Surface'!$AO$26:$BH$26,1,MATCH(('Adjustment Surface'!W$26),'Adjustment Surface'!$AO$26:$BH$26,1)),$AO$26:$BH$26,0))*(INDEX('Adjustment Surface'!$AN$27:$AN$46,MATCH(('Adjustment Surface'!$O32),'Adjustment Surface'!$AN$27:$AN$46,1)+IF('Adjustment Surface'!$O33="",-1,1))-'Adjustment Surface'!$O32)*(INDEX('Adjustment Surface'!$AO$26:$BH$26,1,MATCH(('Adjustment Surface'!W$26),'Adjustment Surface'!$AO$26:$BH$26,1)+IF('Adjustment Surface'!X$26="",-1,1))-'Adjustment Surface'!W$26)+INDEX($AO$27:$BH$46,MATCH(INDEX('Adjustment Surface'!$AN$27:$AN$46,MATCH(('Adjustment Surface'!$O32),'Adjustment Surface'!$AN$27:$AN$46,1)+IF('Adjustment Surface'!$O33="",-1,1)),$AN$27:$AN$46,0),MATCH(INDEX('Adjustment Surface'!$AO$26:$BH$26,1,MATCH(('Adjustment Surface'!W$26),'Adjustment Surface'!$AO$26:$BH$26,1)),$AO$26:$BH$26,0))*('Adjustment Surface'!$O32-INDEX('Adjustment Surface'!$AN$27:$AN$46,MATCH(('Adjustment Surface'!$O32),'Adjustment Surface'!$AN$27:$AN$46,1)))*(INDEX('Adjustment Surface'!$AO$26:$BH$26,1,MATCH(('Adjustment Surface'!W$26),'Adjustment Surface'!$AO$26:$BH$26,1)+IF('Adjustment Surface'!X$26="",-1,1))-'Adjustment Surface'!W$26)+INDEX($AO$27:$BH$46,MATCH(INDEX('Adjustment Surface'!$AN$27:$AN$46,MATCH(('Adjustment Surface'!$O32),'Adjustment Surface'!$AN$27:$AN$46,1)),$AN$27:$AN$46,0),MATCH(INDEX('Adjustment Surface'!$AO$26:$BH$26,1,MATCH(('Adjustment Surface'!W$26),'Adjustment Surface'!$AO$26:$BH$26,1)+IF('Adjustment Surface'!X$26="",-1,1)),$AO$26:$BH$26,0))*(INDEX('Adjustment Surface'!$AN$27:$AN$46,MATCH(('Adjustment Surface'!$O32),'Adjustment Surface'!$AN$27:$AN$46,1)+IF('Adjustment Surface'!$O33="",-1,1))-'Adjustment Surface'!$O32)*('Adjustment Surface'!W$26-INDEX('Adjustment Surface'!$AO$26:$BH$26,1,MATCH(('Adjustment Surface'!W$26),'Adjustment Surface'!$AO$26:$BH$26,1)))+INDEX($AO$27:$BH$46,MATCH(INDEX('Adjustment Surface'!$AN$27:$AN$46,MATCH(('Adjustment Surface'!$O32),'Adjustment Surface'!$AN$27:$AN$46,1)+IF('Adjustment Surface'!$O33="",-1,1)),$AN$27:$AN$46,0),MATCH(INDEX('Adjustment Surface'!$AO$26:$BH$26,1,MATCH(('Adjustment Surface'!W$26),'Adjustment Surface'!$AO$26:$BH$26,1)+IF('Adjustment Surface'!X$26="",-1,1)),$AO$26:$BH$26,0))*('Adjustment Surface'!$O32-INDEX('Adjustment Surface'!$AN$27:$AN$46,MATCH(('Adjustment Surface'!$O32),'Adjustment Surface'!$AN$27:$AN$46,1)))*('Adjustment Surface'!W$26-INDEX('Adjustment Surface'!$AO$26:$BH$26,1,MATCH(('Adjustment Surface'!W$26),'Adjustment Surface'!$AO$26:$BH$26,1)))))</f>
        <v>0.39586469500479271</v>
      </c>
      <c r="X32" s="193" cm="1">
        <f t="array" ref="X32">IF(OR(X$26="",$O32=""),"",1/((INDEX('Adjustment Surface'!$AN$27:$AN$46,MATCH(('Adjustment Surface'!$O32),'Adjustment Surface'!$AN$27:$AN$46,1)+IF('Adjustment Surface'!$O33="",-1,1))-INDEX('Adjustment Surface'!$AN$27:$AN$46,MATCH(('Adjustment Surface'!$O32),'Adjustment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Surface'!$O32),'Adjustment Surface'!$AN$27:$AN$46,1)),$AN$27:$AN$46,0),MATCH(INDEX('Adjustment Surface'!$AO$26:$BH$26,1,MATCH(('Adjustment Surface'!X$26),'Adjustment Surface'!$AO$26:$BH$26,1)),$AO$26:$BH$26,0))*(INDEX('Adjustment Surface'!$AN$27:$AN$46,MATCH(('Adjustment Surface'!$O32),'Adjustment Surface'!$AN$27:$AN$46,1)+IF('Adjustment Surface'!$O33="",-1,1))-'Adjustment Surface'!$O32)*(INDEX('Adjustment Surface'!$AO$26:$BH$26,1,MATCH(('Adjustment Surface'!X$26),'Adjustment Surface'!$AO$26:$BH$26,1)+IF('Adjustment Surface'!Y$26="",-1,1))-'Adjustment Surface'!X$26)+INDEX($AO$27:$BH$46,MATCH(INDEX('Adjustment Surface'!$AN$27:$AN$46,MATCH(('Adjustment Surface'!$O32),'Adjustment Surface'!$AN$27:$AN$46,1)+IF('Adjustment Surface'!$O33="",-1,1)),$AN$27:$AN$46,0),MATCH(INDEX('Adjustment Surface'!$AO$26:$BH$26,1,MATCH(('Adjustment Surface'!X$26),'Adjustment Surface'!$AO$26:$BH$26,1)),$AO$26:$BH$26,0))*('Adjustment Surface'!$O32-INDEX('Adjustment Surface'!$AN$27:$AN$46,MATCH(('Adjustment Surface'!$O32),'Adjustment Surface'!$AN$27:$AN$46,1)))*(INDEX('Adjustment Surface'!$AO$26:$BH$26,1,MATCH(('Adjustment Surface'!X$26),'Adjustment Surface'!$AO$26:$BH$26,1)+IF('Adjustment Surface'!Y$26="",-1,1))-'Adjustment Surface'!X$26)+INDEX($AO$27:$BH$46,MATCH(INDEX('Adjustment Surface'!$AN$27:$AN$46,MATCH(('Adjustment Surface'!$O32),'Adjustment Surface'!$AN$27:$AN$46,1)),$AN$27:$AN$46,0),MATCH(INDEX('Adjustment Surface'!$AO$26:$BH$26,1,MATCH(('Adjustment Surface'!X$26),'Adjustment Surface'!$AO$26:$BH$26,1)+IF('Adjustment Surface'!Y$26="",-1,1)),$AO$26:$BH$26,0))*(INDEX('Adjustment Surface'!$AN$27:$AN$46,MATCH(('Adjustment Surface'!$O32),'Adjustment Surface'!$AN$27:$AN$46,1)+IF('Adjustment Surface'!$O33="",-1,1))-'Adjustment Surface'!$O32)*('Adjustment Surface'!X$26-INDEX('Adjustment Surface'!$AO$26:$BH$26,1,MATCH(('Adjustment Surface'!X$26),'Adjustment Surface'!$AO$26:$BH$26,1)))+INDEX($AO$27:$BH$46,MATCH(INDEX('Adjustment Surface'!$AN$27:$AN$46,MATCH(('Adjustment Surface'!$O32),'Adjustment Surface'!$AN$27:$AN$46,1)+IF('Adjustment Surface'!$O33="",-1,1)),$AN$27:$AN$46,0),MATCH(INDEX('Adjustment Surface'!$AO$26:$BH$26,1,MATCH(('Adjustment Surface'!X$26),'Adjustment Surface'!$AO$26:$BH$26,1)+IF('Adjustment Surface'!Y$26="",-1,1)),$AO$26:$BH$26,0))*('Adjustment Surface'!$O32-INDEX('Adjustment Surface'!$AN$27:$AN$46,MATCH(('Adjustment Surface'!$O32),'Adjustment Surface'!$AN$27:$AN$46,1)))*('Adjustment Surface'!X$26-INDEX('Adjustment Surface'!$AO$26:$BH$26,1,MATCH(('Adjustment Surface'!X$26),'Adjustment Surface'!$AO$26:$BH$26,1)))))</f>
        <v>0.33288458441208008</v>
      </c>
      <c r="Y32" s="193" t="str" cm="1">
        <f t="array" ref="Y32">IF(OR(Y$26="",$O32=""),"",1/((INDEX('Adjustment Surface'!$AN$27:$AN$46,MATCH(('Adjustment Surface'!$O32),'Adjustment Surface'!$AN$27:$AN$46,1)+IF('Adjustment Surface'!$O33="",-1,1))-INDEX('Adjustment Surface'!$AN$27:$AN$46,MATCH(('Adjustment Surface'!$O32),'Adjustment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Surface'!$O32),'Adjustment Surface'!$AN$27:$AN$46,1)),$AN$27:$AN$46,0),MATCH(INDEX('Adjustment Surface'!$AO$26:$BH$26,1,MATCH(('Adjustment Surface'!Y$26),'Adjustment Surface'!$AO$26:$BH$26,1)),$AO$26:$BH$26,0))*(INDEX('Adjustment Surface'!$AN$27:$AN$46,MATCH(('Adjustment Surface'!$O32),'Adjustment Surface'!$AN$27:$AN$46,1)+IF('Adjustment Surface'!$O33="",-1,1))-'Adjustment Surface'!$O32)*(INDEX('Adjustment Surface'!$AO$26:$BH$26,1,MATCH(('Adjustment Surface'!Y$26),'Adjustment Surface'!$AO$26:$BH$26,1)+IF('Adjustment Surface'!Z$26="",-1,1))-'Adjustment Surface'!Y$26)+INDEX($AO$27:$BH$46,MATCH(INDEX('Adjustment Surface'!$AN$27:$AN$46,MATCH(('Adjustment Surface'!$O32),'Adjustment Surface'!$AN$27:$AN$46,1)+IF('Adjustment Surface'!$O33="",-1,1)),$AN$27:$AN$46,0),MATCH(INDEX('Adjustment Surface'!$AO$26:$BH$26,1,MATCH(('Adjustment Surface'!Y$26),'Adjustment Surface'!$AO$26:$BH$26,1)),$AO$26:$BH$26,0))*('Adjustment Surface'!$O32-INDEX('Adjustment Surface'!$AN$27:$AN$46,MATCH(('Adjustment Surface'!$O32),'Adjustment Surface'!$AN$27:$AN$46,1)))*(INDEX('Adjustment Surface'!$AO$26:$BH$26,1,MATCH(('Adjustment Surface'!Y$26),'Adjustment Surface'!$AO$26:$BH$26,1)+IF('Adjustment Surface'!Z$26="",-1,1))-'Adjustment Surface'!Y$26)+INDEX($AO$27:$BH$46,MATCH(INDEX('Adjustment Surface'!$AN$27:$AN$46,MATCH(('Adjustment Surface'!$O32),'Adjustment Surface'!$AN$27:$AN$46,1)),$AN$27:$AN$46,0),MATCH(INDEX('Adjustment Surface'!$AO$26:$BH$26,1,MATCH(('Adjustment Surface'!Y$26),'Adjustment Surface'!$AO$26:$BH$26,1)+IF('Adjustment Surface'!Z$26="",-1,1)),$AO$26:$BH$26,0))*(INDEX('Adjustment Surface'!$AN$27:$AN$46,MATCH(('Adjustment Surface'!$O32),'Adjustment Surface'!$AN$27:$AN$46,1)+IF('Adjustment Surface'!$O33="",-1,1))-'Adjustment Surface'!$O32)*('Adjustment Surface'!Y$26-INDEX('Adjustment Surface'!$AO$26:$BH$26,1,MATCH(('Adjustment Surface'!Y$26),'Adjustment Surface'!$AO$26:$BH$26,1)))+INDEX($AO$27:$BH$46,MATCH(INDEX('Adjustment Surface'!$AN$27:$AN$46,MATCH(('Adjustment Surface'!$O32),'Adjustment Surface'!$AN$27:$AN$46,1)+IF('Adjustment Surface'!$O33="",-1,1)),$AN$27:$AN$46,0),MATCH(INDEX('Adjustment Surface'!$AO$26:$BH$26,1,MATCH(('Adjustment Surface'!Y$26),'Adjustment Surface'!$AO$26:$BH$26,1)+IF('Adjustment Surface'!Z$26="",-1,1)),$AO$26:$BH$26,0))*('Adjustment Surface'!$O32-INDEX('Adjustment Surface'!$AN$27:$AN$46,MATCH(('Adjustment Surface'!$O32),'Adjustment Surface'!$AN$27:$AN$46,1)))*('Adjustment Surface'!Y$26-INDEX('Adjustment Surface'!$AO$26:$BH$26,1,MATCH(('Adjustment Surface'!Y$26),'Adjustment Surface'!$AO$26:$BH$26,1)))))</f>
        <v/>
      </c>
      <c r="Z32" s="193" t="str" cm="1">
        <f t="array" ref="Z32">IF(OR(Z$26="",$O32=""),"",1/((INDEX('Adjustment Surface'!$AN$27:$AN$46,MATCH(('Adjustment Surface'!$O32),'Adjustment Surface'!$AN$27:$AN$46,1)+IF('Adjustment Surface'!$O33="",-1,1))-INDEX('Adjustment Surface'!$AN$27:$AN$46,MATCH(('Adjustment Surface'!$O32),'Adjustment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Surface'!$O32),'Adjustment Surface'!$AN$27:$AN$46,1)),$AN$27:$AN$46,0),MATCH(INDEX('Adjustment Surface'!$AO$26:$BH$26,1,MATCH(('Adjustment Surface'!Z$26),'Adjustment Surface'!$AO$26:$BH$26,1)),$AO$26:$BH$26,0))*(INDEX('Adjustment Surface'!$AN$27:$AN$46,MATCH(('Adjustment Surface'!$O32),'Adjustment Surface'!$AN$27:$AN$46,1)+IF('Adjustment Surface'!$O33="",-1,1))-'Adjustment Surface'!$O32)*(INDEX('Adjustment Surface'!$AO$26:$BH$26,1,MATCH(('Adjustment Surface'!Z$26),'Adjustment Surface'!$AO$26:$BH$26,1)+IF('Adjustment Surface'!AA$26="",-1,1))-'Adjustment Surface'!Z$26)+INDEX($AO$27:$BH$46,MATCH(INDEX('Adjustment Surface'!$AN$27:$AN$46,MATCH(('Adjustment Surface'!$O32),'Adjustment Surface'!$AN$27:$AN$46,1)+IF('Adjustment Surface'!$O33="",-1,1)),$AN$27:$AN$46,0),MATCH(INDEX('Adjustment Surface'!$AO$26:$BH$26,1,MATCH(('Adjustment Surface'!Z$26),'Adjustment Surface'!$AO$26:$BH$26,1)),$AO$26:$BH$26,0))*('Adjustment Surface'!$O32-INDEX('Adjustment Surface'!$AN$27:$AN$46,MATCH(('Adjustment Surface'!$O32),'Adjustment Surface'!$AN$27:$AN$46,1)))*(INDEX('Adjustment Surface'!$AO$26:$BH$26,1,MATCH(('Adjustment Surface'!Z$26),'Adjustment Surface'!$AO$26:$BH$26,1)+IF('Adjustment Surface'!AA$26="",-1,1))-'Adjustment Surface'!Z$26)+INDEX($AO$27:$BH$46,MATCH(INDEX('Adjustment Surface'!$AN$27:$AN$46,MATCH(('Adjustment Surface'!$O32),'Adjustment Surface'!$AN$27:$AN$46,1)),$AN$27:$AN$46,0),MATCH(INDEX('Adjustment Surface'!$AO$26:$BH$26,1,MATCH(('Adjustment Surface'!Z$26),'Adjustment Surface'!$AO$26:$BH$26,1)+IF('Adjustment Surface'!AA$26="",-1,1)),$AO$26:$BH$26,0))*(INDEX('Adjustment Surface'!$AN$27:$AN$46,MATCH(('Adjustment Surface'!$O32),'Adjustment Surface'!$AN$27:$AN$46,1)+IF('Adjustment Surface'!$O33="",-1,1))-'Adjustment Surface'!$O32)*('Adjustment Surface'!Z$26-INDEX('Adjustment Surface'!$AO$26:$BH$26,1,MATCH(('Adjustment Surface'!Z$26),'Adjustment Surface'!$AO$26:$BH$26,1)))+INDEX($AO$27:$BH$46,MATCH(INDEX('Adjustment Surface'!$AN$27:$AN$46,MATCH(('Adjustment Surface'!$O32),'Adjustment Surface'!$AN$27:$AN$46,1)+IF('Adjustment Surface'!$O33="",-1,1)),$AN$27:$AN$46,0),MATCH(INDEX('Adjustment Surface'!$AO$26:$BH$26,1,MATCH(('Adjustment Surface'!Z$26),'Adjustment Surface'!$AO$26:$BH$26,1)+IF('Adjustment Surface'!AA$26="",-1,1)),$AO$26:$BH$26,0))*('Adjustment Surface'!$O32-INDEX('Adjustment Surface'!$AN$27:$AN$46,MATCH(('Adjustment Surface'!$O32),'Adjustment Surface'!$AN$27:$AN$46,1)))*('Adjustment Surface'!Z$26-INDEX('Adjustment Surface'!$AO$26:$BH$26,1,MATCH(('Adjustment Surface'!Z$26),'Adjustment Surface'!$AO$26:$BH$26,1)))))</f>
        <v/>
      </c>
      <c r="AA32" s="193" t="str" cm="1">
        <f t="array" ref="AA32">IF(OR(AA$26="",$O32=""),"",1/((INDEX('Adjustment Surface'!$AN$27:$AN$46,MATCH(('Adjustment Surface'!$O32),'Adjustment Surface'!$AN$27:$AN$46,1)+IF('Adjustment Surface'!$O33="",-1,1))-INDEX('Adjustment Surface'!$AN$27:$AN$46,MATCH(('Adjustment Surface'!$O32),'Adjustment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Surface'!$O32),'Adjustment Surface'!$AN$27:$AN$46,1)),$AN$27:$AN$46,0),MATCH(INDEX('Adjustment Surface'!$AO$26:$BH$26,1,MATCH(('Adjustment Surface'!AA$26),'Adjustment Surface'!$AO$26:$BH$26,1)),$AO$26:$BH$26,0))*(INDEX('Adjustment Surface'!$AN$27:$AN$46,MATCH(('Adjustment Surface'!$O32),'Adjustment Surface'!$AN$27:$AN$46,1)+IF('Adjustment Surface'!$O33="",-1,1))-'Adjustment Surface'!$O32)*(INDEX('Adjustment Surface'!$AO$26:$BH$26,1,MATCH(('Adjustment Surface'!AA$26),'Adjustment Surface'!$AO$26:$BH$26,1)+IF('Adjustment Surface'!AB$26="",-1,1))-'Adjustment Surface'!AA$26)+INDEX($AO$27:$BH$46,MATCH(INDEX('Adjustment Surface'!$AN$27:$AN$46,MATCH(('Adjustment Surface'!$O32),'Adjustment Surface'!$AN$27:$AN$46,1)+IF('Adjustment Surface'!$O33="",-1,1)),$AN$27:$AN$46,0),MATCH(INDEX('Adjustment Surface'!$AO$26:$BH$26,1,MATCH(('Adjustment Surface'!AA$26),'Adjustment Surface'!$AO$26:$BH$26,1)),$AO$26:$BH$26,0))*('Adjustment Surface'!$O32-INDEX('Adjustment Surface'!$AN$27:$AN$46,MATCH(('Adjustment Surface'!$O32),'Adjustment Surface'!$AN$27:$AN$46,1)))*(INDEX('Adjustment Surface'!$AO$26:$BH$26,1,MATCH(('Adjustment Surface'!AA$26),'Adjustment Surface'!$AO$26:$BH$26,1)+IF('Adjustment Surface'!AB$26="",-1,1))-'Adjustment Surface'!AA$26)+INDEX($AO$27:$BH$46,MATCH(INDEX('Adjustment Surface'!$AN$27:$AN$46,MATCH(('Adjustment Surface'!$O32),'Adjustment Surface'!$AN$27:$AN$46,1)),$AN$27:$AN$46,0),MATCH(INDEX('Adjustment Surface'!$AO$26:$BH$26,1,MATCH(('Adjustment Surface'!AA$26),'Adjustment Surface'!$AO$26:$BH$26,1)+IF('Adjustment Surface'!AB$26="",-1,1)),$AO$26:$BH$26,0))*(INDEX('Adjustment Surface'!$AN$27:$AN$46,MATCH(('Adjustment Surface'!$O32),'Adjustment Surface'!$AN$27:$AN$46,1)+IF('Adjustment Surface'!$O33="",-1,1))-'Adjustment Surface'!$O32)*('Adjustment Surface'!AA$26-INDEX('Adjustment Surface'!$AO$26:$BH$26,1,MATCH(('Adjustment Surface'!AA$26),'Adjustment Surface'!$AO$26:$BH$26,1)))+INDEX($AO$27:$BH$46,MATCH(INDEX('Adjustment Surface'!$AN$27:$AN$46,MATCH(('Adjustment Surface'!$O32),'Adjustment Surface'!$AN$27:$AN$46,1)+IF('Adjustment Surface'!$O33="",-1,1)),$AN$27:$AN$46,0),MATCH(INDEX('Adjustment Surface'!$AO$26:$BH$26,1,MATCH(('Adjustment Surface'!AA$26),'Adjustment Surface'!$AO$26:$BH$26,1)+IF('Adjustment Surface'!AB$26="",-1,1)),$AO$26:$BH$26,0))*('Adjustment Surface'!$O32-INDEX('Adjustment Surface'!$AN$27:$AN$46,MATCH(('Adjustment Surface'!$O32),'Adjustment Surface'!$AN$27:$AN$46,1)))*('Adjustment Surface'!AA$26-INDEX('Adjustment Surface'!$AO$26:$BH$26,1,MATCH(('Adjustment Surface'!AA$26),'Adjustment Surface'!$AO$26:$BH$26,1)))))</f>
        <v/>
      </c>
      <c r="AB32" s="193" t="str" cm="1">
        <f t="array" ref="AB32">IF(OR(AB$26="",$O32=""),"",1/((INDEX('Adjustment Surface'!$AN$27:$AN$46,MATCH(('Adjustment Surface'!$O32),'Adjustment Surface'!$AN$27:$AN$46,1)+IF('Adjustment Surface'!$O33="",-1,1))-INDEX('Adjustment Surface'!$AN$27:$AN$46,MATCH(('Adjustment Surface'!$O32),'Adjustment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Surface'!$O32),'Adjustment Surface'!$AN$27:$AN$46,1)),$AN$27:$AN$46,0),MATCH(INDEX('Adjustment Surface'!$AO$26:$BH$26,1,MATCH(('Adjustment Surface'!AB$26),'Adjustment Surface'!$AO$26:$BH$26,1)),$AO$26:$BH$26,0))*(INDEX('Adjustment Surface'!$AN$27:$AN$46,MATCH(('Adjustment Surface'!$O32),'Adjustment Surface'!$AN$27:$AN$46,1)+IF('Adjustment Surface'!$O33="",-1,1))-'Adjustment Surface'!$O32)*(INDEX('Adjustment Surface'!$AO$26:$BH$26,1,MATCH(('Adjustment Surface'!AB$26),'Adjustment Surface'!$AO$26:$BH$26,1)+IF('Adjustment Surface'!AC$26="",-1,1))-'Adjustment Surface'!AB$26)+INDEX($AO$27:$BH$46,MATCH(INDEX('Adjustment Surface'!$AN$27:$AN$46,MATCH(('Adjustment Surface'!$O32),'Adjustment Surface'!$AN$27:$AN$46,1)+IF('Adjustment Surface'!$O33="",-1,1)),$AN$27:$AN$46,0),MATCH(INDEX('Adjustment Surface'!$AO$26:$BH$26,1,MATCH(('Adjustment Surface'!AB$26),'Adjustment Surface'!$AO$26:$BH$26,1)),$AO$26:$BH$26,0))*('Adjustment Surface'!$O32-INDEX('Adjustment Surface'!$AN$27:$AN$46,MATCH(('Adjustment Surface'!$O32),'Adjustment Surface'!$AN$27:$AN$46,1)))*(INDEX('Adjustment Surface'!$AO$26:$BH$26,1,MATCH(('Adjustment Surface'!AB$26),'Adjustment Surface'!$AO$26:$BH$26,1)+IF('Adjustment Surface'!AC$26="",-1,1))-'Adjustment Surface'!AB$26)+INDEX($AO$27:$BH$46,MATCH(INDEX('Adjustment Surface'!$AN$27:$AN$46,MATCH(('Adjustment Surface'!$O32),'Adjustment Surface'!$AN$27:$AN$46,1)),$AN$27:$AN$46,0),MATCH(INDEX('Adjustment Surface'!$AO$26:$BH$26,1,MATCH(('Adjustment Surface'!AB$26),'Adjustment Surface'!$AO$26:$BH$26,1)+IF('Adjustment Surface'!AC$26="",-1,1)),$AO$26:$BH$26,0))*(INDEX('Adjustment Surface'!$AN$27:$AN$46,MATCH(('Adjustment Surface'!$O32),'Adjustment Surface'!$AN$27:$AN$46,1)+IF('Adjustment Surface'!$O33="",-1,1))-'Adjustment Surface'!$O32)*('Adjustment Surface'!AB$26-INDEX('Adjustment Surface'!$AO$26:$BH$26,1,MATCH(('Adjustment Surface'!AB$26),'Adjustment Surface'!$AO$26:$BH$26,1)))+INDEX($AO$27:$BH$46,MATCH(INDEX('Adjustment Surface'!$AN$27:$AN$46,MATCH(('Adjustment Surface'!$O32),'Adjustment Surface'!$AN$27:$AN$46,1)+IF('Adjustment Surface'!$O33="",-1,1)),$AN$27:$AN$46,0),MATCH(INDEX('Adjustment Surface'!$AO$26:$BH$26,1,MATCH(('Adjustment Surface'!AB$26),'Adjustment Surface'!$AO$26:$BH$26,1)+IF('Adjustment Surface'!AC$26="",-1,1)),$AO$26:$BH$26,0))*('Adjustment Surface'!$O32-INDEX('Adjustment Surface'!$AN$27:$AN$46,MATCH(('Adjustment Surface'!$O32),'Adjustment Surface'!$AN$27:$AN$46,1)))*('Adjustment Surface'!AB$26-INDEX('Adjustment Surface'!$AO$26:$BH$26,1,MATCH(('Adjustment Surface'!AB$26),'Adjustment Surface'!$AO$26:$BH$26,1)))))</f>
        <v/>
      </c>
      <c r="AC32" s="193" t="str" cm="1">
        <f t="array" ref="AC32">IF(OR(AC$26="",$O32=""),"",1/((INDEX('Adjustment Surface'!$AN$27:$AN$46,MATCH(('Adjustment Surface'!$O32),'Adjustment Surface'!$AN$27:$AN$46,1)+IF('Adjustment Surface'!$O33="",-1,1))-INDEX('Adjustment Surface'!$AN$27:$AN$46,MATCH(('Adjustment Surface'!$O32),'Adjustment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Surface'!$O32),'Adjustment Surface'!$AN$27:$AN$46,1)),$AN$27:$AN$46,0),MATCH(INDEX('Adjustment Surface'!$AO$26:$BH$26,1,MATCH(('Adjustment Surface'!AC$26),'Adjustment Surface'!$AO$26:$BH$26,1)),$AO$26:$BH$26,0))*(INDEX('Adjustment Surface'!$AN$27:$AN$46,MATCH(('Adjustment Surface'!$O32),'Adjustment Surface'!$AN$27:$AN$46,1)+IF('Adjustment Surface'!$O33="",-1,1))-'Adjustment Surface'!$O32)*(INDEX('Adjustment Surface'!$AO$26:$BH$26,1,MATCH(('Adjustment Surface'!AC$26),'Adjustment Surface'!$AO$26:$BH$26,1)+IF('Adjustment Surface'!AD$26="",-1,1))-'Adjustment Surface'!AC$26)+INDEX($AO$27:$BH$46,MATCH(INDEX('Adjustment Surface'!$AN$27:$AN$46,MATCH(('Adjustment Surface'!$O32),'Adjustment Surface'!$AN$27:$AN$46,1)+IF('Adjustment Surface'!$O33="",-1,1)),$AN$27:$AN$46,0),MATCH(INDEX('Adjustment Surface'!$AO$26:$BH$26,1,MATCH(('Adjustment Surface'!AC$26),'Adjustment Surface'!$AO$26:$BH$26,1)),$AO$26:$BH$26,0))*('Adjustment Surface'!$O32-INDEX('Adjustment Surface'!$AN$27:$AN$46,MATCH(('Adjustment Surface'!$O32),'Adjustment Surface'!$AN$27:$AN$46,1)))*(INDEX('Adjustment Surface'!$AO$26:$BH$26,1,MATCH(('Adjustment Surface'!AC$26),'Adjustment Surface'!$AO$26:$BH$26,1)+IF('Adjustment Surface'!AD$26="",-1,1))-'Adjustment Surface'!AC$26)+INDEX($AO$27:$BH$46,MATCH(INDEX('Adjustment Surface'!$AN$27:$AN$46,MATCH(('Adjustment Surface'!$O32),'Adjustment Surface'!$AN$27:$AN$46,1)),$AN$27:$AN$46,0),MATCH(INDEX('Adjustment Surface'!$AO$26:$BH$26,1,MATCH(('Adjustment Surface'!AC$26),'Adjustment Surface'!$AO$26:$BH$26,1)+IF('Adjustment Surface'!AD$26="",-1,1)),$AO$26:$BH$26,0))*(INDEX('Adjustment Surface'!$AN$27:$AN$46,MATCH(('Adjustment Surface'!$O32),'Adjustment Surface'!$AN$27:$AN$46,1)+IF('Adjustment Surface'!$O33="",-1,1))-'Adjustment Surface'!$O32)*('Adjustment Surface'!AC$26-INDEX('Adjustment Surface'!$AO$26:$BH$26,1,MATCH(('Adjustment Surface'!AC$26),'Adjustment Surface'!$AO$26:$BH$26,1)))+INDEX($AO$27:$BH$46,MATCH(INDEX('Adjustment Surface'!$AN$27:$AN$46,MATCH(('Adjustment Surface'!$O32),'Adjustment Surface'!$AN$27:$AN$46,1)+IF('Adjustment Surface'!$O33="",-1,1)),$AN$27:$AN$46,0),MATCH(INDEX('Adjustment Surface'!$AO$26:$BH$26,1,MATCH(('Adjustment Surface'!AC$26),'Adjustment Surface'!$AO$26:$BH$26,1)+IF('Adjustment Surface'!AD$26="",-1,1)),$AO$26:$BH$26,0))*('Adjustment Surface'!$O32-INDEX('Adjustment Surface'!$AN$27:$AN$46,MATCH(('Adjustment Surface'!$O32),'Adjustment Surface'!$AN$27:$AN$46,1)))*('Adjustment Surface'!AC$26-INDEX('Adjustment Surface'!$AO$26:$BH$26,1,MATCH(('Adjustment Surface'!AC$26),'Adjustment Surface'!$AO$26:$BH$26,1)))))</f>
        <v/>
      </c>
      <c r="AD32" s="193" t="str" cm="1">
        <f t="array" ref="AD32">IF(OR(AD$26="",$O32=""),"",1/((INDEX('Adjustment Surface'!$AN$27:$AN$46,MATCH(('Adjustment Surface'!$O32),'Adjustment Surface'!$AN$27:$AN$46,1)+IF('Adjustment Surface'!$O33="",-1,1))-INDEX('Adjustment Surface'!$AN$27:$AN$46,MATCH(('Adjustment Surface'!$O32),'Adjustment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Surface'!$O32),'Adjustment Surface'!$AN$27:$AN$46,1)),$AN$27:$AN$46,0),MATCH(INDEX('Adjustment Surface'!$AO$26:$BH$26,1,MATCH(('Adjustment Surface'!AD$26),'Adjustment Surface'!$AO$26:$BH$26,1)),$AO$26:$BH$26,0))*(INDEX('Adjustment Surface'!$AN$27:$AN$46,MATCH(('Adjustment Surface'!$O32),'Adjustment Surface'!$AN$27:$AN$46,1)+IF('Adjustment Surface'!$O33="",-1,1))-'Adjustment Surface'!$O32)*(INDEX('Adjustment Surface'!$AO$26:$BH$26,1,MATCH(('Adjustment Surface'!AD$26),'Adjustment Surface'!$AO$26:$BH$26,1)+IF('Adjustment Surface'!AE$26="",-1,1))-'Adjustment Surface'!AD$26)+INDEX($AO$27:$BH$46,MATCH(INDEX('Adjustment Surface'!$AN$27:$AN$46,MATCH(('Adjustment Surface'!$O32),'Adjustment Surface'!$AN$27:$AN$46,1)+IF('Adjustment Surface'!$O33="",-1,1)),$AN$27:$AN$46,0),MATCH(INDEX('Adjustment Surface'!$AO$26:$BH$26,1,MATCH(('Adjustment Surface'!AD$26),'Adjustment Surface'!$AO$26:$BH$26,1)),$AO$26:$BH$26,0))*('Adjustment Surface'!$O32-INDEX('Adjustment Surface'!$AN$27:$AN$46,MATCH(('Adjustment Surface'!$O32),'Adjustment Surface'!$AN$27:$AN$46,1)))*(INDEX('Adjustment Surface'!$AO$26:$BH$26,1,MATCH(('Adjustment Surface'!AD$26),'Adjustment Surface'!$AO$26:$BH$26,1)+IF('Adjustment Surface'!AE$26="",-1,1))-'Adjustment Surface'!AD$26)+INDEX($AO$27:$BH$46,MATCH(INDEX('Adjustment Surface'!$AN$27:$AN$46,MATCH(('Adjustment Surface'!$O32),'Adjustment Surface'!$AN$27:$AN$46,1)),$AN$27:$AN$46,0),MATCH(INDEX('Adjustment Surface'!$AO$26:$BH$26,1,MATCH(('Adjustment Surface'!AD$26),'Adjustment Surface'!$AO$26:$BH$26,1)+IF('Adjustment Surface'!AE$26="",-1,1)),$AO$26:$BH$26,0))*(INDEX('Adjustment Surface'!$AN$27:$AN$46,MATCH(('Adjustment Surface'!$O32),'Adjustment Surface'!$AN$27:$AN$46,1)+IF('Adjustment Surface'!$O33="",-1,1))-'Adjustment Surface'!$O32)*('Adjustment Surface'!AD$26-INDEX('Adjustment Surface'!$AO$26:$BH$26,1,MATCH(('Adjustment Surface'!AD$26),'Adjustment Surface'!$AO$26:$BH$26,1)))+INDEX($AO$27:$BH$46,MATCH(INDEX('Adjustment Surface'!$AN$27:$AN$46,MATCH(('Adjustment Surface'!$O32),'Adjustment Surface'!$AN$27:$AN$46,1)+IF('Adjustment Surface'!$O33="",-1,1)),$AN$27:$AN$46,0),MATCH(INDEX('Adjustment Surface'!$AO$26:$BH$26,1,MATCH(('Adjustment Surface'!AD$26),'Adjustment Surface'!$AO$26:$BH$26,1)+IF('Adjustment Surface'!AE$26="",-1,1)),$AO$26:$BH$26,0))*('Adjustment Surface'!$O32-INDEX('Adjustment Surface'!$AN$27:$AN$46,MATCH(('Adjustment Surface'!$O32),'Adjustment Surface'!$AN$27:$AN$46,1)))*('Adjustment Surface'!AD$26-INDEX('Adjustment Surface'!$AO$26:$BH$26,1,MATCH(('Adjustment Surface'!AD$26),'Adjustment Surface'!$AO$26:$BH$26,1)))))</f>
        <v/>
      </c>
      <c r="AE32" s="193" t="str" cm="1">
        <f t="array" ref="AE32">IF(OR(AE$26="",$O32=""),"",1/((INDEX('Adjustment Surface'!$AN$27:$AN$46,MATCH(('Adjustment Surface'!$O32),'Adjustment Surface'!$AN$27:$AN$46,1)+IF('Adjustment Surface'!$O33="",-1,1))-INDEX('Adjustment Surface'!$AN$27:$AN$46,MATCH(('Adjustment Surface'!$O32),'Adjustment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Surface'!$O32),'Adjustment Surface'!$AN$27:$AN$46,1)),$AN$27:$AN$46,0),MATCH(INDEX('Adjustment Surface'!$AO$26:$BH$26,1,MATCH(('Adjustment Surface'!AE$26),'Adjustment Surface'!$AO$26:$BH$26,1)),$AO$26:$BH$26,0))*(INDEX('Adjustment Surface'!$AN$27:$AN$46,MATCH(('Adjustment Surface'!$O32),'Adjustment Surface'!$AN$27:$AN$46,1)+IF('Adjustment Surface'!$O33="",-1,1))-'Adjustment Surface'!$O32)*(INDEX('Adjustment Surface'!$AO$26:$BH$26,1,MATCH(('Adjustment Surface'!AE$26),'Adjustment Surface'!$AO$26:$BH$26,1)+IF('Adjustment Surface'!AF$26="",-1,1))-'Adjustment Surface'!AE$26)+INDEX($AO$27:$BH$46,MATCH(INDEX('Adjustment Surface'!$AN$27:$AN$46,MATCH(('Adjustment Surface'!$O32),'Adjustment Surface'!$AN$27:$AN$46,1)+IF('Adjustment Surface'!$O33="",-1,1)),$AN$27:$AN$46,0),MATCH(INDEX('Adjustment Surface'!$AO$26:$BH$26,1,MATCH(('Adjustment Surface'!AE$26),'Adjustment Surface'!$AO$26:$BH$26,1)),$AO$26:$BH$26,0))*('Adjustment Surface'!$O32-INDEX('Adjustment Surface'!$AN$27:$AN$46,MATCH(('Adjustment Surface'!$O32),'Adjustment Surface'!$AN$27:$AN$46,1)))*(INDEX('Adjustment Surface'!$AO$26:$BH$26,1,MATCH(('Adjustment Surface'!AE$26),'Adjustment Surface'!$AO$26:$BH$26,1)+IF('Adjustment Surface'!AF$26="",-1,1))-'Adjustment Surface'!AE$26)+INDEX($AO$27:$BH$46,MATCH(INDEX('Adjustment Surface'!$AN$27:$AN$46,MATCH(('Adjustment Surface'!$O32),'Adjustment Surface'!$AN$27:$AN$46,1)),$AN$27:$AN$46,0),MATCH(INDEX('Adjustment Surface'!$AO$26:$BH$26,1,MATCH(('Adjustment Surface'!AE$26),'Adjustment Surface'!$AO$26:$BH$26,1)+IF('Adjustment Surface'!AF$26="",-1,1)),$AO$26:$BH$26,0))*(INDEX('Adjustment Surface'!$AN$27:$AN$46,MATCH(('Adjustment Surface'!$O32),'Adjustment Surface'!$AN$27:$AN$46,1)+IF('Adjustment Surface'!$O33="",-1,1))-'Adjustment Surface'!$O32)*('Adjustment Surface'!AE$26-INDEX('Adjustment Surface'!$AO$26:$BH$26,1,MATCH(('Adjustment Surface'!AE$26),'Adjustment Surface'!$AO$26:$BH$26,1)))+INDEX($AO$27:$BH$46,MATCH(INDEX('Adjustment Surface'!$AN$27:$AN$46,MATCH(('Adjustment Surface'!$O32),'Adjustment Surface'!$AN$27:$AN$46,1)+IF('Adjustment Surface'!$O33="",-1,1)),$AN$27:$AN$46,0),MATCH(INDEX('Adjustment Surface'!$AO$26:$BH$26,1,MATCH(('Adjustment Surface'!AE$26),'Adjustment Surface'!$AO$26:$BH$26,1)+IF('Adjustment Surface'!AF$26="",-1,1)),$AO$26:$BH$26,0))*('Adjustment Surface'!$O32-INDEX('Adjustment Surface'!$AN$27:$AN$46,MATCH(('Adjustment Surface'!$O32),'Adjustment Surface'!$AN$27:$AN$46,1)))*('Adjustment Surface'!AE$26-INDEX('Adjustment Surface'!$AO$26:$BH$26,1,MATCH(('Adjustment Surface'!AE$26),'Adjustment Surface'!$AO$26:$BH$26,1)))))</f>
        <v/>
      </c>
      <c r="AF32" s="193" t="str" cm="1">
        <f t="array" ref="AF32">IF(OR(AF$26="",$O32=""),"",1/((INDEX('Adjustment Surface'!$AN$27:$AN$46,MATCH(('Adjustment Surface'!$O32),'Adjustment Surface'!$AN$27:$AN$46,1)+IF('Adjustment Surface'!$O33="",-1,1))-INDEX('Adjustment Surface'!$AN$27:$AN$46,MATCH(('Adjustment Surface'!$O32),'Adjustment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Surface'!$O32),'Adjustment Surface'!$AN$27:$AN$46,1)),$AN$27:$AN$46,0),MATCH(INDEX('Adjustment Surface'!$AO$26:$BH$26,1,MATCH(('Adjustment Surface'!AF$26),'Adjustment Surface'!$AO$26:$BH$26,1)),$AO$26:$BH$26,0))*(INDEX('Adjustment Surface'!$AN$27:$AN$46,MATCH(('Adjustment Surface'!$O32),'Adjustment Surface'!$AN$27:$AN$46,1)+IF('Adjustment Surface'!$O33="",-1,1))-'Adjustment Surface'!$O32)*(INDEX('Adjustment Surface'!$AO$26:$BH$26,1,MATCH(('Adjustment Surface'!AF$26),'Adjustment Surface'!$AO$26:$BH$26,1)+IF('Adjustment Surface'!AG$26="",-1,1))-'Adjustment Surface'!AF$26)+INDEX($AO$27:$BH$46,MATCH(INDEX('Adjustment Surface'!$AN$27:$AN$46,MATCH(('Adjustment Surface'!$O32),'Adjustment Surface'!$AN$27:$AN$46,1)+IF('Adjustment Surface'!$O33="",-1,1)),$AN$27:$AN$46,0),MATCH(INDEX('Adjustment Surface'!$AO$26:$BH$26,1,MATCH(('Adjustment Surface'!AF$26),'Adjustment Surface'!$AO$26:$BH$26,1)),$AO$26:$BH$26,0))*('Adjustment Surface'!$O32-INDEX('Adjustment Surface'!$AN$27:$AN$46,MATCH(('Adjustment Surface'!$O32),'Adjustment Surface'!$AN$27:$AN$46,1)))*(INDEX('Adjustment Surface'!$AO$26:$BH$26,1,MATCH(('Adjustment Surface'!AF$26),'Adjustment Surface'!$AO$26:$BH$26,1)+IF('Adjustment Surface'!AG$26="",-1,1))-'Adjustment Surface'!AF$26)+INDEX($AO$27:$BH$46,MATCH(INDEX('Adjustment Surface'!$AN$27:$AN$46,MATCH(('Adjustment Surface'!$O32),'Adjustment Surface'!$AN$27:$AN$46,1)),$AN$27:$AN$46,0),MATCH(INDEX('Adjustment Surface'!$AO$26:$BH$26,1,MATCH(('Adjustment Surface'!AF$26),'Adjustment Surface'!$AO$26:$BH$26,1)+IF('Adjustment Surface'!AG$26="",-1,1)),$AO$26:$BH$26,0))*(INDEX('Adjustment Surface'!$AN$27:$AN$46,MATCH(('Adjustment Surface'!$O32),'Adjustment Surface'!$AN$27:$AN$46,1)+IF('Adjustment Surface'!$O33="",-1,1))-'Adjustment Surface'!$O32)*('Adjustment Surface'!AF$26-INDEX('Adjustment Surface'!$AO$26:$BH$26,1,MATCH(('Adjustment Surface'!AF$26),'Adjustment Surface'!$AO$26:$BH$26,1)))+INDEX($AO$27:$BH$46,MATCH(INDEX('Adjustment Surface'!$AN$27:$AN$46,MATCH(('Adjustment Surface'!$O32),'Adjustment Surface'!$AN$27:$AN$46,1)+IF('Adjustment Surface'!$O33="",-1,1)),$AN$27:$AN$46,0),MATCH(INDEX('Adjustment Surface'!$AO$26:$BH$26,1,MATCH(('Adjustment Surface'!AF$26),'Adjustment Surface'!$AO$26:$BH$26,1)+IF('Adjustment Surface'!AG$26="",-1,1)),$AO$26:$BH$26,0))*('Adjustment Surface'!$O32-INDEX('Adjustment Surface'!$AN$27:$AN$46,MATCH(('Adjustment Surface'!$O32),'Adjustment Surface'!$AN$27:$AN$46,1)))*('Adjustment Surface'!AF$26-INDEX('Adjustment Surface'!$AO$26:$BH$26,1,MATCH(('Adjustment Surface'!AF$26),'Adjustment Surface'!$AO$26:$BH$26,1)))))</f>
        <v/>
      </c>
      <c r="AG32" s="193" t="str" cm="1">
        <f t="array" ref="AG32">IF(OR(AG$26="",$O32=""),"",1/((INDEX('Adjustment Surface'!$AN$27:$AN$46,MATCH(('Adjustment Surface'!$O32),'Adjustment Surface'!$AN$27:$AN$46,1)+IF('Adjustment Surface'!$O33="",-1,1))-INDEX('Adjustment Surface'!$AN$27:$AN$46,MATCH(('Adjustment Surface'!$O32),'Adjustment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Surface'!$O32),'Adjustment Surface'!$AN$27:$AN$46,1)),$AN$27:$AN$46,0),MATCH(INDEX('Adjustment Surface'!$AO$26:$BH$26,1,MATCH(('Adjustment Surface'!AG$26),'Adjustment Surface'!$AO$26:$BH$26,1)),$AO$26:$BH$26,0))*(INDEX('Adjustment Surface'!$AN$27:$AN$46,MATCH(('Adjustment Surface'!$O32),'Adjustment Surface'!$AN$27:$AN$46,1)+IF('Adjustment Surface'!$O33="",-1,1))-'Adjustment Surface'!$O32)*(INDEX('Adjustment Surface'!$AO$26:$BH$26,1,MATCH(('Adjustment Surface'!AG$26),'Adjustment Surface'!$AO$26:$BH$26,1)+IF('Adjustment Surface'!AH$26="",-1,1))-'Adjustment Surface'!AG$26)+INDEX($AO$27:$BH$46,MATCH(INDEX('Adjustment Surface'!$AN$27:$AN$46,MATCH(('Adjustment Surface'!$O32),'Adjustment Surface'!$AN$27:$AN$46,1)+IF('Adjustment Surface'!$O33="",-1,1)),$AN$27:$AN$46,0),MATCH(INDEX('Adjustment Surface'!$AO$26:$BH$26,1,MATCH(('Adjustment Surface'!AG$26),'Adjustment Surface'!$AO$26:$BH$26,1)),$AO$26:$BH$26,0))*('Adjustment Surface'!$O32-INDEX('Adjustment Surface'!$AN$27:$AN$46,MATCH(('Adjustment Surface'!$O32),'Adjustment Surface'!$AN$27:$AN$46,1)))*(INDEX('Adjustment Surface'!$AO$26:$BH$26,1,MATCH(('Adjustment Surface'!AG$26),'Adjustment Surface'!$AO$26:$BH$26,1)+IF('Adjustment Surface'!AH$26="",-1,1))-'Adjustment Surface'!AG$26)+INDEX($AO$27:$BH$46,MATCH(INDEX('Adjustment Surface'!$AN$27:$AN$46,MATCH(('Adjustment Surface'!$O32),'Adjustment Surface'!$AN$27:$AN$46,1)),$AN$27:$AN$46,0),MATCH(INDEX('Adjustment Surface'!$AO$26:$BH$26,1,MATCH(('Adjustment Surface'!AG$26),'Adjustment Surface'!$AO$26:$BH$26,1)+IF('Adjustment Surface'!AH$26="",-1,1)),$AO$26:$BH$26,0))*(INDEX('Adjustment Surface'!$AN$27:$AN$46,MATCH(('Adjustment Surface'!$O32),'Adjustment Surface'!$AN$27:$AN$46,1)+IF('Adjustment Surface'!$O33="",-1,1))-'Adjustment Surface'!$O32)*('Adjustment Surface'!AG$26-INDEX('Adjustment Surface'!$AO$26:$BH$26,1,MATCH(('Adjustment Surface'!AG$26),'Adjustment Surface'!$AO$26:$BH$26,1)))+INDEX($AO$27:$BH$46,MATCH(INDEX('Adjustment Surface'!$AN$27:$AN$46,MATCH(('Adjustment Surface'!$O32),'Adjustment Surface'!$AN$27:$AN$46,1)+IF('Adjustment Surface'!$O33="",-1,1)),$AN$27:$AN$46,0),MATCH(INDEX('Adjustment Surface'!$AO$26:$BH$26,1,MATCH(('Adjustment Surface'!AG$26),'Adjustment Surface'!$AO$26:$BH$26,1)+IF('Adjustment Surface'!AH$26="",-1,1)),$AO$26:$BH$26,0))*('Adjustment Surface'!$O32-INDEX('Adjustment Surface'!$AN$27:$AN$46,MATCH(('Adjustment Surface'!$O32),'Adjustment Surface'!$AN$27:$AN$46,1)))*('Adjustment Surface'!AG$26-INDEX('Adjustment Surface'!$AO$26:$BH$26,1,MATCH(('Adjustment Surface'!AG$26),'Adjustment Surface'!$AO$26:$BH$26,1)))))</f>
        <v/>
      </c>
      <c r="AH32" s="193" t="str" cm="1">
        <f t="array" ref="AH32">IF(OR(AH$26="",$O32=""),"",1/((INDEX('Adjustment Surface'!$AN$27:$AN$46,MATCH(('Adjustment Surface'!$O32),'Adjustment Surface'!$AN$27:$AN$46,1)+IF('Adjustment Surface'!$O33="",-1,1))-INDEX('Adjustment Surface'!$AN$27:$AN$46,MATCH(('Adjustment Surface'!$O32),'Adjustment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Surface'!$O32),'Adjustment Surface'!$AN$27:$AN$46,1)),$AN$27:$AN$46,0),MATCH(INDEX('Adjustment Surface'!$AO$26:$BH$26,1,MATCH(('Adjustment Surface'!AH$26),'Adjustment Surface'!$AO$26:$BH$26,1)),$AO$26:$BH$26,0))*(INDEX('Adjustment Surface'!$AN$27:$AN$46,MATCH(('Adjustment Surface'!$O32),'Adjustment Surface'!$AN$27:$AN$46,1)+IF('Adjustment Surface'!$O33="",-1,1))-'Adjustment Surface'!$O32)*(INDEX('Adjustment Surface'!$AO$26:$BH$26,1,MATCH(('Adjustment Surface'!AH$26),'Adjustment Surface'!$AO$26:$BH$26,1)+IF('Adjustment Surface'!AI$26="",-1,1))-'Adjustment Surface'!AH$26)+INDEX($AO$27:$BH$46,MATCH(INDEX('Adjustment Surface'!$AN$27:$AN$46,MATCH(('Adjustment Surface'!$O32),'Adjustment Surface'!$AN$27:$AN$46,1)+IF('Adjustment Surface'!$O33="",-1,1)),$AN$27:$AN$46,0),MATCH(INDEX('Adjustment Surface'!$AO$26:$BH$26,1,MATCH(('Adjustment Surface'!AH$26),'Adjustment Surface'!$AO$26:$BH$26,1)),$AO$26:$BH$26,0))*('Adjustment Surface'!$O32-INDEX('Adjustment Surface'!$AN$27:$AN$46,MATCH(('Adjustment Surface'!$O32),'Adjustment Surface'!$AN$27:$AN$46,1)))*(INDEX('Adjustment Surface'!$AO$26:$BH$26,1,MATCH(('Adjustment Surface'!AH$26),'Adjustment Surface'!$AO$26:$BH$26,1)+IF('Adjustment Surface'!AI$26="",-1,1))-'Adjustment Surface'!AH$26)+INDEX($AO$27:$BH$46,MATCH(INDEX('Adjustment Surface'!$AN$27:$AN$46,MATCH(('Adjustment Surface'!$O32),'Adjustment Surface'!$AN$27:$AN$46,1)),$AN$27:$AN$46,0),MATCH(INDEX('Adjustment Surface'!$AO$26:$BH$26,1,MATCH(('Adjustment Surface'!AH$26),'Adjustment Surface'!$AO$26:$BH$26,1)+IF('Adjustment Surface'!AI$26="",-1,1)),$AO$26:$BH$26,0))*(INDEX('Adjustment Surface'!$AN$27:$AN$46,MATCH(('Adjustment Surface'!$O32),'Adjustment Surface'!$AN$27:$AN$46,1)+IF('Adjustment Surface'!$O33="",-1,1))-'Adjustment Surface'!$O32)*('Adjustment Surface'!AH$26-INDEX('Adjustment Surface'!$AO$26:$BH$26,1,MATCH(('Adjustment Surface'!AH$26),'Adjustment Surface'!$AO$26:$BH$26,1)))+INDEX($AO$27:$BH$46,MATCH(INDEX('Adjustment Surface'!$AN$27:$AN$46,MATCH(('Adjustment Surface'!$O32),'Adjustment Surface'!$AN$27:$AN$46,1)+IF('Adjustment Surface'!$O33="",-1,1)),$AN$27:$AN$46,0),MATCH(INDEX('Adjustment Surface'!$AO$26:$BH$26,1,MATCH(('Adjustment Surface'!AH$26),'Adjustment Surface'!$AO$26:$BH$26,1)+IF('Adjustment Surface'!AI$26="",-1,1)),$AO$26:$BH$26,0))*('Adjustment Surface'!$O32-INDEX('Adjustment Surface'!$AN$27:$AN$46,MATCH(('Adjustment Surface'!$O32),'Adjustment Surface'!$AN$27:$AN$46,1)))*('Adjustment Surface'!AH$26-INDEX('Adjustment Surface'!$AO$26:$BH$26,1,MATCH(('Adjustment Surface'!AH$26),'Adjustment Surface'!$AO$26:$BH$26,1)))))</f>
        <v/>
      </c>
      <c r="AI32" s="194" t="str" cm="1">
        <f t="array" ref="AI32">IF(OR(AI$26="",$O32=""),"",1/((INDEX('Adjustment Surface'!$AN$27:$AN$46,MATCH(('Adjustment Surface'!$O32),'Adjustment Surface'!$AN$27:$AN$46,1)+IF('Adjustment Surface'!$O33="",-1,1))-INDEX('Adjustment Surface'!$AN$27:$AN$46,MATCH(('Adjustment Surface'!$O32),'Adjustment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Surface'!$O32),'Adjustment Surface'!$AN$27:$AN$46,1)),$AN$27:$AN$46,0),MATCH(INDEX('Adjustment Surface'!$AO$26:$BH$26,1,MATCH(('Adjustment Surface'!AI$26),'Adjustment Surface'!$AO$26:$BH$26,1)),$AO$26:$BH$26,0))*(INDEX('Adjustment Surface'!$AN$27:$AN$46,MATCH(('Adjustment Surface'!$O32),'Adjustment Surface'!$AN$27:$AN$46,1)+IF('Adjustment Surface'!$O33="",-1,1))-'Adjustment Surface'!$O32)*(INDEX('Adjustment Surface'!$AO$26:$BH$26,1,MATCH(('Adjustment Surface'!AI$26),'Adjustment Surface'!$AO$26:$BH$26,1)+IF('Adjustment Surface'!AJ$26="",-1,1))-'Adjustment Surface'!AI$26)+INDEX($AO$27:$BH$46,MATCH(INDEX('Adjustment Surface'!$AN$27:$AN$46,MATCH(('Adjustment Surface'!$O32),'Adjustment Surface'!$AN$27:$AN$46,1)+IF('Adjustment Surface'!$O33="",-1,1)),$AN$27:$AN$46,0),MATCH(INDEX('Adjustment Surface'!$AO$26:$BH$26,1,MATCH(('Adjustment Surface'!AI$26),'Adjustment Surface'!$AO$26:$BH$26,1)),$AO$26:$BH$26,0))*('Adjustment Surface'!$O32-INDEX('Adjustment Surface'!$AN$27:$AN$46,MATCH(('Adjustment Surface'!$O32),'Adjustment Surface'!$AN$27:$AN$46,1)))*(INDEX('Adjustment Surface'!$AO$26:$BH$26,1,MATCH(('Adjustment Surface'!AI$26),'Adjustment Surface'!$AO$26:$BH$26,1)+IF('Adjustment Surface'!AJ$26="",-1,1))-'Adjustment Surface'!AI$26)+INDEX($AO$27:$BH$46,MATCH(INDEX('Adjustment Surface'!$AN$27:$AN$46,MATCH(('Adjustment Surface'!$O32),'Adjustment Surface'!$AN$27:$AN$46,1)),$AN$27:$AN$46,0),MATCH(INDEX('Adjustment Surface'!$AO$26:$BH$26,1,MATCH(('Adjustment Surface'!AI$26),'Adjustment Surface'!$AO$26:$BH$26,1)+IF('Adjustment Surface'!AJ$26="",-1,1)),$AO$26:$BH$26,0))*(INDEX('Adjustment Surface'!$AN$27:$AN$46,MATCH(('Adjustment Surface'!$O32),'Adjustment Surface'!$AN$27:$AN$46,1)+IF('Adjustment Surface'!$O33="",-1,1))-'Adjustment Surface'!$O32)*('Adjustment Surface'!AI$26-INDEX('Adjustment Surface'!$AO$26:$BH$26,1,MATCH(('Adjustment Surface'!AI$26),'Adjustment Surface'!$AO$26:$BH$26,1)))+INDEX($AO$27:$BH$46,MATCH(INDEX('Adjustment Surface'!$AN$27:$AN$46,MATCH(('Adjustment Surface'!$O32),'Adjustment Surface'!$AN$27:$AN$46,1)+IF('Adjustment Surface'!$O33="",-1,1)),$AN$27:$AN$46,0),MATCH(INDEX('Adjustment Surface'!$AO$26:$BH$26,1,MATCH(('Adjustment Surface'!AI$26),'Adjustment Surface'!$AO$26:$BH$26,1)+IF('Adjustment Surface'!AJ$26="",-1,1)),$AO$26:$BH$26,0))*('Adjustment Surface'!$O32-INDEX('Adjustment Surface'!$AN$27:$AN$46,MATCH(('Adjustment Surface'!$O32),'Adjustment Surface'!$AN$27:$AN$46,1)))*('Adjustment Surface'!AI$26-INDEX('Adjustment Surface'!$AO$26:$BH$26,1,MATCH(('Adjustment Surface'!AI$26),'Adjustment Surface'!$AO$26:$BH$26,1)))))</f>
        <v/>
      </c>
      <c r="AK32" s="203" t="str">
        <v/>
      </c>
      <c r="AL32" s="207" t="str">
        <v/>
      </c>
      <c r="AN32" s="176"/>
      <c r="AO32" s="192" t="str" cm="1">
        <f t="array" ref="AO32">IF(OR(AO$26="",$AN32=""),"",INDEX(IF($C$2='Data Validation'!$A$2,'Bank Adjustments'!$I$4:$I$103,IF('Adjustment Surface'!$C$2='Data Validation'!$A$3,'Bank Adjustments'!$S$4:$S$103,"Unknown Option Type")),MATCH(1,($AN32=IF($C$2='Data Validation'!$A$2,'Bank Adjustments'!$C$4:$C$103,IF('Adjustment Surface'!$C$2='Data Validation'!$A$3,'Bank Adjustments'!$M$4:$M$103,"Unknown Option Type")))*(AO$26=IF($C$2='Data Validation'!$A$2,'Bank Adjustments'!$E$4:$E$103,IF('Adjustment Surface'!$C$2='Data Validation'!$A$3,'Bank Adjustments'!$O$4:$O$103,"Unknown Option Type"))),0)))</f>
        <v/>
      </c>
      <c r="AP32" s="193" t="str" cm="1">
        <f t="array" ref="AP32">IF(OR(AP$26="",$AN32=""),"",INDEX(IF($C$2='Data Validation'!$A$2,'Bank Adjustments'!$I$4:$I$103,IF('Adjustment Surface'!$C$2='Data Validation'!$A$3,'Bank Adjustments'!$S$4:$S$103,"Unknown Option Type")),MATCH(1,($AN32=IF($C$2='Data Validation'!$A$2,'Bank Adjustments'!$C$4:$C$103,IF('Adjustment Surface'!$C$2='Data Validation'!$A$3,'Bank Adjustments'!$M$4:$M$103,"Unknown Option Type")))*(AP$26=IF($C$2='Data Validation'!$A$2,'Bank Adjustments'!$E$4:$E$103,IF('Adjustment Surface'!$C$2='Data Validation'!$A$3,'Bank Adjustments'!$O$4:$O$103,"Unknown Option Type"))),0)))</f>
        <v/>
      </c>
      <c r="AQ32" s="193" t="str" cm="1">
        <f t="array" ref="AQ32">IF(OR(AQ$26="",$AN32=""),"",INDEX(IF($C$2='Data Validation'!$A$2,'Bank Adjustments'!$I$4:$I$103,IF('Adjustment Surface'!$C$2='Data Validation'!$A$3,'Bank Adjustments'!$S$4:$S$103,"Unknown Option Type")),MATCH(1,($AN32=IF($C$2='Data Validation'!$A$2,'Bank Adjustments'!$C$4:$C$103,IF('Adjustment Surface'!$C$2='Data Validation'!$A$3,'Bank Adjustments'!$M$4:$M$103,"Unknown Option Type")))*(AQ$26=IF($C$2='Data Validation'!$A$2,'Bank Adjustments'!$E$4:$E$103,IF('Adjustment Surface'!$C$2='Data Validation'!$A$3,'Bank Adjustments'!$O$4:$O$103,"Unknown Option Type"))),0)))</f>
        <v/>
      </c>
      <c r="AR32" s="193" t="str" cm="1">
        <f t="array" ref="AR32">IF(OR(AR$26="",$AN32=""),"",INDEX(IF($C$2='Data Validation'!$A$2,'Bank Adjustments'!$I$4:$I$103,IF('Adjustment Surface'!$C$2='Data Validation'!$A$3,'Bank Adjustments'!$S$4:$S$103,"Unknown Option Type")),MATCH(1,($AN32=IF($C$2='Data Validation'!$A$2,'Bank Adjustments'!$C$4:$C$103,IF('Adjustment Surface'!$C$2='Data Validation'!$A$3,'Bank Adjustments'!$M$4:$M$103,"Unknown Option Type")))*(AR$26=IF($C$2='Data Validation'!$A$2,'Bank Adjustments'!$E$4:$E$103,IF('Adjustment Surface'!$C$2='Data Validation'!$A$3,'Bank Adjustments'!$O$4:$O$103,"Unknown Option Type"))),0)))</f>
        <v/>
      </c>
      <c r="AS32" s="193" t="str" cm="1">
        <f t="array" ref="AS32">IF(OR(AS$26="",$AN32=""),"",INDEX(IF($C$2='Data Validation'!$A$2,'Bank Adjustments'!$I$4:$I$103,IF('Adjustment Surface'!$C$2='Data Validation'!$A$3,'Bank Adjustments'!$S$4:$S$103,"Unknown Option Type")),MATCH(1,($AN32=IF($C$2='Data Validation'!$A$2,'Bank Adjustments'!$C$4:$C$103,IF('Adjustment Surface'!$C$2='Data Validation'!$A$3,'Bank Adjustments'!$M$4:$M$103,"Unknown Option Type")))*(AS$26=IF($C$2='Data Validation'!$A$2,'Bank Adjustments'!$E$4:$E$103,IF('Adjustment Surface'!$C$2='Data Validation'!$A$3,'Bank Adjustments'!$O$4:$O$103,"Unknown Option Type"))),0)))</f>
        <v/>
      </c>
      <c r="AT32" s="193" t="str" cm="1">
        <f t="array" ref="AT32">IF(OR(AT$26="",$AN32=""),"",INDEX(IF($C$2='Data Validation'!$A$2,'Bank Adjustments'!$I$4:$I$103,IF('Adjustment Surface'!$C$2='Data Validation'!$A$3,'Bank Adjustments'!$S$4:$S$103,"Unknown Option Type")),MATCH(1,($AN32=IF($C$2='Data Validation'!$A$2,'Bank Adjustments'!$C$4:$C$103,IF('Adjustment Surface'!$C$2='Data Validation'!$A$3,'Bank Adjustments'!$M$4:$M$103,"Unknown Option Type")))*(AT$26=IF($C$2='Data Validation'!$A$2,'Bank Adjustments'!$E$4:$E$103,IF('Adjustment Surface'!$C$2='Data Validation'!$A$3,'Bank Adjustments'!$O$4:$O$103,"Unknown Option Type"))),0)))</f>
        <v/>
      </c>
      <c r="AU32" s="193" t="str" cm="1">
        <f t="array" ref="AU32">IF(OR(AU$26="",$AN32=""),"",INDEX(IF($C$2='Data Validation'!$A$2,'Bank Adjustments'!$I$4:$I$103,IF('Adjustment Surface'!$C$2='Data Validation'!$A$3,'Bank Adjustments'!$S$4:$S$103,"Unknown Option Type")),MATCH(1,($AN32=IF($C$2='Data Validation'!$A$2,'Bank Adjustments'!$C$4:$C$103,IF('Adjustment Surface'!$C$2='Data Validation'!$A$3,'Bank Adjustments'!$M$4:$M$103,"Unknown Option Type")))*(AU$26=IF($C$2='Data Validation'!$A$2,'Bank Adjustments'!$E$4:$E$103,IF('Adjustment Surface'!$C$2='Data Validation'!$A$3,'Bank Adjustments'!$O$4:$O$103,"Unknown Option Type"))),0)))</f>
        <v/>
      </c>
      <c r="AV32" s="193" t="str" cm="1">
        <f t="array" ref="AV32">IF(OR(AV$26="",$AN32=""),"",INDEX(IF($C$2='Data Validation'!$A$2,'Bank Adjustments'!$I$4:$I$103,IF('Adjustment Surface'!$C$2='Data Validation'!$A$3,'Bank Adjustments'!$S$4:$S$103,"Unknown Option Type")),MATCH(1,($AN32=IF($C$2='Data Validation'!$A$2,'Bank Adjustments'!$C$4:$C$103,IF('Adjustment Surface'!$C$2='Data Validation'!$A$3,'Bank Adjustments'!$M$4:$M$103,"Unknown Option Type")))*(AV$26=IF($C$2='Data Validation'!$A$2,'Bank Adjustments'!$E$4:$E$103,IF('Adjustment Surface'!$C$2='Data Validation'!$A$3,'Bank Adjustments'!$O$4:$O$103,"Unknown Option Type"))),0)))</f>
        <v/>
      </c>
      <c r="AW32" s="193" t="str" cm="1">
        <f t="array" ref="AW32">IF(OR(AW$26="",$AN32=""),"",INDEX(IF($C$2='Data Validation'!$A$2,'Bank Adjustments'!$I$4:$I$103,IF('Adjustment Surface'!$C$2='Data Validation'!$A$3,'Bank Adjustments'!$S$4:$S$103,"Unknown Option Type")),MATCH(1,($AN32=IF($C$2='Data Validation'!$A$2,'Bank Adjustments'!$C$4:$C$103,IF('Adjustment Surface'!$C$2='Data Validation'!$A$3,'Bank Adjustments'!$M$4:$M$103,"Unknown Option Type")))*(AW$26=IF($C$2='Data Validation'!$A$2,'Bank Adjustments'!$E$4:$E$103,IF('Adjustment Surface'!$C$2='Data Validation'!$A$3,'Bank Adjustments'!$O$4:$O$103,"Unknown Option Type"))),0)))</f>
        <v/>
      </c>
      <c r="AX32" s="193" t="str" cm="1">
        <f t="array" ref="AX32">IF(OR(AX$26="",$AN32=""),"",INDEX(IF($C$2='Data Validation'!$A$2,'Bank Adjustments'!$I$4:$I$103,IF('Adjustment Surface'!$C$2='Data Validation'!$A$3,'Bank Adjustments'!$S$4:$S$103,"Unknown Option Type")),MATCH(1,($AN32=IF($C$2='Data Validation'!$A$2,'Bank Adjustments'!$C$4:$C$103,IF('Adjustment Surface'!$C$2='Data Validation'!$A$3,'Bank Adjustments'!$M$4:$M$103,"Unknown Option Type")))*(AX$26=IF($C$2='Data Validation'!$A$2,'Bank Adjustments'!$E$4:$E$103,IF('Adjustment Surface'!$C$2='Data Validation'!$A$3,'Bank Adjustments'!$O$4:$O$103,"Unknown Option Type"))),0)))</f>
        <v/>
      </c>
      <c r="AY32" s="193" t="str" cm="1">
        <f t="array" ref="AY32">IF(OR(AY$26="",$AN32=""),"",INDEX(IF($C$2='Data Validation'!$A$2,'Bank Adjustments'!$I$4:$I$103,IF('Adjustment Surface'!$C$2='Data Validation'!$A$3,'Bank Adjustments'!$S$4:$S$103,"Unknown Option Type")),MATCH(1,($AN32=IF($C$2='Data Validation'!$A$2,'Bank Adjustments'!$C$4:$C$103,IF('Adjustment Surface'!$C$2='Data Validation'!$A$3,'Bank Adjustments'!$M$4:$M$103,"Unknown Option Type")))*(AY$26=IF($C$2='Data Validation'!$A$2,'Bank Adjustments'!$E$4:$E$103,IF('Adjustment Surface'!$C$2='Data Validation'!$A$3,'Bank Adjustments'!$O$4:$O$103,"Unknown Option Type"))),0)))</f>
        <v/>
      </c>
      <c r="AZ32" s="193" t="str" cm="1">
        <f t="array" ref="AZ32">IF(OR(AZ$26="",$AN32=""),"",INDEX(IF($C$2='Data Validation'!$A$2,'Bank Adjustments'!$I$4:$I$103,IF('Adjustment Surface'!$C$2='Data Validation'!$A$3,'Bank Adjustments'!$S$4:$S$103,"Unknown Option Type")),MATCH(1,($AN32=IF($C$2='Data Validation'!$A$2,'Bank Adjustments'!$C$4:$C$103,IF('Adjustment Surface'!$C$2='Data Validation'!$A$3,'Bank Adjustments'!$M$4:$M$103,"Unknown Option Type")))*(AZ$26=IF($C$2='Data Validation'!$A$2,'Bank Adjustments'!$E$4:$E$103,IF('Adjustment Surface'!$C$2='Data Validation'!$A$3,'Bank Adjustments'!$O$4:$O$103,"Unknown Option Type"))),0)))</f>
        <v/>
      </c>
      <c r="BA32" s="193" t="str" cm="1">
        <f t="array" ref="BA32">IF(OR(BA$26="",$AN32=""),"",INDEX(IF($C$2='Data Validation'!$A$2,'Bank Adjustments'!$I$4:$I$103,IF('Adjustment Surface'!$C$2='Data Validation'!$A$3,'Bank Adjustments'!$S$4:$S$103,"Unknown Option Type")),MATCH(1,($AN32=IF($C$2='Data Validation'!$A$2,'Bank Adjustments'!$C$4:$C$103,IF('Adjustment Surface'!$C$2='Data Validation'!$A$3,'Bank Adjustments'!$M$4:$M$103,"Unknown Option Type")))*(BA$26=IF($C$2='Data Validation'!$A$2,'Bank Adjustments'!$E$4:$E$103,IF('Adjustment Surface'!$C$2='Data Validation'!$A$3,'Bank Adjustments'!$O$4:$O$103,"Unknown Option Type"))),0)))</f>
        <v/>
      </c>
      <c r="BB32" s="193" t="str" cm="1">
        <f t="array" ref="BB32">IF(OR(BB$26="",$AN32=""),"",INDEX(IF($C$2='Data Validation'!$A$2,'Bank Adjustments'!$I$4:$I$103,IF('Adjustment Surface'!$C$2='Data Validation'!$A$3,'Bank Adjustments'!$S$4:$S$103,"Unknown Option Type")),MATCH(1,($AN32=IF($C$2='Data Validation'!$A$2,'Bank Adjustments'!$C$4:$C$103,IF('Adjustment Surface'!$C$2='Data Validation'!$A$3,'Bank Adjustments'!$M$4:$M$103,"Unknown Option Type")))*(BB$26=IF($C$2='Data Validation'!$A$2,'Bank Adjustments'!$E$4:$E$103,IF('Adjustment Surface'!$C$2='Data Validation'!$A$3,'Bank Adjustments'!$O$4:$O$103,"Unknown Option Type"))),0)))</f>
        <v/>
      </c>
      <c r="BC32" s="193" t="str" cm="1">
        <f t="array" ref="BC32">IF(OR(BC$26="",$AN32=""),"",INDEX(IF($C$2='Data Validation'!$A$2,'Bank Adjustments'!$I$4:$I$103,IF('Adjustment Surface'!$C$2='Data Validation'!$A$3,'Bank Adjustments'!$S$4:$S$103,"Unknown Option Type")),MATCH(1,($AN32=IF($C$2='Data Validation'!$A$2,'Bank Adjustments'!$C$4:$C$103,IF('Adjustment Surface'!$C$2='Data Validation'!$A$3,'Bank Adjustments'!$M$4:$M$103,"Unknown Option Type")))*(BC$26=IF($C$2='Data Validation'!$A$2,'Bank Adjustments'!$E$4:$E$103,IF('Adjustment Surface'!$C$2='Data Validation'!$A$3,'Bank Adjustments'!$O$4:$O$103,"Unknown Option Type"))),0)))</f>
        <v/>
      </c>
      <c r="BD32" s="193" t="str" cm="1">
        <f t="array" ref="BD32">IF(OR(BD$26="",$AN32=""),"",INDEX(IF($C$2='Data Validation'!$A$2,'Bank Adjustments'!$I$4:$I$103,IF('Adjustment Surface'!$C$2='Data Validation'!$A$3,'Bank Adjustments'!$S$4:$S$103,"Unknown Option Type")),MATCH(1,($AN32=IF($C$2='Data Validation'!$A$2,'Bank Adjustments'!$C$4:$C$103,IF('Adjustment Surface'!$C$2='Data Validation'!$A$3,'Bank Adjustments'!$M$4:$M$103,"Unknown Option Type")))*(BD$26=IF($C$2='Data Validation'!$A$2,'Bank Adjustments'!$E$4:$E$103,IF('Adjustment Surface'!$C$2='Data Validation'!$A$3,'Bank Adjustments'!$O$4:$O$103,"Unknown Option Type"))),0)))</f>
        <v/>
      </c>
      <c r="BE32" s="193" t="str" cm="1">
        <f t="array" ref="BE32">IF(OR(BE$26="",$AN32=""),"",INDEX(IF($C$2='Data Validation'!$A$2,'Bank Adjustments'!$I$4:$I$103,IF('Adjustment Surface'!$C$2='Data Validation'!$A$3,'Bank Adjustments'!$S$4:$S$103,"Unknown Option Type")),MATCH(1,($AN32=IF($C$2='Data Validation'!$A$2,'Bank Adjustments'!$C$4:$C$103,IF('Adjustment Surface'!$C$2='Data Validation'!$A$3,'Bank Adjustments'!$M$4:$M$103,"Unknown Option Type")))*(BE$26=IF($C$2='Data Validation'!$A$2,'Bank Adjustments'!$E$4:$E$103,IF('Adjustment Surface'!$C$2='Data Validation'!$A$3,'Bank Adjustments'!$O$4:$O$103,"Unknown Option Type"))),0)))</f>
        <v/>
      </c>
      <c r="BF32" s="193" t="str" cm="1">
        <f t="array" ref="BF32">IF(OR(BF$26="",$AN32=""),"",INDEX(IF($C$2='Data Validation'!$A$2,'Bank Adjustments'!$I$4:$I$103,IF('Adjustment Surface'!$C$2='Data Validation'!$A$3,'Bank Adjustments'!$S$4:$S$103,"Unknown Option Type")),MATCH(1,($AN32=IF($C$2='Data Validation'!$A$2,'Bank Adjustments'!$C$4:$C$103,IF('Adjustment Surface'!$C$2='Data Validation'!$A$3,'Bank Adjustments'!$M$4:$M$103,"Unknown Option Type")))*(BF$26=IF($C$2='Data Validation'!$A$2,'Bank Adjustments'!$E$4:$E$103,IF('Adjustment Surface'!$C$2='Data Validation'!$A$3,'Bank Adjustments'!$O$4:$O$103,"Unknown Option Type"))),0)))</f>
        <v/>
      </c>
      <c r="BG32" s="193" t="str" cm="1">
        <f t="array" ref="BG32">IF(OR(BG$26="",$AN32=""),"",INDEX(IF($C$2='Data Validation'!$A$2,'Bank Adjustments'!$I$4:$I$103,IF('Adjustment Surface'!$C$2='Data Validation'!$A$3,'Bank Adjustments'!$S$4:$S$103,"Unknown Option Type")),MATCH(1,($AN32=IF($C$2='Data Validation'!$A$2,'Bank Adjustments'!$C$4:$C$103,IF('Adjustment Surface'!$C$2='Data Validation'!$A$3,'Bank Adjustments'!$M$4:$M$103,"Unknown Option Type")))*(BG$26=IF($C$2='Data Validation'!$A$2,'Bank Adjustments'!$E$4:$E$103,IF('Adjustment Surface'!$C$2='Data Validation'!$A$3,'Bank Adjustments'!$O$4:$O$103,"Unknown Option Type"))),0)))</f>
        <v/>
      </c>
      <c r="BH32" s="194" t="str" cm="1">
        <f t="array" ref="BH32">IF(OR(BH$26="",$AN32=""),"",INDEX(IF($C$2='Data Validation'!$A$2,'Bank Adjustments'!$I$4:$I$103,IF('Adjustment Surface'!$C$2='Data Validation'!$A$3,'Bank Adjustments'!$S$4:$S$103,"Unknown Option Type")),MATCH(1,($AN32=IF($C$2='Data Validation'!$A$2,'Bank Adjustments'!$C$4:$C$103,IF('Adjustment Surface'!$C$2='Data Validation'!$A$3,'Bank Adjustments'!$M$4:$M$103,"Unknown Option Type")))*(BH$26=IF($C$2='Data Validation'!$A$2,'Bank Adjustments'!$E$4:$E$103,IF('Adjustment Surface'!$C$2='Data Validation'!$A$3,'Bank Adjustments'!$O$4:$O$103,"Unknown Option Type"))),0)))</f>
        <v/>
      </c>
    </row>
    <row r="33" spans="2:60" x14ac:dyDescent="0.25">
      <c r="H33" s="176">
        <v>0.05</v>
      </c>
      <c r="I33" s="54">
        <f t="shared" si="6"/>
        <v>3.0000000000000002E-2</v>
      </c>
      <c r="J33" s="55">
        <f t="shared" si="6"/>
        <v>2.0000000000000004E-2</v>
      </c>
      <c r="K33" s="55">
        <f t="shared" si="6"/>
        <v>1.0000000000000002E-2</v>
      </c>
      <c r="L33" s="55">
        <f t="shared" si="6"/>
        <v>0</v>
      </c>
      <c r="M33" s="48">
        <f t="shared" si="6"/>
        <v>9.999999999999995E-3</v>
      </c>
      <c r="O33" s="176">
        <v>0.05</v>
      </c>
      <c r="P33" s="192" cm="1">
        <f t="array" ref="P33">IF(OR(P$26="",$O33=""),"",1/((INDEX('Adjustment Surface'!$AN$27:$AN$46,MATCH(('Adjustment Surface'!$O33),'Adjustment Surface'!$AN$27:$AN$46,1)+IF('Adjustment Surface'!$O34="",-1,1))-INDEX('Adjustment Surface'!$AN$27:$AN$46,MATCH(('Adjustment Surface'!$O33),'Adjustment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Surface'!$O33),'Adjustment Surface'!$AN$27:$AN$46,1)),$AN$27:$AN$46,0),MATCH(INDEX('Adjustment Surface'!$AO$26:$BH$26,1,MATCH(('Adjustment Surface'!P$26),'Adjustment Surface'!$AO$26:$BH$26,1)),$AO$26:$BH$26,0))*(INDEX('Adjustment Surface'!$AN$27:$AN$46,MATCH(('Adjustment Surface'!$O33),'Adjustment Surface'!$AN$27:$AN$46,1)+IF('Adjustment Surface'!$O34="",-1,1))-'Adjustment Surface'!$O33)*(INDEX('Adjustment Surface'!$AO$26:$BH$26,1,MATCH(('Adjustment Surface'!P$26),'Adjustment Surface'!$AO$26:$BH$26,1)+IF('Adjustment Surface'!Q$26="",-1,1))-'Adjustment Surface'!P$26)+INDEX($AO$27:$BH$46,MATCH(INDEX('Adjustment Surface'!$AN$27:$AN$46,MATCH(('Adjustment Surface'!$O33),'Adjustment Surface'!$AN$27:$AN$46,1)+IF('Adjustment Surface'!$O34="",-1,1)),$AN$27:$AN$46,0),MATCH(INDEX('Adjustment Surface'!$AO$26:$BH$26,1,MATCH(('Adjustment Surface'!P$26),'Adjustment Surface'!$AO$26:$BH$26,1)),$AO$26:$BH$26,0))*('Adjustment Surface'!$O33-INDEX('Adjustment Surface'!$AN$27:$AN$46,MATCH(('Adjustment Surface'!$O33),'Adjustment Surface'!$AN$27:$AN$46,1)))*(INDEX('Adjustment Surface'!$AO$26:$BH$26,1,MATCH(('Adjustment Surface'!P$26),'Adjustment Surface'!$AO$26:$BH$26,1)+IF('Adjustment Surface'!Q$26="",-1,1))-'Adjustment Surface'!P$26)+INDEX($AO$27:$BH$46,MATCH(INDEX('Adjustment Surface'!$AN$27:$AN$46,MATCH(('Adjustment Surface'!$O33),'Adjustment Surface'!$AN$27:$AN$46,1)),$AN$27:$AN$46,0),MATCH(INDEX('Adjustment Surface'!$AO$26:$BH$26,1,MATCH(('Adjustment Surface'!P$26),'Adjustment Surface'!$AO$26:$BH$26,1)+IF('Adjustment Surface'!Q$26="",-1,1)),$AO$26:$BH$26,0))*(INDEX('Adjustment Surface'!$AN$27:$AN$46,MATCH(('Adjustment Surface'!$O33),'Adjustment Surface'!$AN$27:$AN$46,1)+IF('Adjustment Surface'!$O34="",-1,1))-'Adjustment Surface'!$O33)*('Adjustment Surface'!P$26-INDEX('Adjustment Surface'!$AO$26:$BH$26,1,MATCH(('Adjustment Surface'!P$26),'Adjustment Surface'!$AO$26:$BH$26,1)))+INDEX($AO$27:$BH$46,MATCH(INDEX('Adjustment Surface'!$AN$27:$AN$46,MATCH(('Adjustment Surface'!$O33),'Adjustment Surface'!$AN$27:$AN$46,1)+IF('Adjustment Surface'!$O34="",-1,1)),$AN$27:$AN$46,0),MATCH(INDEX('Adjustment Surface'!$AO$26:$BH$26,1,MATCH(('Adjustment Surface'!P$26),'Adjustment Surface'!$AO$26:$BH$26,1)+IF('Adjustment Surface'!Q$26="",-1,1)),$AO$26:$BH$26,0))*('Adjustment Surface'!$O33-INDEX('Adjustment Surface'!$AN$27:$AN$46,MATCH(('Adjustment Surface'!$O33),'Adjustment Surface'!$AN$27:$AN$46,1)))*('Adjustment Surface'!P$26-INDEX('Adjustment Surface'!$AO$26:$BH$26,1,MATCH(('Adjustment Surface'!P$26),'Adjustment Surface'!$AO$26:$BH$26,1)))))</f>
        <v>20.377199981093053</v>
      </c>
      <c r="Q33" s="193" cm="1">
        <f t="array" ref="Q33">IF(OR(Q$26="",$O33=""),"",1/((INDEX('Adjustment Surface'!$AN$27:$AN$46,MATCH(('Adjustment Surface'!$O33),'Adjustment Surface'!$AN$27:$AN$46,1)+IF('Adjustment Surface'!$O34="",-1,1))-INDEX('Adjustment Surface'!$AN$27:$AN$46,MATCH(('Adjustment Surface'!$O33),'Adjustment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Surface'!$O33),'Adjustment Surface'!$AN$27:$AN$46,1)),$AN$27:$AN$46,0),MATCH(INDEX('Adjustment Surface'!$AO$26:$BH$26,1,MATCH(('Adjustment Surface'!Q$26),'Adjustment Surface'!$AO$26:$BH$26,1)),$AO$26:$BH$26,0))*(INDEX('Adjustment Surface'!$AN$27:$AN$46,MATCH(('Adjustment Surface'!$O33),'Adjustment Surface'!$AN$27:$AN$46,1)+IF('Adjustment Surface'!$O34="",-1,1))-'Adjustment Surface'!$O33)*(INDEX('Adjustment Surface'!$AO$26:$BH$26,1,MATCH(('Adjustment Surface'!Q$26),'Adjustment Surface'!$AO$26:$BH$26,1)+IF('Adjustment Surface'!R$26="",-1,1))-'Adjustment Surface'!Q$26)+INDEX($AO$27:$BH$46,MATCH(INDEX('Adjustment Surface'!$AN$27:$AN$46,MATCH(('Adjustment Surface'!$O33),'Adjustment Surface'!$AN$27:$AN$46,1)+IF('Adjustment Surface'!$O34="",-1,1)),$AN$27:$AN$46,0),MATCH(INDEX('Adjustment Surface'!$AO$26:$BH$26,1,MATCH(('Adjustment Surface'!Q$26),'Adjustment Surface'!$AO$26:$BH$26,1)),$AO$26:$BH$26,0))*('Adjustment Surface'!$O33-INDEX('Adjustment Surface'!$AN$27:$AN$46,MATCH(('Adjustment Surface'!$O33),'Adjustment Surface'!$AN$27:$AN$46,1)))*(INDEX('Adjustment Surface'!$AO$26:$BH$26,1,MATCH(('Adjustment Surface'!Q$26),'Adjustment Surface'!$AO$26:$BH$26,1)+IF('Adjustment Surface'!R$26="",-1,1))-'Adjustment Surface'!Q$26)+INDEX($AO$27:$BH$46,MATCH(INDEX('Adjustment Surface'!$AN$27:$AN$46,MATCH(('Adjustment Surface'!$O33),'Adjustment Surface'!$AN$27:$AN$46,1)),$AN$27:$AN$46,0),MATCH(INDEX('Adjustment Surface'!$AO$26:$BH$26,1,MATCH(('Adjustment Surface'!Q$26),'Adjustment Surface'!$AO$26:$BH$26,1)+IF('Adjustment Surface'!R$26="",-1,1)),$AO$26:$BH$26,0))*(INDEX('Adjustment Surface'!$AN$27:$AN$46,MATCH(('Adjustment Surface'!$O33),'Adjustment Surface'!$AN$27:$AN$46,1)+IF('Adjustment Surface'!$O34="",-1,1))-'Adjustment Surface'!$O33)*('Adjustment Surface'!Q$26-INDEX('Adjustment Surface'!$AO$26:$BH$26,1,MATCH(('Adjustment Surface'!Q$26),'Adjustment Surface'!$AO$26:$BH$26,1)))+INDEX($AO$27:$BH$46,MATCH(INDEX('Adjustment Surface'!$AN$27:$AN$46,MATCH(('Adjustment Surface'!$O33),'Adjustment Surface'!$AN$27:$AN$46,1)+IF('Adjustment Surface'!$O34="",-1,1)),$AN$27:$AN$46,0),MATCH(INDEX('Adjustment Surface'!$AO$26:$BH$26,1,MATCH(('Adjustment Surface'!Q$26),'Adjustment Surface'!$AO$26:$BH$26,1)+IF('Adjustment Surface'!R$26="",-1,1)),$AO$26:$BH$26,0))*('Adjustment Surface'!$O33-INDEX('Adjustment Surface'!$AN$27:$AN$46,MATCH(('Adjustment Surface'!$O33),'Adjustment Surface'!$AN$27:$AN$46,1)))*('Adjustment Surface'!Q$26-INDEX('Adjustment Surface'!$AO$26:$BH$26,1,MATCH(('Adjustment Surface'!Q$26),'Adjustment Surface'!$AO$26:$BH$26,1)))))</f>
        <v>15.625317567116582</v>
      </c>
      <c r="R33" s="193" cm="1">
        <f t="array" ref="R33">IF(OR(R$26="",$O33=""),"",1/((INDEX('Adjustment Surface'!$AN$27:$AN$46,MATCH(('Adjustment Surface'!$O33),'Adjustment Surface'!$AN$27:$AN$46,1)+IF('Adjustment Surface'!$O34="",-1,1))-INDEX('Adjustment Surface'!$AN$27:$AN$46,MATCH(('Adjustment Surface'!$O33),'Adjustment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Surface'!$O33),'Adjustment Surface'!$AN$27:$AN$46,1)),$AN$27:$AN$46,0),MATCH(INDEX('Adjustment Surface'!$AO$26:$BH$26,1,MATCH(('Adjustment Surface'!R$26),'Adjustment Surface'!$AO$26:$BH$26,1)),$AO$26:$BH$26,0))*(INDEX('Adjustment Surface'!$AN$27:$AN$46,MATCH(('Adjustment Surface'!$O33),'Adjustment Surface'!$AN$27:$AN$46,1)+IF('Adjustment Surface'!$O34="",-1,1))-'Adjustment Surface'!$O33)*(INDEX('Adjustment Surface'!$AO$26:$BH$26,1,MATCH(('Adjustment Surface'!R$26),'Adjustment Surface'!$AO$26:$BH$26,1)+IF('Adjustment Surface'!S$26="",-1,1))-'Adjustment Surface'!R$26)+INDEX($AO$27:$BH$46,MATCH(INDEX('Adjustment Surface'!$AN$27:$AN$46,MATCH(('Adjustment Surface'!$O33),'Adjustment Surface'!$AN$27:$AN$46,1)+IF('Adjustment Surface'!$O34="",-1,1)),$AN$27:$AN$46,0),MATCH(INDEX('Adjustment Surface'!$AO$26:$BH$26,1,MATCH(('Adjustment Surface'!R$26),'Adjustment Surface'!$AO$26:$BH$26,1)),$AO$26:$BH$26,0))*('Adjustment Surface'!$O33-INDEX('Adjustment Surface'!$AN$27:$AN$46,MATCH(('Adjustment Surface'!$O33),'Adjustment Surface'!$AN$27:$AN$46,1)))*(INDEX('Adjustment Surface'!$AO$26:$BH$26,1,MATCH(('Adjustment Surface'!R$26),'Adjustment Surface'!$AO$26:$BH$26,1)+IF('Adjustment Surface'!S$26="",-1,1))-'Adjustment Surface'!R$26)+INDEX($AO$27:$BH$46,MATCH(INDEX('Adjustment Surface'!$AN$27:$AN$46,MATCH(('Adjustment Surface'!$O33),'Adjustment Surface'!$AN$27:$AN$46,1)),$AN$27:$AN$46,0),MATCH(INDEX('Adjustment Surface'!$AO$26:$BH$26,1,MATCH(('Adjustment Surface'!R$26),'Adjustment Surface'!$AO$26:$BH$26,1)+IF('Adjustment Surface'!S$26="",-1,1)),$AO$26:$BH$26,0))*(INDEX('Adjustment Surface'!$AN$27:$AN$46,MATCH(('Adjustment Surface'!$O33),'Adjustment Surface'!$AN$27:$AN$46,1)+IF('Adjustment Surface'!$O34="",-1,1))-'Adjustment Surface'!$O33)*('Adjustment Surface'!R$26-INDEX('Adjustment Surface'!$AO$26:$BH$26,1,MATCH(('Adjustment Surface'!R$26),'Adjustment Surface'!$AO$26:$BH$26,1)))+INDEX($AO$27:$BH$46,MATCH(INDEX('Adjustment Surface'!$AN$27:$AN$46,MATCH(('Adjustment Surface'!$O33),'Adjustment Surface'!$AN$27:$AN$46,1)+IF('Adjustment Surface'!$O34="",-1,1)),$AN$27:$AN$46,0),MATCH(INDEX('Adjustment Surface'!$AO$26:$BH$26,1,MATCH(('Adjustment Surface'!R$26),'Adjustment Surface'!$AO$26:$BH$26,1)+IF('Adjustment Surface'!S$26="",-1,1)),$AO$26:$BH$26,0))*('Adjustment Surface'!$O33-INDEX('Adjustment Surface'!$AN$27:$AN$46,MATCH(('Adjustment Surface'!$O33),'Adjustment Surface'!$AN$27:$AN$46,1)))*('Adjustment Surface'!R$26-INDEX('Adjustment Surface'!$AO$26:$BH$26,1,MATCH(('Adjustment Surface'!R$26),'Adjustment Surface'!$AO$26:$BH$26,1)))))</f>
        <v>10.713259341433041</v>
      </c>
      <c r="S33" s="193" cm="1">
        <f t="array" ref="S33">IF(OR(S$26="",$O33=""),"",1/((INDEX('Adjustment Surface'!$AN$27:$AN$46,MATCH(('Adjustment Surface'!$O33),'Adjustment Surface'!$AN$27:$AN$46,1)+IF('Adjustment Surface'!$O34="",-1,1))-INDEX('Adjustment Surface'!$AN$27:$AN$46,MATCH(('Adjustment Surface'!$O33),'Adjustment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Surface'!$O33),'Adjustment Surface'!$AN$27:$AN$46,1)),$AN$27:$AN$46,0),MATCH(INDEX('Adjustment Surface'!$AO$26:$BH$26,1,MATCH(('Adjustment Surface'!S$26),'Adjustment Surface'!$AO$26:$BH$26,1)),$AO$26:$BH$26,0))*(INDEX('Adjustment Surface'!$AN$27:$AN$46,MATCH(('Adjustment Surface'!$O33),'Adjustment Surface'!$AN$27:$AN$46,1)+IF('Adjustment Surface'!$O34="",-1,1))-'Adjustment Surface'!$O33)*(INDEX('Adjustment Surface'!$AO$26:$BH$26,1,MATCH(('Adjustment Surface'!S$26),'Adjustment Surface'!$AO$26:$BH$26,1)+IF('Adjustment Surface'!T$26="",-1,1))-'Adjustment Surface'!S$26)+INDEX($AO$27:$BH$46,MATCH(INDEX('Adjustment Surface'!$AN$27:$AN$46,MATCH(('Adjustment Surface'!$O33),'Adjustment Surface'!$AN$27:$AN$46,1)+IF('Adjustment Surface'!$O34="",-1,1)),$AN$27:$AN$46,0),MATCH(INDEX('Adjustment Surface'!$AO$26:$BH$26,1,MATCH(('Adjustment Surface'!S$26),'Adjustment Surface'!$AO$26:$BH$26,1)),$AO$26:$BH$26,0))*('Adjustment Surface'!$O33-INDEX('Adjustment Surface'!$AN$27:$AN$46,MATCH(('Adjustment Surface'!$O33),'Adjustment Surface'!$AN$27:$AN$46,1)))*(INDEX('Adjustment Surface'!$AO$26:$BH$26,1,MATCH(('Adjustment Surface'!S$26),'Adjustment Surface'!$AO$26:$BH$26,1)+IF('Adjustment Surface'!T$26="",-1,1))-'Adjustment Surface'!S$26)+INDEX($AO$27:$BH$46,MATCH(INDEX('Adjustment Surface'!$AN$27:$AN$46,MATCH(('Adjustment Surface'!$O33),'Adjustment Surface'!$AN$27:$AN$46,1)),$AN$27:$AN$46,0),MATCH(INDEX('Adjustment Surface'!$AO$26:$BH$26,1,MATCH(('Adjustment Surface'!S$26),'Adjustment Surface'!$AO$26:$BH$26,1)+IF('Adjustment Surface'!T$26="",-1,1)),$AO$26:$BH$26,0))*(INDEX('Adjustment Surface'!$AN$27:$AN$46,MATCH(('Adjustment Surface'!$O33),'Adjustment Surface'!$AN$27:$AN$46,1)+IF('Adjustment Surface'!$O34="",-1,1))-'Adjustment Surface'!$O33)*('Adjustment Surface'!S$26-INDEX('Adjustment Surface'!$AO$26:$BH$26,1,MATCH(('Adjustment Surface'!S$26),'Adjustment Surface'!$AO$26:$BH$26,1)))+INDEX($AO$27:$BH$46,MATCH(INDEX('Adjustment Surface'!$AN$27:$AN$46,MATCH(('Adjustment Surface'!$O33),'Adjustment Surface'!$AN$27:$AN$46,1)+IF('Adjustment Surface'!$O34="",-1,1)),$AN$27:$AN$46,0),MATCH(INDEX('Adjustment Surface'!$AO$26:$BH$26,1,MATCH(('Adjustment Surface'!S$26),'Adjustment Surface'!$AO$26:$BH$26,1)+IF('Adjustment Surface'!T$26="",-1,1)),$AO$26:$BH$26,0))*('Adjustment Surface'!$O33-INDEX('Adjustment Surface'!$AN$27:$AN$46,MATCH(('Adjustment Surface'!$O33),'Adjustment Surface'!$AN$27:$AN$46,1)))*('Adjustment Surface'!S$26-INDEX('Adjustment Surface'!$AO$26:$BH$26,1,MATCH(('Adjustment Surface'!S$26),'Adjustment Surface'!$AO$26:$BH$26,1)))))</f>
        <v>5.8012011157494987</v>
      </c>
      <c r="T33" s="193" cm="1">
        <f t="array" ref="T33">IF(OR(T$26="",$O33=""),"",1/((INDEX('Adjustment Surface'!$AN$27:$AN$46,MATCH(('Adjustment Surface'!$O33),'Adjustment Surface'!$AN$27:$AN$46,1)+IF('Adjustment Surface'!$O34="",-1,1))-INDEX('Adjustment Surface'!$AN$27:$AN$46,MATCH(('Adjustment Surface'!$O33),'Adjustment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Surface'!$O33),'Adjustment Surface'!$AN$27:$AN$46,1)),$AN$27:$AN$46,0),MATCH(INDEX('Adjustment Surface'!$AO$26:$BH$26,1,MATCH(('Adjustment Surface'!T$26),'Adjustment Surface'!$AO$26:$BH$26,1)),$AO$26:$BH$26,0))*(INDEX('Adjustment Surface'!$AN$27:$AN$46,MATCH(('Adjustment Surface'!$O33),'Adjustment Surface'!$AN$27:$AN$46,1)+IF('Adjustment Surface'!$O34="",-1,1))-'Adjustment Surface'!$O33)*(INDEX('Adjustment Surface'!$AO$26:$BH$26,1,MATCH(('Adjustment Surface'!T$26),'Adjustment Surface'!$AO$26:$BH$26,1)+IF('Adjustment Surface'!U$26="",-1,1))-'Adjustment Surface'!T$26)+INDEX($AO$27:$BH$46,MATCH(INDEX('Adjustment Surface'!$AN$27:$AN$46,MATCH(('Adjustment Surface'!$O33),'Adjustment Surface'!$AN$27:$AN$46,1)+IF('Adjustment Surface'!$O34="",-1,1)),$AN$27:$AN$46,0),MATCH(INDEX('Adjustment Surface'!$AO$26:$BH$26,1,MATCH(('Adjustment Surface'!T$26),'Adjustment Surface'!$AO$26:$BH$26,1)),$AO$26:$BH$26,0))*('Adjustment Surface'!$O33-INDEX('Adjustment Surface'!$AN$27:$AN$46,MATCH(('Adjustment Surface'!$O33),'Adjustment Surface'!$AN$27:$AN$46,1)))*(INDEX('Adjustment Surface'!$AO$26:$BH$26,1,MATCH(('Adjustment Surface'!T$26),'Adjustment Surface'!$AO$26:$BH$26,1)+IF('Adjustment Surface'!U$26="",-1,1))-'Adjustment Surface'!T$26)+INDEX($AO$27:$BH$46,MATCH(INDEX('Adjustment Surface'!$AN$27:$AN$46,MATCH(('Adjustment Surface'!$O33),'Adjustment Surface'!$AN$27:$AN$46,1)),$AN$27:$AN$46,0),MATCH(INDEX('Adjustment Surface'!$AO$26:$BH$26,1,MATCH(('Adjustment Surface'!T$26),'Adjustment Surface'!$AO$26:$BH$26,1)+IF('Adjustment Surface'!U$26="",-1,1)),$AO$26:$BH$26,0))*(INDEX('Adjustment Surface'!$AN$27:$AN$46,MATCH(('Adjustment Surface'!$O33),'Adjustment Surface'!$AN$27:$AN$46,1)+IF('Adjustment Surface'!$O34="",-1,1))-'Adjustment Surface'!$O33)*('Adjustment Surface'!T$26-INDEX('Adjustment Surface'!$AO$26:$BH$26,1,MATCH(('Adjustment Surface'!T$26),'Adjustment Surface'!$AO$26:$BH$26,1)))+INDEX($AO$27:$BH$46,MATCH(INDEX('Adjustment Surface'!$AN$27:$AN$46,MATCH(('Adjustment Surface'!$O33),'Adjustment Surface'!$AN$27:$AN$46,1)+IF('Adjustment Surface'!$O34="",-1,1)),$AN$27:$AN$46,0),MATCH(INDEX('Adjustment Surface'!$AO$26:$BH$26,1,MATCH(('Adjustment Surface'!T$26),'Adjustment Surface'!$AO$26:$BH$26,1)+IF('Adjustment Surface'!U$26="",-1,1)),$AO$26:$BH$26,0))*('Adjustment Surface'!$O33-INDEX('Adjustment Surface'!$AN$27:$AN$46,MATCH(('Adjustment Surface'!$O33),'Adjustment Surface'!$AN$27:$AN$46,1)))*('Adjustment Surface'!T$26-INDEX('Adjustment Surface'!$AO$26:$BH$26,1,MATCH(('Adjustment Surface'!T$26),'Adjustment Surface'!$AO$26:$BH$26,1)))))</f>
        <v>0.88914289006595615</v>
      </c>
      <c r="U33" s="193" cm="1">
        <f t="array" ref="U33">IF(OR(U$26="",$O33=""),"",1/((INDEX('Adjustment Surface'!$AN$27:$AN$46,MATCH(('Adjustment Surface'!$O33),'Adjustment Surface'!$AN$27:$AN$46,1)+IF('Adjustment Surface'!$O34="",-1,1))-INDEX('Adjustment Surface'!$AN$27:$AN$46,MATCH(('Adjustment Surface'!$O33),'Adjustment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Surface'!$O33),'Adjustment Surface'!$AN$27:$AN$46,1)),$AN$27:$AN$46,0),MATCH(INDEX('Adjustment Surface'!$AO$26:$BH$26,1,MATCH(('Adjustment Surface'!U$26),'Adjustment Surface'!$AO$26:$BH$26,1)),$AO$26:$BH$26,0))*(INDEX('Adjustment Surface'!$AN$27:$AN$46,MATCH(('Adjustment Surface'!$O33),'Adjustment Surface'!$AN$27:$AN$46,1)+IF('Adjustment Surface'!$O34="",-1,1))-'Adjustment Surface'!$O33)*(INDEX('Adjustment Surface'!$AO$26:$BH$26,1,MATCH(('Adjustment Surface'!U$26),'Adjustment Surface'!$AO$26:$BH$26,1)+IF('Adjustment Surface'!V$26="",-1,1))-'Adjustment Surface'!U$26)+INDEX($AO$27:$BH$46,MATCH(INDEX('Adjustment Surface'!$AN$27:$AN$46,MATCH(('Adjustment Surface'!$O33),'Adjustment Surface'!$AN$27:$AN$46,1)+IF('Adjustment Surface'!$O34="",-1,1)),$AN$27:$AN$46,0),MATCH(INDEX('Adjustment Surface'!$AO$26:$BH$26,1,MATCH(('Adjustment Surface'!U$26),'Adjustment Surface'!$AO$26:$BH$26,1)),$AO$26:$BH$26,0))*('Adjustment Surface'!$O33-INDEX('Adjustment Surface'!$AN$27:$AN$46,MATCH(('Adjustment Surface'!$O33),'Adjustment Surface'!$AN$27:$AN$46,1)))*(INDEX('Adjustment Surface'!$AO$26:$BH$26,1,MATCH(('Adjustment Surface'!U$26),'Adjustment Surface'!$AO$26:$BH$26,1)+IF('Adjustment Surface'!V$26="",-1,1))-'Adjustment Surface'!U$26)+INDEX($AO$27:$BH$46,MATCH(INDEX('Adjustment Surface'!$AN$27:$AN$46,MATCH(('Adjustment Surface'!$O33),'Adjustment Surface'!$AN$27:$AN$46,1)),$AN$27:$AN$46,0),MATCH(INDEX('Adjustment Surface'!$AO$26:$BH$26,1,MATCH(('Adjustment Surface'!U$26),'Adjustment Surface'!$AO$26:$BH$26,1)+IF('Adjustment Surface'!V$26="",-1,1)),$AO$26:$BH$26,0))*(INDEX('Adjustment Surface'!$AN$27:$AN$46,MATCH(('Adjustment Surface'!$O33),'Adjustment Surface'!$AN$27:$AN$46,1)+IF('Adjustment Surface'!$O34="",-1,1))-'Adjustment Surface'!$O33)*('Adjustment Surface'!U$26-INDEX('Adjustment Surface'!$AO$26:$BH$26,1,MATCH(('Adjustment Surface'!U$26),'Adjustment Surface'!$AO$26:$BH$26,1)))+INDEX($AO$27:$BH$46,MATCH(INDEX('Adjustment Surface'!$AN$27:$AN$46,MATCH(('Adjustment Surface'!$O33),'Adjustment Surface'!$AN$27:$AN$46,1)+IF('Adjustment Surface'!$O34="",-1,1)),$AN$27:$AN$46,0),MATCH(INDEX('Adjustment Surface'!$AO$26:$BH$26,1,MATCH(('Adjustment Surface'!U$26),'Adjustment Surface'!$AO$26:$BH$26,1)+IF('Adjustment Surface'!V$26="",-1,1)),$AO$26:$BH$26,0))*('Adjustment Surface'!$O33-INDEX('Adjustment Surface'!$AN$27:$AN$46,MATCH(('Adjustment Surface'!$O33),'Adjustment Surface'!$AN$27:$AN$46,1)))*('Adjustment Surface'!U$26-INDEX('Adjustment Surface'!$AO$26:$BH$26,1,MATCH(('Adjustment Surface'!U$26),'Adjustment Surface'!$AO$26:$BH$26,1)))))</f>
        <v>0.78233767764741191</v>
      </c>
      <c r="V33" s="193" cm="1">
        <f t="array" ref="V33">IF(OR(V$26="",$O33=""),"",1/((INDEX('Adjustment Surface'!$AN$27:$AN$46,MATCH(('Adjustment Surface'!$O33),'Adjustment Surface'!$AN$27:$AN$46,1)+IF('Adjustment Surface'!$O34="",-1,1))-INDEX('Adjustment Surface'!$AN$27:$AN$46,MATCH(('Adjustment Surface'!$O33),'Adjustment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Surface'!$O33),'Adjustment Surface'!$AN$27:$AN$46,1)),$AN$27:$AN$46,0),MATCH(INDEX('Adjustment Surface'!$AO$26:$BH$26,1,MATCH(('Adjustment Surface'!V$26),'Adjustment Surface'!$AO$26:$BH$26,1)),$AO$26:$BH$26,0))*(INDEX('Adjustment Surface'!$AN$27:$AN$46,MATCH(('Adjustment Surface'!$O33),'Adjustment Surface'!$AN$27:$AN$46,1)+IF('Adjustment Surface'!$O34="",-1,1))-'Adjustment Surface'!$O33)*(INDEX('Adjustment Surface'!$AO$26:$BH$26,1,MATCH(('Adjustment Surface'!V$26),'Adjustment Surface'!$AO$26:$BH$26,1)+IF('Adjustment Surface'!W$26="",-1,1))-'Adjustment Surface'!V$26)+INDEX($AO$27:$BH$46,MATCH(INDEX('Adjustment Surface'!$AN$27:$AN$46,MATCH(('Adjustment Surface'!$O33),'Adjustment Surface'!$AN$27:$AN$46,1)+IF('Adjustment Surface'!$O34="",-1,1)),$AN$27:$AN$46,0),MATCH(INDEX('Adjustment Surface'!$AO$26:$BH$26,1,MATCH(('Adjustment Surface'!V$26),'Adjustment Surface'!$AO$26:$BH$26,1)),$AO$26:$BH$26,0))*('Adjustment Surface'!$O33-INDEX('Adjustment Surface'!$AN$27:$AN$46,MATCH(('Adjustment Surface'!$O33),'Adjustment Surface'!$AN$27:$AN$46,1)))*(INDEX('Adjustment Surface'!$AO$26:$BH$26,1,MATCH(('Adjustment Surface'!V$26),'Adjustment Surface'!$AO$26:$BH$26,1)+IF('Adjustment Surface'!W$26="",-1,1))-'Adjustment Surface'!V$26)+INDEX($AO$27:$BH$46,MATCH(INDEX('Adjustment Surface'!$AN$27:$AN$46,MATCH(('Adjustment Surface'!$O33),'Adjustment Surface'!$AN$27:$AN$46,1)),$AN$27:$AN$46,0),MATCH(INDEX('Adjustment Surface'!$AO$26:$BH$26,1,MATCH(('Adjustment Surface'!V$26),'Adjustment Surface'!$AO$26:$BH$26,1)+IF('Adjustment Surface'!W$26="",-1,1)),$AO$26:$BH$26,0))*(INDEX('Adjustment Surface'!$AN$27:$AN$46,MATCH(('Adjustment Surface'!$O33),'Adjustment Surface'!$AN$27:$AN$46,1)+IF('Adjustment Surface'!$O34="",-1,1))-'Adjustment Surface'!$O33)*('Adjustment Surface'!V$26-INDEX('Adjustment Surface'!$AO$26:$BH$26,1,MATCH(('Adjustment Surface'!V$26),'Adjustment Surface'!$AO$26:$BH$26,1)))+INDEX($AO$27:$BH$46,MATCH(INDEX('Adjustment Surface'!$AN$27:$AN$46,MATCH(('Adjustment Surface'!$O33),'Adjustment Surface'!$AN$27:$AN$46,1)+IF('Adjustment Surface'!$O34="",-1,1)),$AN$27:$AN$46,0),MATCH(INDEX('Adjustment Surface'!$AO$26:$BH$26,1,MATCH(('Adjustment Surface'!V$26),'Adjustment Surface'!$AO$26:$BH$26,1)+IF('Adjustment Surface'!W$26="",-1,1)),$AO$26:$BH$26,0))*('Adjustment Surface'!$O33-INDEX('Adjustment Surface'!$AN$27:$AN$46,MATCH(('Adjustment Surface'!$O33),'Adjustment Surface'!$AN$27:$AN$46,1)))*('Adjustment Surface'!V$26-INDEX('Adjustment Surface'!$AO$26:$BH$26,1,MATCH(('Adjustment Surface'!V$26),'Adjustment Surface'!$AO$26:$BH$26,1)))))</f>
        <v>0.67315901606401141</v>
      </c>
      <c r="W33" s="193" cm="1">
        <f t="array" ref="W33">IF(OR(W$26="",$O33=""),"",1/((INDEX('Adjustment Surface'!$AN$27:$AN$46,MATCH(('Adjustment Surface'!$O33),'Adjustment Surface'!$AN$27:$AN$46,1)+IF('Adjustment Surface'!$O34="",-1,1))-INDEX('Adjustment Surface'!$AN$27:$AN$46,MATCH(('Adjustment Surface'!$O33),'Adjustment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Surface'!$O33),'Adjustment Surface'!$AN$27:$AN$46,1)),$AN$27:$AN$46,0),MATCH(INDEX('Adjustment Surface'!$AO$26:$BH$26,1,MATCH(('Adjustment Surface'!W$26),'Adjustment Surface'!$AO$26:$BH$26,1)),$AO$26:$BH$26,0))*(INDEX('Adjustment Surface'!$AN$27:$AN$46,MATCH(('Adjustment Surface'!$O33),'Adjustment Surface'!$AN$27:$AN$46,1)+IF('Adjustment Surface'!$O34="",-1,1))-'Adjustment Surface'!$O33)*(INDEX('Adjustment Surface'!$AO$26:$BH$26,1,MATCH(('Adjustment Surface'!W$26),'Adjustment Surface'!$AO$26:$BH$26,1)+IF('Adjustment Surface'!X$26="",-1,1))-'Adjustment Surface'!W$26)+INDEX($AO$27:$BH$46,MATCH(INDEX('Adjustment Surface'!$AN$27:$AN$46,MATCH(('Adjustment Surface'!$O33),'Adjustment Surface'!$AN$27:$AN$46,1)+IF('Adjustment Surface'!$O34="",-1,1)),$AN$27:$AN$46,0),MATCH(INDEX('Adjustment Surface'!$AO$26:$BH$26,1,MATCH(('Adjustment Surface'!W$26),'Adjustment Surface'!$AO$26:$BH$26,1)),$AO$26:$BH$26,0))*('Adjustment Surface'!$O33-INDEX('Adjustment Surface'!$AN$27:$AN$46,MATCH(('Adjustment Surface'!$O33),'Adjustment Surface'!$AN$27:$AN$46,1)))*(INDEX('Adjustment Surface'!$AO$26:$BH$26,1,MATCH(('Adjustment Surface'!W$26),'Adjustment Surface'!$AO$26:$BH$26,1)+IF('Adjustment Surface'!X$26="",-1,1))-'Adjustment Surface'!W$26)+INDEX($AO$27:$BH$46,MATCH(INDEX('Adjustment Surface'!$AN$27:$AN$46,MATCH(('Adjustment Surface'!$O33),'Adjustment Surface'!$AN$27:$AN$46,1)),$AN$27:$AN$46,0),MATCH(INDEX('Adjustment Surface'!$AO$26:$BH$26,1,MATCH(('Adjustment Surface'!W$26),'Adjustment Surface'!$AO$26:$BH$26,1)+IF('Adjustment Surface'!X$26="",-1,1)),$AO$26:$BH$26,0))*(INDEX('Adjustment Surface'!$AN$27:$AN$46,MATCH(('Adjustment Surface'!$O33),'Adjustment Surface'!$AN$27:$AN$46,1)+IF('Adjustment Surface'!$O34="",-1,1))-'Adjustment Surface'!$O33)*('Adjustment Surface'!W$26-INDEX('Adjustment Surface'!$AO$26:$BH$26,1,MATCH(('Adjustment Surface'!W$26),'Adjustment Surface'!$AO$26:$BH$26,1)))+INDEX($AO$27:$BH$46,MATCH(INDEX('Adjustment Surface'!$AN$27:$AN$46,MATCH(('Adjustment Surface'!$O33),'Adjustment Surface'!$AN$27:$AN$46,1)+IF('Adjustment Surface'!$O34="",-1,1)),$AN$27:$AN$46,0),MATCH(INDEX('Adjustment Surface'!$AO$26:$BH$26,1,MATCH(('Adjustment Surface'!W$26),'Adjustment Surface'!$AO$26:$BH$26,1)+IF('Adjustment Surface'!X$26="",-1,1)),$AO$26:$BH$26,0))*('Adjustment Surface'!$O33-INDEX('Adjustment Surface'!$AN$27:$AN$46,MATCH(('Adjustment Surface'!$O33),'Adjustment Surface'!$AN$27:$AN$46,1)))*('Adjustment Surface'!W$26-INDEX('Adjustment Surface'!$AO$26:$BH$26,1,MATCH(('Adjustment Surface'!W$26),'Adjustment Surface'!$AO$26:$BH$26,1)))))</f>
        <v>0.56398035448061068</v>
      </c>
      <c r="X33" s="193" cm="1">
        <f t="array" ref="X33">IF(OR(X$26="",$O33=""),"",1/((INDEX('Adjustment Surface'!$AN$27:$AN$46,MATCH(('Adjustment Surface'!$O33),'Adjustment Surface'!$AN$27:$AN$46,1)+IF('Adjustment Surface'!$O34="",-1,1))-INDEX('Adjustment Surface'!$AN$27:$AN$46,MATCH(('Adjustment Surface'!$O33),'Adjustment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Surface'!$O33),'Adjustment Surface'!$AN$27:$AN$46,1)),$AN$27:$AN$46,0),MATCH(INDEX('Adjustment Surface'!$AO$26:$BH$26,1,MATCH(('Adjustment Surface'!X$26),'Adjustment Surface'!$AO$26:$BH$26,1)),$AO$26:$BH$26,0))*(INDEX('Adjustment Surface'!$AN$27:$AN$46,MATCH(('Adjustment Surface'!$O33),'Adjustment Surface'!$AN$27:$AN$46,1)+IF('Adjustment Surface'!$O34="",-1,1))-'Adjustment Surface'!$O33)*(INDEX('Adjustment Surface'!$AO$26:$BH$26,1,MATCH(('Adjustment Surface'!X$26),'Adjustment Surface'!$AO$26:$BH$26,1)+IF('Adjustment Surface'!Y$26="",-1,1))-'Adjustment Surface'!X$26)+INDEX($AO$27:$BH$46,MATCH(INDEX('Adjustment Surface'!$AN$27:$AN$46,MATCH(('Adjustment Surface'!$O33),'Adjustment Surface'!$AN$27:$AN$46,1)+IF('Adjustment Surface'!$O34="",-1,1)),$AN$27:$AN$46,0),MATCH(INDEX('Adjustment Surface'!$AO$26:$BH$26,1,MATCH(('Adjustment Surface'!X$26),'Adjustment Surface'!$AO$26:$BH$26,1)),$AO$26:$BH$26,0))*('Adjustment Surface'!$O33-INDEX('Adjustment Surface'!$AN$27:$AN$46,MATCH(('Adjustment Surface'!$O33),'Adjustment Surface'!$AN$27:$AN$46,1)))*(INDEX('Adjustment Surface'!$AO$26:$BH$26,1,MATCH(('Adjustment Surface'!X$26),'Adjustment Surface'!$AO$26:$BH$26,1)+IF('Adjustment Surface'!Y$26="",-1,1))-'Adjustment Surface'!X$26)+INDEX($AO$27:$BH$46,MATCH(INDEX('Adjustment Surface'!$AN$27:$AN$46,MATCH(('Adjustment Surface'!$O33),'Adjustment Surface'!$AN$27:$AN$46,1)),$AN$27:$AN$46,0),MATCH(INDEX('Adjustment Surface'!$AO$26:$BH$26,1,MATCH(('Adjustment Surface'!X$26),'Adjustment Surface'!$AO$26:$BH$26,1)+IF('Adjustment Surface'!Y$26="",-1,1)),$AO$26:$BH$26,0))*(INDEX('Adjustment Surface'!$AN$27:$AN$46,MATCH(('Adjustment Surface'!$O33),'Adjustment Surface'!$AN$27:$AN$46,1)+IF('Adjustment Surface'!$O34="",-1,1))-'Adjustment Surface'!$O33)*('Adjustment Surface'!X$26-INDEX('Adjustment Surface'!$AO$26:$BH$26,1,MATCH(('Adjustment Surface'!X$26),'Adjustment Surface'!$AO$26:$BH$26,1)))+INDEX($AO$27:$BH$46,MATCH(INDEX('Adjustment Surface'!$AN$27:$AN$46,MATCH(('Adjustment Surface'!$O33),'Adjustment Surface'!$AN$27:$AN$46,1)+IF('Adjustment Surface'!$O34="",-1,1)),$AN$27:$AN$46,0),MATCH(INDEX('Adjustment Surface'!$AO$26:$BH$26,1,MATCH(('Adjustment Surface'!X$26),'Adjustment Surface'!$AO$26:$BH$26,1)+IF('Adjustment Surface'!Y$26="",-1,1)),$AO$26:$BH$26,0))*('Adjustment Surface'!$O33-INDEX('Adjustment Surface'!$AN$27:$AN$46,MATCH(('Adjustment Surface'!$O33),'Adjustment Surface'!$AN$27:$AN$46,1)))*('Adjustment Surface'!X$26-INDEX('Adjustment Surface'!$AO$26:$BH$26,1,MATCH(('Adjustment Surface'!X$26),'Adjustment Surface'!$AO$26:$BH$26,1)))))</f>
        <v>0.45480169289721001</v>
      </c>
      <c r="Y33" s="193" t="str" cm="1">
        <f t="array" ref="Y33">IF(OR(Y$26="",$O33=""),"",1/((INDEX('Adjustment Surface'!$AN$27:$AN$46,MATCH(('Adjustment Surface'!$O33),'Adjustment Surface'!$AN$27:$AN$46,1)+IF('Adjustment Surface'!$O34="",-1,1))-INDEX('Adjustment Surface'!$AN$27:$AN$46,MATCH(('Adjustment Surface'!$O33),'Adjustment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Surface'!$O33),'Adjustment Surface'!$AN$27:$AN$46,1)),$AN$27:$AN$46,0),MATCH(INDEX('Adjustment Surface'!$AO$26:$BH$26,1,MATCH(('Adjustment Surface'!Y$26),'Adjustment Surface'!$AO$26:$BH$26,1)),$AO$26:$BH$26,0))*(INDEX('Adjustment Surface'!$AN$27:$AN$46,MATCH(('Adjustment Surface'!$O33),'Adjustment Surface'!$AN$27:$AN$46,1)+IF('Adjustment Surface'!$O34="",-1,1))-'Adjustment Surface'!$O33)*(INDEX('Adjustment Surface'!$AO$26:$BH$26,1,MATCH(('Adjustment Surface'!Y$26),'Adjustment Surface'!$AO$26:$BH$26,1)+IF('Adjustment Surface'!Z$26="",-1,1))-'Adjustment Surface'!Y$26)+INDEX($AO$27:$BH$46,MATCH(INDEX('Adjustment Surface'!$AN$27:$AN$46,MATCH(('Adjustment Surface'!$O33),'Adjustment Surface'!$AN$27:$AN$46,1)+IF('Adjustment Surface'!$O34="",-1,1)),$AN$27:$AN$46,0),MATCH(INDEX('Adjustment Surface'!$AO$26:$BH$26,1,MATCH(('Adjustment Surface'!Y$26),'Adjustment Surface'!$AO$26:$BH$26,1)),$AO$26:$BH$26,0))*('Adjustment Surface'!$O33-INDEX('Adjustment Surface'!$AN$27:$AN$46,MATCH(('Adjustment Surface'!$O33),'Adjustment Surface'!$AN$27:$AN$46,1)))*(INDEX('Adjustment Surface'!$AO$26:$BH$26,1,MATCH(('Adjustment Surface'!Y$26),'Adjustment Surface'!$AO$26:$BH$26,1)+IF('Adjustment Surface'!Z$26="",-1,1))-'Adjustment Surface'!Y$26)+INDEX($AO$27:$BH$46,MATCH(INDEX('Adjustment Surface'!$AN$27:$AN$46,MATCH(('Adjustment Surface'!$O33),'Adjustment Surface'!$AN$27:$AN$46,1)),$AN$27:$AN$46,0),MATCH(INDEX('Adjustment Surface'!$AO$26:$BH$26,1,MATCH(('Adjustment Surface'!Y$26),'Adjustment Surface'!$AO$26:$BH$26,1)+IF('Adjustment Surface'!Z$26="",-1,1)),$AO$26:$BH$26,0))*(INDEX('Adjustment Surface'!$AN$27:$AN$46,MATCH(('Adjustment Surface'!$O33),'Adjustment Surface'!$AN$27:$AN$46,1)+IF('Adjustment Surface'!$O34="",-1,1))-'Adjustment Surface'!$O33)*('Adjustment Surface'!Y$26-INDEX('Adjustment Surface'!$AO$26:$BH$26,1,MATCH(('Adjustment Surface'!Y$26),'Adjustment Surface'!$AO$26:$BH$26,1)))+INDEX($AO$27:$BH$46,MATCH(INDEX('Adjustment Surface'!$AN$27:$AN$46,MATCH(('Adjustment Surface'!$O33),'Adjustment Surface'!$AN$27:$AN$46,1)+IF('Adjustment Surface'!$O34="",-1,1)),$AN$27:$AN$46,0),MATCH(INDEX('Adjustment Surface'!$AO$26:$BH$26,1,MATCH(('Adjustment Surface'!Y$26),'Adjustment Surface'!$AO$26:$BH$26,1)+IF('Adjustment Surface'!Z$26="",-1,1)),$AO$26:$BH$26,0))*('Adjustment Surface'!$O33-INDEX('Adjustment Surface'!$AN$27:$AN$46,MATCH(('Adjustment Surface'!$O33),'Adjustment Surface'!$AN$27:$AN$46,1)))*('Adjustment Surface'!Y$26-INDEX('Adjustment Surface'!$AO$26:$BH$26,1,MATCH(('Adjustment Surface'!Y$26),'Adjustment Surface'!$AO$26:$BH$26,1)))))</f>
        <v/>
      </c>
      <c r="Z33" s="193" t="str" cm="1">
        <f t="array" ref="Z33">IF(OR(Z$26="",$O33=""),"",1/((INDEX('Adjustment Surface'!$AN$27:$AN$46,MATCH(('Adjustment Surface'!$O33),'Adjustment Surface'!$AN$27:$AN$46,1)+IF('Adjustment Surface'!$O34="",-1,1))-INDEX('Adjustment Surface'!$AN$27:$AN$46,MATCH(('Adjustment Surface'!$O33),'Adjustment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Surface'!$O33),'Adjustment Surface'!$AN$27:$AN$46,1)),$AN$27:$AN$46,0),MATCH(INDEX('Adjustment Surface'!$AO$26:$BH$26,1,MATCH(('Adjustment Surface'!Z$26),'Adjustment Surface'!$AO$26:$BH$26,1)),$AO$26:$BH$26,0))*(INDEX('Adjustment Surface'!$AN$27:$AN$46,MATCH(('Adjustment Surface'!$O33),'Adjustment Surface'!$AN$27:$AN$46,1)+IF('Adjustment Surface'!$O34="",-1,1))-'Adjustment Surface'!$O33)*(INDEX('Adjustment Surface'!$AO$26:$BH$26,1,MATCH(('Adjustment Surface'!Z$26),'Adjustment Surface'!$AO$26:$BH$26,1)+IF('Adjustment Surface'!AA$26="",-1,1))-'Adjustment Surface'!Z$26)+INDEX($AO$27:$BH$46,MATCH(INDEX('Adjustment Surface'!$AN$27:$AN$46,MATCH(('Adjustment Surface'!$O33),'Adjustment Surface'!$AN$27:$AN$46,1)+IF('Adjustment Surface'!$O34="",-1,1)),$AN$27:$AN$46,0),MATCH(INDEX('Adjustment Surface'!$AO$26:$BH$26,1,MATCH(('Adjustment Surface'!Z$26),'Adjustment Surface'!$AO$26:$BH$26,1)),$AO$26:$BH$26,0))*('Adjustment Surface'!$O33-INDEX('Adjustment Surface'!$AN$27:$AN$46,MATCH(('Adjustment Surface'!$O33),'Adjustment Surface'!$AN$27:$AN$46,1)))*(INDEX('Adjustment Surface'!$AO$26:$BH$26,1,MATCH(('Adjustment Surface'!Z$26),'Adjustment Surface'!$AO$26:$BH$26,1)+IF('Adjustment Surface'!AA$26="",-1,1))-'Adjustment Surface'!Z$26)+INDEX($AO$27:$BH$46,MATCH(INDEX('Adjustment Surface'!$AN$27:$AN$46,MATCH(('Adjustment Surface'!$O33),'Adjustment Surface'!$AN$27:$AN$46,1)),$AN$27:$AN$46,0),MATCH(INDEX('Adjustment Surface'!$AO$26:$BH$26,1,MATCH(('Adjustment Surface'!Z$26),'Adjustment Surface'!$AO$26:$BH$26,1)+IF('Adjustment Surface'!AA$26="",-1,1)),$AO$26:$BH$26,0))*(INDEX('Adjustment Surface'!$AN$27:$AN$46,MATCH(('Adjustment Surface'!$O33),'Adjustment Surface'!$AN$27:$AN$46,1)+IF('Adjustment Surface'!$O34="",-1,1))-'Adjustment Surface'!$O33)*('Adjustment Surface'!Z$26-INDEX('Adjustment Surface'!$AO$26:$BH$26,1,MATCH(('Adjustment Surface'!Z$26),'Adjustment Surface'!$AO$26:$BH$26,1)))+INDEX($AO$27:$BH$46,MATCH(INDEX('Adjustment Surface'!$AN$27:$AN$46,MATCH(('Adjustment Surface'!$O33),'Adjustment Surface'!$AN$27:$AN$46,1)+IF('Adjustment Surface'!$O34="",-1,1)),$AN$27:$AN$46,0),MATCH(INDEX('Adjustment Surface'!$AO$26:$BH$26,1,MATCH(('Adjustment Surface'!Z$26),'Adjustment Surface'!$AO$26:$BH$26,1)+IF('Adjustment Surface'!AA$26="",-1,1)),$AO$26:$BH$26,0))*('Adjustment Surface'!$O33-INDEX('Adjustment Surface'!$AN$27:$AN$46,MATCH(('Adjustment Surface'!$O33),'Adjustment Surface'!$AN$27:$AN$46,1)))*('Adjustment Surface'!Z$26-INDEX('Adjustment Surface'!$AO$26:$BH$26,1,MATCH(('Adjustment Surface'!Z$26),'Adjustment Surface'!$AO$26:$BH$26,1)))))</f>
        <v/>
      </c>
      <c r="AA33" s="193" t="str" cm="1">
        <f t="array" ref="AA33">IF(OR(AA$26="",$O33=""),"",1/((INDEX('Adjustment Surface'!$AN$27:$AN$46,MATCH(('Adjustment Surface'!$O33),'Adjustment Surface'!$AN$27:$AN$46,1)+IF('Adjustment Surface'!$O34="",-1,1))-INDEX('Adjustment Surface'!$AN$27:$AN$46,MATCH(('Adjustment Surface'!$O33),'Adjustment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Surface'!$O33),'Adjustment Surface'!$AN$27:$AN$46,1)),$AN$27:$AN$46,0),MATCH(INDEX('Adjustment Surface'!$AO$26:$BH$26,1,MATCH(('Adjustment Surface'!AA$26),'Adjustment Surface'!$AO$26:$BH$26,1)),$AO$26:$BH$26,0))*(INDEX('Adjustment Surface'!$AN$27:$AN$46,MATCH(('Adjustment Surface'!$O33),'Adjustment Surface'!$AN$27:$AN$46,1)+IF('Adjustment Surface'!$O34="",-1,1))-'Adjustment Surface'!$O33)*(INDEX('Adjustment Surface'!$AO$26:$BH$26,1,MATCH(('Adjustment Surface'!AA$26),'Adjustment Surface'!$AO$26:$BH$26,1)+IF('Adjustment Surface'!AB$26="",-1,1))-'Adjustment Surface'!AA$26)+INDEX($AO$27:$BH$46,MATCH(INDEX('Adjustment Surface'!$AN$27:$AN$46,MATCH(('Adjustment Surface'!$O33),'Adjustment Surface'!$AN$27:$AN$46,1)+IF('Adjustment Surface'!$O34="",-1,1)),$AN$27:$AN$46,0),MATCH(INDEX('Adjustment Surface'!$AO$26:$BH$26,1,MATCH(('Adjustment Surface'!AA$26),'Adjustment Surface'!$AO$26:$BH$26,1)),$AO$26:$BH$26,0))*('Adjustment Surface'!$O33-INDEX('Adjustment Surface'!$AN$27:$AN$46,MATCH(('Adjustment Surface'!$O33),'Adjustment Surface'!$AN$27:$AN$46,1)))*(INDEX('Adjustment Surface'!$AO$26:$BH$26,1,MATCH(('Adjustment Surface'!AA$26),'Adjustment Surface'!$AO$26:$BH$26,1)+IF('Adjustment Surface'!AB$26="",-1,1))-'Adjustment Surface'!AA$26)+INDEX($AO$27:$BH$46,MATCH(INDEX('Adjustment Surface'!$AN$27:$AN$46,MATCH(('Adjustment Surface'!$O33),'Adjustment Surface'!$AN$27:$AN$46,1)),$AN$27:$AN$46,0),MATCH(INDEX('Adjustment Surface'!$AO$26:$BH$26,1,MATCH(('Adjustment Surface'!AA$26),'Adjustment Surface'!$AO$26:$BH$26,1)+IF('Adjustment Surface'!AB$26="",-1,1)),$AO$26:$BH$26,0))*(INDEX('Adjustment Surface'!$AN$27:$AN$46,MATCH(('Adjustment Surface'!$O33),'Adjustment Surface'!$AN$27:$AN$46,1)+IF('Adjustment Surface'!$O34="",-1,1))-'Adjustment Surface'!$O33)*('Adjustment Surface'!AA$26-INDEX('Adjustment Surface'!$AO$26:$BH$26,1,MATCH(('Adjustment Surface'!AA$26),'Adjustment Surface'!$AO$26:$BH$26,1)))+INDEX($AO$27:$BH$46,MATCH(INDEX('Adjustment Surface'!$AN$27:$AN$46,MATCH(('Adjustment Surface'!$O33),'Adjustment Surface'!$AN$27:$AN$46,1)+IF('Adjustment Surface'!$O34="",-1,1)),$AN$27:$AN$46,0),MATCH(INDEX('Adjustment Surface'!$AO$26:$BH$26,1,MATCH(('Adjustment Surface'!AA$26),'Adjustment Surface'!$AO$26:$BH$26,1)+IF('Adjustment Surface'!AB$26="",-1,1)),$AO$26:$BH$26,0))*('Adjustment Surface'!$O33-INDEX('Adjustment Surface'!$AN$27:$AN$46,MATCH(('Adjustment Surface'!$O33),'Adjustment Surface'!$AN$27:$AN$46,1)))*('Adjustment Surface'!AA$26-INDEX('Adjustment Surface'!$AO$26:$BH$26,1,MATCH(('Adjustment Surface'!AA$26),'Adjustment Surface'!$AO$26:$BH$26,1)))))</f>
        <v/>
      </c>
      <c r="AB33" s="193" t="str" cm="1">
        <f t="array" ref="AB33">IF(OR(AB$26="",$O33=""),"",1/((INDEX('Adjustment Surface'!$AN$27:$AN$46,MATCH(('Adjustment Surface'!$O33),'Adjustment Surface'!$AN$27:$AN$46,1)+IF('Adjustment Surface'!$O34="",-1,1))-INDEX('Adjustment Surface'!$AN$27:$AN$46,MATCH(('Adjustment Surface'!$O33),'Adjustment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Surface'!$O33),'Adjustment Surface'!$AN$27:$AN$46,1)),$AN$27:$AN$46,0),MATCH(INDEX('Adjustment Surface'!$AO$26:$BH$26,1,MATCH(('Adjustment Surface'!AB$26),'Adjustment Surface'!$AO$26:$BH$26,1)),$AO$26:$BH$26,0))*(INDEX('Adjustment Surface'!$AN$27:$AN$46,MATCH(('Adjustment Surface'!$O33),'Adjustment Surface'!$AN$27:$AN$46,1)+IF('Adjustment Surface'!$O34="",-1,1))-'Adjustment Surface'!$O33)*(INDEX('Adjustment Surface'!$AO$26:$BH$26,1,MATCH(('Adjustment Surface'!AB$26),'Adjustment Surface'!$AO$26:$BH$26,1)+IF('Adjustment Surface'!AC$26="",-1,1))-'Adjustment Surface'!AB$26)+INDEX($AO$27:$BH$46,MATCH(INDEX('Adjustment Surface'!$AN$27:$AN$46,MATCH(('Adjustment Surface'!$O33),'Adjustment Surface'!$AN$27:$AN$46,1)+IF('Adjustment Surface'!$O34="",-1,1)),$AN$27:$AN$46,0),MATCH(INDEX('Adjustment Surface'!$AO$26:$BH$26,1,MATCH(('Adjustment Surface'!AB$26),'Adjustment Surface'!$AO$26:$BH$26,1)),$AO$26:$BH$26,0))*('Adjustment Surface'!$O33-INDEX('Adjustment Surface'!$AN$27:$AN$46,MATCH(('Adjustment Surface'!$O33),'Adjustment Surface'!$AN$27:$AN$46,1)))*(INDEX('Adjustment Surface'!$AO$26:$BH$26,1,MATCH(('Adjustment Surface'!AB$26),'Adjustment Surface'!$AO$26:$BH$26,1)+IF('Adjustment Surface'!AC$26="",-1,1))-'Adjustment Surface'!AB$26)+INDEX($AO$27:$BH$46,MATCH(INDEX('Adjustment Surface'!$AN$27:$AN$46,MATCH(('Adjustment Surface'!$O33),'Adjustment Surface'!$AN$27:$AN$46,1)),$AN$27:$AN$46,0),MATCH(INDEX('Adjustment Surface'!$AO$26:$BH$26,1,MATCH(('Adjustment Surface'!AB$26),'Adjustment Surface'!$AO$26:$BH$26,1)+IF('Adjustment Surface'!AC$26="",-1,1)),$AO$26:$BH$26,0))*(INDEX('Adjustment Surface'!$AN$27:$AN$46,MATCH(('Adjustment Surface'!$O33),'Adjustment Surface'!$AN$27:$AN$46,1)+IF('Adjustment Surface'!$O34="",-1,1))-'Adjustment Surface'!$O33)*('Adjustment Surface'!AB$26-INDEX('Adjustment Surface'!$AO$26:$BH$26,1,MATCH(('Adjustment Surface'!AB$26),'Adjustment Surface'!$AO$26:$BH$26,1)))+INDEX($AO$27:$BH$46,MATCH(INDEX('Adjustment Surface'!$AN$27:$AN$46,MATCH(('Adjustment Surface'!$O33),'Adjustment Surface'!$AN$27:$AN$46,1)+IF('Adjustment Surface'!$O34="",-1,1)),$AN$27:$AN$46,0),MATCH(INDEX('Adjustment Surface'!$AO$26:$BH$26,1,MATCH(('Adjustment Surface'!AB$26),'Adjustment Surface'!$AO$26:$BH$26,1)+IF('Adjustment Surface'!AC$26="",-1,1)),$AO$26:$BH$26,0))*('Adjustment Surface'!$O33-INDEX('Adjustment Surface'!$AN$27:$AN$46,MATCH(('Adjustment Surface'!$O33),'Adjustment Surface'!$AN$27:$AN$46,1)))*('Adjustment Surface'!AB$26-INDEX('Adjustment Surface'!$AO$26:$BH$26,1,MATCH(('Adjustment Surface'!AB$26),'Adjustment Surface'!$AO$26:$BH$26,1)))))</f>
        <v/>
      </c>
      <c r="AC33" s="193" t="str" cm="1">
        <f t="array" ref="AC33">IF(OR(AC$26="",$O33=""),"",1/((INDEX('Adjustment Surface'!$AN$27:$AN$46,MATCH(('Adjustment Surface'!$O33),'Adjustment Surface'!$AN$27:$AN$46,1)+IF('Adjustment Surface'!$O34="",-1,1))-INDEX('Adjustment Surface'!$AN$27:$AN$46,MATCH(('Adjustment Surface'!$O33),'Adjustment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Surface'!$O33),'Adjustment Surface'!$AN$27:$AN$46,1)),$AN$27:$AN$46,0),MATCH(INDEX('Adjustment Surface'!$AO$26:$BH$26,1,MATCH(('Adjustment Surface'!AC$26),'Adjustment Surface'!$AO$26:$BH$26,1)),$AO$26:$BH$26,0))*(INDEX('Adjustment Surface'!$AN$27:$AN$46,MATCH(('Adjustment Surface'!$O33),'Adjustment Surface'!$AN$27:$AN$46,1)+IF('Adjustment Surface'!$O34="",-1,1))-'Adjustment Surface'!$O33)*(INDEX('Adjustment Surface'!$AO$26:$BH$26,1,MATCH(('Adjustment Surface'!AC$26),'Adjustment Surface'!$AO$26:$BH$26,1)+IF('Adjustment Surface'!AD$26="",-1,1))-'Adjustment Surface'!AC$26)+INDEX($AO$27:$BH$46,MATCH(INDEX('Adjustment Surface'!$AN$27:$AN$46,MATCH(('Adjustment Surface'!$O33),'Adjustment Surface'!$AN$27:$AN$46,1)+IF('Adjustment Surface'!$O34="",-1,1)),$AN$27:$AN$46,0),MATCH(INDEX('Adjustment Surface'!$AO$26:$BH$26,1,MATCH(('Adjustment Surface'!AC$26),'Adjustment Surface'!$AO$26:$BH$26,1)),$AO$26:$BH$26,0))*('Adjustment Surface'!$O33-INDEX('Adjustment Surface'!$AN$27:$AN$46,MATCH(('Adjustment Surface'!$O33),'Adjustment Surface'!$AN$27:$AN$46,1)))*(INDEX('Adjustment Surface'!$AO$26:$BH$26,1,MATCH(('Adjustment Surface'!AC$26),'Adjustment Surface'!$AO$26:$BH$26,1)+IF('Adjustment Surface'!AD$26="",-1,1))-'Adjustment Surface'!AC$26)+INDEX($AO$27:$BH$46,MATCH(INDEX('Adjustment Surface'!$AN$27:$AN$46,MATCH(('Adjustment Surface'!$O33),'Adjustment Surface'!$AN$27:$AN$46,1)),$AN$27:$AN$46,0),MATCH(INDEX('Adjustment Surface'!$AO$26:$BH$26,1,MATCH(('Adjustment Surface'!AC$26),'Adjustment Surface'!$AO$26:$BH$26,1)+IF('Adjustment Surface'!AD$26="",-1,1)),$AO$26:$BH$26,0))*(INDEX('Adjustment Surface'!$AN$27:$AN$46,MATCH(('Adjustment Surface'!$O33),'Adjustment Surface'!$AN$27:$AN$46,1)+IF('Adjustment Surface'!$O34="",-1,1))-'Adjustment Surface'!$O33)*('Adjustment Surface'!AC$26-INDEX('Adjustment Surface'!$AO$26:$BH$26,1,MATCH(('Adjustment Surface'!AC$26),'Adjustment Surface'!$AO$26:$BH$26,1)))+INDEX($AO$27:$BH$46,MATCH(INDEX('Adjustment Surface'!$AN$27:$AN$46,MATCH(('Adjustment Surface'!$O33),'Adjustment Surface'!$AN$27:$AN$46,1)+IF('Adjustment Surface'!$O34="",-1,1)),$AN$27:$AN$46,0),MATCH(INDEX('Adjustment Surface'!$AO$26:$BH$26,1,MATCH(('Adjustment Surface'!AC$26),'Adjustment Surface'!$AO$26:$BH$26,1)+IF('Adjustment Surface'!AD$26="",-1,1)),$AO$26:$BH$26,0))*('Adjustment Surface'!$O33-INDEX('Adjustment Surface'!$AN$27:$AN$46,MATCH(('Adjustment Surface'!$O33),'Adjustment Surface'!$AN$27:$AN$46,1)))*('Adjustment Surface'!AC$26-INDEX('Adjustment Surface'!$AO$26:$BH$26,1,MATCH(('Adjustment Surface'!AC$26),'Adjustment Surface'!$AO$26:$BH$26,1)))))</f>
        <v/>
      </c>
      <c r="AD33" s="193" t="str" cm="1">
        <f t="array" ref="AD33">IF(OR(AD$26="",$O33=""),"",1/((INDEX('Adjustment Surface'!$AN$27:$AN$46,MATCH(('Adjustment Surface'!$O33),'Adjustment Surface'!$AN$27:$AN$46,1)+IF('Adjustment Surface'!$O34="",-1,1))-INDEX('Adjustment Surface'!$AN$27:$AN$46,MATCH(('Adjustment Surface'!$O33),'Adjustment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Surface'!$O33),'Adjustment Surface'!$AN$27:$AN$46,1)),$AN$27:$AN$46,0),MATCH(INDEX('Adjustment Surface'!$AO$26:$BH$26,1,MATCH(('Adjustment Surface'!AD$26),'Adjustment Surface'!$AO$26:$BH$26,1)),$AO$26:$BH$26,0))*(INDEX('Adjustment Surface'!$AN$27:$AN$46,MATCH(('Adjustment Surface'!$O33),'Adjustment Surface'!$AN$27:$AN$46,1)+IF('Adjustment Surface'!$O34="",-1,1))-'Adjustment Surface'!$O33)*(INDEX('Adjustment Surface'!$AO$26:$BH$26,1,MATCH(('Adjustment Surface'!AD$26),'Adjustment Surface'!$AO$26:$BH$26,1)+IF('Adjustment Surface'!AE$26="",-1,1))-'Adjustment Surface'!AD$26)+INDEX($AO$27:$BH$46,MATCH(INDEX('Adjustment Surface'!$AN$27:$AN$46,MATCH(('Adjustment Surface'!$O33),'Adjustment Surface'!$AN$27:$AN$46,1)+IF('Adjustment Surface'!$O34="",-1,1)),$AN$27:$AN$46,0),MATCH(INDEX('Adjustment Surface'!$AO$26:$BH$26,1,MATCH(('Adjustment Surface'!AD$26),'Adjustment Surface'!$AO$26:$BH$26,1)),$AO$26:$BH$26,0))*('Adjustment Surface'!$O33-INDEX('Adjustment Surface'!$AN$27:$AN$46,MATCH(('Adjustment Surface'!$O33),'Adjustment Surface'!$AN$27:$AN$46,1)))*(INDEX('Adjustment Surface'!$AO$26:$BH$26,1,MATCH(('Adjustment Surface'!AD$26),'Adjustment Surface'!$AO$26:$BH$26,1)+IF('Adjustment Surface'!AE$26="",-1,1))-'Adjustment Surface'!AD$26)+INDEX($AO$27:$BH$46,MATCH(INDEX('Adjustment Surface'!$AN$27:$AN$46,MATCH(('Adjustment Surface'!$O33),'Adjustment Surface'!$AN$27:$AN$46,1)),$AN$27:$AN$46,0),MATCH(INDEX('Adjustment Surface'!$AO$26:$BH$26,1,MATCH(('Adjustment Surface'!AD$26),'Adjustment Surface'!$AO$26:$BH$26,1)+IF('Adjustment Surface'!AE$26="",-1,1)),$AO$26:$BH$26,0))*(INDEX('Adjustment Surface'!$AN$27:$AN$46,MATCH(('Adjustment Surface'!$O33),'Adjustment Surface'!$AN$27:$AN$46,1)+IF('Adjustment Surface'!$O34="",-1,1))-'Adjustment Surface'!$O33)*('Adjustment Surface'!AD$26-INDEX('Adjustment Surface'!$AO$26:$BH$26,1,MATCH(('Adjustment Surface'!AD$26),'Adjustment Surface'!$AO$26:$BH$26,1)))+INDEX($AO$27:$BH$46,MATCH(INDEX('Adjustment Surface'!$AN$27:$AN$46,MATCH(('Adjustment Surface'!$O33),'Adjustment Surface'!$AN$27:$AN$46,1)+IF('Adjustment Surface'!$O34="",-1,1)),$AN$27:$AN$46,0),MATCH(INDEX('Adjustment Surface'!$AO$26:$BH$26,1,MATCH(('Adjustment Surface'!AD$26),'Adjustment Surface'!$AO$26:$BH$26,1)+IF('Adjustment Surface'!AE$26="",-1,1)),$AO$26:$BH$26,0))*('Adjustment Surface'!$O33-INDEX('Adjustment Surface'!$AN$27:$AN$46,MATCH(('Adjustment Surface'!$O33),'Adjustment Surface'!$AN$27:$AN$46,1)))*('Adjustment Surface'!AD$26-INDEX('Adjustment Surface'!$AO$26:$BH$26,1,MATCH(('Adjustment Surface'!AD$26),'Adjustment Surface'!$AO$26:$BH$26,1)))))</f>
        <v/>
      </c>
      <c r="AE33" s="193" t="str" cm="1">
        <f t="array" ref="AE33">IF(OR(AE$26="",$O33=""),"",1/((INDEX('Adjustment Surface'!$AN$27:$AN$46,MATCH(('Adjustment Surface'!$O33),'Adjustment Surface'!$AN$27:$AN$46,1)+IF('Adjustment Surface'!$O34="",-1,1))-INDEX('Adjustment Surface'!$AN$27:$AN$46,MATCH(('Adjustment Surface'!$O33),'Adjustment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Surface'!$O33),'Adjustment Surface'!$AN$27:$AN$46,1)),$AN$27:$AN$46,0),MATCH(INDEX('Adjustment Surface'!$AO$26:$BH$26,1,MATCH(('Adjustment Surface'!AE$26),'Adjustment Surface'!$AO$26:$BH$26,1)),$AO$26:$BH$26,0))*(INDEX('Adjustment Surface'!$AN$27:$AN$46,MATCH(('Adjustment Surface'!$O33),'Adjustment Surface'!$AN$27:$AN$46,1)+IF('Adjustment Surface'!$O34="",-1,1))-'Adjustment Surface'!$O33)*(INDEX('Adjustment Surface'!$AO$26:$BH$26,1,MATCH(('Adjustment Surface'!AE$26),'Adjustment Surface'!$AO$26:$BH$26,1)+IF('Adjustment Surface'!AF$26="",-1,1))-'Adjustment Surface'!AE$26)+INDEX($AO$27:$BH$46,MATCH(INDEX('Adjustment Surface'!$AN$27:$AN$46,MATCH(('Adjustment Surface'!$O33),'Adjustment Surface'!$AN$27:$AN$46,1)+IF('Adjustment Surface'!$O34="",-1,1)),$AN$27:$AN$46,0),MATCH(INDEX('Adjustment Surface'!$AO$26:$BH$26,1,MATCH(('Adjustment Surface'!AE$26),'Adjustment Surface'!$AO$26:$BH$26,1)),$AO$26:$BH$26,0))*('Adjustment Surface'!$O33-INDEX('Adjustment Surface'!$AN$27:$AN$46,MATCH(('Adjustment Surface'!$O33),'Adjustment Surface'!$AN$27:$AN$46,1)))*(INDEX('Adjustment Surface'!$AO$26:$BH$26,1,MATCH(('Adjustment Surface'!AE$26),'Adjustment Surface'!$AO$26:$BH$26,1)+IF('Adjustment Surface'!AF$26="",-1,1))-'Adjustment Surface'!AE$26)+INDEX($AO$27:$BH$46,MATCH(INDEX('Adjustment Surface'!$AN$27:$AN$46,MATCH(('Adjustment Surface'!$O33),'Adjustment Surface'!$AN$27:$AN$46,1)),$AN$27:$AN$46,0),MATCH(INDEX('Adjustment Surface'!$AO$26:$BH$26,1,MATCH(('Adjustment Surface'!AE$26),'Adjustment Surface'!$AO$26:$BH$26,1)+IF('Adjustment Surface'!AF$26="",-1,1)),$AO$26:$BH$26,0))*(INDEX('Adjustment Surface'!$AN$27:$AN$46,MATCH(('Adjustment Surface'!$O33),'Adjustment Surface'!$AN$27:$AN$46,1)+IF('Adjustment Surface'!$O34="",-1,1))-'Adjustment Surface'!$O33)*('Adjustment Surface'!AE$26-INDEX('Adjustment Surface'!$AO$26:$BH$26,1,MATCH(('Adjustment Surface'!AE$26),'Adjustment Surface'!$AO$26:$BH$26,1)))+INDEX($AO$27:$BH$46,MATCH(INDEX('Adjustment Surface'!$AN$27:$AN$46,MATCH(('Adjustment Surface'!$O33),'Adjustment Surface'!$AN$27:$AN$46,1)+IF('Adjustment Surface'!$O34="",-1,1)),$AN$27:$AN$46,0),MATCH(INDEX('Adjustment Surface'!$AO$26:$BH$26,1,MATCH(('Adjustment Surface'!AE$26),'Adjustment Surface'!$AO$26:$BH$26,1)+IF('Adjustment Surface'!AF$26="",-1,1)),$AO$26:$BH$26,0))*('Adjustment Surface'!$O33-INDEX('Adjustment Surface'!$AN$27:$AN$46,MATCH(('Adjustment Surface'!$O33),'Adjustment Surface'!$AN$27:$AN$46,1)))*('Adjustment Surface'!AE$26-INDEX('Adjustment Surface'!$AO$26:$BH$26,1,MATCH(('Adjustment Surface'!AE$26),'Adjustment Surface'!$AO$26:$BH$26,1)))))</f>
        <v/>
      </c>
      <c r="AF33" s="193" t="str" cm="1">
        <f t="array" ref="AF33">IF(OR(AF$26="",$O33=""),"",1/((INDEX('Adjustment Surface'!$AN$27:$AN$46,MATCH(('Adjustment Surface'!$O33),'Adjustment Surface'!$AN$27:$AN$46,1)+IF('Adjustment Surface'!$O34="",-1,1))-INDEX('Adjustment Surface'!$AN$27:$AN$46,MATCH(('Adjustment Surface'!$O33),'Adjustment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Surface'!$O33),'Adjustment Surface'!$AN$27:$AN$46,1)),$AN$27:$AN$46,0),MATCH(INDEX('Adjustment Surface'!$AO$26:$BH$26,1,MATCH(('Adjustment Surface'!AF$26),'Adjustment Surface'!$AO$26:$BH$26,1)),$AO$26:$BH$26,0))*(INDEX('Adjustment Surface'!$AN$27:$AN$46,MATCH(('Adjustment Surface'!$O33),'Adjustment Surface'!$AN$27:$AN$46,1)+IF('Adjustment Surface'!$O34="",-1,1))-'Adjustment Surface'!$O33)*(INDEX('Adjustment Surface'!$AO$26:$BH$26,1,MATCH(('Adjustment Surface'!AF$26),'Adjustment Surface'!$AO$26:$BH$26,1)+IF('Adjustment Surface'!AG$26="",-1,1))-'Adjustment Surface'!AF$26)+INDEX($AO$27:$BH$46,MATCH(INDEX('Adjustment Surface'!$AN$27:$AN$46,MATCH(('Adjustment Surface'!$O33),'Adjustment Surface'!$AN$27:$AN$46,1)+IF('Adjustment Surface'!$O34="",-1,1)),$AN$27:$AN$46,0),MATCH(INDEX('Adjustment Surface'!$AO$26:$BH$26,1,MATCH(('Adjustment Surface'!AF$26),'Adjustment Surface'!$AO$26:$BH$26,1)),$AO$26:$BH$26,0))*('Adjustment Surface'!$O33-INDEX('Adjustment Surface'!$AN$27:$AN$46,MATCH(('Adjustment Surface'!$O33),'Adjustment Surface'!$AN$27:$AN$46,1)))*(INDEX('Adjustment Surface'!$AO$26:$BH$26,1,MATCH(('Adjustment Surface'!AF$26),'Adjustment Surface'!$AO$26:$BH$26,1)+IF('Adjustment Surface'!AG$26="",-1,1))-'Adjustment Surface'!AF$26)+INDEX($AO$27:$BH$46,MATCH(INDEX('Adjustment Surface'!$AN$27:$AN$46,MATCH(('Adjustment Surface'!$O33),'Adjustment Surface'!$AN$27:$AN$46,1)),$AN$27:$AN$46,0),MATCH(INDEX('Adjustment Surface'!$AO$26:$BH$26,1,MATCH(('Adjustment Surface'!AF$26),'Adjustment Surface'!$AO$26:$BH$26,1)+IF('Adjustment Surface'!AG$26="",-1,1)),$AO$26:$BH$26,0))*(INDEX('Adjustment Surface'!$AN$27:$AN$46,MATCH(('Adjustment Surface'!$O33),'Adjustment Surface'!$AN$27:$AN$46,1)+IF('Adjustment Surface'!$O34="",-1,1))-'Adjustment Surface'!$O33)*('Adjustment Surface'!AF$26-INDEX('Adjustment Surface'!$AO$26:$BH$26,1,MATCH(('Adjustment Surface'!AF$26),'Adjustment Surface'!$AO$26:$BH$26,1)))+INDEX($AO$27:$BH$46,MATCH(INDEX('Adjustment Surface'!$AN$27:$AN$46,MATCH(('Adjustment Surface'!$O33),'Adjustment Surface'!$AN$27:$AN$46,1)+IF('Adjustment Surface'!$O34="",-1,1)),$AN$27:$AN$46,0),MATCH(INDEX('Adjustment Surface'!$AO$26:$BH$26,1,MATCH(('Adjustment Surface'!AF$26),'Adjustment Surface'!$AO$26:$BH$26,1)+IF('Adjustment Surface'!AG$26="",-1,1)),$AO$26:$BH$26,0))*('Adjustment Surface'!$O33-INDEX('Adjustment Surface'!$AN$27:$AN$46,MATCH(('Adjustment Surface'!$O33),'Adjustment Surface'!$AN$27:$AN$46,1)))*('Adjustment Surface'!AF$26-INDEX('Adjustment Surface'!$AO$26:$BH$26,1,MATCH(('Adjustment Surface'!AF$26),'Adjustment Surface'!$AO$26:$BH$26,1)))))</f>
        <v/>
      </c>
      <c r="AG33" s="193" t="str" cm="1">
        <f t="array" ref="AG33">IF(OR(AG$26="",$O33=""),"",1/((INDEX('Adjustment Surface'!$AN$27:$AN$46,MATCH(('Adjustment Surface'!$O33),'Adjustment Surface'!$AN$27:$AN$46,1)+IF('Adjustment Surface'!$O34="",-1,1))-INDEX('Adjustment Surface'!$AN$27:$AN$46,MATCH(('Adjustment Surface'!$O33),'Adjustment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Surface'!$O33),'Adjustment Surface'!$AN$27:$AN$46,1)),$AN$27:$AN$46,0),MATCH(INDEX('Adjustment Surface'!$AO$26:$BH$26,1,MATCH(('Adjustment Surface'!AG$26),'Adjustment Surface'!$AO$26:$BH$26,1)),$AO$26:$BH$26,0))*(INDEX('Adjustment Surface'!$AN$27:$AN$46,MATCH(('Adjustment Surface'!$O33),'Adjustment Surface'!$AN$27:$AN$46,1)+IF('Adjustment Surface'!$O34="",-1,1))-'Adjustment Surface'!$O33)*(INDEX('Adjustment Surface'!$AO$26:$BH$26,1,MATCH(('Adjustment Surface'!AG$26),'Adjustment Surface'!$AO$26:$BH$26,1)+IF('Adjustment Surface'!AH$26="",-1,1))-'Adjustment Surface'!AG$26)+INDEX($AO$27:$BH$46,MATCH(INDEX('Adjustment Surface'!$AN$27:$AN$46,MATCH(('Adjustment Surface'!$O33),'Adjustment Surface'!$AN$27:$AN$46,1)+IF('Adjustment Surface'!$O34="",-1,1)),$AN$27:$AN$46,0),MATCH(INDEX('Adjustment Surface'!$AO$26:$BH$26,1,MATCH(('Adjustment Surface'!AG$26),'Adjustment Surface'!$AO$26:$BH$26,1)),$AO$26:$BH$26,0))*('Adjustment Surface'!$O33-INDEX('Adjustment Surface'!$AN$27:$AN$46,MATCH(('Adjustment Surface'!$O33),'Adjustment Surface'!$AN$27:$AN$46,1)))*(INDEX('Adjustment Surface'!$AO$26:$BH$26,1,MATCH(('Adjustment Surface'!AG$26),'Adjustment Surface'!$AO$26:$BH$26,1)+IF('Adjustment Surface'!AH$26="",-1,1))-'Adjustment Surface'!AG$26)+INDEX($AO$27:$BH$46,MATCH(INDEX('Adjustment Surface'!$AN$27:$AN$46,MATCH(('Adjustment Surface'!$O33),'Adjustment Surface'!$AN$27:$AN$46,1)),$AN$27:$AN$46,0),MATCH(INDEX('Adjustment Surface'!$AO$26:$BH$26,1,MATCH(('Adjustment Surface'!AG$26),'Adjustment Surface'!$AO$26:$BH$26,1)+IF('Adjustment Surface'!AH$26="",-1,1)),$AO$26:$BH$26,0))*(INDEX('Adjustment Surface'!$AN$27:$AN$46,MATCH(('Adjustment Surface'!$O33),'Adjustment Surface'!$AN$27:$AN$46,1)+IF('Adjustment Surface'!$O34="",-1,1))-'Adjustment Surface'!$O33)*('Adjustment Surface'!AG$26-INDEX('Adjustment Surface'!$AO$26:$BH$26,1,MATCH(('Adjustment Surface'!AG$26),'Adjustment Surface'!$AO$26:$BH$26,1)))+INDEX($AO$27:$BH$46,MATCH(INDEX('Adjustment Surface'!$AN$27:$AN$46,MATCH(('Adjustment Surface'!$O33),'Adjustment Surface'!$AN$27:$AN$46,1)+IF('Adjustment Surface'!$O34="",-1,1)),$AN$27:$AN$46,0),MATCH(INDEX('Adjustment Surface'!$AO$26:$BH$26,1,MATCH(('Adjustment Surface'!AG$26),'Adjustment Surface'!$AO$26:$BH$26,1)+IF('Adjustment Surface'!AH$26="",-1,1)),$AO$26:$BH$26,0))*('Adjustment Surface'!$O33-INDEX('Adjustment Surface'!$AN$27:$AN$46,MATCH(('Adjustment Surface'!$O33),'Adjustment Surface'!$AN$27:$AN$46,1)))*('Adjustment Surface'!AG$26-INDEX('Adjustment Surface'!$AO$26:$BH$26,1,MATCH(('Adjustment Surface'!AG$26),'Adjustment Surface'!$AO$26:$BH$26,1)))))</f>
        <v/>
      </c>
      <c r="AH33" s="193" t="str" cm="1">
        <f t="array" ref="AH33">IF(OR(AH$26="",$O33=""),"",1/((INDEX('Adjustment Surface'!$AN$27:$AN$46,MATCH(('Adjustment Surface'!$O33),'Adjustment Surface'!$AN$27:$AN$46,1)+IF('Adjustment Surface'!$O34="",-1,1))-INDEX('Adjustment Surface'!$AN$27:$AN$46,MATCH(('Adjustment Surface'!$O33),'Adjustment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Surface'!$O33),'Adjustment Surface'!$AN$27:$AN$46,1)),$AN$27:$AN$46,0),MATCH(INDEX('Adjustment Surface'!$AO$26:$BH$26,1,MATCH(('Adjustment Surface'!AH$26),'Adjustment Surface'!$AO$26:$BH$26,1)),$AO$26:$BH$26,0))*(INDEX('Adjustment Surface'!$AN$27:$AN$46,MATCH(('Adjustment Surface'!$O33),'Adjustment Surface'!$AN$27:$AN$46,1)+IF('Adjustment Surface'!$O34="",-1,1))-'Adjustment Surface'!$O33)*(INDEX('Adjustment Surface'!$AO$26:$BH$26,1,MATCH(('Adjustment Surface'!AH$26),'Adjustment Surface'!$AO$26:$BH$26,1)+IF('Adjustment Surface'!AI$26="",-1,1))-'Adjustment Surface'!AH$26)+INDEX($AO$27:$BH$46,MATCH(INDEX('Adjustment Surface'!$AN$27:$AN$46,MATCH(('Adjustment Surface'!$O33),'Adjustment Surface'!$AN$27:$AN$46,1)+IF('Adjustment Surface'!$O34="",-1,1)),$AN$27:$AN$46,0),MATCH(INDEX('Adjustment Surface'!$AO$26:$BH$26,1,MATCH(('Adjustment Surface'!AH$26),'Adjustment Surface'!$AO$26:$BH$26,1)),$AO$26:$BH$26,0))*('Adjustment Surface'!$O33-INDEX('Adjustment Surface'!$AN$27:$AN$46,MATCH(('Adjustment Surface'!$O33),'Adjustment Surface'!$AN$27:$AN$46,1)))*(INDEX('Adjustment Surface'!$AO$26:$BH$26,1,MATCH(('Adjustment Surface'!AH$26),'Adjustment Surface'!$AO$26:$BH$26,1)+IF('Adjustment Surface'!AI$26="",-1,1))-'Adjustment Surface'!AH$26)+INDEX($AO$27:$BH$46,MATCH(INDEX('Adjustment Surface'!$AN$27:$AN$46,MATCH(('Adjustment Surface'!$O33),'Adjustment Surface'!$AN$27:$AN$46,1)),$AN$27:$AN$46,0),MATCH(INDEX('Adjustment Surface'!$AO$26:$BH$26,1,MATCH(('Adjustment Surface'!AH$26),'Adjustment Surface'!$AO$26:$BH$26,1)+IF('Adjustment Surface'!AI$26="",-1,1)),$AO$26:$BH$26,0))*(INDEX('Adjustment Surface'!$AN$27:$AN$46,MATCH(('Adjustment Surface'!$O33),'Adjustment Surface'!$AN$27:$AN$46,1)+IF('Adjustment Surface'!$O34="",-1,1))-'Adjustment Surface'!$O33)*('Adjustment Surface'!AH$26-INDEX('Adjustment Surface'!$AO$26:$BH$26,1,MATCH(('Adjustment Surface'!AH$26),'Adjustment Surface'!$AO$26:$BH$26,1)))+INDEX($AO$27:$BH$46,MATCH(INDEX('Adjustment Surface'!$AN$27:$AN$46,MATCH(('Adjustment Surface'!$O33),'Adjustment Surface'!$AN$27:$AN$46,1)+IF('Adjustment Surface'!$O34="",-1,1)),$AN$27:$AN$46,0),MATCH(INDEX('Adjustment Surface'!$AO$26:$BH$26,1,MATCH(('Adjustment Surface'!AH$26),'Adjustment Surface'!$AO$26:$BH$26,1)+IF('Adjustment Surface'!AI$26="",-1,1)),$AO$26:$BH$26,0))*('Adjustment Surface'!$O33-INDEX('Adjustment Surface'!$AN$27:$AN$46,MATCH(('Adjustment Surface'!$O33),'Adjustment Surface'!$AN$27:$AN$46,1)))*('Adjustment Surface'!AH$26-INDEX('Adjustment Surface'!$AO$26:$BH$26,1,MATCH(('Adjustment Surface'!AH$26),'Adjustment Surface'!$AO$26:$BH$26,1)))))</f>
        <v/>
      </c>
      <c r="AI33" s="194" t="str" cm="1">
        <f t="array" ref="AI33">IF(OR(AI$26="",$O33=""),"",1/((INDEX('Adjustment Surface'!$AN$27:$AN$46,MATCH(('Adjustment Surface'!$O33),'Adjustment Surface'!$AN$27:$AN$46,1)+IF('Adjustment Surface'!$O34="",-1,1))-INDEX('Adjustment Surface'!$AN$27:$AN$46,MATCH(('Adjustment Surface'!$O33),'Adjustment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Surface'!$O33),'Adjustment Surface'!$AN$27:$AN$46,1)),$AN$27:$AN$46,0),MATCH(INDEX('Adjustment Surface'!$AO$26:$BH$26,1,MATCH(('Adjustment Surface'!AI$26),'Adjustment Surface'!$AO$26:$BH$26,1)),$AO$26:$BH$26,0))*(INDEX('Adjustment Surface'!$AN$27:$AN$46,MATCH(('Adjustment Surface'!$O33),'Adjustment Surface'!$AN$27:$AN$46,1)+IF('Adjustment Surface'!$O34="",-1,1))-'Adjustment Surface'!$O33)*(INDEX('Adjustment Surface'!$AO$26:$BH$26,1,MATCH(('Adjustment Surface'!AI$26),'Adjustment Surface'!$AO$26:$BH$26,1)+IF('Adjustment Surface'!AJ$26="",-1,1))-'Adjustment Surface'!AI$26)+INDEX($AO$27:$BH$46,MATCH(INDEX('Adjustment Surface'!$AN$27:$AN$46,MATCH(('Adjustment Surface'!$O33),'Adjustment Surface'!$AN$27:$AN$46,1)+IF('Adjustment Surface'!$O34="",-1,1)),$AN$27:$AN$46,0),MATCH(INDEX('Adjustment Surface'!$AO$26:$BH$26,1,MATCH(('Adjustment Surface'!AI$26),'Adjustment Surface'!$AO$26:$BH$26,1)),$AO$26:$BH$26,0))*('Adjustment Surface'!$O33-INDEX('Adjustment Surface'!$AN$27:$AN$46,MATCH(('Adjustment Surface'!$O33),'Adjustment Surface'!$AN$27:$AN$46,1)))*(INDEX('Adjustment Surface'!$AO$26:$BH$26,1,MATCH(('Adjustment Surface'!AI$26),'Adjustment Surface'!$AO$26:$BH$26,1)+IF('Adjustment Surface'!AJ$26="",-1,1))-'Adjustment Surface'!AI$26)+INDEX($AO$27:$BH$46,MATCH(INDEX('Adjustment Surface'!$AN$27:$AN$46,MATCH(('Adjustment Surface'!$O33),'Adjustment Surface'!$AN$27:$AN$46,1)),$AN$27:$AN$46,0),MATCH(INDEX('Adjustment Surface'!$AO$26:$BH$26,1,MATCH(('Adjustment Surface'!AI$26),'Adjustment Surface'!$AO$26:$BH$26,1)+IF('Adjustment Surface'!AJ$26="",-1,1)),$AO$26:$BH$26,0))*(INDEX('Adjustment Surface'!$AN$27:$AN$46,MATCH(('Adjustment Surface'!$O33),'Adjustment Surface'!$AN$27:$AN$46,1)+IF('Adjustment Surface'!$O34="",-1,1))-'Adjustment Surface'!$O33)*('Adjustment Surface'!AI$26-INDEX('Adjustment Surface'!$AO$26:$BH$26,1,MATCH(('Adjustment Surface'!AI$26),'Adjustment Surface'!$AO$26:$BH$26,1)))+INDEX($AO$27:$BH$46,MATCH(INDEX('Adjustment Surface'!$AN$27:$AN$46,MATCH(('Adjustment Surface'!$O33),'Adjustment Surface'!$AN$27:$AN$46,1)+IF('Adjustment Surface'!$O34="",-1,1)),$AN$27:$AN$46,0),MATCH(INDEX('Adjustment Surface'!$AO$26:$BH$26,1,MATCH(('Adjustment Surface'!AI$26),'Adjustment Surface'!$AO$26:$BH$26,1)+IF('Adjustment Surface'!AJ$26="",-1,1)),$AO$26:$BH$26,0))*('Adjustment Surface'!$O33-INDEX('Adjustment Surface'!$AN$27:$AN$46,MATCH(('Adjustment Surface'!$O33),'Adjustment Surface'!$AN$27:$AN$46,1)))*('Adjustment Surface'!AI$26-INDEX('Adjustment Surface'!$AO$26:$BH$26,1,MATCH(('Adjustment Surface'!AI$26),'Adjustment Surface'!$AO$26:$BH$26,1)))))</f>
        <v/>
      </c>
      <c r="AK33" s="203" t="str">
        <v/>
      </c>
      <c r="AL33" s="207" t="str">
        <v/>
      </c>
      <c r="AN33" s="176"/>
      <c r="AO33" s="192" t="str" cm="1">
        <f t="array" ref="AO33">IF(OR(AO$26="",$AN33=""),"",INDEX(IF($C$2='Data Validation'!$A$2,'Bank Adjustments'!$I$4:$I$103,IF('Adjustment Surface'!$C$2='Data Validation'!$A$3,'Bank Adjustments'!$S$4:$S$103,"Unknown Option Type")),MATCH(1,($AN33=IF($C$2='Data Validation'!$A$2,'Bank Adjustments'!$C$4:$C$103,IF('Adjustment Surface'!$C$2='Data Validation'!$A$3,'Bank Adjustments'!$M$4:$M$103,"Unknown Option Type")))*(AO$26=IF($C$2='Data Validation'!$A$2,'Bank Adjustments'!$E$4:$E$103,IF('Adjustment Surface'!$C$2='Data Validation'!$A$3,'Bank Adjustments'!$O$4:$O$103,"Unknown Option Type"))),0)))</f>
        <v/>
      </c>
      <c r="AP33" s="193" t="str" cm="1">
        <f t="array" ref="AP33">IF(OR(AP$26="",$AN33=""),"",INDEX(IF($C$2='Data Validation'!$A$2,'Bank Adjustments'!$I$4:$I$103,IF('Adjustment Surface'!$C$2='Data Validation'!$A$3,'Bank Adjustments'!$S$4:$S$103,"Unknown Option Type")),MATCH(1,($AN33=IF($C$2='Data Validation'!$A$2,'Bank Adjustments'!$C$4:$C$103,IF('Adjustment Surface'!$C$2='Data Validation'!$A$3,'Bank Adjustments'!$M$4:$M$103,"Unknown Option Type")))*(AP$26=IF($C$2='Data Validation'!$A$2,'Bank Adjustments'!$E$4:$E$103,IF('Adjustment Surface'!$C$2='Data Validation'!$A$3,'Bank Adjustments'!$O$4:$O$103,"Unknown Option Type"))),0)))</f>
        <v/>
      </c>
      <c r="AQ33" s="193" t="str" cm="1">
        <f t="array" ref="AQ33">IF(OR(AQ$26="",$AN33=""),"",INDEX(IF($C$2='Data Validation'!$A$2,'Bank Adjustments'!$I$4:$I$103,IF('Adjustment Surface'!$C$2='Data Validation'!$A$3,'Bank Adjustments'!$S$4:$S$103,"Unknown Option Type")),MATCH(1,($AN33=IF($C$2='Data Validation'!$A$2,'Bank Adjustments'!$C$4:$C$103,IF('Adjustment Surface'!$C$2='Data Validation'!$A$3,'Bank Adjustments'!$M$4:$M$103,"Unknown Option Type")))*(AQ$26=IF($C$2='Data Validation'!$A$2,'Bank Adjustments'!$E$4:$E$103,IF('Adjustment Surface'!$C$2='Data Validation'!$A$3,'Bank Adjustments'!$O$4:$O$103,"Unknown Option Type"))),0)))</f>
        <v/>
      </c>
      <c r="AR33" s="193" t="str" cm="1">
        <f t="array" ref="AR33">IF(OR(AR$26="",$AN33=""),"",INDEX(IF($C$2='Data Validation'!$A$2,'Bank Adjustments'!$I$4:$I$103,IF('Adjustment Surface'!$C$2='Data Validation'!$A$3,'Bank Adjustments'!$S$4:$S$103,"Unknown Option Type")),MATCH(1,($AN33=IF($C$2='Data Validation'!$A$2,'Bank Adjustments'!$C$4:$C$103,IF('Adjustment Surface'!$C$2='Data Validation'!$A$3,'Bank Adjustments'!$M$4:$M$103,"Unknown Option Type")))*(AR$26=IF($C$2='Data Validation'!$A$2,'Bank Adjustments'!$E$4:$E$103,IF('Adjustment Surface'!$C$2='Data Validation'!$A$3,'Bank Adjustments'!$O$4:$O$103,"Unknown Option Type"))),0)))</f>
        <v/>
      </c>
      <c r="AS33" s="193" t="str" cm="1">
        <f t="array" ref="AS33">IF(OR(AS$26="",$AN33=""),"",INDEX(IF($C$2='Data Validation'!$A$2,'Bank Adjustments'!$I$4:$I$103,IF('Adjustment Surface'!$C$2='Data Validation'!$A$3,'Bank Adjustments'!$S$4:$S$103,"Unknown Option Type")),MATCH(1,($AN33=IF($C$2='Data Validation'!$A$2,'Bank Adjustments'!$C$4:$C$103,IF('Adjustment Surface'!$C$2='Data Validation'!$A$3,'Bank Adjustments'!$M$4:$M$103,"Unknown Option Type")))*(AS$26=IF($C$2='Data Validation'!$A$2,'Bank Adjustments'!$E$4:$E$103,IF('Adjustment Surface'!$C$2='Data Validation'!$A$3,'Bank Adjustments'!$O$4:$O$103,"Unknown Option Type"))),0)))</f>
        <v/>
      </c>
      <c r="AT33" s="193" t="str" cm="1">
        <f t="array" ref="AT33">IF(OR(AT$26="",$AN33=""),"",INDEX(IF($C$2='Data Validation'!$A$2,'Bank Adjustments'!$I$4:$I$103,IF('Adjustment Surface'!$C$2='Data Validation'!$A$3,'Bank Adjustments'!$S$4:$S$103,"Unknown Option Type")),MATCH(1,($AN33=IF($C$2='Data Validation'!$A$2,'Bank Adjustments'!$C$4:$C$103,IF('Adjustment Surface'!$C$2='Data Validation'!$A$3,'Bank Adjustments'!$M$4:$M$103,"Unknown Option Type")))*(AT$26=IF($C$2='Data Validation'!$A$2,'Bank Adjustments'!$E$4:$E$103,IF('Adjustment Surface'!$C$2='Data Validation'!$A$3,'Bank Adjustments'!$O$4:$O$103,"Unknown Option Type"))),0)))</f>
        <v/>
      </c>
      <c r="AU33" s="193" t="str" cm="1">
        <f t="array" ref="AU33">IF(OR(AU$26="",$AN33=""),"",INDEX(IF($C$2='Data Validation'!$A$2,'Bank Adjustments'!$I$4:$I$103,IF('Adjustment Surface'!$C$2='Data Validation'!$A$3,'Bank Adjustments'!$S$4:$S$103,"Unknown Option Type")),MATCH(1,($AN33=IF($C$2='Data Validation'!$A$2,'Bank Adjustments'!$C$4:$C$103,IF('Adjustment Surface'!$C$2='Data Validation'!$A$3,'Bank Adjustments'!$M$4:$M$103,"Unknown Option Type")))*(AU$26=IF($C$2='Data Validation'!$A$2,'Bank Adjustments'!$E$4:$E$103,IF('Adjustment Surface'!$C$2='Data Validation'!$A$3,'Bank Adjustments'!$O$4:$O$103,"Unknown Option Type"))),0)))</f>
        <v/>
      </c>
      <c r="AV33" s="193" t="str" cm="1">
        <f t="array" ref="AV33">IF(OR(AV$26="",$AN33=""),"",INDEX(IF($C$2='Data Validation'!$A$2,'Bank Adjustments'!$I$4:$I$103,IF('Adjustment Surface'!$C$2='Data Validation'!$A$3,'Bank Adjustments'!$S$4:$S$103,"Unknown Option Type")),MATCH(1,($AN33=IF($C$2='Data Validation'!$A$2,'Bank Adjustments'!$C$4:$C$103,IF('Adjustment Surface'!$C$2='Data Validation'!$A$3,'Bank Adjustments'!$M$4:$M$103,"Unknown Option Type")))*(AV$26=IF($C$2='Data Validation'!$A$2,'Bank Adjustments'!$E$4:$E$103,IF('Adjustment Surface'!$C$2='Data Validation'!$A$3,'Bank Adjustments'!$O$4:$O$103,"Unknown Option Type"))),0)))</f>
        <v/>
      </c>
      <c r="AW33" s="193" t="str" cm="1">
        <f t="array" ref="AW33">IF(OR(AW$26="",$AN33=""),"",INDEX(IF($C$2='Data Validation'!$A$2,'Bank Adjustments'!$I$4:$I$103,IF('Adjustment Surface'!$C$2='Data Validation'!$A$3,'Bank Adjustments'!$S$4:$S$103,"Unknown Option Type")),MATCH(1,($AN33=IF($C$2='Data Validation'!$A$2,'Bank Adjustments'!$C$4:$C$103,IF('Adjustment Surface'!$C$2='Data Validation'!$A$3,'Bank Adjustments'!$M$4:$M$103,"Unknown Option Type")))*(AW$26=IF($C$2='Data Validation'!$A$2,'Bank Adjustments'!$E$4:$E$103,IF('Adjustment Surface'!$C$2='Data Validation'!$A$3,'Bank Adjustments'!$O$4:$O$103,"Unknown Option Type"))),0)))</f>
        <v/>
      </c>
      <c r="AX33" s="193" t="str" cm="1">
        <f t="array" ref="AX33">IF(OR(AX$26="",$AN33=""),"",INDEX(IF($C$2='Data Validation'!$A$2,'Bank Adjustments'!$I$4:$I$103,IF('Adjustment Surface'!$C$2='Data Validation'!$A$3,'Bank Adjustments'!$S$4:$S$103,"Unknown Option Type")),MATCH(1,($AN33=IF($C$2='Data Validation'!$A$2,'Bank Adjustments'!$C$4:$C$103,IF('Adjustment Surface'!$C$2='Data Validation'!$A$3,'Bank Adjustments'!$M$4:$M$103,"Unknown Option Type")))*(AX$26=IF($C$2='Data Validation'!$A$2,'Bank Adjustments'!$E$4:$E$103,IF('Adjustment Surface'!$C$2='Data Validation'!$A$3,'Bank Adjustments'!$O$4:$O$103,"Unknown Option Type"))),0)))</f>
        <v/>
      </c>
      <c r="AY33" s="193" t="str" cm="1">
        <f t="array" ref="AY33">IF(OR(AY$26="",$AN33=""),"",INDEX(IF($C$2='Data Validation'!$A$2,'Bank Adjustments'!$I$4:$I$103,IF('Adjustment Surface'!$C$2='Data Validation'!$A$3,'Bank Adjustments'!$S$4:$S$103,"Unknown Option Type")),MATCH(1,($AN33=IF($C$2='Data Validation'!$A$2,'Bank Adjustments'!$C$4:$C$103,IF('Adjustment Surface'!$C$2='Data Validation'!$A$3,'Bank Adjustments'!$M$4:$M$103,"Unknown Option Type")))*(AY$26=IF($C$2='Data Validation'!$A$2,'Bank Adjustments'!$E$4:$E$103,IF('Adjustment Surface'!$C$2='Data Validation'!$A$3,'Bank Adjustments'!$O$4:$O$103,"Unknown Option Type"))),0)))</f>
        <v/>
      </c>
      <c r="AZ33" s="193" t="str" cm="1">
        <f t="array" ref="AZ33">IF(OR(AZ$26="",$AN33=""),"",INDEX(IF($C$2='Data Validation'!$A$2,'Bank Adjustments'!$I$4:$I$103,IF('Adjustment Surface'!$C$2='Data Validation'!$A$3,'Bank Adjustments'!$S$4:$S$103,"Unknown Option Type")),MATCH(1,($AN33=IF($C$2='Data Validation'!$A$2,'Bank Adjustments'!$C$4:$C$103,IF('Adjustment Surface'!$C$2='Data Validation'!$A$3,'Bank Adjustments'!$M$4:$M$103,"Unknown Option Type")))*(AZ$26=IF($C$2='Data Validation'!$A$2,'Bank Adjustments'!$E$4:$E$103,IF('Adjustment Surface'!$C$2='Data Validation'!$A$3,'Bank Adjustments'!$O$4:$O$103,"Unknown Option Type"))),0)))</f>
        <v/>
      </c>
      <c r="BA33" s="193" t="str" cm="1">
        <f t="array" ref="BA33">IF(OR(BA$26="",$AN33=""),"",INDEX(IF($C$2='Data Validation'!$A$2,'Bank Adjustments'!$I$4:$I$103,IF('Adjustment Surface'!$C$2='Data Validation'!$A$3,'Bank Adjustments'!$S$4:$S$103,"Unknown Option Type")),MATCH(1,($AN33=IF($C$2='Data Validation'!$A$2,'Bank Adjustments'!$C$4:$C$103,IF('Adjustment Surface'!$C$2='Data Validation'!$A$3,'Bank Adjustments'!$M$4:$M$103,"Unknown Option Type")))*(BA$26=IF($C$2='Data Validation'!$A$2,'Bank Adjustments'!$E$4:$E$103,IF('Adjustment Surface'!$C$2='Data Validation'!$A$3,'Bank Adjustments'!$O$4:$O$103,"Unknown Option Type"))),0)))</f>
        <v/>
      </c>
      <c r="BB33" s="193" t="str" cm="1">
        <f t="array" ref="BB33">IF(OR(BB$26="",$AN33=""),"",INDEX(IF($C$2='Data Validation'!$A$2,'Bank Adjustments'!$I$4:$I$103,IF('Adjustment Surface'!$C$2='Data Validation'!$A$3,'Bank Adjustments'!$S$4:$S$103,"Unknown Option Type")),MATCH(1,($AN33=IF($C$2='Data Validation'!$A$2,'Bank Adjustments'!$C$4:$C$103,IF('Adjustment Surface'!$C$2='Data Validation'!$A$3,'Bank Adjustments'!$M$4:$M$103,"Unknown Option Type")))*(BB$26=IF($C$2='Data Validation'!$A$2,'Bank Adjustments'!$E$4:$E$103,IF('Adjustment Surface'!$C$2='Data Validation'!$A$3,'Bank Adjustments'!$O$4:$O$103,"Unknown Option Type"))),0)))</f>
        <v/>
      </c>
      <c r="BC33" s="193" t="str" cm="1">
        <f t="array" ref="BC33">IF(OR(BC$26="",$AN33=""),"",INDEX(IF($C$2='Data Validation'!$A$2,'Bank Adjustments'!$I$4:$I$103,IF('Adjustment Surface'!$C$2='Data Validation'!$A$3,'Bank Adjustments'!$S$4:$S$103,"Unknown Option Type")),MATCH(1,($AN33=IF($C$2='Data Validation'!$A$2,'Bank Adjustments'!$C$4:$C$103,IF('Adjustment Surface'!$C$2='Data Validation'!$A$3,'Bank Adjustments'!$M$4:$M$103,"Unknown Option Type")))*(BC$26=IF($C$2='Data Validation'!$A$2,'Bank Adjustments'!$E$4:$E$103,IF('Adjustment Surface'!$C$2='Data Validation'!$A$3,'Bank Adjustments'!$O$4:$O$103,"Unknown Option Type"))),0)))</f>
        <v/>
      </c>
      <c r="BD33" s="193" t="str" cm="1">
        <f t="array" ref="BD33">IF(OR(BD$26="",$AN33=""),"",INDEX(IF($C$2='Data Validation'!$A$2,'Bank Adjustments'!$I$4:$I$103,IF('Adjustment Surface'!$C$2='Data Validation'!$A$3,'Bank Adjustments'!$S$4:$S$103,"Unknown Option Type")),MATCH(1,($AN33=IF($C$2='Data Validation'!$A$2,'Bank Adjustments'!$C$4:$C$103,IF('Adjustment Surface'!$C$2='Data Validation'!$A$3,'Bank Adjustments'!$M$4:$M$103,"Unknown Option Type")))*(BD$26=IF($C$2='Data Validation'!$A$2,'Bank Adjustments'!$E$4:$E$103,IF('Adjustment Surface'!$C$2='Data Validation'!$A$3,'Bank Adjustments'!$O$4:$O$103,"Unknown Option Type"))),0)))</f>
        <v/>
      </c>
      <c r="BE33" s="193" t="str" cm="1">
        <f t="array" ref="BE33">IF(OR(BE$26="",$AN33=""),"",INDEX(IF($C$2='Data Validation'!$A$2,'Bank Adjustments'!$I$4:$I$103,IF('Adjustment Surface'!$C$2='Data Validation'!$A$3,'Bank Adjustments'!$S$4:$S$103,"Unknown Option Type")),MATCH(1,($AN33=IF($C$2='Data Validation'!$A$2,'Bank Adjustments'!$C$4:$C$103,IF('Adjustment Surface'!$C$2='Data Validation'!$A$3,'Bank Adjustments'!$M$4:$M$103,"Unknown Option Type")))*(BE$26=IF($C$2='Data Validation'!$A$2,'Bank Adjustments'!$E$4:$E$103,IF('Adjustment Surface'!$C$2='Data Validation'!$A$3,'Bank Adjustments'!$O$4:$O$103,"Unknown Option Type"))),0)))</f>
        <v/>
      </c>
      <c r="BF33" s="193" t="str" cm="1">
        <f t="array" ref="BF33">IF(OR(BF$26="",$AN33=""),"",INDEX(IF($C$2='Data Validation'!$A$2,'Bank Adjustments'!$I$4:$I$103,IF('Adjustment Surface'!$C$2='Data Validation'!$A$3,'Bank Adjustments'!$S$4:$S$103,"Unknown Option Type")),MATCH(1,($AN33=IF($C$2='Data Validation'!$A$2,'Bank Adjustments'!$C$4:$C$103,IF('Adjustment Surface'!$C$2='Data Validation'!$A$3,'Bank Adjustments'!$M$4:$M$103,"Unknown Option Type")))*(BF$26=IF($C$2='Data Validation'!$A$2,'Bank Adjustments'!$E$4:$E$103,IF('Adjustment Surface'!$C$2='Data Validation'!$A$3,'Bank Adjustments'!$O$4:$O$103,"Unknown Option Type"))),0)))</f>
        <v/>
      </c>
      <c r="BG33" s="193" t="str" cm="1">
        <f t="array" ref="BG33">IF(OR(BG$26="",$AN33=""),"",INDEX(IF($C$2='Data Validation'!$A$2,'Bank Adjustments'!$I$4:$I$103,IF('Adjustment Surface'!$C$2='Data Validation'!$A$3,'Bank Adjustments'!$S$4:$S$103,"Unknown Option Type")),MATCH(1,($AN33=IF($C$2='Data Validation'!$A$2,'Bank Adjustments'!$C$4:$C$103,IF('Adjustment Surface'!$C$2='Data Validation'!$A$3,'Bank Adjustments'!$M$4:$M$103,"Unknown Option Type")))*(BG$26=IF($C$2='Data Validation'!$A$2,'Bank Adjustments'!$E$4:$E$103,IF('Adjustment Surface'!$C$2='Data Validation'!$A$3,'Bank Adjustments'!$O$4:$O$103,"Unknown Option Type"))),0)))</f>
        <v/>
      </c>
      <c r="BH33" s="194" t="str" cm="1">
        <f t="array" ref="BH33">IF(OR(BH$26="",$AN33=""),"",INDEX(IF($C$2='Data Validation'!$A$2,'Bank Adjustments'!$I$4:$I$103,IF('Adjustment Surface'!$C$2='Data Validation'!$A$3,'Bank Adjustments'!$S$4:$S$103,"Unknown Option Type")),MATCH(1,($AN33=IF($C$2='Data Validation'!$A$2,'Bank Adjustments'!$C$4:$C$103,IF('Adjustment Surface'!$C$2='Data Validation'!$A$3,'Bank Adjustments'!$M$4:$M$103,"Unknown Option Type")))*(BH$26=IF($C$2='Data Validation'!$A$2,'Bank Adjustments'!$E$4:$E$103,IF('Adjustment Surface'!$C$2='Data Validation'!$A$3,'Bank Adjustments'!$O$4:$O$103,"Unknown Option Type"))),0)))</f>
        <v/>
      </c>
    </row>
    <row r="34" spans="2:60" x14ac:dyDescent="0.25">
      <c r="B34" s="27" t="s">
        <v>65</v>
      </c>
      <c r="C34" s="11"/>
      <c r="D34" s="11"/>
      <c r="E34" s="11"/>
      <c r="F34" s="11"/>
      <c r="H34" s="176">
        <v>5.5E-2</v>
      </c>
      <c r="I34" s="54">
        <f t="shared" si="6"/>
        <v>3.5000000000000003E-2</v>
      </c>
      <c r="J34" s="55">
        <f t="shared" si="6"/>
        <v>2.5000000000000001E-2</v>
      </c>
      <c r="K34" s="55">
        <f t="shared" si="6"/>
        <v>1.4999999999999999E-2</v>
      </c>
      <c r="L34" s="55">
        <f t="shared" si="6"/>
        <v>4.9999999999999975E-3</v>
      </c>
      <c r="M34" s="48">
        <f t="shared" si="6"/>
        <v>4.9999999999999975E-3</v>
      </c>
      <c r="O34" s="176">
        <v>5.5E-2</v>
      </c>
      <c r="P34" s="192" cm="1">
        <f t="array" ref="P34">IF(OR(P$26="",$O34=""),"",1/((INDEX('Adjustment Surface'!$AN$27:$AN$46,MATCH(('Adjustment Surface'!$O34),'Adjustment Surface'!$AN$27:$AN$46,1)+IF('Adjustment Surface'!$O35="",-1,1))-INDEX('Adjustment Surface'!$AN$27:$AN$46,MATCH(('Adjustment Surface'!$O34),'Adjustment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Surface'!$O34),'Adjustment Surface'!$AN$27:$AN$46,1)),$AN$27:$AN$46,0),MATCH(INDEX('Adjustment Surface'!$AO$26:$BH$26,1,MATCH(('Adjustment Surface'!P$26),'Adjustment Surface'!$AO$26:$BH$26,1)),$AO$26:$BH$26,0))*(INDEX('Adjustment Surface'!$AN$27:$AN$46,MATCH(('Adjustment Surface'!$O34),'Adjustment Surface'!$AN$27:$AN$46,1)+IF('Adjustment Surface'!$O35="",-1,1))-'Adjustment Surface'!$O34)*(INDEX('Adjustment Surface'!$AO$26:$BH$26,1,MATCH(('Adjustment Surface'!P$26),'Adjustment Surface'!$AO$26:$BH$26,1)+IF('Adjustment Surface'!Q$26="",-1,1))-'Adjustment Surface'!P$26)+INDEX($AO$27:$BH$46,MATCH(INDEX('Adjustment Surface'!$AN$27:$AN$46,MATCH(('Adjustment Surface'!$O34),'Adjustment Surface'!$AN$27:$AN$46,1)+IF('Adjustment Surface'!$O35="",-1,1)),$AN$27:$AN$46,0),MATCH(INDEX('Adjustment Surface'!$AO$26:$BH$26,1,MATCH(('Adjustment Surface'!P$26),'Adjustment Surface'!$AO$26:$BH$26,1)),$AO$26:$BH$26,0))*('Adjustment Surface'!$O34-INDEX('Adjustment Surface'!$AN$27:$AN$46,MATCH(('Adjustment Surface'!$O34),'Adjustment Surface'!$AN$27:$AN$46,1)))*(INDEX('Adjustment Surface'!$AO$26:$BH$26,1,MATCH(('Adjustment Surface'!P$26),'Adjustment Surface'!$AO$26:$BH$26,1)+IF('Adjustment Surface'!Q$26="",-1,1))-'Adjustment Surface'!P$26)+INDEX($AO$27:$BH$46,MATCH(INDEX('Adjustment Surface'!$AN$27:$AN$46,MATCH(('Adjustment Surface'!$O34),'Adjustment Surface'!$AN$27:$AN$46,1)),$AN$27:$AN$46,0),MATCH(INDEX('Adjustment Surface'!$AO$26:$BH$26,1,MATCH(('Adjustment Surface'!P$26),'Adjustment Surface'!$AO$26:$BH$26,1)+IF('Adjustment Surface'!Q$26="",-1,1)),$AO$26:$BH$26,0))*(INDEX('Adjustment Surface'!$AN$27:$AN$46,MATCH(('Adjustment Surface'!$O34),'Adjustment Surface'!$AN$27:$AN$46,1)+IF('Adjustment Surface'!$O35="",-1,1))-'Adjustment Surface'!$O34)*('Adjustment Surface'!P$26-INDEX('Adjustment Surface'!$AO$26:$BH$26,1,MATCH(('Adjustment Surface'!P$26),'Adjustment Surface'!$AO$26:$BH$26,1)))+INDEX($AO$27:$BH$46,MATCH(INDEX('Adjustment Surface'!$AN$27:$AN$46,MATCH(('Adjustment Surface'!$O34),'Adjustment Surface'!$AN$27:$AN$46,1)+IF('Adjustment Surface'!$O35="",-1,1)),$AN$27:$AN$46,0),MATCH(INDEX('Adjustment Surface'!$AO$26:$BH$26,1,MATCH(('Adjustment Surface'!P$26),'Adjustment Surface'!$AO$26:$BH$26,1)+IF('Adjustment Surface'!Q$26="",-1,1)),$AO$26:$BH$26,0))*('Adjustment Surface'!$O34-INDEX('Adjustment Surface'!$AN$27:$AN$46,MATCH(('Adjustment Surface'!$O34),'Adjustment Surface'!$AN$27:$AN$46,1)))*('Adjustment Surface'!P$26-INDEX('Adjustment Surface'!$AO$26:$BH$26,1,MATCH(('Adjustment Surface'!P$26),'Adjustment Surface'!$AO$26:$BH$26,1)))))</f>
        <v>50.128197674320432</v>
      </c>
      <c r="Q34" s="193" cm="1">
        <f t="array" ref="Q34">IF(OR(Q$26="",$O34=""),"",1/((INDEX('Adjustment Surface'!$AN$27:$AN$46,MATCH(('Adjustment Surface'!$O34),'Adjustment Surface'!$AN$27:$AN$46,1)+IF('Adjustment Surface'!$O35="",-1,1))-INDEX('Adjustment Surface'!$AN$27:$AN$46,MATCH(('Adjustment Surface'!$O34),'Adjustment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Surface'!$O34),'Adjustment Surface'!$AN$27:$AN$46,1)),$AN$27:$AN$46,0),MATCH(INDEX('Adjustment Surface'!$AO$26:$BH$26,1,MATCH(('Adjustment Surface'!Q$26),'Adjustment Surface'!$AO$26:$BH$26,1)),$AO$26:$BH$26,0))*(INDEX('Adjustment Surface'!$AN$27:$AN$46,MATCH(('Adjustment Surface'!$O34),'Adjustment Surface'!$AN$27:$AN$46,1)+IF('Adjustment Surface'!$O35="",-1,1))-'Adjustment Surface'!$O34)*(INDEX('Adjustment Surface'!$AO$26:$BH$26,1,MATCH(('Adjustment Surface'!Q$26),'Adjustment Surface'!$AO$26:$BH$26,1)+IF('Adjustment Surface'!R$26="",-1,1))-'Adjustment Surface'!Q$26)+INDEX($AO$27:$BH$46,MATCH(INDEX('Adjustment Surface'!$AN$27:$AN$46,MATCH(('Adjustment Surface'!$O34),'Adjustment Surface'!$AN$27:$AN$46,1)+IF('Adjustment Surface'!$O35="",-1,1)),$AN$27:$AN$46,0),MATCH(INDEX('Adjustment Surface'!$AO$26:$BH$26,1,MATCH(('Adjustment Surface'!Q$26),'Adjustment Surface'!$AO$26:$BH$26,1)),$AO$26:$BH$26,0))*('Adjustment Surface'!$O34-INDEX('Adjustment Surface'!$AN$27:$AN$46,MATCH(('Adjustment Surface'!$O34),'Adjustment Surface'!$AN$27:$AN$46,1)))*(INDEX('Adjustment Surface'!$AO$26:$BH$26,1,MATCH(('Adjustment Surface'!Q$26),'Adjustment Surface'!$AO$26:$BH$26,1)+IF('Adjustment Surface'!R$26="",-1,1))-'Adjustment Surface'!Q$26)+INDEX($AO$27:$BH$46,MATCH(INDEX('Adjustment Surface'!$AN$27:$AN$46,MATCH(('Adjustment Surface'!$O34),'Adjustment Surface'!$AN$27:$AN$46,1)),$AN$27:$AN$46,0),MATCH(INDEX('Adjustment Surface'!$AO$26:$BH$26,1,MATCH(('Adjustment Surface'!Q$26),'Adjustment Surface'!$AO$26:$BH$26,1)+IF('Adjustment Surface'!R$26="",-1,1)),$AO$26:$BH$26,0))*(INDEX('Adjustment Surface'!$AN$27:$AN$46,MATCH(('Adjustment Surface'!$O34),'Adjustment Surface'!$AN$27:$AN$46,1)+IF('Adjustment Surface'!$O35="",-1,1))-'Adjustment Surface'!$O34)*('Adjustment Surface'!Q$26-INDEX('Adjustment Surface'!$AO$26:$BH$26,1,MATCH(('Adjustment Surface'!Q$26),'Adjustment Surface'!$AO$26:$BH$26,1)))+INDEX($AO$27:$BH$46,MATCH(INDEX('Adjustment Surface'!$AN$27:$AN$46,MATCH(('Adjustment Surface'!$O34),'Adjustment Surface'!$AN$27:$AN$46,1)+IF('Adjustment Surface'!$O35="",-1,1)),$AN$27:$AN$46,0),MATCH(INDEX('Adjustment Surface'!$AO$26:$BH$26,1,MATCH(('Adjustment Surface'!Q$26),'Adjustment Surface'!$AO$26:$BH$26,1)+IF('Adjustment Surface'!R$26="",-1,1)),$AO$26:$BH$26,0))*('Adjustment Surface'!$O34-INDEX('Adjustment Surface'!$AN$27:$AN$46,MATCH(('Adjustment Surface'!$O34),'Adjustment Surface'!$AN$27:$AN$46,1)))*('Adjustment Surface'!Q$26-INDEX('Adjustment Surface'!$AO$26:$BH$26,1,MATCH(('Adjustment Surface'!Q$26),'Adjustment Surface'!$AO$26:$BH$26,1)))))</f>
        <v>38.340022263080023</v>
      </c>
      <c r="R34" s="193" cm="1">
        <f t="array" ref="R34">IF(OR(R$26="",$O34=""),"",1/((INDEX('Adjustment Surface'!$AN$27:$AN$46,MATCH(('Adjustment Surface'!$O34),'Adjustment Surface'!$AN$27:$AN$46,1)+IF('Adjustment Surface'!$O35="",-1,1))-INDEX('Adjustment Surface'!$AN$27:$AN$46,MATCH(('Adjustment Surface'!$O34),'Adjustment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Surface'!$O34),'Adjustment Surface'!$AN$27:$AN$46,1)),$AN$27:$AN$46,0),MATCH(INDEX('Adjustment Surface'!$AO$26:$BH$26,1,MATCH(('Adjustment Surface'!R$26),'Adjustment Surface'!$AO$26:$BH$26,1)),$AO$26:$BH$26,0))*(INDEX('Adjustment Surface'!$AN$27:$AN$46,MATCH(('Adjustment Surface'!$O34),'Adjustment Surface'!$AN$27:$AN$46,1)+IF('Adjustment Surface'!$O35="",-1,1))-'Adjustment Surface'!$O34)*(INDEX('Adjustment Surface'!$AO$26:$BH$26,1,MATCH(('Adjustment Surface'!R$26),'Adjustment Surface'!$AO$26:$BH$26,1)+IF('Adjustment Surface'!S$26="",-1,1))-'Adjustment Surface'!R$26)+INDEX($AO$27:$BH$46,MATCH(INDEX('Adjustment Surface'!$AN$27:$AN$46,MATCH(('Adjustment Surface'!$O34),'Adjustment Surface'!$AN$27:$AN$46,1)+IF('Adjustment Surface'!$O35="",-1,1)),$AN$27:$AN$46,0),MATCH(INDEX('Adjustment Surface'!$AO$26:$BH$26,1,MATCH(('Adjustment Surface'!R$26),'Adjustment Surface'!$AO$26:$BH$26,1)),$AO$26:$BH$26,0))*('Adjustment Surface'!$O34-INDEX('Adjustment Surface'!$AN$27:$AN$46,MATCH(('Adjustment Surface'!$O34),'Adjustment Surface'!$AN$27:$AN$46,1)))*(INDEX('Adjustment Surface'!$AO$26:$BH$26,1,MATCH(('Adjustment Surface'!R$26),'Adjustment Surface'!$AO$26:$BH$26,1)+IF('Adjustment Surface'!S$26="",-1,1))-'Adjustment Surface'!R$26)+INDEX($AO$27:$BH$46,MATCH(INDEX('Adjustment Surface'!$AN$27:$AN$46,MATCH(('Adjustment Surface'!$O34),'Adjustment Surface'!$AN$27:$AN$46,1)),$AN$27:$AN$46,0),MATCH(INDEX('Adjustment Surface'!$AO$26:$BH$26,1,MATCH(('Adjustment Surface'!R$26),'Adjustment Surface'!$AO$26:$BH$26,1)+IF('Adjustment Surface'!S$26="",-1,1)),$AO$26:$BH$26,0))*(INDEX('Adjustment Surface'!$AN$27:$AN$46,MATCH(('Adjustment Surface'!$O34),'Adjustment Surface'!$AN$27:$AN$46,1)+IF('Adjustment Surface'!$O35="",-1,1))-'Adjustment Surface'!$O34)*('Adjustment Surface'!R$26-INDEX('Adjustment Surface'!$AO$26:$BH$26,1,MATCH(('Adjustment Surface'!R$26),'Adjustment Surface'!$AO$26:$BH$26,1)))+INDEX($AO$27:$BH$46,MATCH(INDEX('Adjustment Surface'!$AN$27:$AN$46,MATCH(('Adjustment Surface'!$O34),'Adjustment Surface'!$AN$27:$AN$46,1)+IF('Adjustment Surface'!$O35="",-1,1)),$AN$27:$AN$46,0),MATCH(INDEX('Adjustment Surface'!$AO$26:$BH$26,1,MATCH(('Adjustment Surface'!R$26),'Adjustment Surface'!$AO$26:$BH$26,1)+IF('Adjustment Surface'!S$26="",-1,1)),$AO$26:$BH$26,0))*('Adjustment Surface'!$O34-INDEX('Adjustment Surface'!$AN$27:$AN$46,MATCH(('Adjustment Surface'!$O34),'Adjustment Surface'!$AN$27:$AN$46,1)))*('Adjustment Surface'!R$26-INDEX('Adjustment Surface'!$AO$26:$BH$26,1,MATCH(('Adjustment Surface'!R$26),'Adjustment Surface'!$AO$26:$BH$26,1)))))</f>
        <v>26.154492624494434</v>
      </c>
      <c r="S34" s="193" cm="1">
        <f t="array" ref="S34">IF(OR(S$26="",$O34=""),"",1/((INDEX('Adjustment Surface'!$AN$27:$AN$46,MATCH(('Adjustment Surface'!$O34),'Adjustment Surface'!$AN$27:$AN$46,1)+IF('Adjustment Surface'!$O35="",-1,1))-INDEX('Adjustment Surface'!$AN$27:$AN$46,MATCH(('Adjustment Surface'!$O34),'Adjustment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Surface'!$O34),'Adjustment Surface'!$AN$27:$AN$46,1)),$AN$27:$AN$46,0),MATCH(INDEX('Adjustment Surface'!$AO$26:$BH$26,1,MATCH(('Adjustment Surface'!S$26),'Adjustment Surface'!$AO$26:$BH$26,1)),$AO$26:$BH$26,0))*(INDEX('Adjustment Surface'!$AN$27:$AN$46,MATCH(('Adjustment Surface'!$O34),'Adjustment Surface'!$AN$27:$AN$46,1)+IF('Adjustment Surface'!$O35="",-1,1))-'Adjustment Surface'!$O34)*(INDEX('Adjustment Surface'!$AO$26:$BH$26,1,MATCH(('Adjustment Surface'!S$26),'Adjustment Surface'!$AO$26:$BH$26,1)+IF('Adjustment Surface'!T$26="",-1,1))-'Adjustment Surface'!S$26)+INDEX($AO$27:$BH$46,MATCH(INDEX('Adjustment Surface'!$AN$27:$AN$46,MATCH(('Adjustment Surface'!$O34),'Adjustment Surface'!$AN$27:$AN$46,1)+IF('Adjustment Surface'!$O35="",-1,1)),$AN$27:$AN$46,0),MATCH(INDEX('Adjustment Surface'!$AO$26:$BH$26,1,MATCH(('Adjustment Surface'!S$26),'Adjustment Surface'!$AO$26:$BH$26,1)),$AO$26:$BH$26,0))*('Adjustment Surface'!$O34-INDEX('Adjustment Surface'!$AN$27:$AN$46,MATCH(('Adjustment Surface'!$O34),'Adjustment Surface'!$AN$27:$AN$46,1)))*(INDEX('Adjustment Surface'!$AO$26:$BH$26,1,MATCH(('Adjustment Surface'!S$26),'Adjustment Surface'!$AO$26:$BH$26,1)+IF('Adjustment Surface'!T$26="",-1,1))-'Adjustment Surface'!S$26)+INDEX($AO$27:$BH$46,MATCH(INDEX('Adjustment Surface'!$AN$27:$AN$46,MATCH(('Adjustment Surface'!$O34),'Adjustment Surface'!$AN$27:$AN$46,1)),$AN$27:$AN$46,0),MATCH(INDEX('Adjustment Surface'!$AO$26:$BH$26,1,MATCH(('Adjustment Surface'!S$26),'Adjustment Surface'!$AO$26:$BH$26,1)+IF('Adjustment Surface'!T$26="",-1,1)),$AO$26:$BH$26,0))*(INDEX('Adjustment Surface'!$AN$27:$AN$46,MATCH(('Adjustment Surface'!$O34),'Adjustment Surface'!$AN$27:$AN$46,1)+IF('Adjustment Surface'!$O35="",-1,1))-'Adjustment Surface'!$O34)*('Adjustment Surface'!S$26-INDEX('Adjustment Surface'!$AO$26:$BH$26,1,MATCH(('Adjustment Surface'!S$26),'Adjustment Surface'!$AO$26:$BH$26,1)))+INDEX($AO$27:$BH$46,MATCH(INDEX('Adjustment Surface'!$AN$27:$AN$46,MATCH(('Adjustment Surface'!$O34),'Adjustment Surface'!$AN$27:$AN$46,1)+IF('Adjustment Surface'!$O35="",-1,1)),$AN$27:$AN$46,0),MATCH(INDEX('Adjustment Surface'!$AO$26:$BH$26,1,MATCH(('Adjustment Surface'!S$26),'Adjustment Surface'!$AO$26:$BH$26,1)+IF('Adjustment Surface'!T$26="",-1,1)),$AO$26:$BH$26,0))*('Adjustment Surface'!$O34-INDEX('Adjustment Surface'!$AN$27:$AN$46,MATCH(('Adjustment Surface'!$O34),'Adjustment Surface'!$AN$27:$AN$46,1)))*('Adjustment Surface'!S$26-INDEX('Adjustment Surface'!$AO$26:$BH$26,1,MATCH(('Adjustment Surface'!S$26),'Adjustment Surface'!$AO$26:$BH$26,1)))))</f>
        <v>13.96896298590884</v>
      </c>
      <c r="T34" s="193" cm="1">
        <f t="array" ref="T34">IF(OR(T$26="",$O34=""),"",1/((INDEX('Adjustment Surface'!$AN$27:$AN$46,MATCH(('Adjustment Surface'!$O34),'Adjustment Surface'!$AN$27:$AN$46,1)+IF('Adjustment Surface'!$O35="",-1,1))-INDEX('Adjustment Surface'!$AN$27:$AN$46,MATCH(('Adjustment Surface'!$O34),'Adjustment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Surface'!$O34),'Adjustment Surface'!$AN$27:$AN$46,1)),$AN$27:$AN$46,0),MATCH(INDEX('Adjustment Surface'!$AO$26:$BH$26,1,MATCH(('Adjustment Surface'!T$26),'Adjustment Surface'!$AO$26:$BH$26,1)),$AO$26:$BH$26,0))*(INDEX('Adjustment Surface'!$AN$27:$AN$46,MATCH(('Adjustment Surface'!$O34),'Adjustment Surface'!$AN$27:$AN$46,1)+IF('Adjustment Surface'!$O35="",-1,1))-'Adjustment Surface'!$O34)*(INDEX('Adjustment Surface'!$AO$26:$BH$26,1,MATCH(('Adjustment Surface'!T$26),'Adjustment Surface'!$AO$26:$BH$26,1)+IF('Adjustment Surface'!U$26="",-1,1))-'Adjustment Surface'!T$26)+INDEX($AO$27:$BH$46,MATCH(INDEX('Adjustment Surface'!$AN$27:$AN$46,MATCH(('Adjustment Surface'!$O34),'Adjustment Surface'!$AN$27:$AN$46,1)+IF('Adjustment Surface'!$O35="",-1,1)),$AN$27:$AN$46,0),MATCH(INDEX('Adjustment Surface'!$AO$26:$BH$26,1,MATCH(('Adjustment Surface'!T$26),'Adjustment Surface'!$AO$26:$BH$26,1)),$AO$26:$BH$26,0))*('Adjustment Surface'!$O34-INDEX('Adjustment Surface'!$AN$27:$AN$46,MATCH(('Adjustment Surface'!$O34),'Adjustment Surface'!$AN$27:$AN$46,1)))*(INDEX('Adjustment Surface'!$AO$26:$BH$26,1,MATCH(('Adjustment Surface'!T$26),'Adjustment Surface'!$AO$26:$BH$26,1)+IF('Adjustment Surface'!U$26="",-1,1))-'Adjustment Surface'!T$26)+INDEX($AO$27:$BH$46,MATCH(INDEX('Adjustment Surface'!$AN$27:$AN$46,MATCH(('Adjustment Surface'!$O34),'Adjustment Surface'!$AN$27:$AN$46,1)),$AN$27:$AN$46,0),MATCH(INDEX('Adjustment Surface'!$AO$26:$BH$26,1,MATCH(('Adjustment Surface'!T$26),'Adjustment Surface'!$AO$26:$BH$26,1)+IF('Adjustment Surface'!U$26="",-1,1)),$AO$26:$BH$26,0))*(INDEX('Adjustment Surface'!$AN$27:$AN$46,MATCH(('Adjustment Surface'!$O34),'Adjustment Surface'!$AN$27:$AN$46,1)+IF('Adjustment Surface'!$O35="",-1,1))-'Adjustment Surface'!$O34)*('Adjustment Surface'!T$26-INDEX('Adjustment Surface'!$AO$26:$BH$26,1,MATCH(('Adjustment Surface'!T$26),'Adjustment Surface'!$AO$26:$BH$26,1)))+INDEX($AO$27:$BH$46,MATCH(INDEX('Adjustment Surface'!$AN$27:$AN$46,MATCH(('Adjustment Surface'!$O34),'Adjustment Surface'!$AN$27:$AN$46,1)+IF('Adjustment Surface'!$O35="",-1,1)),$AN$27:$AN$46,0),MATCH(INDEX('Adjustment Surface'!$AO$26:$BH$26,1,MATCH(('Adjustment Surface'!T$26),'Adjustment Surface'!$AO$26:$BH$26,1)+IF('Adjustment Surface'!U$26="",-1,1)),$AO$26:$BH$26,0))*('Adjustment Surface'!$O34-INDEX('Adjustment Surface'!$AN$27:$AN$46,MATCH(('Adjustment Surface'!$O34),'Adjustment Surface'!$AN$27:$AN$46,1)))*('Adjustment Surface'!T$26-INDEX('Adjustment Surface'!$AO$26:$BH$26,1,MATCH(('Adjustment Surface'!T$26),'Adjustment Surface'!$AO$26:$BH$26,1)))))</f>
        <v>1.7834333473232455</v>
      </c>
      <c r="U34" s="193" cm="1">
        <f t="array" ref="U34">IF(OR(U$26="",$O34=""),"",1/((INDEX('Adjustment Surface'!$AN$27:$AN$46,MATCH(('Adjustment Surface'!$O34),'Adjustment Surface'!$AN$27:$AN$46,1)+IF('Adjustment Surface'!$O35="",-1,1))-INDEX('Adjustment Surface'!$AN$27:$AN$46,MATCH(('Adjustment Surface'!$O34),'Adjustment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Surface'!$O34),'Adjustment Surface'!$AN$27:$AN$46,1)),$AN$27:$AN$46,0),MATCH(INDEX('Adjustment Surface'!$AO$26:$BH$26,1,MATCH(('Adjustment Surface'!U$26),'Adjustment Surface'!$AO$26:$BH$26,1)),$AO$26:$BH$26,0))*(INDEX('Adjustment Surface'!$AN$27:$AN$46,MATCH(('Adjustment Surface'!$O34),'Adjustment Surface'!$AN$27:$AN$46,1)+IF('Adjustment Surface'!$O35="",-1,1))-'Adjustment Surface'!$O34)*(INDEX('Adjustment Surface'!$AO$26:$BH$26,1,MATCH(('Adjustment Surface'!U$26),'Adjustment Surface'!$AO$26:$BH$26,1)+IF('Adjustment Surface'!V$26="",-1,1))-'Adjustment Surface'!U$26)+INDEX($AO$27:$BH$46,MATCH(INDEX('Adjustment Surface'!$AN$27:$AN$46,MATCH(('Adjustment Surface'!$O34),'Adjustment Surface'!$AN$27:$AN$46,1)+IF('Adjustment Surface'!$O35="",-1,1)),$AN$27:$AN$46,0),MATCH(INDEX('Adjustment Surface'!$AO$26:$BH$26,1,MATCH(('Adjustment Surface'!U$26),'Adjustment Surface'!$AO$26:$BH$26,1)),$AO$26:$BH$26,0))*('Adjustment Surface'!$O34-INDEX('Adjustment Surface'!$AN$27:$AN$46,MATCH(('Adjustment Surface'!$O34),'Adjustment Surface'!$AN$27:$AN$46,1)))*(INDEX('Adjustment Surface'!$AO$26:$BH$26,1,MATCH(('Adjustment Surface'!U$26),'Adjustment Surface'!$AO$26:$BH$26,1)+IF('Adjustment Surface'!V$26="",-1,1))-'Adjustment Surface'!U$26)+INDEX($AO$27:$BH$46,MATCH(INDEX('Adjustment Surface'!$AN$27:$AN$46,MATCH(('Adjustment Surface'!$O34),'Adjustment Surface'!$AN$27:$AN$46,1)),$AN$27:$AN$46,0),MATCH(INDEX('Adjustment Surface'!$AO$26:$BH$26,1,MATCH(('Adjustment Surface'!U$26),'Adjustment Surface'!$AO$26:$BH$26,1)+IF('Adjustment Surface'!V$26="",-1,1)),$AO$26:$BH$26,0))*(INDEX('Adjustment Surface'!$AN$27:$AN$46,MATCH(('Adjustment Surface'!$O34),'Adjustment Surface'!$AN$27:$AN$46,1)+IF('Adjustment Surface'!$O35="",-1,1))-'Adjustment Surface'!$O34)*('Adjustment Surface'!U$26-INDEX('Adjustment Surface'!$AO$26:$BH$26,1,MATCH(('Adjustment Surface'!U$26),'Adjustment Surface'!$AO$26:$BH$26,1)))+INDEX($AO$27:$BH$46,MATCH(INDEX('Adjustment Surface'!$AN$27:$AN$46,MATCH(('Adjustment Surface'!$O34),'Adjustment Surface'!$AN$27:$AN$46,1)+IF('Adjustment Surface'!$O35="",-1,1)),$AN$27:$AN$46,0),MATCH(INDEX('Adjustment Surface'!$AO$26:$BH$26,1,MATCH(('Adjustment Surface'!U$26),'Adjustment Surface'!$AO$26:$BH$26,1)+IF('Adjustment Surface'!V$26="",-1,1)),$AO$26:$BH$26,0))*('Adjustment Surface'!$O34-INDEX('Adjustment Surface'!$AN$27:$AN$46,MATCH(('Adjustment Surface'!$O34),'Adjustment Surface'!$AN$27:$AN$46,1)))*('Adjustment Surface'!U$26-INDEX('Adjustment Surface'!$AO$26:$BH$26,1,MATCH(('Adjustment Surface'!U$26),'Adjustment Surface'!$AO$26:$BH$26,1)))))</f>
        <v>1.4637784517558476</v>
      </c>
      <c r="V34" s="193" cm="1">
        <f t="array" ref="V34">IF(OR(V$26="",$O34=""),"",1/((INDEX('Adjustment Surface'!$AN$27:$AN$46,MATCH(('Adjustment Surface'!$O34),'Adjustment Surface'!$AN$27:$AN$46,1)+IF('Adjustment Surface'!$O35="",-1,1))-INDEX('Adjustment Surface'!$AN$27:$AN$46,MATCH(('Adjustment Surface'!$O34),'Adjustment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Surface'!$O34),'Adjustment Surface'!$AN$27:$AN$46,1)),$AN$27:$AN$46,0),MATCH(INDEX('Adjustment Surface'!$AO$26:$BH$26,1,MATCH(('Adjustment Surface'!V$26),'Adjustment Surface'!$AO$26:$BH$26,1)),$AO$26:$BH$26,0))*(INDEX('Adjustment Surface'!$AN$27:$AN$46,MATCH(('Adjustment Surface'!$O34),'Adjustment Surface'!$AN$27:$AN$46,1)+IF('Adjustment Surface'!$O35="",-1,1))-'Adjustment Surface'!$O34)*(INDEX('Adjustment Surface'!$AO$26:$BH$26,1,MATCH(('Adjustment Surface'!V$26),'Adjustment Surface'!$AO$26:$BH$26,1)+IF('Adjustment Surface'!W$26="",-1,1))-'Adjustment Surface'!V$26)+INDEX($AO$27:$BH$46,MATCH(INDEX('Adjustment Surface'!$AN$27:$AN$46,MATCH(('Adjustment Surface'!$O34),'Adjustment Surface'!$AN$27:$AN$46,1)+IF('Adjustment Surface'!$O35="",-1,1)),$AN$27:$AN$46,0),MATCH(INDEX('Adjustment Surface'!$AO$26:$BH$26,1,MATCH(('Adjustment Surface'!V$26),'Adjustment Surface'!$AO$26:$BH$26,1)),$AO$26:$BH$26,0))*('Adjustment Surface'!$O34-INDEX('Adjustment Surface'!$AN$27:$AN$46,MATCH(('Adjustment Surface'!$O34),'Adjustment Surface'!$AN$27:$AN$46,1)))*(INDEX('Adjustment Surface'!$AO$26:$BH$26,1,MATCH(('Adjustment Surface'!V$26),'Adjustment Surface'!$AO$26:$BH$26,1)+IF('Adjustment Surface'!W$26="",-1,1))-'Adjustment Surface'!V$26)+INDEX($AO$27:$BH$46,MATCH(INDEX('Adjustment Surface'!$AN$27:$AN$46,MATCH(('Adjustment Surface'!$O34),'Adjustment Surface'!$AN$27:$AN$46,1)),$AN$27:$AN$46,0),MATCH(INDEX('Adjustment Surface'!$AO$26:$BH$26,1,MATCH(('Adjustment Surface'!V$26),'Adjustment Surface'!$AO$26:$BH$26,1)+IF('Adjustment Surface'!W$26="",-1,1)),$AO$26:$BH$26,0))*(INDEX('Adjustment Surface'!$AN$27:$AN$46,MATCH(('Adjustment Surface'!$O34),'Adjustment Surface'!$AN$27:$AN$46,1)+IF('Adjustment Surface'!$O35="",-1,1))-'Adjustment Surface'!$O34)*('Adjustment Surface'!V$26-INDEX('Adjustment Surface'!$AO$26:$BH$26,1,MATCH(('Adjustment Surface'!V$26),'Adjustment Surface'!$AO$26:$BH$26,1)))+INDEX($AO$27:$BH$46,MATCH(INDEX('Adjustment Surface'!$AN$27:$AN$46,MATCH(('Adjustment Surface'!$O34),'Adjustment Surface'!$AN$27:$AN$46,1)+IF('Adjustment Surface'!$O35="",-1,1)),$AN$27:$AN$46,0),MATCH(INDEX('Adjustment Surface'!$AO$26:$BH$26,1,MATCH(('Adjustment Surface'!V$26),'Adjustment Surface'!$AO$26:$BH$26,1)+IF('Adjustment Surface'!W$26="",-1,1)),$AO$26:$BH$26,0))*('Adjustment Surface'!$O34-INDEX('Adjustment Surface'!$AN$27:$AN$46,MATCH(('Adjustment Surface'!$O34),'Adjustment Surface'!$AN$27:$AN$46,1)))*('Adjustment Surface'!V$26-INDEX('Adjustment Surface'!$AO$26:$BH$26,1,MATCH(('Adjustment Surface'!V$26),'Adjustment Surface'!$AO$26:$BH$26,1)))))</f>
        <v>1.1370201140647298</v>
      </c>
      <c r="W34" s="193" cm="1">
        <f t="array" ref="W34">IF(OR(W$26="",$O34=""),"",1/((INDEX('Adjustment Surface'!$AN$27:$AN$46,MATCH(('Adjustment Surface'!$O34),'Adjustment Surface'!$AN$27:$AN$46,1)+IF('Adjustment Surface'!$O35="",-1,1))-INDEX('Adjustment Surface'!$AN$27:$AN$46,MATCH(('Adjustment Surface'!$O34),'Adjustment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Surface'!$O34),'Adjustment Surface'!$AN$27:$AN$46,1)),$AN$27:$AN$46,0),MATCH(INDEX('Adjustment Surface'!$AO$26:$BH$26,1,MATCH(('Adjustment Surface'!W$26),'Adjustment Surface'!$AO$26:$BH$26,1)),$AO$26:$BH$26,0))*(INDEX('Adjustment Surface'!$AN$27:$AN$46,MATCH(('Adjustment Surface'!$O34),'Adjustment Surface'!$AN$27:$AN$46,1)+IF('Adjustment Surface'!$O35="",-1,1))-'Adjustment Surface'!$O34)*(INDEX('Adjustment Surface'!$AO$26:$BH$26,1,MATCH(('Adjustment Surface'!W$26),'Adjustment Surface'!$AO$26:$BH$26,1)+IF('Adjustment Surface'!X$26="",-1,1))-'Adjustment Surface'!W$26)+INDEX($AO$27:$BH$46,MATCH(INDEX('Adjustment Surface'!$AN$27:$AN$46,MATCH(('Adjustment Surface'!$O34),'Adjustment Surface'!$AN$27:$AN$46,1)+IF('Adjustment Surface'!$O35="",-1,1)),$AN$27:$AN$46,0),MATCH(INDEX('Adjustment Surface'!$AO$26:$BH$26,1,MATCH(('Adjustment Surface'!W$26),'Adjustment Surface'!$AO$26:$BH$26,1)),$AO$26:$BH$26,0))*('Adjustment Surface'!$O34-INDEX('Adjustment Surface'!$AN$27:$AN$46,MATCH(('Adjustment Surface'!$O34),'Adjustment Surface'!$AN$27:$AN$46,1)))*(INDEX('Adjustment Surface'!$AO$26:$BH$26,1,MATCH(('Adjustment Surface'!W$26),'Adjustment Surface'!$AO$26:$BH$26,1)+IF('Adjustment Surface'!X$26="",-1,1))-'Adjustment Surface'!W$26)+INDEX($AO$27:$BH$46,MATCH(INDEX('Adjustment Surface'!$AN$27:$AN$46,MATCH(('Adjustment Surface'!$O34),'Adjustment Surface'!$AN$27:$AN$46,1)),$AN$27:$AN$46,0),MATCH(INDEX('Adjustment Surface'!$AO$26:$BH$26,1,MATCH(('Adjustment Surface'!W$26),'Adjustment Surface'!$AO$26:$BH$26,1)+IF('Adjustment Surface'!X$26="",-1,1)),$AO$26:$BH$26,0))*(INDEX('Adjustment Surface'!$AN$27:$AN$46,MATCH(('Adjustment Surface'!$O34),'Adjustment Surface'!$AN$27:$AN$46,1)+IF('Adjustment Surface'!$O35="",-1,1))-'Adjustment Surface'!$O34)*('Adjustment Surface'!W$26-INDEX('Adjustment Surface'!$AO$26:$BH$26,1,MATCH(('Adjustment Surface'!W$26),'Adjustment Surface'!$AO$26:$BH$26,1)))+INDEX($AO$27:$BH$46,MATCH(INDEX('Adjustment Surface'!$AN$27:$AN$46,MATCH(('Adjustment Surface'!$O34),'Adjustment Surface'!$AN$27:$AN$46,1)+IF('Adjustment Surface'!$O35="",-1,1)),$AN$27:$AN$46,0),MATCH(INDEX('Adjustment Surface'!$AO$26:$BH$26,1,MATCH(('Adjustment Surface'!W$26),'Adjustment Surface'!$AO$26:$BH$26,1)+IF('Adjustment Surface'!X$26="",-1,1)),$AO$26:$BH$26,0))*('Adjustment Surface'!$O34-INDEX('Adjustment Surface'!$AN$27:$AN$46,MATCH(('Adjustment Surface'!$O34),'Adjustment Surface'!$AN$27:$AN$46,1)))*('Adjustment Surface'!W$26-INDEX('Adjustment Surface'!$AO$26:$BH$26,1,MATCH(('Adjustment Surface'!W$26),'Adjustment Surface'!$AO$26:$BH$26,1)))))</f>
        <v>0.81026177637361163</v>
      </c>
      <c r="X34" s="193" cm="1">
        <f t="array" ref="X34">IF(OR(X$26="",$O34=""),"",1/((INDEX('Adjustment Surface'!$AN$27:$AN$46,MATCH(('Adjustment Surface'!$O34),'Adjustment Surface'!$AN$27:$AN$46,1)+IF('Adjustment Surface'!$O35="",-1,1))-INDEX('Adjustment Surface'!$AN$27:$AN$46,MATCH(('Adjustment Surface'!$O34),'Adjustment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Surface'!$O34),'Adjustment Surface'!$AN$27:$AN$46,1)),$AN$27:$AN$46,0),MATCH(INDEX('Adjustment Surface'!$AO$26:$BH$26,1,MATCH(('Adjustment Surface'!X$26),'Adjustment Surface'!$AO$26:$BH$26,1)),$AO$26:$BH$26,0))*(INDEX('Adjustment Surface'!$AN$27:$AN$46,MATCH(('Adjustment Surface'!$O34),'Adjustment Surface'!$AN$27:$AN$46,1)+IF('Adjustment Surface'!$O35="",-1,1))-'Adjustment Surface'!$O34)*(INDEX('Adjustment Surface'!$AO$26:$BH$26,1,MATCH(('Adjustment Surface'!X$26),'Adjustment Surface'!$AO$26:$BH$26,1)+IF('Adjustment Surface'!Y$26="",-1,1))-'Adjustment Surface'!X$26)+INDEX($AO$27:$BH$46,MATCH(INDEX('Adjustment Surface'!$AN$27:$AN$46,MATCH(('Adjustment Surface'!$O34),'Adjustment Surface'!$AN$27:$AN$46,1)+IF('Adjustment Surface'!$O35="",-1,1)),$AN$27:$AN$46,0),MATCH(INDEX('Adjustment Surface'!$AO$26:$BH$26,1,MATCH(('Adjustment Surface'!X$26),'Adjustment Surface'!$AO$26:$BH$26,1)),$AO$26:$BH$26,0))*('Adjustment Surface'!$O34-INDEX('Adjustment Surface'!$AN$27:$AN$46,MATCH(('Adjustment Surface'!$O34),'Adjustment Surface'!$AN$27:$AN$46,1)))*(INDEX('Adjustment Surface'!$AO$26:$BH$26,1,MATCH(('Adjustment Surface'!X$26),'Adjustment Surface'!$AO$26:$BH$26,1)+IF('Adjustment Surface'!Y$26="",-1,1))-'Adjustment Surface'!X$26)+INDEX($AO$27:$BH$46,MATCH(INDEX('Adjustment Surface'!$AN$27:$AN$46,MATCH(('Adjustment Surface'!$O34),'Adjustment Surface'!$AN$27:$AN$46,1)),$AN$27:$AN$46,0),MATCH(INDEX('Adjustment Surface'!$AO$26:$BH$26,1,MATCH(('Adjustment Surface'!X$26),'Adjustment Surface'!$AO$26:$BH$26,1)+IF('Adjustment Surface'!Y$26="",-1,1)),$AO$26:$BH$26,0))*(INDEX('Adjustment Surface'!$AN$27:$AN$46,MATCH(('Adjustment Surface'!$O34),'Adjustment Surface'!$AN$27:$AN$46,1)+IF('Adjustment Surface'!$O35="",-1,1))-'Adjustment Surface'!$O34)*('Adjustment Surface'!X$26-INDEX('Adjustment Surface'!$AO$26:$BH$26,1,MATCH(('Adjustment Surface'!X$26),'Adjustment Surface'!$AO$26:$BH$26,1)))+INDEX($AO$27:$BH$46,MATCH(INDEX('Adjustment Surface'!$AN$27:$AN$46,MATCH(('Adjustment Surface'!$O34),'Adjustment Surface'!$AN$27:$AN$46,1)+IF('Adjustment Surface'!$O35="",-1,1)),$AN$27:$AN$46,0),MATCH(INDEX('Adjustment Surface'!$AO$26:$BH$26,1,MATCH(('Adjustment Surface'!X$26),'Adjustment Surface'!$AO$26:$BH$26,1)+IF('Adjustment Surface'!Y$26="",-1,1)),$AO$26:$BH$26,0))*('Adjustment Surface'!$O34-INDEX('Adjustment Surface'!$AN$27:$AN$46,MATCH(('Adjustment Surface'!$O34),'Adjustment Surface'!$AN$27:$AN$46,1)))*('Adjustment Surface'!X$26-INDEX('Adjustment Surface'!$AO$26:$BH$26,1,MATCH(('Adjustment Surface'!X$26),'Adjustment Surface'!$AO$26:$BH$26,1)))))</f>
        <v>0.48350343868249385</v>
      </c>
      <c r="Y34" s="193" t="str" cm="1">
        <f t="array" ref="Y34">IF(OR(Y$26="",$O34=""),"",1/((INDEX('Adjustment Surface'!$AN$27:$AN$46,MATCH(('Adjustment Surface'!$O34),'Adjustment Surface'!$AN$27:$AN$46,1)+IF('Adjustment Surface'!$O35="",-1,1))-INDEX('Adjustment Surface'!$AN$27:$AN$46,MATCH(('Adjustment Surface'!$O34),'Adjustment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Surface'!$O34),'Adjustment Surface'!$AN$27:$AN$46,1)),$AN$27:$AN$46,0),MATCH(INDEX('Adjustment Surface'!$AO$26:$BH$26,1,MATCH(('Adjustment Surface'!Y$26),'Adjustment Surface'!$AO$26:$BH$26,1)),$AO$26:$BH$26,0))*(INDEX('Adjustment Surface'!$AN$27:$AN$46,MATCH(('Adjustment Surface'!$O34),'Adjustment Surface'!$AN$27:$AN$46,1)+IF('Adjustment Surface'!$O35="",-1,1))-'Adjustment Surface'!$O34)*(INDEX('Adjustment Surface'!$AO$26:$BH$26,1,MATCH(('Adjustment Surface'!Y$26),'Adjustment Surface'!$AO$26:$BH$26,1)+IF('Adjustment Surface'!Z$26="",-1,1))-'Adjustment Surface'!Y$26)+INDEX($AO$27:$BH$46,MATCH(INDEX('Adjustment Surface'!$AN$27:$AN$46,MATCH(('Adjustment Surface'!$O34),'Adjustment Surface'!$AN$27:$AN$46,1)+IF('Adjustment Surface'!$O35="",-1,1)),$AN$27:$AN$46,0),MATCH(INDEX('Adjustment Surface'!$AO$26:$BH$26,1,MATCH(('Adjustment Surface'!Y$26),'Adjustment Surface'!$AO$26:$BH$26,1)),$AO$26:$BH$26,0))*('Adjustment Surface'!$O34-INDEX('Adjustment Surface'!$AN$27:$AN$46,MATCH(('Adjustment Surface'!$O34),'Adjustment Surface'!$AN$27:$AN$46,1)))*(INDEX('Adjustment Surface'!$AO$26:$BH$26,1,MATCH(('Adjustment Surface'!Y$26),'Adjustment Surface'!$AO$26:$BH$26,1)+IF('Adjustment Surface'!Z$26="",-1,1))-'Adjustment Surface'!Y$26)+INDEX($AO$27:$BH$46,MATCH(INDEX('Adjustment Surface'!$AN$27:$AN$46,MATCH(('Adjustment Surface'!$O34),'Adjustment Surface'!$AN$27:$AN$46,1)),$AN$27:$AN$46,0),MATCH(INDEX('Adjustment Surface'!$AO$26:$BH$26,1,MATCH(('Adjustment Surface'!Y$26),'Adjustment Surface'!$AO$26:$BH$26,1)+IF('Adjustment Surface'!Z$26="",-1,1)),$AO$26:$BH$26,0))*(INDEX('Adjustment Surface'!$AN$27:$AN$46,MATCH(('Adjustment Surface'!$O34),'Adjustment Surface'!$AN$27:$AN$46,1)+IF('Adjustment Surface'!$O35="",-1,1))-'Adjustment Surface'!$O34)*('Adjustment Surface'!Y$26-INDEX('Adjustment Surface'!$AO$26:$BH$26,1,MATCH(('Adjustment Surface'!Y$26),'Adjustment Surface'!$AO$26:$BH$26,1)))+INDEX($AO$27:$BH$46,MATCH(INDEX('Adjustment Surface'!$AN$27:$AN$46,MATCH(('Adjustment Surface'!$O34),'Adjustment Surface'!$AN$27:$AN$46,1)+IF('Adjustment Surface'!$O35="",-1,1)),$AN$27:$AN$46,0),MATCH(INDEX('Adjustment Surface'!$AO$26:$BH$26,1,MATCH(('Adjustment Surface'!Y$26),'Adjustment Surface'!$AO$26:$BH$26,1)+IF('Adjustment Surface'!Z$26="",-1,1)),$AO$26:$BH$26,0))*('Adjustment Surface'!$O34-INDEX('Adjustment Surface'!$AN$27:$AN$46,MATCH(('Adjustment Surface'!$O34),'Adjustment Surface'!$AN$27:$AN$46,1)))*('Adjustment Surface'!Y$26-INDEX('Adjustment Surface'!$AO$26:$BH$26,1,MATCH(('Adjustment Surface'!Y$26),'Adjustment Surface'!$AO$26:$BH$26,1)))))</f>
        <v/>
      </c>
      <c r="Z34" s="193" t="str" cm="1">
        <f t="array" ref="Z34">IF(OR(Z$26="",$O34=""),"",1/((INDEX('Adjustment Surface'!$AN$27:$AN$46,MATCH(('Adjustment Surface'!$O34),'Adjustment Surface'!$AN$27:$AN$46,1)+IF('Adjustment Surface'!$O35="",-1,1))-INDEX('Adjustment Surface'!$AN$27:$AN$46,MATCH(('Adjustment Surface'!$O34),'Adjustment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Surface'!$O34),'Adjustment Surface'!$AN$27:$AN$46,1)),$AN$27:$AN$46,0),MATCH(INDEX('Adjustment Surface'!$AO$26:$BH$26,1,MATCH(('Adjustment Surface'!Z$26),'Adjustment Surface'!$AO$26:$BH$26,1)),$AO$26:$BH$26,0))*(INDEX('Adjustment Surface'!$AN$27:$AN$46,MATCH(('Adjustment Surface'!$O34),'Adjustment Surface'!$AN$27:$AN$46,1)+IF('Adjustment Surface'!$O35="",-1,1))-'Adjustment Surface'!$O34)*(INDEX('Adjustment Surface'!$AO$26:$BH$26,1,MATCH(('Adjustment Surface'!Z$26),'Adjustment Surface'!$AO$26:$BH$26,1)+IF('Adjustment Surface'!AA$26="",-1,1))-'Adjustment Surface'!Z$26)+INDEX($AO$27:$BH$46,MATCH(INDEX('Adjustment Surface'!$AN$27:$AN$46,MATCH(('Adjustment Surface'!$O34),'Adjustment Surface'!$AN$27:$AN$46,1)+IF('Adjustment Surface'!$O35="",-1,1)),$AN$27:$AN$46,0),MATCH(INDEX('Adjustment Surface'!$AO$26:$BH$26,1,MATCH(('Adjustment Surface'!Z$26),'Adjustment Surface'!$AO$26:$BH$26,1)),$AO$26:$BH$26,0))*('Adjustment Surface'!$O34-INDEX('Adjustment Surface'!$AN$27:$AN$46,MATCH(('Adjustment Surface'!$O34),'Adjustment Surface'!$AN$27:$AN$46,1)))*(INDEX('Adjustment Surface'!$AO$26:$BH$26,1,MATCH(('Adjustment Surface'!Z$26),'Adjustment Surface'!$AO$26:$BH$26,1)+IF('Adjustment Surface'!AA$26="",-1,1))-'Adjustment Surface'!Z$26)+INDEX($AO$27:$BH$46,MATCH(INDEX('Adjustment Surface'!$AN$27:$AN$46,MATCH(('Adjustment Surface'!$O34),'Adjustment Surface'!$AN$27:$AN$46,1)),$AN$27:$AN$46,0),MATCH(INDEX('Adjustment Surface'!$AO$26:$BH$26,1,MATCH(('Adjustment Surface'!Z$26),'Adjustment Surface'!$AO$26:$BH$26,1)+IF('Adjustment Surface'!AA$26="",-1,1)),$AO$26:$BH$26,0))*(INDEX('Adjustment Surface'!$AN$27:$AN$46,MATCH(('Adjustment Surface'!$O34),'Adjustment Surface'!$AN$27:$AN$46,1)+IF('Adjustment Surface'!$O35="",-1,1))-'Adjustment Surface'!$O34)*('Adjustment Surface'!Z$26-INDEX('Adjustment Surface'!$AO$26:$BH$26,1,MATCH(('Adjustment Surface'!Z$26),'Adjustment Surface'!$AO$26:$BH$26,1)))+INDEX($AO$27:$BH$46,MATCH(INDEX('Adjustment Surface'!$AN$27:$AN$46,MATCH(('Adjustment Surface'!$O34),'Adjustment Surface'!$AN$27:$AN$46,1)+IF('Adjustment Surface'!$O35="",-1,1)),$AN$27:$AN$46,0),MATCH(INDEX('Adjustment Surface'!$AO$26:$BH$26,1,MATCH(('Adjustment Surface'!Z$26),'Adjustment Surface'!$AO$26:$BH$26,1)+IF('Adjustment Surface'!AA$26="",-1,1)),$AO$26:$BH$26,0))*('Adjustment Surface'!$O34-INDEX('Adjustment Surface'!$AN$27:$AN$46,MATCH(('Adjustment Surface'!$O34),'Adjustment Surface'!$AN$27:$AN$46,1)))*('Adjustment Surface'!Z$26-INDEX('Adjustment Surface'!$AO$26:$BH$26,1,MATCH(('Adjustment Surface'!Z$26),'Adjustment Surface'!$AO$26:$BH$26,1)))))</f>
        <v/>
      </c>
      <c r="AA34" s="193" t="str" cm="1">
        <f t="array" ref="AA34">IF(OR(AA$26="",$O34=""),"",1/((INDEX('Adjustment Surface'!$AN$27:$AN$46,MATCH(('Adjustment Surface'!$O34),'Adjustment Surface'!$AN$27:$AN$46,1)+IF('Adjustment Surface'!$O35="",-1,1))-INDEX('Adjustment Surface'!$AN$27:$AN$46,MATCH(('Adjustment Surface'!$O34),'Adjustment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Surface'!$O34),'Adjustment Surface'!$AN$27:$AN$46,1)),$AN$27:$AN$46,0),MATCH(INDEX('Adjustment Surface'!$AO$26:$BH$26,1,MATCH(('Adjustment Surface'!AA$26),'Adjustment Surface'!$AO$26:$BH$26,1)),$AO$26:$BH$26,0))*(INDEX('Adjustment Surface'!$AN$27:$AN$46,MATCH(('Adjustment Surface'!$O34),'Adjustment Surface'!$AN$27:$AN$46,1)+IF('Adjustment Surface'!$O35="",-1,1))-'Adjustment Surface'!$O34)*(INDEX('Adjustment Surface'!$AO$26:$BH$26,1,MATCH(('Adjustment Surface'!AA$26),'Adjustment Surface'!$AO$26:$BH$26,1)+IF('Adjustment Surface'!AB$26="",-1,1))-'Adjustment Surface'!AA$26)+INDEX($AO$27:$BH$46,MATCH(INDEX('Adjustment Surface'!$AN$27:$AN$46,MATCH(('Adjustment Surface'!$O34),'Adjustment Surface'!$AN$27:$AN$46,1)+IF('Adjustment Surface'!$O35="",-1,1)),$AN$27:$AN$46,0),MATCH(INDEX('Adjustment Surface'!$AO$26:$BH$26,1,MATCH(('Adjustment Surface'!AA$26),'Adjustment Surface'!$AO$26:$BH$26,1)),$AO$26:$BH$26,0))*('Adjustment Surface'!$O34-INDEX('Adjustment Surface'!$AN$27:$AN$46,MATCH(('Adjustment Surface'!$O34),'Adjustment Surface'!$AN$27:$AN$46,1)))*(INDEX('Adjustment Surface'!$AO$26:$BH$26,1,MATCH(('Adjustment Surface'!AA$26),'Adjustment Surface'!$AO$26:$BH$26,1)+IF('Adjustment Surface'!AB$26="",-1,1))-'Adjustment Surface'!AA$26)+INDEX($AO$27:$BH$46,MATCH(INDEX('Adjustment Surface'!$AN$27:$AN$46,MATCH(('Adjustment Surface'!$O34),'Adjustment Surface'!$AN$27:$AN$46,1)),$AN$27:$AN$46,0),MATCH(INDEX('Adjustment Surface'!$AO$26:$BH$26,1,MATCH(('Adjustment Surface'!AA$26),'Adjustment Surface'!$AO$26:$BH$26,1)+IF('Adjustment Surface'!AB$26="",-1,1)),$AO$26:$BH$26,0))*(INDEX('Adjustment Surface'!$AN$27:$AN$46,MATCH(('Adjustment Surface'!$O34),'Adjustment Surface'!$AN$27:$AN$46,1)+IF('Adjustment Surface'!$O35="",-1,1))-'Adjustment Surface'!$O34)*('Adjustment Surface'!AA$26-INDEX('Adjustment Surface'!$AO$26:$BH$26,1,MATCH(('Adjustment Surface'!AA$26),'Adjustment Surface'!$AO$26:$BH$26,1)))+INDEX($AO$27:$BH$46,MATCH(INDEX('Adjustment Surface'!$AN$27:$AN$46,MATCH(('Adjustment Surface'!$O34),'Adjustment Surface'!$AN$27:$AN$46,1)+IF('Adjustment Surface'!$O35="",-1,1)),$AN$27:$AN$46,0),MATCH(INDEX('Adjustment Surface'!$AO$26:$BH$26,1,MATCH(('Adjustment Surface'!AA$26),'Adjustment Surface'!$AO$26:$BH$26,1)+IF('Adjustment Surface'!AB$26="",-1,1)),$AO$26:$BH$26,0))*('Adjustment Surface'!$O34-INDEX('Adjustment Surface'!$AN$27:$AN$46,MATCH(('Adjustment Surface'!$O34),'Adjustment Surface'!$AN$27:$AN$46,1)))*('Adjustment Surface'!AA$26-INDEX('Adjustment Surface'!$AO$26:$BH$26,1,MATCH(('Adjustment Surface'!AA$26),'Adjustment Surface'!$AO$26:$BH$26,1)))))</f>
        <v/>
      </c>
      <c r="AB34" s="193" t="str" cm="1">
        <f t="array" ref="AB34">IF(OR(AB$26="",$O34=""),"",1/((INDEX('Adjustment Surface'!$AN$27:$AN$46,MATCH(('Adjustment Surface'!$O34),'Adjustment Surface'!$AN$27:$AN$46,1)+IF('Adjustment Surface'!$O35="",-1,1))-INDEX('Adjustment Surface'!$AN$27:$AN$46,MATCH(('Adjustment Surface'!$O34),'Adjustment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Surface'!$O34),'Adjustment Surface'!$AN$27:$AN$46,1)),$AN$27:$AN$46,0),MATCH(INDEX('Adjustment Surface'!$AO$26:$BH$26,1,MATCH(('Adjustment Surface'!AB$26),'Adjustment Surface'!$AO$26:$BH$26,1)),$AO$26:$BH$26,0))*(INDEX('Adjustment Surface'!$AN$27:$AN$46,MATCH(('Adjustment Surface'!$O34),'Adjustment Surface'!$AN$27:$AN$46,1)+IF('Adjustment Surface'!$O35="",-1,1))-'Adjustment Surface'!$O34)*(INDEX('Adjustment Surface'!$AO$26:$BH$26,1,MATCH(('Adjustment Surface'!AB$26),'Adjustment Surface'!$AO$26:$BH$26,1)+IF('Adjustment Surface'!AC$26="",-1,1))-'Adjustment Surface'!AB$26)+INDEX($AO$27:$BH$46,MATCH(INDEX('Adjustment Surface'!$AN$27:$AN$46,MATCH(('Adjustment Surface'!$O34),'Adjustment Surface'!$AN$27:$AN$46,1)+IF('Adjustment Surface'!$O35="",-1,1)),$AN$27:$AN$46,0),MATCH(INDEX('Adjustment Surface'!$AO$26:$BH$26,1,MATCH(('Adjustment Surface'!AB$26),'Adjustment Surface'!$AO$26:$BH$26,1)),$AO$26:$BH$26,0))*('Adjustment Surface'!$O34-INDEX('Adjustment Surface'!$AN$27:$AN$46,MATCH(('Adjustment Surface'!$O34),'Adjustment Surface'!$AN$27:$AN$46,1)))*(INDEX('Adjustment Surface'!$AO$26:$BH$26,1,MATCH(('Adjustment Surface'!AB$26),'Adjustment Surface'!$AO$26:$BH$26,1)+IF('Adjustment Surface'!AC$26="",-1,1))-'Adjustment Surface'!AB$26)+INDEX($AO$27:$BH$46,MATCH(INDEX('Adjustment Surface'!$AN$27:$AN$46,MATCH(('Adjustment Surface'!$O34),'Adjustment Surface'!$AN$27:$AN$46,1)),$AN$27:$AN$46,0),MATCH(INDEX('Adjustment Surface'!$AO$26:$BH$26,1,MATCH(('Adjustment Surface'!AB$26),'Adjustment Surface'!$AO$26:$BH$26,1)+IF('Adjustment Surface'!AC$26="",-1,1)),$AO$26:$BH$26,0))*(INDEX('Adjustment Surface'!$AN$27:$AN$46,MATCH(('Adjustment Surface'!$O34),'Adjustment Surface'!$AN$27:$AN$46,1)+IF('Adjustment Surface'!$O35="",-1,1))-'Adjustment Surface'!$O34)*('Adjustment Surface'!AB$26-INDEX('Adjustment Surface'!$AO$26:$BH$26,1,MATCH(('Adjustment Surface'!AB$26),'Adjustment Surface'!$AO$26:$BH$26,1)))+INDEX($AO$27:$BH$46,MATCH(INDEX('Adjustment Surface'!$AN$27:$AN$46,MATCH(('Adjustment Surface'!$O34),'Adjustment Surface'!$AN$27:$AN$46,1)+IF('Adjustment Surface'!$O35="",-1,1)),$AN$27:$AN$46,0),MATCH(INDEX('Adjustment Surface'!$AO$26:$BH$26,1,MATCH(('Adjustment Surface'!AB$26),'Adjustment Surface'!$AO$26:$BH$26,1)+IF('Adjustment Surface'!AC$26="",-1,1)),$AO$26:$BH$26,0))*('Adjustment Surface'!$O34-INDEX('Adjustment Surface'!$AN$27:$AN$46,MATCH(('Adjustment Surface'!$O34),'Adjustment Surface'!$AN$27:$AN$46,1)))*('Adjustment Surface'!AB$26-INDEX('Adjustment Surface'!$AO$26:$BH$26,1,MATCH(('Adjustment Surface'!AB$26),'Adjustment Surface'!$AO$26:$BH$26,1)))))</f>
        <v/>
      </c>
      <c r="AC34" s="193" t="str" cm="1">
        <f t="array" ref="AC34">IF(OR(AC$26="",$O34=""),"",1/((INDEX('Adjustment Surface'!$AN$27:$AN$46,MATCH(('Adjustment Surface'!$O34),'Adjustment Surface'!$AN$27:$AN$46,1)+IF('Adjustment Surface'!$O35="",-1,1))-INDEX('Adjustment Surface'!$AN$27:$AN$46,MATCH(('Adjustment Surface'!$O34),'Adjustment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Surface'!$O34),'Adjustment Surface'!$AN$27:$AN$46,1)),$AN$27:$AN$46,0),MATCH(INDEX('Adjustment Surface'!$AO$26:$BH$26,1,MATCH(('Adjustment Surface'!AC$26),'Adjustment Surface'!$AO$26:$BH$26,1)),$AO$26:$BH$26,0))*(INDEX('Adjustment Surface'!$AN$27:$AN$46,MATCH(('Adjustment Surface'!$O34),'Adjustment Surface'!$AN$27:$AN$46,1)+IF('Adjustment Surface'!$O35="",-1,1))-'Adjustment Surface'!$O34)*(INDEX('Adjustment Surface'!$AO$26:$BH$26,1,MATCH(('Adjustment Surface'!AC$26),'Adjustment Surface'!$AO$26:$BH$26,1)+IF('Adjustment Surface'!AD$26="",-1,1))-'Adjustment Surface'!AC$26)+INDEX($AO$27:$BH$46,MATCH(INDEX('Adjustment Surface'!$AN$27:$AN$46,MATCH(('Adjustment Surface'!$O34),'Adjustment Surface'!$AN$27:$AN$46,1)+IF('Adjustment Surface'!$O35="",-1,1)),$AN$27:$AN$46,0),MATCH(INDEX('Adjustment Surface'!$AO$26:$BH$26,1,MATCH(('Adjustment Surface'!AC$26),'Adjustment Surface'!$AO$26:$BH$26,1)),$AO$26:$BH$26,0))*('Adjustment Surface'!$O34-INDEX('Adjustment Surface'!$AN$27:$AN$46,MATCH(('Adjustment Surface'!$O34),'Adjustment Surface'!$AN$27:$AN$46,1)))*(INDEX('Adjustment Surface'!$AO$26:$BH$26,1,MATCH(('Adjustment Surface'!AC$26),'Adjustment Surface'!$AO$26:$BH$26,1)+IF('Adjustment Surface'!AD$26="",-1,1))-'Adjustment Surface'!AC$26)+INDEX($AO$27:$BH$46,MATCH(INDEX('Adjustment Surface'!$AN$27:$AN$46,MATCH(('Adjustment Surface'!$O34),'Adjustment Surface'!$AN$27:$AN$46,1)),$AN$27:$AN$46,0),MATCH(INDEX('Adjustment Surface'!$AO$26:$BH$26,1,MATCH(('Adjustment Surface'!AC$26),'Adjustment Surface'!$AO$26:$BH$26,1)+IF('Adjustment Surface'!AD$26="",-1,1)),$AO$26:$BH$26,0))*(INDEX('Adjustment Surface'!$AN$27:$AN$46,MATCH(('Adjustment Surface'!$O34),'Adjustment Surface'!$AN$27:$AN$46,1)+IF('Adjustment Surface'!$O35="",-1,1))-'Adjustment Surface'!$O34)*('Adjustment Surface'!AC$26-INDEX('Adjustment Surface'!$AO$26:$BH$26,1,MATCH(('Adjustment Surface'!AC$26),'Adjustment Surface'!$AO$26:$BH$26,1)))+INDEX($AO$27:$BH$46,MATCH(INDEX('Adjustment Surface'!$AN$27:$AN$46,MATCH(('Adjustment Surface'!$O34),'Adjustment Surface'!$AN$27:$AN$46,1)+IF('Adjustment Surface'!$O35="",-1,1)),$AN$27:$AN$46,0),MATCH(INDEX('Adjustment Surface'!$AO$26:$BH$26,1,MATCH(('Adjustment Surface'!AC$26),'Adjustment Surface'!$AO$26:$BH$26,1)+IF('Adjustment Surface'!AD$26="",-1,1)),$AO$26:$BH$26,0))*('Adjustment Surface'!$O34-INDEX('Adjustment Surface'!$AN$27:$AN$46,MATCH(('Adjustment Surface'!$O34),'Adjustment Surface'!$AN$27:$AN$46,1)))*('Adjustment Surface'!AC$26-INDEX('Adjustment Surface'!$AO$26:$BH$26,1,MATCH(('Adjustment Surface'!AC$26),'Adjustment Surface'!$AO$26:$BH$26,1)))))</f>
        <v/>
      </c>
      <c r="AD34" s="193" t="str" cm="1">
        <f t="array" ref="AD34">IF(OR(AD$26="",$O34=""),"",1/((INDEX('Adjustment Surface'!$AN$27:$AN$46,MATCH(('Adjustment Surface'!$O34),'Adjustment Surface'!$AN$27:$AN$46,1)+IF('Adjustment Surface'!$O35="",-1,1))-INDEX('Adjustment Surface'!$AN$27:$AN$46,MATCH(('Adjustment Surface'!$O34),'Adjustment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Surface'!$O34),'Adjustment Surface'!$AN$27:$AN$46,1)),$AN$27:$AN$46,0),MATCH(INDEX('Adjustment Surface'!$AO$26:$BH$26,1,MATCH(('Adjustment Surface'!AD$26),'Adjustment Surface'!$AO$26:$BH$26,1)),$AO$26:$BH$26,0))*(INDEX('Adjustment Surface'!$AN$27:$AN$46,MATCH(('Adjustment Surface'!$O34),'Adjustment Surface'!$AN$27:$AN$46,1)+IF('Adjustment Surface'!$O35="",-1,1))-'Adjustment Surface'!$O34)*(INDEX('Adjustment Surface'!$AO$26:$BH$26,1,MATCH(('Adjustment Surface'!AD$26),'Adjustment Surface'!$AO$26:$BH$26,1)+IF('Adjustment Surface'!AE$26="",-1,1))-'Adjustment Surface'!AD$26)+INDEX($AO$27:$BH$46,MATCH(INDEX('Adjustment Surface'!$AN$27:$AN$46,MATCH(('Adjustment Surface'!$O34),'Adjustment Surface'!$AN$27:$AN$46,1)+IF('Adjustment Surface'!$O35="",-1,1)),$AN$27:$AN$46,0),MATCH(INDEX('Adjustment Surface'!$AO$26:$BH$26,1,MATCH(('Adjustment Surface'!AD$26),'Adjustment Surface'!$AO$26:$BH$26,1)),$AO$26:$BH$26,0))*('Adjustment Surface'!$O34-INDEX('Adjustment Surface'!$AN$27:$AN$46,MATCH(('Adjustment Surface'!$O34),'Adjustment Surface'!$AN$27:$AN$46,1)))*(INDEX('Adjustment Surface'!$AO$26:$BH$26,1,MATCH(('Adjustment Surface'!AD$26),'Adjustment Surface'!$AO$26:$BH$26,1)+IF('Adjustment Surface'!AE$26="",-1,1))-'Adjustment Surface'!AD$26)+INDEX($AO$27:$BH$46,MATCH(INDEX('Adjustment Surface'!$AN$27:$AN$46,MATCH(('Adjustment Surface'!$O34),'Adjustment Surface'!$AN$27:$AN$46,1)),$AN$27:$AN$46,0),MATCH(INDEX('Adjustment Surface'!$AO$26:$BH$26,1,MATCH(('Adjustment Surface'!AD$26),'Adjustment Surface'!$AO$26:$BH$26,1)+IF('Adjustment Surface'!AE$26="",-1,1)),$AO$26:$BH$26,0))*(INDEX('Adjustment Surface'!$AN$27:$AN$46,MATCH(('Adjustment Surface'!$O34),'Adjustment Surface'!$AN$27:$AN$46,1)+IF('Adjustment Surface'!$O35="",-1,1))-'Adjustment Surface'!$O34)*('Adjustment Surface'!AD$26-INDEX('Adjustment Surface'!$AO$26:$BH$26,1,MATCH(('Adjustment Surface'!AD$26),'Adjustment Surface'!$AO$26:$BH$26,1)))+INDEX($AO$27:$BH$46,MATCH(INDEX('Adjustment Surface'!$AN$27:$AN$46,MATCH(('Adjustment Surface'!$O34),'Adjustment Surface'!$AN$27:$AN$46,1)+IF('Adjustment Surface'!$O35="",-1,1)),$AN$27:$AN$46,0),MATCH(INDEX('Adjustment Surface'!$AO$26:$BH$26,1,MATCH(('Adjustment Surface'!AD$26),'Adjustment Surface'!$AO$26:$BH$26,1)+IF('Adjustment Surface'!AE$26="",-1,1)),$AO$26:$BH$26,0))*('Adjustment Surface'!$O34-INDEX('Adjustment Surface'!$AN$27:$AN$46,MATCH(('Adjustment Surface'!$O34),'Adjustment Surface'!$AN$27:$AN$46,1)))*('Adjustment Surface'!AD$26-INDEX('Adjustment Surface'!$AO$26:$BH$26,1,MATCH(('Adjustment Surface'!AD$26),'Adjustment Surface'!$AO$26:$BH$26,1)))))</f>
        <v/>
      </c>
      <c r="AE34" s="193" t="str" cm="1">
        <f t="array" ref="AE34">IF(OR(AE$26="",$O34=""),"",1/((INDEX('Adjustment Surface'!$AN$27:$AN$46,MATCH(('Adjustment Surface'!$O34),'Adjustment Surface'!$AN$27:$AN$46,1)+IF('Adjustment Surface'!$O35="",-1,1))-INDEX('Adjustment Surface'!$AN$27:$AN$46,MATCH(('Adjustment Surface'!$O34),'Adjustment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Surface'!$O34),'Adjustment Surface'!$AN$27:$AN$46,1)),$AN$27:$AN$46,0),MATCH(INDEX('Adjustment Surface'!$AO$26:$BH$26,1,MATCH(('Adjustment Surface'!AE$26),'Adjustment Surface'!$AO$26:$BH$26,1)),$AO$26:$BH$26,0))*(INDEX('Adjustment Surface'!$AN$27:$AN$46,MATCH(('Adjustment Surface'!$O34),'Adjustment Surface'!$AN$27:$AN$46,1)+IF('Adjustment Surface'!$O35="",-1,1))-'Adjustment Surface'!$O34)*(INDEX('Adjustment Surface'!$AO$26:$BH$26,1,MATCH(('Adjustment Surface'!AE$26),'Adjustment Surface'!$AO$26:$BH$26,1)+IF('Adjustment Surface'!AF$26="",-1,1))-'Adjustment Surface'!AE$26)+INDEX($AO$27:$BH$46,MATCH(INDEX('Adjustment Surface'!$AN$27:$AN$46,MATCH(('Adjustment Surface'!$O34),'Adjustment Surface'!$AN$27:$AN$46,1)+IF('Adjustment Surface'!$O35="",-1,1)),$AN$27:$AN$46,0),MATCH(INDEX('Adjustment Surface'!$AO$26:$BH$26,1,MATCH(('Adjustment Surface'!AE$26),'Adjustment Surface'!$AO$26:$BH$26,1)),$AO$26:$BH$26,0))*('Adjustment Surface'!$O34-INDEX('Adjustment Surface'!$AN$27:$AN$46,MATCH(('Adjustment Surface'!$O34),'Adjustment Surface'!$AN$27:$AN$46,1)))*(INDEX('Adjustment Surface'!$AO$26:$BH$26,1,MATCH(('Adjustment Surface'!AE$26),'Adjustment Surface'!$AO$26:$BH$26,1)+IF('Adjustment Surface'!AF$26="",-1,1))-'Adjustment Surface'!AE$26)+INDEX($AO$27:$BH$46,MATCH(INDEX('Adjustment Surface'!$AN$27:$AN$46,MATCH(('Adjustment Surface'!$O34),'Adjustment Surface'!$AN$27:$AN$46,1)),$AN$27:$AN$46,0),MATCH(INDEX('Adjustment Surface'!$AO$26:$BH$26,1,MATCH(('Adjustment Surface'!AE$26),'Adjustment Surface'!$AO$26:$BH$26,1)+IF('Adjustment Surface'!AF$26="",-1,1)),$AO$26:$BH$26,0))*(INDEX('Adjustment Surface'!$AN$27:$AN$46,MATCH(('Adjustment Surface'!$O34),'Adjustment Surface'!$AN$27:$AN$46,1)+IF('Adjustment Surface'!$O35="",-1,1))-'Adjustment Surface'!$O34)*('Adjustment Surface'!AE$26-INDEX('Adjustment Surface'!$AO$26:$BH$26,1,MATCH(('Adjustment Surface'!AE$26),'Adjustment Surface'!$AO$26:$BH$26,1)))+INDEX($AO$27:$BH$46,MATCH(INDEX('Adjustment Surface'!$AN$27:$AN$46,MATCH(('Adjustment Surface'!$O34),'Adjustment Surface'!$AN$27:$AN$46,1)+IF('Adjustment Surface'!$O35="",-1,1)),$AN$27:$AN$46,0),MATCH(INDEX('Adjustment Surface'!$AO$26:$BH$26,1,MATCH(('Adjustment Surface'!AE$26),'Adjustment Surface'!$AO$26:$BH$26,1)+IF('Adjustment Surface'!AF$26="",-1,1)),$AO$26:$BH$26,0))*('Adjustment Surface'!$O34-INDEX('Adjustment Surface'!$AN$27:$AN$46,MATCH(('Adjustment Surface'!$O34),'Adjustment Surface'!$AN$27:$AN$46,1)))*('Adjustment Surface'!AE$26-INDEX('Adjustment Surface'!$AO$26:$BH$26,1,MATCH(('Adjustment Surface'!AE$26),'Adjustment Surface'!$AO$26:$BH$26,1)))))</f>
        <v/>
      </c>
      <c r="AF34" s="193" t="str" cm="1">
        <f t="array" ref="AF34">IF(OR(AF$26="",$O34=""),"",1/((INDEX('Adjustment Surface'!$AN$27:$AN$46,MATCH(('Adjustment Surface'!$O34),'Adjustment Surface'!$AN$27:$AN$46,1)+IF('Adjustment Surface'!$O35="",-1,1))-INDEX('Adjustment Surface'!$AN$27:$AN$46,MATCH(('Adjustment Surface'!$O34),'Adjustment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Surface'!$O34),'Adjustment Surface'!$AN$27:$AN$46,1)),$AN$27:$AN$46,0),MATCH(INDEX('Adjustment Surface'!$AO$26:$BH$26,1,MATCH(('Adjustment Surface'!AF$26),'Adjustment Surface'!$AO$26:$BH$26,1)),$AO$26:$BH$26,0))*(INDEX('Adjustment Surface'!$AN$27:$AN$46,MATCH(('Adjustment Surface'!$O34),'Adjustment Surface'!$AN$27:$AN$46,1)+IF('Adjustment Surface'!$O35="",-1,1))-'Adjustment Surface'!$O34)*(INDEX('Adjustment Surface'!$AO$26:$BH$26,1,MATCH(('Adjustment Surface'!AF$26),'Adjustment Surface'!$AO$26:$BH$26,1)+IF('Adjustment Surface'!AG$26="",-1,1))-'Adjustment Surface'!AF$26)+INDEX($AO$27:$BH$46,MATCH(INDEX('Adjustment Surface'!$AN$27:$AN$46,MATCH(('Adjustment Surface'!$O34),'Adjustment Surface'!$AN$27:$AN$46,1)+IF('Adjustment Surface'!$O35="",-1,1)),$AN$27:$AN$46,0),MATCH(INDEX('Adjustment Surface'!$AO$26:$BH$26,1,MATCH(('Adjustment Surface'!AF$26),'Adjustment Surface'!$AO$26:$BH$26,1)),$AO$26:$BH$26,0))*('Adjustment Surface'!$O34-INDEX('Adjustment Surface'!$AN$27:$AN$46,MATCH(('Adjustment Surface'!$O34),'Adjustment Surface'!$AN$27:$AN$46,1)))*(INDEX('Adjustment Surface'!$AO$26:$BH$26,1,MATCH(('Adjustment Surface'!AF$26),'Adjustment Surface'!$AO$26:$BH$26,1)+IF('Adjustment Surface'!AG$26="",-1,1))-'Adjustment Surface'!AF$26)+INDEX($AO$27:$BH$46,MATCH(INDEX('Adjustment Surface'!$AN$27:$AN$46,MATCH(('Adjustment Surface'!$O34),'Adjustment Surface'!$AN$27:$AN$46,1)),$AN$27:$AN$46,0),MATCH(INDEX('Adjustment Surface'!$AO$26:$BH$26,1,MATCH(('Adjustment Surface'!AF$26),'Adjustment Surface'!$AO$26:$BH$26,1)+IF('Adjustment Surface'!AG$26="",-1,1)),$AO$26:$BH$26,0))*(INDEX('Adjustment Surface'!$AN$27:$AN$46,MATCH(('Adjustment Surface'!$O34),'Adjustment Surface'!$AN$27:$AN$46,1)+IF('Adjustment Surface'!$O35="",-1,1))-'Adjustment Surface'!$O34)*('Adjustment Surface'!AF$26-INDEX('Adjustment Surface'!$AO$26:$BH$26,1,MATCH(('Adjustment Surface'!AF$26),'Adjustment Surface'!$AO$26:$BH$26,1)))+INDEX($AO$27:$BH$46,MATCH(INDEX('Adjustment Surface'!$AN$27:$AN$46,MATCH(('Adjustment Surface'!$O34),'Adjustment Surface'!$AN$27:$AN$46,1)+IF('Adjustment Surface'!$O35="",-1,1)),$AN$27:$AN$46,0),MATCH(INDEX('Adjustment Surface'!$AO$26:$BH$26,1,MATCH(('Adjustment Surface'!AF$26),'Adjustment Surface'!$AO$26:$BH$26,1)+IF('Adjustment Surface'!AG$26="",-1,1)),$AO$26:$BH$26,0))*('Adjustment Surface'!$O34-INDEX('Adjustment Surface'!$AN$27:$AN$46,MATCH(('Adjustment Surface'!$O34),'Adjustment Surface'!$AN$27:$AN$46,1)))*('Adjustment Surface'!AF$26-INDEX('Adjustment Surface'!$AO$26:$BH$26,1,MATCH(('Adjustment Surface'!AF$26),'Adjustment Surface'!$AO$26:$BH$26,1)))))</f>
        <v/>
      </c>
      <c r="AG34" s="193" t="str" cm="1">
        <f t="array" ref="AG34">IF(OR(AG$26="",$O34=""),"",1/((INDEX('Adjustment Surface'!$AN$27:$AN$46,MATCH(('Adjustment Surface'!$O34),'Adjustment Surface'!$AN$27:$AN$46,1)+IF('Adjustment Surface'!$O35="",-1,1))-INDEX('Adjustment Surface'!$AN$27:$AN$46,MATCH(('Adjustment Surface'!$O34),'Adjustment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Surface'!$O34),'Adjustment Surface'!$AN$27:$AN$46,1)),$AN$27:$AN$46,0),MATCH(INDEX('Adjustment Surface'!$AO$26:$BH$26,1,MATCH(('Adjustment Surface'!AG$26),'Adjustment Surface'!$AO$26:$BH$26,1)),$AO$26:$BH$26,0))*(INDEX('Adjustment Surface'!$AN$27:$AN$46,MATCH(('Adjustment Surface'!$O34),'Adjustment Surface'!$AN$27:$AN$46,1)+IF('Adjustment Surface'!$O35="",-1,1))-'Adjustment Surface'!$O34)*(INDEX('Adjustment Surface'!$AO$26:$BH$26,1,MATCH(('Adjustment Surface'!AG$26),'Adjustment Surface'!$AO$26:$BH$26,1)+IF('Adjustment Surface'!AH$26="",-1,1))-'Adjustment Surface'!AG$26)+INDEX($AO$27:$BH$46,MATCH(INDEX('Adjustment Surface'!$AN$27:$AN$46,MATCH(('Adjustment Surface'!$O34),'Adjustment Surface'!$AN$27:$AN$46,1)+IF('Adjustment Surface'!$O35="",-1,1)),$AN$27:$AN$46,0),MATCH(INDEX('Adjustment Surface'!$AO$26:$BH$26,1,MATCH(('Adjustment Surface'!AG$26),'Adjustment Surface'!$AO$26:$BH$26,1)),$AO$26:$BH$26,0))*('Adjustment Surface'!$O34-INDEX('Adjustment Surface'!$AN$27:$AN$46,MATCH(('Adjustment Surface'!$O34),'Adjustment Surface'!$AN$27:$AN$46,1)))*(INDEX('Adjustment Surface'!$AO$26:$BH$26,1,MATCH(('Adjustment Surface'!AG$26),'Adjustment Surface'!$AO$26:$BH$26,1)+IF('Adjustment Surface'!AH$26="",-1,1))-'Adjustment Surface'!AG$26)+INDEX($AO$27:$BH$46,MATCH(INDEX('Adjustment Surface'!$AN$27:$AN$46,MATCH(('Adjustment Surface'!$O34),'Adjustment Surface'!$AN$27:$AN$46,1)),$AN$27:$AN$46,0),MATCH(INDEX('Adjustment Surface'!$AO$26:$BH$26,1,MATCH(('Adjustment Surface'!AG$26),'Adjustment Surface'!$AO$26:$BH$26,1)+IF('Adjustment Surface'!AH$26="",-1,1)),$AO$26:$BH$26,0))*(INDEX('Adjustment Surface'!$AN$27:$AN$46,MATCH(('Adjustment Surface'!$O34),'Adjustment Surface'!$AN$27:$AN$46,1)+IF('Adjustment Surface'!$O35="",-1,1))-'Adjustment Surface'!$O34)*('Adjustment Surface'!AG$26-INDEX('Adjustment Surface'!$AO$26:$BH$26,1,MATCH(('Adjustment Surface'!AG$26),'Adjustment Surface'!$AO$26:$BH$26,1)))+INDEX($AO$27:$BH$46,MATCH(INDEX('Adjustment Surface'!$AN$27:$AN$46,MATCH(('Adjustment Surface'!$O34),'Adjustment Surface'!$AN$27:$AN$46,1)+IF('Adjustment Surface'!$O35="",-1,1)),$AN$27:$AN$46,0),MATCH(INDEX('Adjustment Surface'!$AO$26:$BH$26,1,MATCH(('Adjustment Surface'!AG$26),'Adjustment Surface'!$AO$26:$BH$26,1)+IF('Adjustment Surface'!AH$26="",-1,1)),$AO$26:$BH$26,0))*('Adjustment Surface'!$O34-INDEX('Adjustment Surface'!$AN$27:$AN$46,MATCH(('Adjustment Surface'!$O34),'Adjustment Surface'!$AN$27:$AN$46,1)))*('Adjustment Surface'!AG$26-INDEX('Adjustment Surface'!$AO$26:$BH$26,1,MATCH(('Adjustment Surface'!AG$26),'Adjustment Surface'!$AO$26:$BH$26,1)))))</f>
        <v/>
      </c>
      <c r="AH34" s="193" t="str" cm="1">
        <f t="array" ref="AH34">IF(OR(AH$26="",$O34=""),"",1/((INDEX('Adjustment Surface'!$AN$27:$AN$46,MATCH(('Adjustment Surface'!$O34),'Adjustment Surface'!$AN$27:$AN$46,1)+IF('Adjustment Surface'!$O35="",-1,1))-INDEX('Adjustment Surface'!$AN$27:$AN$46,MATCH(('Adjustment Surface'!$O34),'Adjustment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Surface'!$O34),'Adjustment Surface'!$AN$27:$AN$46,1)),$AN$27:$AN$46,0),MATCH(INDEX('Adjustment Surface'!$AO$26:$BH$26,1,MATCH(('Adjustment Surface'!AH$26),'Adjustment Surface'!$AO$26:$BH$26,1)),$AO$26:$BH$26,0))*(INDEX('Adjustment Surface'!$AN$27:$AN$46,MATCH(('Adjustment Surface'!$O34),'Adjustment Surface'!$AN$27:$AN$46,1)+IF('Adjustment Surface'!$O35="",-1,1))-'Adjustment Surface'!$O34)*(INDEX('Adjustment Surface'!$AO$26:$BH$26,1,MATCH(('Adjustment Surface'!AH$26),'Adjustment Surface'!$AO$26:$BH$26,1)+IF('Adjustment Surface'!AI$26="",-1,1))-'Adjustment Surface'!AH$26)+INDEX($AO$27:$BH$46,MATCH(INDEX('Adjustment Surface'!$AN$27:$AN$46,MATCH(('Adjustment Surface'!$O34),'Adjustment Surface'!$AN$27:$AN$46,1)+IF('Adjustment Surface'!$O35="",-1,1)),$AN$27:$AN$46,0),MATCH(INDEX('Adjustment Surface'!$AO$26:$BH$26,1,MATCH(('Adjustment Surface'!AH$26),'Adjustment Surface'!$AO$26:$BH$26,1)),$AO$26:$BH$26,0))*('Adjustment Surface'!$O34-INDEX('Adjustment Surface'!$AN$27:$AN$46,MATCH(('Adjustment Surface'!$O34),'Adjustment Surface'!$AN$27:$AN$46,1)))*(INDEX('Adjustment Surface'!$AO$26:$BH$26,1,MATCH(('Adjustment Surface'!AH$26),'Adjustment Surface'!$AO$26:$BH$26,1)+IF('Adjustment Surface'!AI$26="",-1,1))-'Adjustment Surface'!AH$26)+INDEX($AO$27:$BH$46,MATCH(INDEX('Adjustment Surface'!$AN$27:$AN$46,MATCH(('Adjustment Surface'!$O34),'Adjustment Surface'!$AN$27:$AN$46,1)),$AN$27:$AN$46,0),MATCH(INDEX('Adjustment Surface'!$AO$26:$BH$26,1,MATCH(('Adjustment Surface'!AH$26),'Adjustment Surface'!$AO$26:$BH$26,1)+IF('Adjustment Surface'!AI$26="",-1,1)),$AO$26:$BH$26,0))*(INDEX('Adjustment Surface'!$AN$27:$AN$46,MATCH(('Adjustment Surface'!$O34),'Adjustment Surface'!$AN$27:$AN$46,1)+IF('Adjustment Surface'!$O35="",-1,1))-'Adjustment Surface'!$O34)*('Adjustment Surface'!AH$26-INDEX('Adjustment Surface'!$AO$26:$BH$26,1,MATCH(('Adjustment Surface'!AH$26),'Adjustment Surface'!$AO$26:$BH$26,1)))+INDEX($AO$27:$BH$46,MATCH(INDEX('Adjustment Surface'!$AN$27:$AN$46,MATCH(('Adjustment Surface'!$O34),'Adjustment Surface'!$AN$27:$AN$46,1)+IF('Adjustment Surface'!$O35="",-1,1)),$AN$27:$AN$46,0),MATCH(INDEX('Adjustment Surface'!$AO$26:$BH$26,1,MATCH(('Adjustment Surface'!AH$26),'Adjustment Surface'!$AO$26:$BH$26,1)+IF('Adjustment Surface'!AI$26="",-1,1)),$AO$26:$BH$26,0))*('Adjustment Surface'!$O34-INDEX('Adjustment Surface'!$AN$27:$AN$46,MATCH(('Adjustment Surface'!$O34),'Adjustment Surface'!$AN$27:$AN$46,1)))*('Adjustment Surface'!AH$26-INDEX('Adjustment Surface'!$AO$26:$BH$26,1,MATCH(('Adjustment Surface'!AH$26),'Adjustment Surface'!$AO$26:$BH$26,1)))))</f>
        <v/>
      </c>
      <c r="AI34" s="194" t="str" cm="1">
        <f t="array" ref="AI34">IF(OR(AI$26="",$O34=""),"",1/((INDEX('Adjustment Surface'!$AN$27:$AN$46,MATCH(('Adjustment Surface'!$O34),'Adjustment Surface'!$AN$27:$AN$46,1)+IF('Adjustment Surface'!$O35="",-1,1))-INDEX('Adjustment Surface'!$AN$27:$AN$46,MATCH(('Adjustment Surface'!$O34),'Adjustment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Surface'!$O34),'Adjustment Surface'!$AN$27:$AN$46,1)),$AN$27:$AN$46,0),MATCH(INDEX('Adjustment Surface'!$AO$26:$BH$26,1,MATCH(('Adjustment Surface'!AI$26),'Adjustment Surface'!$AO$26:$BH$26,1)),$AO$26:$BH$26,0))*(INDEX('Adjustment Surface'!$AN$27:$AN$46,MATCH(('Adjustment Surface'!$O34),'Adjustment Surface'!$AN$27:$AN$46,1)+IF('Adjustment Surface'!$O35="",-1,1))-'Adjustment Surface'!$O34)*(INDEX('Adjustment Surface'!$AO$26:$BH$26,1,MATCH(('Adjustment Surface'!AI$26),'Adjustment Surface'!$AO$26:$BH$26,1)+IF('Adjustment Surface'!AJ$26="",-1,1))-'Adjustment Surface'!AI$26)+INDEX($AO$27:$BH$46,MATCH(INDEX('Adjustment Surface'!$AN$27:$AN$46,MATCH(('Adjustment Surface'!$O34),'Adjustment Surface'!$AN$27:$AN$46,1)+IF('Adjustment Surface'!$O35="",-1,1)),$AN$27:$AN$46,0),MATCH(INDEX('Adjustment Surface'!$AO$26:$BH$26,1,MATCH(('Adjustment Surface'!AI$26),'Adjustment Surface'!$AO$26:$BH$26,1)),$AO$26:$BH$26,0))*('Adjustment Surface'!$O34-INDEX('Adjustment Surface'!$AN$27:$AN$46,MATCH(('Adjustment Surface'!$O34),'Adjustment Surface'!$AN$27:$AN$46,1)))*(INDEX('Adjustment Surface'!$AO$26:$BH$26,1,MATCH(('Adjustment Surface'!AI$26),'Adjustment Surface'!$AO$26:$BH$26,1)+IF('Adjustment Surface'!AJ$26="",-1,1))-'Adjustment Surface'!AI$26)+INDEX($AO$27:$BH$46,MATCH(INDEX('Adjustment Surface'!$AN$27:$AN$46,MATCH(('Adjustment Surface'!$O34),'Adjustment Surface'!$AN$27:$AN$46,1)),$AN$27:$AN$46,0),MATCH(INDEX('Adjustment Surface'!$AO$26:$BH$26,1,MATCH(('Adjustment Surface'!AI$26),'Adjustment Surface'!$AO$26:$BH$26,1)+IF('Adjustment Surface'!AJ$26="",-1,1)),$AO$26:$BH$26,0))*(INDEX('Adjustment Surface'!$AN$27:$AN$46,MATCH(('Adjustment Surface'!$O34),'Adjustment Surface'!$AN$27:$AN$46,1)+IF('Adjustment Surface'!$O35="",-1,1))-'Adjustment Surface'!$O34)*('Adjustment Surface'!AI$26-INDEX('Adjustment Surface'!$AO$26:$BH$26,1,MATCH(('Adjustment Surface'!AI$26),'Adjustment Surface'!$AO$26:$BH$26,1)))+INDEX($AO$27:$BH$46,MATCH(INDEX('Adjustment Surface'!$AN$27:$AN$46,MATCH(('Adjustment Surface'!$O34),'Adjustment Surface'!$AN$27:$AN$46,1)+IF('Adjustment Surface'!$O35="",-1,1)),$AN$27:$AN$46,0),MATCH(INDEX('Adjustment Surface'!$AO$26:$BH$26,1,MATCH(('Adjustment Surface'!AI$26),'Adjustment Surface'!$AO$26:$BH$26,1)+IF('Adjustment Surface'!AJ$26="",-1,1)),$AO$26:$BH$26,0))*('Adjustment Surface'!$O34-INDEX('Adjustment Surface'!$AN$27:$AN$46,MATCH(('Adjustment Surface'!$O34),'Adjustment Surface'!$AN$27:$AN$46,1)))*('Adjustment Surface'!AI$26-INDEX('Adjustment Surface'!$AO$26:$BH$26,1,MATCH(('Adjustment Surface'!AI$26),'Adjustment Surface'!$AO$26:$BH$26,1)))))</f>
        <v/>
      </c>
      <c r="AK34" s="203" t="str">
        <v/>
      </c>
      <c r="AL34" s="207" t="str">
        <v/>
      </c>
      <c r="AN34" s="176"/>
      <c r="AO34" s="192" t="str" cm="1">
        <f t="array" ref="AO34">IF(OR(AO$26="",$AN34=""),"",INDEX(IF($C$2='Data Validation'!$A$2,'Bank Adjustments'!$I$4:$I$103,IF('Adjustment Surface'!$C$2='Data Validation'!$A$3,'Bank Adjustments'!$S$4:$S$103,"Unknown Option Type")),MATCH(1,($AN34=IF($C$2='Data Validation'!$A$2,'Bank Adjustments'!$C$4:$C$103,IF('Adjustment Surface'!$C$2='Data Validation'!$A$3,'Bank Adjustments'!$M$4:$M$103,"Unknown Option Type")))*(AO$26=IF($C$2='Data Validation'!$A$2,'Bank Adjustments'!$E$4:$E$103,IF('Adjustment Surface'!$C$2='Data Validation'!$A$3,'Bank Adjustments'!$O$4:$O$103,"Unknown Option Type"))),0)))</f>
        <v/>
      </c>
      <c r="AP34" s="193" t="str" cm="1">
        <f t="array" ref="AP34">IF(OR(AP$26="",$AN34=""),"",INDEX(IF($C$2='Data Validation'!$A$2,'Bank Adjustments'!$I$4:$I$103,IF('Adjustment Surface'!$C$2='Data Validation'!$A$3,'Bank Adjustments'!$S$4:$S$103,"Unknown Option Type")),MATCH(1,($AN34=IF($C$2='Data Validation'!$A$2,'Bank Adjustments'!$C$4:$C$103,IF('Adjustment Surface'!$C$2='Data Validation'!$A$3,'Bank Adjustments'!$M$4:$M$103,"Unknown Option Type")))*(AP$26=IF($C$2='Data Validation'!$A$2,'Bank Adjustments'!$E$4:$E$103,IF('Adjustment Surface'!$C$2='Data Validation'!$A$3,'Bank Adjustments'!$O$4:$O$103,"Unknown Option Type"))),0)))</f>
        <v/>
      </c>
      <c r="AQ34" s="193" t="str" cm="1">
        <f t="array" ref="AQ34">IF(OR(AQ$26="",$AN34=""),"",INDEX(IF($C$2='Data Validation'!$A$2,'Bank Adjustments'!$I$4:$I$103,IF('Adjustment Surface'!$C$2='Data Validation'!$A$3,'Bank Adjustments'!$S$4:$S$103,"Unknown Option Type")),MATCH(1,($AN34=IF($C$2='Data Validation'!$A$2,'Bank Adjustments'!$C$4:$C$103,IF('Adjustment Surface'!$C$2='Data Validation'!$A$3,'Bank Adjustments'!$M$4:$M$103,"Unknown Option Type")))*(AQ$26=IF($C$2='Data Validation'!$A$2,'Bank Adjustments'!$E$4:$E$103,IF('Adjustment Surface'!$C$2='Data Validation'!$A$3,'Bank Adjustments'!$O$4:$O$103,"Unknown Option Type"))),0)))</f>
        <v/>
      </c>
      <c r="AR34" s="193" t="str" cm="1">
        <f t="array" ref="AR34">IF(OR(AR$26="",$AN34=""),"",INDEX(IF($C$2='Data Validation'!$A$2,'Bank Adjustments'!$I$4:$I$103,IF('Adjustment Surface'!$C$2='Data Validation'!$A$3,'Bank Adjustments'!$S$4:$S$103,"Unknown Option Type")),MATCH(1,($AN34=IF($C$2='Data Validation'!$A$2,'Bank Adjustments'!$C$4:$C$103,IF('Adjustment Surface'!$C$2='Data Validation'!$A$3,'Bank Adjustments'!$M$4:$M$103,"Unknown Option Type")))*(AR$26=IF($C$2='Data Validation'!$A$2,'Bank Adjustments'!$E$4:$E$103,IF('Adjustment Surface'!$C$2='Data Validation'!$A$3,'Bank Adjustments'!$O$4:$O$103,"Unknown Option Type"))),0)))</f>
        <v/>
      </c>
      <c r="AS34" s="193" t="str" cm="1">
        <f t="array" ref="AS34">IF(OR(AS$26="",$AN34=""),"",INDEX(IF($C$2='Data Validation'!$A$2,'Bank Adjustments'!$I$4:$I$103,IF('Adjustment Surface'!$C$2='Data Validation'!$A$3,'Bank Adjustments'!$S$4:$S$103,"Unknown Option Type")),MATCH(1,($AN34=IF($C$2='Data Validation'!$A$2,'Bank Adjustments'!$C$4:$C$103,IF('Adjustment Surface'!$C$2='Data Validation'!$A$3,'Bank Adjustments'!$M$4:$M$103,"Unknown Option Type")))*(AS$26=IF($C$2='Data Validation'!$A$2,'Bank Adjustments'!$E$4:$E$103,IF('Adjustment Surface'!$C$2='Data Validation'!$A$3,'Bank Adjustments'!$O$4:$O$103,"Unknown Option Type"))),0)))</f>
        <v/>
      </c>
      <c r="AT34" s="193" t="str" cm="1">
        <f t="array" ref="AT34">IF(OR(AT$26="",$AN34=""),"",INDEX(IF($C$2='Data Validation'!$A$2,'Bank Adjustments'!$I$4:$I$103,IF('Adjustment Surface'!$C$2='Data Validation'!$A$3,'Bank Adjustments'!$S$4:$S$103,"Unknown Option Type")),MATCH(1,($AN34=IF($C$2='Data Validation'!$A$2,'Bank Adjustments'!$C$4:$C$103,IF('Adjustment Surface'!$C$2='Data Validation'!$A$3,'Bank Adjustments'!$M$4:$M$103,"Unknown Option Type")))*(AT$26=IF($C$2='Data Validation'!$A$2,'Bank Adjustments'!$E$4:$E$103,IF('Adjustment Surface'!$C$2='Data Validation'!$A$3,'Bank Adjustments'!$O$4:$O$103,"Unknown Option Type"))),0)))</f>
        <v/>
      </c>
      <c r="AU34" s="193" t="str" cm="1">
        <f t="array" ref="AU34">IF(OR(AU$26="",$AN34=""),"",INDEX(IF($C$2='Data Validation'!$A$2,'Bank Adjustments'!$I$4:$I$103,IF('Adjustment Surface'!$C$2='Data Validation'!$A$3,'Bank Adjustments'!$S$4:$S$103,"Unknown Option Type")),MATCH(1,($AN34=IF($C$2='Data Validation'!$A$2,'Bank Adjustments'!$C$4:$C$103,IF('Adjustment Surface'!$C$2='Data Validation'!$A$3,'Bank Adjustments'!$M$4:$M$103,"Unknown Option Type")))*(AU$26=IF($C$2='Data Validation'!$A$2,'Bank Adjustments'!$E$4:$E$103,IF('Adjustment Surface'!$C$2='Data Validation'!$A$3,'Bank Adjustments'!$O$4:$O$103,"Unknown Option Type"))),0)))</f>
        <v/>
      </c>
      <c r="AV34" s="193" t="str" cm="1">
        <f t="array" ref="AV34">IF(OR(AV$26="",$AN34=""),"",INDEX(IF($C$2='Data Validation'!$A$2,'Bank Adjustments'!$I$4:$I$103,IF('Adjustment Surface'!$C$2='Data Validation'!$A$3,'Bank Adjustments'!$S$4:$S$103,"Unknown Option Type")),MATCH(1,($AN34=IF($C$2='Data Validation'!$A$2,'Bank Adjustments'!$C$4:$C$103,IF('Adjustment Surface'!$C$2='Data Validation'!$A$3,'Bank Adjustments'!$M$4:$M$103,"Unknown Option Type")))*(AV$26=IF($C$2='Data Validation'!$A$2,'Bank Adjustments'!$E$4:$E$103,IF('Adjustment Surface'!$C$2='Data Validation'!$A$3,'Bank Adjustments'!$O$4:$O$103,"Unknown Option Type"))),0)))</f>
        <v/>
      </c>
      <c r="AW34" s="193" t="str" cm="1">
        <f t="array" ref="AW34">IF(OR(AW$26="",$AN34=""),"",INDEX(IF($C$2='Data Validation'!$A$2,'Bank Adjustments'!$I$4:$I$103,IF('Adjustment Surface'!$C$2='Data Validation'!$A$3,'Bank Adjustments'!$S$4:$S$103,"Unknown Option Type")),MATCH(1,($AN34=IF($C$2='Data Validation'!$A$2,'Bank Adjustments'!$C$4:$C$103,IF('Adjustment Surface'!$C$2='Data Validation'!$A$3,'Bank Adjustments'!$M$4:$M$103,"Unknown Option Type")))*(AW$26=IF($C$2='Data Validation'!$A$2,'Bank Adjustments'!$E$4:$E$103,IF('Adjustment Surface'!$C$2='Data Validation'!$A$3,'Bank Adjustments'!$O$4:$O$103,"Unknown Option Type"))),0)))</f>
        <v/>
      </c>
      <c r="AX34" s="193" t="str" cm="1">
        <f t="array" ref="AX34">IF(OR(AX$26="",$AN34=""),"",INDEX(IF($C$2='Data Validation'!$A$2,'Bank Adjustments'!$I$4:$I$103,IF('Adjustment Surface'!$C$2='Data Validation'!$A$3,'Bank Adjustments'!$S$4:$S$103,"Unknown Option Type")),MATCH(1,($AN34=IF($C$2='Data Validation'!$A$2,'Bank Adjustments'!$C$4:$C$103,IF('Adjustment Surface'!$C$2='Data Validation'!$A$3,'Bank Adjustments'!$M$4:$M$103,"Unknown Option Type")))*(AX$26=IF($C$2='Data Validation'!$A$2,'Bank Adjustments'!$E$4:$E$103,IF('Adjustment Surface'!$C$2='Data Validation'!$A$3,'Bank Adjustments'!$O$4:$O$103,"Unknown Option Type"))),0)))</f>
        <v/>
      </c>
      <c r="AY34" s="193" t="str" cm="1">
        <f t="array" ref="AY34">IF(OR(AY$26="",$AN34=""),"",INDEX(IF($C$2='Data Validation'!$A$2,'Bank Adjustments'!$I$4:$I$103,IF('Adjustment Surface'!$C$2='Data Validation'!$A$3,'Bank Adjustments'!$S$4:$S$103,"Unknown Option Type")),MATCH(1,($AN34=IF($C$2='Data Validation'!$A$2,'Bank Adjustments'!$C$4:$C$103,IF('Adjustment Surface'!$C$2='Data Validation'!$A$3,'Bank Adjustments'!$M$4:$M$103,"Unknown Option Type")))*(AY$26=IF($C$2='Data Validation'!$A$2,'Bank Adjustments'!$E$4:$E$103,IF('Adjustment Surface'!$C$2='Data Validation'!$A$3,'Bank Adjustments'!$O$4:$O$103,"Unknown Option Type"))),0)))</f>
        <v/>
      </c>
      <c r="AZ34" s="193" t="str" cm="1">
        <f t="array" ref="AZ34">IF(OR(AZ$26="",$AN34=""),"",INDEX(IF($C$2='Data Validation'!$A$2,'Bank Adjustments'!$I$4:$I$103,IF('Adjustment Surface'!$C$2='Data Validation'!$A$3,'Bank Adjustments'!$S$4:$S$103,"Unknown Option Type")),MATCH(1,($AN34=IF($C$2='Data Validation'!$A$2,'Bank Adjustments'!$C$4:$C$103,IF('Adjustment Surface'!$C$2='Data Validation'!$A$3,'Bank Adjustments'!$M$4:$M$103,"Unknown Option Type")))*(AZ$26=IF($C$2='Data Validation'!$A$2,'Bank Adjustments'!$E$4:$E$103,IF('Adjustment Surface'!$C$2='Data Validation'!$A$3,'Bank Adjustments'!$O$4:$O$103,"Unknown Option Type"))),0)))</f>
        <v/>
      </c>
      <c r="BA34" s="193" t="str" cm="1">
        <f t="array" ref="BA34">IF(OR(BA$26="",$AN34=""),"",INDEX(IF($C$2='Data Validation'!$A$2,'Bank Adjustments'!$I$4:$I$103,IF('Adjustment Surface'!$C$2='Data Validation'!$A$3,'Bank Adjustments'!$S$4:$S$103,"Unknown Option Type")),MATCH(1,($AN34=IF($C$2='Data Validation'!$A$2,'Bank Adjustments'!$C$4:$C$103,IF('Adjustment Surface'!$C$2='Data Validation'!$A$3,'Bank Adjustments'!$M$4:$M$103,"Unknown Option Type")))*(BA$26=IF($C$2='Data Validation'!$A$2,'Bank Adjustments'!$E$4:$E$103,IF('Adjustment Surface'!$C$2='Data Validation'!$A$3,'Bank Adjustments'!$O$4:$O$103,"Unknown Option Type"))),0)))</f>
        <v/>
      </c>
      <c r="BB34" s="193" t="str" cm="1">
        <f t="array" ref="BB34">IF(OR(BB$26="",$AN34=""),"",INDEX(IF($C$2='Data Validation'!$A$2,'Bank Adjustments'!$I$4:$I$103,IF('Adjustment Surface'!$C$2='Data Validation'!$A$3,'Bank Adjustments'!$S$4:$S$103,"Unknown Option Type")),MATCH(1,($AN34=IF($C$2='Data Validation'!$A$2,'Bank Adjustments'!$C$4:$C$103,IF('Adjustment Surface'!$C$2='Data Validation'!$A$3,'Bank Adjustments'!$M$4:$M$103,"Unknown Option Type")))*(BB$26=IF($C$2='Data Validation'!$A$2,'Bank Adjustments'!$E$4:$E$103,IF('Adjustment Surface'!$C$2='Data Validation'!$A$3,'Bank Adjustments'!$O$4:$O$103,"Unknown Option Type"))),0)))</f>
        <v/>
      </c>
      <c r="BC34" s="193" t="str" cm="1">
        <f t="array" ref="BC34">IF(OR(BC$26="",$AN34=""),"",INDEX(IF($C$2='Data Validation'!$A$2,'Bank Adjustments'!$I$4:$I$103,IF('Adjustment Surface'!$C$2='Data Validation'!$A$3,'Bank Adjustments'!$S$4:$S$103,"Unknown Option Type")),MATCH(1,($AN34=IF($C$2='Data Validation'!$A$2,'Bank Adjustments'!$C$4:$C$103,IF('Adjustment Surface'!$C$2='Data Validation'!$A$3,'Bank Adjustments'!$M$4:$M$103,"Unknown Option Type")))*(BC$26=IF($C$2='Data Validation'!$A$2,'Bank Adjustments'!$E$4:$E$103,IF('Adjustment Surface'!$C$2='Data Validation'!$A$3,'Bank Adjustments'!$O$4:$O$103,"Unknown Option Type"))),0)))</f>
        <v/>
      </c>
      <c r="BD34" s="193" t="str" cm="1">
        <f t="array" ref="BD34">IF(OR(BD$26="",$AN34=""),"",INDEX(IF($C$2='Data Validation'!$A$2,'Bank Adjustments'!$I$4:$I$103,IF('Adjustment Surface'!$C$2='Data Validation'!$A$3,'Bank Adjustments'!$S$4:$S$103,"Unknown Option Type")),MATCH(1,($AN34=IF($C$2='Data Validation'!$A$2,'Bank Adjustments'!$C$4:$C$103,IF('Adjustment Surface'!$C$2='Data Validation'!$A$3,'Bank Adjustments'!$M$4:$M$103,"Unknown Option Type")))*(BD$26=IF($C$2='Data Validation'!$A$2,'Bank Adjustments'!$E$4:$E$103,IF('Adjustment Surface'!$C$2='Data Validation'!$A$3,'Bank Adjustments'!$O$4:$O$103,"Unknown Option Type"))),0)))</f>
        <v/>
      </c>
      <c r="BE34" s="193" t="str" cm="1">
        <f t="array" ref="BE34">IF(OR(BE$26="",$AN34=""),"",INDEX(IF($C$2='Data Validation'!$A$2,'Bank Adjustments'!$I$4:$I$103,IF('Adjustment Surface'!$C$2='Data Validation'!$A$3,'Bank Adjustments'!$S$4:$S$103,"Unknown Option Type")),MATCH(1,($AN34=IF($C$2='Data Validation'!$A$2,'Bank Adjustments'!$C$4:$C$103,IF('Adjustment Surface'!$C$2='Data Validation'!$A$3,'Bank Adjustments'!$M$4:$M$103,"Unknown Option Type")))*(BE$26=IF($C$2='Data Validation'!$A$2,'Bank Adjustments'!$E$4:$E$103,IF('Adjustment Surface'!$C$2='Data Validation'!$A$3,'Bank Adjustments'!$O$4:$O$103,"Unknown Option Type"))),0)))</f>
        <v/>
      </c>
      <c r="BF34" s="193" t="str" cm="1">
        <f t="array" ref="BF34">IF(OR(BF$26="",$AN34=""),"",INDEX(IF($C$2='Data Validation'!$A$2,'Bank Adjustments'!$I$4:$I$103,IF('Adjustment Surface'!$C$2='Data Validation'!$A$3,'Bank Adjustments'!$S$4:$S$103,"Unknown Option Type")),MATCH(1,($AN34=IF($C$2='Data Validation'!$A$2,'Bank Adjustments'!$C$4:$C$103,IF('Adjustment Surface'!$C$2='Data Validation'!$A$3,'Bank Adjustments'!$M$4:$M$103,"Unknown Option Type")))*(BF$26=IF($C$2='Data Validation'!$A$2,'Bank Adjustments'!$E$4:$E$103,IF('Adjustment Surface'!$C$2='Data Validation'!$A$3,'Bank Adjustments'!$O$4:$O$103,"Unknown Option Type"))),0)))</f>
        <v/>
      </c>
      <c r="BG34" s="193" t="str" cm="1">
        <f t="array" ref="BG34">IF(OR(BG$26="",$AN34=""),"",INDEX(IF($C$2='Data Validation'!$A$2,'Bank Adjustments'!$I$4:$I$103,IF('Adjustment Surface'!$C$2='Data Validation'!$A$3,'Bank Adjustments'!$S$4:$S$103,"Unknown Option Type")),MATCH(1,($AN34=IF($C$2='Data Validation'!$A$2,'Bank Adjustments'!$C$4:$C$103,IF('Adjustment Surface'!$C$2='Data Validation'!$A$3,'Bank Adjustments'!$M$4:$M$103,"Unknown Option Type")))*(BG$26=IF($C$2='Data Validation'!$A$2,'Bank Adjustments'!$E$4:$E$103,IF('Adjustment Surface'!$C$2='Data Validation'!$A$3,'Bank Adjustments'!$O$4:$O$103,"Unknown Option Type"))),0)))</f>
        <v/>
      </c>
      <c r="BH34" s="194" t="str" cm="1">
        <f t="array" ref="BH34">IF(OR(BH$26="",$AN34=""),"",INDEX(IF($C$2='Data Validation'!$A$2,'Bank Adjustments'!$I$4:$I$103,IF('Adjustment Surface'!$C$2='Data Validation'!$A$3,'Bank Adjustments'!$S$4:$S$103,"Unknown Option Type")),MATCH(1,($AN34=IF($C$2='Data Validation'!$A$2,'Bank Adjustments'!$C$4:$C$103,IF('Adjustment Surface'!$C$2='Data Validation'!$A$3,'Bank Adjustments'!$M$4:$M$103,"Unknown Option Type")))*(BH$26=IF($C$2='Data Validation'!$A$2,'Bank Adjustments'!$E$4:$E$103,IF('Adjustment Surface'!$C$2='Data Validation'!$A$3,'Bank Adjustments'!$O$4:$O$103,"Unknown Option Type"))),0)))</f>
        <v/>
      </c>
    </row>
    <row r="35" spans="2:60" x14ac:dyDescent="0.25">
      <c r="B35" s="12" t="s">
        <v>6</v>
      </c>
      <c r="C35" s="74">
        <f>C28</f>
        <v>46429</v>
      </c>
      <c r="D35" s="74">
        <f t="shared" ref="D35:F35" si="8">D28</f>
        <v>46794</v>
      </c>
      <c r="E35" s="74">
        <f t="shared" si="8"/>
        <v>47160</v>
      </c>
      <c r="F35" s="74">
        <f t="shared" si="8"/>
        <v>47525</v>
      </c>
      <c r="H35" s="176">
        <v>0.06</v>
      </c>
      <c r="I35" s="54">
        <f t="shared" si="6"/>
        <v>3.9999999999999994E-2</v>
      </c>
      <c r="J35" s="55">
        <f t="shared" si="6"/>
        <v>0.03</v>
      </c>
      <c r="K35" s="55">
        <f t="shared" si="6"/>
        <v>1.9999999999999997E-2</v>
      </c>
      <c r="L35" s="55">
        <f t="shared" si="6"/>
        <v>9.999999999999995E-3</v>
      </c>
      <c r="M35" s="48">
        <f t="shared" si="6"/>
        <v>0</v>
      </c>
      <c r="O35" s="176">
        <v>0.06</v>
      </c>
      <c r="P35" s="192" cm="1">
        <f t="array" ref="P35">IF(OR(P$26="",$O35=""),"",1/((INDEX('Adjustment Surface'!$AN$27:$AN$46,MATCH(('Adjustment Surface'!$O35),'Adjustment Surface'!$AN$27:$AN$46,1)+IF('Adjustment Surface'!$O36="",-1,1))-INDEX('Adjustment Surface'!$AN$27:$AN$46,MATCH(('Adjustment Surface'!$O35),'Adjustment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Surface'!$O35),'Adjustment Surface'!$AN$27:$AN$46,1)),$AN$27:$AN$46,0),MATCH(INDEX('Adjustment Surface'!$AO$26:$BH$26,1,MATCH(('Adjustment Surface'!P$26),'Adjustment Surface'!$AO$26:$BH$26,1)),$AO$26:$BH$26,0))*(INDEX('Adjustment Surface'!$AN$27:$AN$46,MATCH(('Adjustment Surface'!$O35),'Adjustment Surface'!$AN$27:$AN$46,1)+IF('Adjustment Surface'!$O36="",-1,1))-'Adjustment Surface'!$O35)*(INDEX('Adjustment Surface'!$AO$26:$BH$26,1,MATCH(('Adjustment Surface'!P$26),'Adjustment Surface'!$AO$26:$BH$26,1)+IF('Adjustment Surface'!Q$26="",-1,1))-'Adjustment Surface'!P$26)+INDEX($AO$27:$BH$46,MATCH(INDEX('Adjustment Surface'!$AN$27:$AN$46,MATCH(('Adjustment Surface'!$O35),'Adjustment Surface'!$AN$27:$AN$46,1)+IF('Adjustment Surface'!$O36="",-1,1)),$AN$27:$AN$46,0),MATCH(INDEX('Adjustment Surface'!$AO$26:$BH$26,1,MATCH(('Adjustment Surface'!P$26),'Adjustment Surface'!$AO$26:$BH$26,1)),$AO$26:$BH$26,0))*('Adjustment Surface'!$O35-INDEX('Adjustment Surface'!$AN$27:$AN$46,MATCH(('Adjustment Surface'!$O35),'Adjustment Surface'!$AN$27:$AN$46,1)))*(INDEX('Adjustment Surface'!$AO$26:$BH$26,1,MATCH(('Adjustment Surface'!P$26),'Adjustment Surface'!$AO$26:$BH$26,1)+IF('Adjustment Surface'!Q$26="",-1,1))-'Adjustment Surface'!P$26)+INDEX($AO$27:$BH$46,MATCH(INDEX('Adjustment Surface'!$AN$27:$AN$46,MATCH(('Adjustment Surface'!$O35),'Adjustment Surface'!$AN$27:$AN$46,1)),$AN$27:$AN$46,0),MATCH(INDEX('Adjustment Surface'!$AO$26:$BH$26,1,MATCH(('Adjustment Surface'!P$26),'Adjustment Surface'!$AO$26:$BH$26,1)+IF('Adjustment Surface'!Q$26="",-1,1)),$AO$26:$BH$26,0))*(INDEX('Adjustment Surface'!$AN$27:$AN$46,MATCH(('Adjustment Surface'!$O35),'Adjustment Surface'!$AN$27:$AN$46,1)+IF('Adjustment Surface'!$O36="",-1,1))-'Adjustment Surface'!$O35)*('Adjustment Surface'!P$26-INDEX('Adjustment Surface'!$AO$26:$BH$26,1,MATCH(('Adjustment Surface'!P$26),'Adjustment Surface'!$AO$26:$BH$26,1)))+INDEX($AO$27:$BH$46,MATCH(INDEX('Adjustment Surface'!$AN$27:$AN$46,MATCH(('Adjustment Surface'!$O35),'Adjustment Surface'!$AN$27:$AN$46,1)+IF('Adjustment Surface'!$O36="",-1,1)),$AN$27:$AN$46,0),MATCH(INDEX('Adjustment Surface'!$AO$26:$BH$26,1,MATCH(('Adjustment Surface'!P$26),'Adjustment Surface'!$AO$26:$BH$26,1)+IF('Adjustment Surface'!Q$26="",-1,1)),$AO$26:$BH$26,0))*('Adjustment Surface'!$O35-INDEX('Adjustment Surface'!$AN$27:$AN$46,MATCH(('Adjustment Surface'!$O35),'Adjustment Surface'!$AN$27:$AN$46,1)))*('Adjustment Surface'!P$26-INDEX('Adjustment Surface'!$AO$26:$BH$26,1,MATCH(('Adjustment Surface'!P$26),'Adjustment Surface'!$AO$26:$BH$26,1)))))</f>
        <v>79.879195367547823</v>
      </c>
      <c r="Q35" s="193" cm="1">
        <f t="array" ref="Q35">IF(OR(Q$26="",$O35=""),"",1/((INDEX('Adjustment Surface'!$AN$27:$AN$46,MATCH(('Adjustment Surface'!$O35),'Adjustment Surface'!$AN$27:$AN$46,1)+IF('Adjustment Surface'!$O36="",-1,1))-INDEX('Adjustment Surface'!$AN$27:$AN$46,MATCH(('Adjustment Surface'!$O35),'Adjustment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Surface'!$O35),'Adjustment Surface'!$AN$27:$AN$46,1)),$AN$27:$AN$46,0),MATCH(INDEX('Adjustment Surface'!$AO$26:$BH$26,1,MATCH(('Adjustment Surface'!Q$26),'Adjustment Surface'!$AO$26:$BH$26,1)),$AO$26:$BH$26,0))*(INDEX('Adjustment Surface'!$AN$27:$AN$46,MATCH(('Adjustment Surface'!$O35),'Adjustment Surface'!$AN$27:$AN$46,1)+IF('Adjustment Surface'!$O36="",-1,1))-'Adjustment Surface'!$O35)*(INDEX('Adjustment Surface'!$AO$26:$BH$26,1,MATCH(('Adjustment Surface'!Q$26),'Adjustment Surface'!$AO$26:$BH$26,1)+IF('Adjustment Surface'!R$26="",-1,1))-'Adjustment Surface'!Q$26)+INDEX($AO$27:$BH$46,MATCH(INDEX('Adjustment Surface'!$AN$27:$AN$46,MATCH(('Adjustment Surface'!$O35),'Adjustment Surface'!$AN$27:$AN$46,1)+IF('Adjustment Surface'!$O36="",-1,1)),$AN$27:$AN$46,0),MATCH(INDEX('Adjustment Surface'!$AO$26:$BH$26,1,MATCH(('Adjustment Surface'!Q$26),'Adjustment Surface'!$AO$26:$BH$26,1)),$AO$26:$BH$26,0))*('Adjustment Surface'!$O35-INDEX('Adjustment Surface'!$AN$27:$AN$46,MATCH(('Adjustment Surface'!$O35),'Adjustment Surface'!$AN$27:$AN$46,1)))*(INDEX('Adjustment Surface'!$AO$26:$BH$26,1,MATCH(('Adjustment Surface'!Q$26),'Adjustment Surface'!$AO$26:$BH$26,1)+IF('Adjustment Surface'!R$26="",-1,1))-'Adjustment Surface'!Q$26)+INDEX($AO$27:$BH$46,MATCH(INDEX('Adjustment Surface'!$AN$27:$AN$46,MATCH(('Adjustment Surface'!$O35),'Adjustment Surface'!$AN$27:$AN$46,1)),$AN$27:$AN$46,0),MATCH(INDEX('Adjustment Surface'!$AO$26:$BH$26,1,MATCH(('Adjustment Surface'!Q$26),'Adjustment Surface'!$AO$26:$BH$26,1)+IF('Adjustment Surface'!R$26="",-1,1)),$AO$26:$BH$26,0))*(INDEX('Adjustment Surface'!$AN$27:$AN$46,MATCH(('Adjustment Surface'!$O35),'Adjustment Surface'!$AN$27:$AN$46,1)+IF('Adjustment Surface'!$O36="",-1,1))-'Adjustment Surface'!$O35)*('Adjustment Surface'!Q$26-INDEX('Adjustment Surface'!$AO$26:$BH$26,1,MATCH(('Adjustment Surface'!Q$26),'Adjustment Surface'!$AO$26:$BH$26,1)))+INDEX($AO$27:$BH$46,MATCH(INDEX('Adjustment Surface'!$AN$27:$AN$46,MATCH(('Adjustment Surface'!$O35),'Adjustment Surface'!$AN$27:$AN$46,1)+IF('Adjustment Surface'!$O36="",-1,1)),$AN$27:$AN$46,0),MATCH(INDEX('Adjustment Surface'!$AO$26:$BH$26,1,MATCH(('Adjustment Surface'!Q$26),'Adjustment Surface'!$AO$26:$BH$26,1)+IF('Adjustment Surface'!R$26="",-1,1)),$AO$26:$BH$26,0))*('Adjustment Surface'!$O35-INDEX('Adjustment Surface'!$AN$27:$AN$46,MATCH(('Adjustment Surface'!$O35),'Adjustment Surface'!$AN$27:$AN$46,1)))*('Adjustment Surface'!Q$26-INDEX('Adjustment Surface'!$AO$26:$BH$26,1,MATCH(('Adjustment Surface'!Q$26),'Adjustment Surface'!$AO$26:$BH$26,1)))))</f>
        <v>61.054726959043464</v>
      </c>
      <c r="R35" s="193" cm="1">
        <f t="array" ref="R35">IF(OR(R$26="",$O35=""),"",1/((INDEX('Adjustment Surface'!$AN$27:$AN$46,MATCH(('Adjustment Surface'!$O35),'Adjustment Surface'!$AN$27:$AN$46,1)+IF('Adjustment Surface'!$O36="",-1,1))-INDEX('Adjustment Surface'!$AN$27:$AN$46,MATCH(('Adjustment Surface'!$O35),'Adjustment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Surface'!$O35),'Adjustment Surface'!$AN$27:$AN$46,1)),$AN$27:$AN$46,0),MATCH(INDEX('Adjustment Surface'!$AO$26:$BH$26,1,MATCH(('Adjustment Surface'!R$26),'Adjustment Surface'!$AO$26:$BH$26,1)),$AO$26:$BH$26,0))*(INDEX('Adjustment Surface'!$AN$27:$AN$46,MATCH(('Adjustment Surface'!$O35),'Adjustment Surface'!$AN$27:$AN$46,1)+IF('Adjustment Surface'!$O36="",-1,1))-'Adjustment Surface'!$O35)*(INDEX('Adjustment Surface'!$AO$26:$BH$26,1,MATCH(('Adjustment Surface'!R$26),'Adjustment Surface'!$AO$26:$BH$26,1)+IF('Adjustment Surface'!S$26="",-1,1))-'Adjustment Surface'!R$26)+INDEX($AO$27:$BH$46,MATCH(INDEX('Adjustment Surface'!$AN$27:$AN$46,MATCH(('Adjustment Surface'!$O35),'Adjustment Surface'!$AN$27:$AN$46,1)+IF('Adjustment Surface'!$O36="",-1,1)),$AN$27:$AN$46,0),MATCH(INDEX('Adjustment Surface'!$AO$26:$BH$26,1,MATCH(('Adjustment Surface'!R$26),'Adjustment Surface'!$AO$26:$BH$26,1)),$AO$26:$BH$26,0))*('Adjustment Surface'!$O35-INDEX('Adjustment Surface'!$AN$27:$AN$46,MATCH(('Adjustment Surface'!$O35),'Adjustment Surface'!$AN$27:$AN$46,1)))*(INDEX('Adjustment Surface'!$AO$26:$BH$26,1,MATCH(('Adjustment Surface'!R$26),'Adjustment Surface'!$AO$26:$BH$26,1)+IF('Adjustment Surface'!S$26="",-1,1))-'Adjustment Surface'!R$26)+INDEX($AO$27:$BH$46,MATCH(INDEX('Adjustment Surface'!$AN$27:$AN$46,MATCH(('Adjustment Surface'!$O35),'Adjustment Surface'!$AN$27:$AN$46,1)),$AN$27:$AN$46,0),MATCH(INDEX('Adjustment Surface'!$AO$26:$BH$26,1,MATCH(('Adjustment Surface'!R$26),'Adjustment Surface'!$AO$26:$BH$26,1)+IF('Adjustment Surface'!S$26="",-1,1)),$AO$26:$BH$26,0))*(INDEX('Adjustment Surface'!$AN$27:$AN$46,MATCH(('Adjustment Surface'!$O35),'Adjustment Surface'!$AN$27:$AN$46,1)+IF('Adjustment Surface'!$O36="",-1,1))-'Adjustment Surface'!$O35)*('Adjustment Surface'!R$26-INDEX('Adjustment Surface'!$AO$26:$BH$26,1,MATCH(('Adjustment Surface'!R$26),'Adjustment Surface'!$AO$26:$BH$26,1)))+INDEX($AO$27:$BH$46,MATCH(INDEX('Adjustment Surface'!$AN$27:$AN$46,MATCH(('Adjustment Surface'!$O35),'Adjustment Surface'!$AN$27:$AN$46,1)+IF('Adjustment Surface'!$O36="",-1,1)),$AN$27:$AN$46,0),MATCH(INDEX('Adjustment Surface'!$AO$26:$BH$26,1,MATCH(('Adjustment Surface'!R$26),'Adjustment Surface'!$AO$26:$BH$26,1)+IF('Adjustment Surface'!S$26="",-1,1)),$AO$26:$BH$26,0))*('Adjustment Surface'!$O35-INDEX('Adjustment Surface'!$AN$27:$AN$46,MATCH(('Adjustment Surface'!$O35),'Adjustment Surface'!$AN$27:$AN$46,1)))*('Adjustment Surface'!R$26-INDEX('Adjustment Surface'!$AO$26:$BH$26,1,MATCH(('Adjustment Surface'!R$26),'Adjustment Surface'!$AO$26:$BH$26,1)))))</f>
        <v>41.595725907555831</v>
      </c>
      <c r="S35" s="193" cm="1">
        <f t="array" ref="S35">IF(OR(S$26="",$O35=""),"",1/((INDEX('Adjustment Surface'!$AN$27:$AN$46,MATCH(('Adjustment Surface'!$O35),'Adjustment Surface'!$AN$27:$AN$46,1)+IF('Adjustment Surface'!$O36="",-1,1))-INDEX('Adjustment Surface'!$AN$27:$AN$46,MATCH(('Adjustment Surface'!$O35),'Adjustment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Surface'!$O35),'Adjustment Surface'!$AN$27:$AN$46,1)),$AN$27:$AN$46,0),MATCH(INDEX('Adjustment Surface'!$AO$26:$BH$26,1,MATCH(('Adjustment Surface'!S$26),'Adjustment Surface'!$AO$26:$BH$26,1)),$AO$26:$BH$26,0))*(INDEX('Adjustment Surface'!$AN$27:$AN$46,MATCH(('Adjustment Surface'!$O35),'Adjustment Surface'!$AN$27:$AN$46,1)+IF('Adjustment Surface'!$O36="",-1,1))-'Adjustment Surface'!$O35)*(INDEX('Adjustment Surface'!$AO$26:$BH$26,1,MATCH(('Adjustment Surface'!S$26),'Adjustment Surface'!$AO$26:$BH$26,1)+IF('Adjustment Surface'!T$26="",-1,1))-'Adjustment Surface'!S$26)+INDEX($AO$27:$BH$46,MATCH(INDEX('Adjustment Surface'!$AN$27:$AN$46,MATCH(('Adjustment Surface'!$O35),'Adjustment Surface'!$AN$27:$AN$46,1)+IF('Adjustment Surface'!$O36="",-1,1)),$AN$27:$AN$46,0),MATCH(INDEX('Adjustment Surface'!$AO$26:$BH$26,1,MATCH(('Adjustment Surface'!S$26),'Adjustment Surface'!$AO$26:$BH$26,1)),$AO$26:$BH$26,0))*('Adjustment Surface'!$O35-INDEX('Adjustment Surface'!$AN$27:$AN$46,MATCH(('Adjustment Surface'!$O35),'Adjustment Surface'!$AN$27:$AN$46,1)))*(INDEX('Adjustment Surface'!$AO$26:$BH$26,1,MATCH(('Adjustment Surface'!S$26),'Adjustment Surface'!$AO$26:$BH$26,1)+IF('Adjustment Surface'!T$26="",-1,1))-'Adjustment Surface'!S$26)+INDEX($AO$27:$BH$46,MATCH(INDEX('Adjustment Surface'!$AN$27:$AN$46,MATCH(('Adjustment Surface'!$O35),'Adjustment Surface'!$AN$27:$AN$46,1)),$AN$27:$AN$46,0),MATCH(INDEX('Adjustment Surface'!$AO$26:$BH$26,1,MATCH(('Adjustment Surface'!S$26),'Adjustment Surface'!$AO$26:$BH$26,1)+IF('Adjustment Surface'!T$26="",-1,1)),$AO$26:$BH$26,0))*(INDEX('Adjustment Surface'!$AN$27:$AN$46,MATCH(('Adjustment Surface'!$O35),'Adjustment Surface'!$AN$27:$AN$46,1)+IF('Adjustment Surface'!$O36="",-1,1))-'Adjustment Surface'!$O35)*('Adjustment Surface'!S$26-INDEX('Adjustment Surface'!$AO$26:$BH$26,1,MATCH(('Adjustment Surface'!S$26),'Adjustment Surface'!$AO$26:$BH$26,1)))+INDEX($AO$27:$BH$46,MATCH(INDEX('Adjustment Surface'!$AN$27:$AN$46,MATCH(('Adjustment Surface'!$O35),'Adjustment Surface'!$AN$27:$AN$46,1)+IF('Adjustment Surface'!$O36="",-1,1)),$AN$27:$AN$46,0),MATCH(INDEX('Adjustment Surface'!$AO$26:$BH$26,1,MATCH(('Adjustment Surface'!S$26),'Adjustment Surface'!$AO$26:$BH$26,1)+IF('Adjustment Surface'!T$26="",-1,1)),$AO$26:$BH$26,0))*('Adjustment Surface'!$O35-INDEX('Adjustment Surface'!$AN$27:$AN$46,MATCH(('Adjustment Surface'!$O35),'Adjustment Surface'!$AN$27:$AN$46,1)))*('Adjustment Surface'!S$26-INDEX('Adjustment Surface'!$AO$26:$BH$26,1,MATCH(('Adjustment Surface'!S$26),'Adjustment Surface'!$AO$26:$BH$26,1)))))</f>
        <v>22.136724856068181</v>
      </c>
      <c r="T35" s="193" cm="1">
        <f t="array" ref="T35">IF(OR(T$26="",$O35=""),"",1/((INDEX('Adjustment Surface'!$AN$27:$AN$46,MATCH(('Adjustment Surface'!$O35),'Adjustment Surface'!$AN$27:$AN$46,1)+IF('Adjustment Surface'!$O36="",-1,1))-INDEX('Adjustment Surface'!$AN$27:$AN$46,MATCH(('Adjustment Surface'!$O35),'Adjustment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Surface'!$O35),'Adjustment Surface'!$AN$27:$AN$46,1)),$AN$27:$AN$46,0),MATCH(INDEX('Adjustment Surface'!$AO$26:$BH$26,1,MATCH(('Adjustment Surface'!T$26),'Adjustment Surface'!$AO$26:$BH$26,1)),$AO$26:$BH$26,0))*(INDEX('Adjustment Surface'!$AN$27:$AN$46,MATCH(('Adjustment Surface'!$O35),'Adjustment Surface'!$AN$27:$AN$46,1)+IF('Adjustment Surface'!$O36="",-1,1))-'Adjustment Surface'!$O35)*(INDEX('Adjustment Surface'!$AO$26:$BH$26,1,MATCH(('Adjustment Surface'!T$26),'Adjustment Surface'!$AO$26:$BH$26,1)+IF('Adjustment Surface'!U$26="",-1,1))-'Adjustment Surface'!T$26)+INDEX($AO$27:$BH$46,MATCH(INDEX('Adjustment Surface'!$AN$27:$AN$46,MATCH(('Adjustment Surface'!$O35),'Adjustment Surface'!$AN$27:$AN$46,1)+IF('Adjustment Surface'!$O36="",-1,1)),$AN$27:$AN$46,0),MATCH(INDEX('Adjustment Surface'!$AO$26:$BH$26,1,MATCH(('Adjustment Surface'!T$26),'Adjustment Surface'!$AO$26:$BH$26,1)),$AO$26:$BH$26,0))*('Adjustment Surface'!$O35-INDEX('Adjustment Surface'!$AN$27:$AN$46,MATCH(('Adjustment Surface'!$O35),'Adjustment Surface'!$AN$27:$AN$46,1)))*(INDEX('Adjustment Surface'!$AO$26:$BH$26,1,MATCH(('Adjustment Surface'!T$26),'Adjustment Surface'!$AO$26:$BH$26,1)+IF('Adjustment Surface'!U$26="",-1,1))-'Adjustment Surface'!T$26)+INDEX($AO$27:$BH$46,MATCH(INDEX('Adjustment Surface'!$AN$27:$AN$46,MATCH(('Adjustment Surface'!$O35),'Adjustment Surface'!$AN$27:$AN$46,1)),$AN$27:$AN$46,0),MATCH(INDEX('Adjustment Surface'!$AO$26:$BH$26,1,MATCH(('Adjustment Surface'!T$26),'Adjustment Surface'!$AO$26:$BH$26,1)+IF('Adjustment Surface'!U$26="",-1,1)),$AO$26:$BH$26,0))*(INDEX('Adjustment Surface'!$AN$27:$AN$46,MATCH(('Adjustment Surface'!$O35),'Adjustment Surface'!$AN$27:$AN$46,1)+IF('Adjustment Surface'!$O36="",-1,1))-'Adjustment Surface'!$O35)*('Adjustment Surface'!T$26-INDEX('Adjustment Surface'!$AO$26:$BH$26,1,MATCH(('Adjustment Surface'!T$26),'Adjustment Surface'!$AO$26:$BH$26,1)))+INDEX($AO$27:$BH$46,MATCH(INDEX('Adjustment Surface'!$AN$27:$AN$46,MATCH(('Adjustment Surface'!$O35),'Adjustment Surface'!$AN$27:$AN$46,1)+IF('Adjustment Surface'!$O36="",-1,1)),$AN$27:$AN$46,0),MATCH(INDEX('Adjustment Surface'!$AO$26:$BH$26,1,MATCH(('Adjustment Surface'!T$26),'Adjustment Surface'!$AO$26:$BH$26,1)+IF('Adjustment Surface'!U$26="",-1,1)),$AO$26:$BH$26,0))*('Adjustment Surface'!$O35-INDEX('Adjustment Surface'!$AN$27:$AN$46,MATCH(('Adjustment Surface'!$O35),'Adjustment Surface'!$AN$27:$AN$46,1)))*('Adjustment Surface'!T$26-INDEX('Adjustment Surface'!$AO$26:$BH$26,1,MATCH(('Adjustment Surface'!T$26),'Adjustment Surface'!$AO$26:$BH$26,1)))))</f>
        <v>2.6777238045805349</v>
      </c>
      <c r="U35" s="193" cm="1">
        <f t="array" ref="U35">IF(OR(U$26="",$O35=""),"",1/((INDEX('Adjustment Surface'!$AN$27:$AN$46,MATCH(('Adjustment Surface'!$O35),'Adjustment Surface'!$AN$27:$AN$46,1)+IF('Adjustment Surface'!$O36="",-1,1))-INDEX('Adjustment Surface'!$AN$27:$AN$46,MATCH(('Adjustment Surface'!$O35),'Adjustment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Surface'!$O35),'Adjustment Surface'!$AN$27:$AN$46,1)),$AN$27:$AN$46,0),MATCH(INDEX('Adjustment Surface'!$AO$26:$BH$26,1,MATCH(('Adjustment Surface'!U$26),'Adjustment Surface'!$AO$26:$BH$26,1)),$AO$26:$BH$26,0))*(INDEX('Adjustment Surface'!$AN$27:$AN$46,MATCH(('Adjustment Surface'!$O35),'Adjustment Surface'!$AN$27:$AN$46,1)+IF('Adjustment Surface'!$O36="",-1,1))-'Adjustment Surface'!$O35)*(INDEX('Adjustment Surface'!$AO$26:$BH$26,1,MATCH(('Adjustment Surface'!U$26),'Adjustment Surface'!$AO$26:$BH$26,1)+IF('Adjustment Surface'!V$26="",-1,1))-'Adjustment Surface'!U$26)+INDEX($AO$27:$BH$46,MATCH(INDEX('Adjustment Surface'!$AN$27:$AN$46,MATCH(('Adjustment Surface'!$O35),'Adjustment Surface'!$AN$27:$AN$46,1)+IF('Adjustment Surface'!$O36="",-1,1)),$AN$27:$AN$46,0),MATCH(INDEX('Adjustment Surface'!$AO$26:$BH$26,1,MATCH(('Adjustment Surface'!U$26),'Adjustment Surface'!$AO$26:$BH$26,1)),$AO$26:$BH$26,0))*('Adjustment Surface'!$O35-INDEX('Adjustment Surface'!$AN$27:$AN$46,MATCH(('Adjustment Surface'!$O35),'Adjustment Surface'!$AN$27:$AN$46,1)))*(INDEX('Adjustment Surface'!$AO$26:$BH$26,1,MATCH(('Adjustment Surface'!U$26),'Adjustment Surface'!$AO$26:$BH$26,1)+IF('Adjustment Surface'!V$26="",-1,1))-'Adjustment Surface'!U$26)+INDEX($AO$27:$BH$46,MATCH(INDEX('Adjustment Surface'!$AN$27:$AN$46,MATCH(('Adjustment Surface'!$O35),'Adjustment Surface'!$AN$27:$AN$46,1)),$AN$27:$AN$46,0),MATCH(INDEX('Adjustment Surface'!$AO$26:$BH$26,1,MATCH(('Adjustment Surface'!U$26),'Adjustment Surface'!$AO$26:$BH$26,1)+IF('Adjustment Surface'!V$26="",-1,1)),$AO$26:$BH$26,0))*(INDEX('Adjustment Surface'!$AN$27:$AN$46,MATCH(('Adjustment Surface'!$O35),'Adjustment Surface'!$AN$27:$AN$46,1)+IF('Adjustment Surface'!$O36="",-1,1))-'Adjustment Surface'!$O35)*('Adjustment Surface'!U$26-INDEX('Adjustment Surface'!$AO$26:$BH$26,1,MATCH(('Adjustment Surface'!U$26),'Adjustment Surface'!$AO$26:$BH$26,1)))+INDEX($AO$27:$BH$46,MATCH(INDEX('Adjustment Surface'!$AN$27:$AN$46,MATCH(('Adjustment Surface'!$O35),'Adjustment Surface'!$AN$27:$AN$46,1)+IF('Adjustment Surface'!$O36="",-1,1)),$AN$27:$AN$46,0),MATCH(INDEX('Adjustment Surface'!$AO$26:$BH$26,1,MATCH(('Adjustment Surface'!U$26),'Adjustment Surface'!$AO$26:$BH$26,1)+IF('Adjustment Surface'!V$26="",-1,1)),$AO$26:$BH$26,0))*('Adjustment Surface'!$O35-INDEX('Adjustment Surface'!$AN$27:$AN$46,MATCH(('Adjustment Surface'!$O35),'Adjustment Surface'!$AN$27:$AN$46,1)))*('Adjustment Surface'!U$26-INDEX('Adjustment Surface'!$AO$26:$BH$26,1,MATCH(('Adjustment Surface'!U$26),'Adjustment Surface'!$AO$26:$BH$26,1)))))</f>
        <v>2.1452192258642833</v>
      </c>
      <c r="V35" s="193" cm="1">
        <f t="array" ref="V35">IF(OR(V$26="",$O35=""),"",1/((INDEX('Adjustment Surface'!$AN$27:$AN$46,MATCH(('Adjustment Surface'!$O35),'Adjustment Surface'!$AN$27:$AN$46,1)+IF('Adjustment Surface'!$O36="",-1,1))-INDEX('Adjustment Surface'!$AN$27:$AN$46,MATCH(('Adjustment Surface'!$O35),'Adjustment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Surface'!$O35),'Adjustment Surface'!$AN$27:$AN$46,1)),$AN$27:$AN$46,0),MATCH(INDEX('Adjustment Surface'!$AO$26:$BH$26,1,MATCH(('Adjustment Surface'!V$26),'Adjustment Surface'!$AO$26:$BH$26,1)),$AO$26:$BH$26,0))*(INDEX('Adjustment Surface'!$AN$27:$AN$46,MATCH(('Adjustment Surface'!$O35),'Adjustment Surface'!$AN$27:$AN$46,1)+IF('Adjustment Surface'!$O36="",-1,1))-'Adjustment Surface'!$O35)*(INDEX('Adjustment Surface'!$AO$26:$BH$26,1,MATCH(('Adjustment Surface'!V$26),'Adjustment Surface'!$AO$26:$BH$26,1)+IF('Adjustment Surface'!W$26="",-1,1))-'Adjustment Surface'!V$26)+INDEX($AO$27:$BH$46,MATCH(INDEX('Adjustment Surface'!$AN$27:$AN$46,MATCH(('Adjustment Surface'!$O35),'Adjustment Surface'!$AN$27:$AN$46,1)+IF('Adjustment Surface'!$O36="",-1,1)),$AN$27:$AN$46,0),MATCH(INDEX('Adjustment Surface'!$AO$26:$BH$26,1,MATCH(('Adjustment Surface'!V$26),'Adjustment Surface'!$AO$26:$BH$26,1)),$AO$26:$BH$26,0))*('Adjustment Surface'!$O35-INDEX('Adjustment Surface'!$AN$27:$AN$46,MATCH(('Adjustment Surface'!$O35),'Adjustment Surface'!$AN$27:$AN$46,1)))*(INDEX('Adjustment Surface'!$AO$26:$BH$26,1,MATCH(('Adjustment Surface'!V$26),'Adjustment Surface'!$AO$26:$BH$26,1)+IF('Adjustment Surface'!W$26="",-1,1))-'Adjustment Surface'!V$26)+INDEX($AO$27:$BH$46,MATCH(INDEX('Adjustment Surface'!$AN$27:$AN$46,MATCH(('Adjustment Surface'!$O35),'Adjustment Surface'!$AN$27:$AN$46,1)),$AN$27:$AN$46,0),MATCH(INDEX('Adjustment Surface'!$AO$26:$BH$26,1,MATCH(('Adjustment Surface'!V$26),'Adjustment Surface'!$AO$26:$BH$26,1)+IF('Adjustment Surface'!W$26="",-1,1)),$AO$26:$BH$26,0))*(INDEX('Adjustment Surface'!$AN$27:$AN$46,MATCH(('Adjustment Surface'!$O35),'Adjustment Surface'!$AN$27:$AN$46,1)+IF('Adjustment Surface'!$O36="",-1,1))-'Adjustment Surface'!$O35)*('Adjustment Surface'!V$26-INDEX('Adjustment Surface'!$AO$26:$BH$26,1,MATCH(('Adjustment Surface'!V$26),'Adjustment Surface'!$AO$26:$BH$26,1)))+INDEX($AO$27:$BH$46,MATCH(INDEX('Adjustment Surface'!$AN$27:$AN$46,MATCH(('Adjustment Surface'!$O35),'Adjustment Surface'!$AN$27:$AN$46,1)+IF('Adjustment Surface'!$O36="",-1,1)),$AN$27:$AN$46,0),MATCH(INDEX('Adjustment Surface'!$AO$26:$BH$26,1,MATCH(('Adjustment Surface'!V$26),'Adjustment Surface'!$AO$26:$BH$26,1)+IF('Adjustment Surface'!W$26="",-1,1)),$AO$26:$BH$26,0))*('Adjustment Surface'!$O35-INDEX('Adjustment Surface'!$AN$27:$AN$46,MATCH(('Adjustment Surface'!$O35),'Adjustment Surface'!$AN$27:$AN$46,1)))*('Adjustment Surface'!V$26-INDEX('Adjustment Surface'!$AO$26:$BH$26,1,MATCH(('Adjustment Surface'!V$26),'Adjustment Surface'!$AO$26:$BH$26,1)))))</f>
        <v>1.6008812120654481</v>
      </c>
      <c r="W35" s="193" cm="1">
        <f t="array" ref="W35">IF(OR(W$26="",$O35=""),"",1/((INDEX('Adjustment Surface'!$AN$27:$AN$46,MATCH(('Adjustment Surface'!$O35),'Adjustment Surface'!$AN$27:$AN$46,1)+IF('Adjustment Surface'!$O36="",-1,1))-INDEX('Adjustment Surface'!$AN$27:$AN$46,MATCH(('Adjustment Surface'!$O35),'Adjustment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Surface'!$O35),'Adjustment Surface'!$AN$27:$AN$46,1)),$AN$27:$AN$46,0),MATCH(INDEX('Adjustment Surface'!$AO$26:$BH$26,1,MATCH(('Adjustment Surface'!W$26),'Adjustment Surface'!$AO$26:$BH$26,1)),$AO$26:$BH$26,0))*(INDEX('Adjustment Surface'!$AN$27:$AN$46,MATCH(('Adjustment Surface'!$O35),'Adjustment Surface'!$AN$27:$AN$46,1)+IF('Adjustment Surface'!$O36="",-1,1))-'Adjustment Surface'!$O35)*(INDEX('Adjustment Surface'!$AO$26:$BH$26,1,MATCH(('Adjustment Surface'!W$26),'Adjustment Surface'!$AO$26:$BH$26,1)+IF('Adjustment Surface'!X$26="",-1,1))-'Adjustment Surface'!W$26)+INDEX($AO$27:$BH$46,MATCH(INDEX('Adjustment Surface'!$AN$27:$AN$46,MATCH(('Adjustment Surface'!$O35),'Adjustment Surface'!$AN$27:$AN$46,1)+IF('Adjustment Surface'!$O36="",-1,1)),$AN$27:$AN$46,0),MATCH(INDEX('Adjustment Surface'!$AO$26:$BH$26,1,MATCH(('Adjustment Surface'!W$26),'Adjustment Surface'!$AO$26:$BH$26,1)),$AO$26:$BH$26,0))*('Adjustment Surface'!$O35-INDEX('Adjustment Surface'!$AN$27:$AN$46,MATCH(('Adjustment Surface'!$O35),'Adjustment Surface'!$AN$27:$AN$46,1)))*(INDEX('Adjustment Surface'!$AO$26:$BH$26,1,MATCH(('Adjustment Surface'!W$26),'Adjustment Surface'!$AO$26:$BH$26,1)+IF('Adjustment Surface'!X$26="",-1,1))-'Adjustment Surface'!W$26)+INDEX($AO$27:$BH$46,MATCH(INDEX('Adjustment Surface'!$AN$27:$AN$46,MATCH(('Adjustment Surface'!$O35),'Adjustment Surface'!$AN$27:$AN$46,1)),$AN$27:$AN$46,0),MATCH(INDEX('Adjustment Surface'!$AO$26:$BH$26,1,MATCH(('Adjustment Surface'!W$26),'Adjustment Surface'!$AO$26:$BH$26,1)+IF('Adjustment Surface'!X$26="",-1,1)),$AO$26:$BH$26,0))*(INDEX('Adjustment Surface'!$AN$27:$AN$46,MATCH(('Adjustment Surface'!$O35),'Adjustment Surface'!$AN$27:$AN$46,1)+IF('Adjustment Surface'!$O36="",-1,1))-'Adjustment Surface'!$O35)*('Adjustment Surface'!W$26-INDEX('Adjustment Surface'!$AO$26:$BH$26,1,MATCH(('Adjustment Surface'!W$26),'Adjustment Surface'!$AO$26:$BH$26,1)))+INDEX($AO$27:$BH$46,MATCH(INDEX('Adjustment Surface'!$AN$27:$AN$46,MATCH(('Adjustment Surface'!$O35),'Adjustment Surface'!$AN$27:$AN$46,1)+IF('Adjustment Surface'!$O36="",-1,1)),$AN$27:$AN$46,0),MATCH(INDEX('Adjustment Surface'!$AO$26:$BH$26,1,MATCH(('Adjustment Surface'!W$26),'Adjustment Surface'!$AO$26:$BH$26,1)+IF('Adjustment Surface'!X$26="",-1,1)),$AO$26:$BH$26,0))*('Adjustment Surface'!$O35-INDEX('Adjustment Surface'!$AN$27:$AN$46,MATCH(('Adjustment Surface'!$O35),'Adjustment Surface'!$AN$27:$AN$46,1)))*('Adjustment Surface'!W$26-INDEX('Adjustment Surface'!$AO$26:$BH$26,1,MATCH(('Adjustment Surface'!W$26),'Adjustment Surface'!$AO$26:$BH$26,1)))))</f>
        <v>1.0565431982666129</v>
      </c>
      <c r="X35" s="193" cm="1">
        <f t="array" ref="X35">IF(OR(X$26="",$O35=""),"",1/((INDEX('Adjustment Surface'!$AN$27:$AN$46,MATCH(('Adjustment Surface'!$O35),'Adjustment Surface'!$AN$27:$AN$46,1)+IF('Adjustment Surface'!$O36="",-1,1))-INDEX('Adjustment Surface'!$AN$27:$AN$46,MATCH(('Adjustment Surface'!$O35),'Adjustment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Surface'!$O35),'Adjustment Surface'!$AN$27:$AN$46,1)),$AN$27:$AN$46,0),MATCH(INDEX('Adjustment Surface'!$AO$26:$BH$26,1,MATCH(('Adjustment Surface'!X$26),'Adjustment Surface'!$AO$26:$BH$26,1)),$AO$26:$BH$26,0))*(INDEX('Adjustment Surface'!$AN$27:$AN$46,MATCH(('Adjustment Surface'!$O35),'Adjustment Surface'!$AN$27:$AN$46,1)+IF('Adjustment Surface'!$O36="",-1,1))-'Adjustment Surface'!$O35)*(INDEX('Adjustment Surface'!$AO$26:$BH$26,1,MATCH(('Adjustment Surface'!X$26),'Adjustment Surface'!$AO$26:$BH$26,1)+IF('Adjustment Surface'!Y$26="",-1,1))-'Adjustment Surface'!X$26)+INDEX($AO$27:$BH$46,MATCH(INDEX('Adjustment Surface'!$AN$27:$AN$46,MATCH(('Adjustment Surface'!$O35),'Adjustment Surface'!$AN$27:$AN$46,1)+IF('Adjustment Surface'!$O36="",-1,1)),$AN$27:$AN$46,0),MATCH(INDEX('Adjustment Surface'!$AO$26:$BH$26,1,MATCH(('Adjustment Surface'!X$26),'Adjustment Surface'!$AO$26:$BH$26,1)),$AO$26:$BH$26,0))*('Adjustment Surface'!$O35-INDEX('Adjustment Surface'!$AN$27:$AN$46,MATCH(('Adjustment Surface'!$O35),'Adjustment Surface'!$AN$27:$AN$46,1)))*(INDEX('Adjustment Surface'!$AO$26:$BH$26,1,MATCH(('Adjustment Surface'!X$26),'Adjustment Surface'!$AO$26:$BH$26,1)+IF('Adjustment Surface'!Y$26="",-1,1))-'Adjustment Surface'!X$26)+INDEX($AO$27:$BH$46,MATCH(INDEX('Adjustment Surface'!$AN$27:$AN$46,MATCH(('Adjustment Surface'!$O35),'Adjustment Surface'!$AN$27:$AN$46,1)),$AN$27:$AN$46,0),MATCH(INDEX('Adjustment Surface'!$AO$26:$BH$26,1,MATCH(('Adjustment Surface'!X$26),'Adjustment Surface'!$AO$26:$BH$26,1)+IF('Adjustment Surface'!Y$26="",-1,1)),$AO$26:$BH$26,0))*(INDEX('Adjustment Surface'!$AN$27:$AN$46,MATCH(('Adjustment Surface'!$O35),'Adjustment Surface'!$AN$27:$AN$46,1)+IF('Adjustment Surface'!$O36="",-1,1))-'Adjustment Surface'!$O35)*('Adjustment Surface'!X$26-INDEX('Adjustment Surface'!$AO$26:$BH$26,1,MATCH(('Adjustment Surface'!X$26),'Adjustment Surface'!$AO$26:$BH$26,1)))+INDEX($AO$27:$BH$46,MATCH(INDEX('Adjustment Surface'!$AN$27:$AN$46,MATCH(('Adjustment Surface'!$O35),'Adjustment Surface'!$AN$27:$AN$46,1)+IF('Adjustment Surface'!$O36="",-1,1)),$AN$27:$AN$46,0),MATCH(INDEX('Adjustment Surface'!$AO$26:$BH$26,1,MATCH(('Adjustment Surface'!X$26),'Adjustment Surface'!$AO$26:$BH$26,1)+IF('Adjustment Surface'!Y$26="",-1,1)),$AO$26:$BH$26,0))*('Adjustment Surface'!$O35-INDEX('Adjustment Surface'!$AN$27:$AN$46,MATCH(('Adjustment Surface'!$O35),'Adjustment Surface'!$AN$27:$AN$46,1)))*('Adjustment Surface'!X$26-INDEX('Adjustment Surface'!$AO$26:$BH$26,1,MATCH(('Adjustment Surface'!X$26),'Adjustment Surface'!$AO$26:$BH$26,1)))))</f>
        <v>0.51220518446777774</v>
      </c>
      <c r="Y35" s="193" t="str" cm="1">
        <f t="array" ref="Y35">IF(OR(Y$26="",$O35=""),"",1/((INDEX('Adjustment Surface'!$AN$27:$AN$46,MATCH(('Adjustment Surface'!$O35),'Adjustment Surface'!$AN$27:$AN$46,1)+IF('Adjustment Surface'!$O36="",-1,1))-INDEX('Adjustment Surface'!$AN$27:$AN$46,MATCH(('Adjustment Surface'!$O35),'Adjustment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Surface'!$O35),'Adjustment Surface'!$AN$27:$AN$46,1)),$AN$27:$AN$46,0),MATCH(INDEX('Adjustment Surface'!$AO$26:$BH$26,1,MATCH(('Adjustment Surface'!Y$26),'Adjustment Surface'!$AO$26:$BH$26,1)),$AO$26:$BH$26,0))*(INDEX('Adjustment Surface'!$AN$27:$AN$46,MATCH(('Adjustment Surface'!$O35),'Adjustment Surface'!$AN$27:$AN$46,1)+IF('Adjustment Surface'!$O36="",-1,1))-'Adjustment Surface'!$O35)*(INDEX('Adjustment Surface'!$AO$26:$BH$26,1,MATCH(('Adjustment Surface'!Y$26),'Adjustment Surface'!$AO$26:$BH$26,1)+IF('Adjustment Surface'!Z$26="",-1,1))-'Adjustment Surface'!Y$26)+INDEX($AO$27:$BH$46,MATCH(INDEX('Adjustment Surface'!$AN$27:$AN$46,MATCH(('Adjustment Surface'!$O35),'Adjustment Surface'!$AN$27:$AN$46,1)+IF('Adjustment Surface'!$O36="",-1,1)),$AN$27:$AN$46,0),MATCH(INDEX('Adjustment Surface'!$AO$26:$BH$26,1,MATCH(('Adjustment Surface'!Y$26),'Adjustment Surface'!$AO$26:$BH$26,1)),$AO$26:$BH$26,0))*('Adjustment Surface'!$O35-INDEX('Adjustment Surface'!$AN$27:$AN$46,MATCH(('Adjustment Surface'!$O35),'Adjustment Surface'!$AN$27:$AN$46,1)))*(INDEX('Adjustment Surface'!$AO$26:$BH$26,1,MATCH(('Adjustment Surface'!Y$26),'Adjustment Surface'!$AO$26:$BH$26,1)+IF('Adjustment Surface'!Z$26="",-1,1))-'Adjustment Surface'!Y$26)+INDEX($AO$27:$BH$46,MATCH(INDEX('Adjustment Surface'!$AN$27:$AN$46,MATCH(('Adjustment Surface'!$O35),'Adjustment Surface'!$AN$27:$AN$46,1)),$AN$27:$AN$46,0),MATCH(INDEX('Adjustment Surface'!$AO$26:$BH$26,1,MATCH(('Adjustment Surface'!Y$26),'Adjustment Surface'!$AO$26:$BH$26,1)+IF('Adjustment Surface'!Z$26="",-1,1)),$AO$26:$BH$26,0))*(INDEX('Adjustment Surface'!$AN$27:$AN$46,MATCH(('Adjustment Surface'!$O35),'Adjustment Surface'!$AN$27:$AN$46,1)+IF('Adjustment Surface'!$O36="",-1,1))-'Adjustment Surface'!$O35)*('Adjustment Surface'!Y$26-INDEX('Adjustment Surface'!$AO$26:$BH$26,1,MATCH(('Adjustment Surface'!Y$26),'Adjustment Surface'!$AO$26:$BH$26,1)))+INDEX($AO$27:$BH$46,MATCH(INDEX('Adjustment Surface'!$AN$27:$AN$46,MATCH(('Adjustment Surface'!$O35),'Adjustment Surface'!$AN$27:$AN$46,1)+IF('Adjustment Surface'!$O36="",-1,1)),$AN$27:$AN$46,0),MATCH(INDEX('Adjustment Surface'!$AO$26:$BH$26,1,MATCH(('Adjustment Surface'!Y$26),'Adjustment Surface'!$AO$26:$BH$26,1)+IF('Adjustment Surface'!Z$26="",-1,1)),$AO$26:$BH$26,0))*('Adjustment Surface'!$O35-INDEX('Adjustment Surface'!$AN$27:$AN$46,MATCH(('Adjustment Surface'!$O35),'Adjustment Surface'!$AN$27:$AN$46,1)))*('Adjustment Surface'!Y$26-INDEX('Adjustment Surface'!$AO$26:$BH$26,1,MATCH(('Adjustment Surface'!Y$26),'Adjustment Surface'!$AO$26:$BH$26,1)))))</f>
        <v/>
      </c>
      <c r="Z35" s="193" t="str" cm="1">
        <f t="array" ref="Z35">IF(OR(Z$26="",$O35=""),"",1/((INDEX('Adjustment Surface'!$AN$27:$AN$46,MATCH(('Adjustment Surface'!$O35),'Adjustment Surface'!$AN$27:$AN$46,1)+IF('Adjustment Surface'!$O36="",-1,1))-INDEX('Adjustment Surface'!$AN$27:$AN$46,MATCH(('Adjustment Surface'!$O35),'Adjustment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Surface'!$O35),'Adjustment Surface'!$AN$27:$AN$46,1)),$AN$27:$AN$46,0),MATCH(INDEX('Adjustment Surface'!$AO$26:$BH$26,1,MATCH(('Adjustment Surface'!Z$26),'Adjustment Surface'!$AO$26:$BH$26,1)),$AO$26:$BH$26,0))*(INDEX('Adjustment Surface'!$AN$27:$AN$46,MATCH(('Adjustment Surface'!$O35),'Adjustment Surface'!$AN$27:$AN$46,1)+IF('Adjustment Surface'!$O36="",-1,1))-'Adjustment Surface'!$O35)*(INDEX('Adjustment Surface'!$AO$26:$BH$26,1,MATCH(('Adjustment Surface'!Z$26),'Adjustment Surface'!$AO$26:$BH$26,1)+IF('Adjustment Surface'!AA$26="",-1,1))-'Adjustment Surface'!Z$26)+INDEX($AO$27:$BH$46,MATCH(INDEX('Adjustment Surface'!$AN$27:$AN$46,MATCH(('Adjustment Surface'!$O35),'Adjustment Surface'!$AN$27:$AN$46,1)+IF('Adjustment Surface'!$O36="",-1,1)),$AN$27:$AN$46,0),MATCH(INDEX('Adjustment Surface'!$AO$26:$BH$26,1,MATCH(('Adjustment Surface'!Z$26),'Adjustment Surface'!$AO$26:$BH$26,1)),$AO$26:$BH$26,0))*('Adjustment Surface'!$O35-INDEX('Adjustment Surface'!$AN$27:$AN$46,MATCH(('Adjustment Surface'!$O35),'Adjustment Surface'!$AN$27:$AN$46,1)))*(INDEX('Adjustment Surface'!$AO$26:$BH$26,1,MATCH(('Adjustment Surface'!Z$26),'Adjustment Surface'!$AO$26:$BH$26,1)+IF('Adjustment Surface'!AA$26="",-1,1))-'Adjustment Surface'!Z$26)+INDEX($AO$27:$BH$46,MATCH(INDEX('Adjustment Surface'!$AN$27:$AN$46,MATCH(('Adjustment Surface'!$O35),'Adjustment Surface'!$AN$27:$AN$46,1)),$AN$27:$AN$46,0),MATCH(INDEX('Adjustment Surface'!$AO$26:$BH$26,1,MATCH(('Adjustment Surface'!Z$26),'Adjustment Surface'!$AO$26:$BH$26,1)+IF('Adjustment Surface'!AA$26="",-1,1)),$AO$26:$BH$26,0))*(INDEX('Adjustment Surface'!$AN$27:$AN$46,MATCH(('Adjustment Surface'!$O35),'Adjustment Surface'!$AN$27:$AN$46,1)+IF('Adjustment Surface'!$O36="",-1,1))-'Adjustment Surface'!$O35)*('Adjustment Surface'!Z$26-INDEX('Adjustment Surface'!$AO$26:$BH$26,1,MATCH(('Adjustment Surface'!Z$26),'Adjustment Surface'!$AO$26:$BH$26,1)))+INDEX($AO$27:$BH$46,MATCH(INDEX('Adjustment Surface'!$AN$27:$AN$46,MATCH(('Adjustment Surface'!$O35),'Adjustment Surface'!$AN$27:$AN$46,1)+IF('Adjustment Surface'!$O36="",-1,1)),$AN$27:$AN$46,0),MATCH(INDEX('Adjustment Surface'!$AO$26:$BH$26,1,MATCH(('Adjustment Surface'!Z$26),'Adjustment Surface'!$AO$26:$BH$26,1)+IF('Adjustment Surface'!AA$26="",-1,1)),$AO$26:$BH$26,0))*('Adjustment Surface'!$O35-INDEX('Adjustment Surface'!$AN$27:$AN$46,MATCH(('Adjustment Surface'!$O35),'Adjustment Surface'!$AN$27:$AN$46,1)))*('Adjustment Surface'!Z$26-INDEX('Adjustment Surface'!$AO$26:$BH$26,1,MATCH(('Adjustment Surface'!Z$26),'Adjustment Surface'!$AO$26:$BH$26,1)))))</f>
        <v/>
      </c>
      <c r="AA35" s="193" t="str" cm="1">
        <f t="array" ref="AA35">IF(OR(AA$26="",$O35=""),"",1/((INDEX('Adjustment Surface'!$AN$27:$AN$46,MATCH(('Adjustment Surface'!$O35),'Adjustment Surface'!$AN$27:$AN$46,1)+IF('Adjustment Surface'!$O36="",-1,1))-INDEX('Adjustment Surface'!$AN$27:$AN$46,MATCH(('Adjustment Surface'!$O35),'Adjustment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Surface'!$O35),'Adjustment Surface'!$AN$27:$AN$46,1)),$AN$27:$AN$46,0),MATCH(INDEX('Adjustment Surface'!$AO$26:$BH$26,1,MATCH(('Adjustment Surface'!AA$26),'Adjustment Surface'!$AO$26:$BH$26,1)),$AO$26:$BH$26,0))*(INDEX('Adjustment Surface'!$AN$27:$AN$46,MATCH(('Adjustment Surface'!$O35),'Adjustment Surface'!$AN$27:$AN$46,1)+IF('Adjustment Surface'!$O36="",-1,1))-'Adjustment Surface'!$O35)*(INDEX('Adjustment Surface'!$AO$26:$BH$26,1,MATCH(('Adjustment Surface'!AA$26),'Adjustment Surface'!$AO$26:$BH$26,1)+IF('Adjustment Surface'!AB$26="",-1,1))-'Adjustment Surface'!AA$26)+INDEX($AO$27:$BH$46,MATCH(INDEX('Adjustment Surface'!$AN$27:$AN$46,MATCH(('Adjustment Surface'!$O35),'Adjustment Surface'!$AN$27:$AN$46,1)+IF('Adjustment Surface'!$O36="",-1,1)),$AN$27:$AN$46,0),MATCH(INDEX('Adjustment Surface'!$AO$26:$BH$26,1,MATCH(('Adjustment Surface'!AA$26),'Adjustment Surface'!$AO$26:$BH$26,1)),$AO$26:$BH$26,0))*('Adjustment Surface'!$O35-INDEX('Adjustment Surface'!$AN$27:$AN$46,MATCH(('Adjustment Surface'!$O35),'Adjustment Surface'!$AN$27:$AN$46,1)))*(INDEX('Adjustment Surface'!$AO$26:$BH$26,1,MATCH(('Adjustment Surface'!AA$26),'Adjustment Surface'!$AO$26:$BH$26,1)+IF('Adjustment Surface'!AB$26="",-1,1))-'Adjustment Surface'!AA$26)+INDEX($AO$27:$BH$46,MATCH(INDEX('Adjustment Surface'!$AN$27:$AN$46,MATCH(('Adjustment Surface'!$O35),'Adjustment Surface'!$AN$27:$AN$46,1)),$AN$27:$AN$46,0),MATCH(INDEX('Adjustment Surface'!$AO$26:$BH$26,1,MATCH(('Adjustment Surface'!AA$26),'Adjustment Surface'!$AO$26:$BH$26,1)+IF('Adjustment Surface'!AB$26="",-1,1)),$AO$26:$BH$26,0))*(INDEX('Adjustment Surface'!$AN$27:$AN$46,MATCH(('Adjustment Surface'!$O35),'Adjustment Surface'!$AN$27:$AN$46,1)+IF('Adjustment Surface'!$O36="",-1,1))-'Adjustment Surface'!$O35)*('Adjustment Surface'!AA$26-INDEX('Adjustment Surface'!$AO$26:$BH$26,1,MATCH(('Adjustment Surface'!AA$26),'Adjustment Surface'!$AO$26:$BH$26,1)))+INDEX($AO$27:$BH$46,MATCH(INDEX('Adjustment Surface'!$AN$27:$AN$46,MATCH(('Adjustment Surface'!$O35),'Adjustment Surface'!$AN$27:$AN$46,1)+IF('Adjustment Surface'!$O36="",-1,1)),$AN$27:$AN$46,0),MATCH(INDEX('Adjustment Surface'!$AO$26:$BH$26,1,MATCH(('Adjustment Surface'!AA$26),'Adjustment Surface'!$AO$26:$BH$26,1)+IF('Adjustment Surface'!AB$26="",-1,1)),$AO$26:$BH$26,0))*('Adjustment Surface'!$O35-INDEX('Adjustment Surface'!$AN$27:$AN$46,MATCH(('Adjustment Surface'!$O35),'Adjustment Surface'!$AN$27:$AN$46,1)))*('Adjustment Surface'!AA$26-INDEX('Adjustment Surface'!$AO$26:$BH$26,1,MATCH(('Adjustment Surface'!AA$26),'Adjustment Surface'!$AO$26:$BH$26,1)))))</f>
        <v/>
      </c>
      <c r="AB35" s="193" t="str" cm="1">
        <f t="array" ref="AB35">IF(OR(AB$26="",$O35=""),"",1/((INDEX('Adjustment Surface'!$AN$27:$AN$46,MATCH(('Adjustment Surface'!$O35),'Adjustment Surface'!$AN$27:$AN$46,1)+IF('Adjustment Surface'!$O36="",-1,1))-INDEX('Adjustment Surface'!$AN$27:$AN$46,MATCH(('Adjustment Surface'!$O35),'Adjustment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Surface'!$O35),'Adjustment Surface'!$AN$27:$AN$46,1)),$AN$27:$AN$46,0),MATCH(INDEX('Adjustment Surface'!$AO$26:$BH$26,1,MATCH(('Adjustment Surface'!AB$26),'Adjustment Surface'!$AO$26:$BH$26,1)),$AO$26:$BH$26,0))*(INDEX('Adjustment Surface'!$AN$27:$AN$46,MATCH(('Adjustment Surface'!$O35),'Adjustment Surface'!$AN$27:$AN$46,1)+IF('Adjustment Surface'!$O36="",-1,1))-'Adjustment Surface'!$O35)*(INDEX('Adjustment Surface'!$AO$26:$BH$26,1,MATCH(('Adjustment Surface'!AB$26),'Adjustment Surface'!$AO$26:$BH$26,1)+IF('Adjustment Surface'!AC$26="",-1,1))-'Adjustment Surface'!AB$26)+INDEX($AO$27:$BH$46,MATCH(INDEX('Adjustment Surface'!$AN$27:$AN$46,MATCH(('Adjustment Surface'!$O35),'Adjustment Surface'!$AN$27:$AN$46,1)+IF('Adjustment Surface'!$O36="",-1,1)),$AN$27:$AN$46,0),MATCH(INDEX('Adjustment Surface'!$AO$26:$BH$26,1,MATCH(('Adjustment Surface'!AB$26),'Adjustment Surface'!$AO$26:$BH$26,1)),$AO$26:$BH$26,0))*('Adjustment Surface'!$O35-INDEX('Adjustment Surface'!$AN$27:$AN$46,MATCH(('Adjustment Surface'!$O35),'Adjustment Surface'!$AN$27:$AN$46,1)))*(INDEX('Adjustment Surface'!$AO$26:$BH$26,1,MATCH(('Adjustment Surface'!AB$26),'Adjustment Surface'!$AO$26:$BH$26,1)+IF('Adjustment Surface'!AC$26="",-1,1))-'Adjustment Surface'!AB$26)+INDEX($AO$27:$BH$46,MATCH(INDEX('Adjustment Surface'!$AN$27:$AN$46,MATCH(('Adjustment Surface'!$O35),'Adjustment Surface'!$AN$27:$AN$46,1)),$AN$27:$AN$46,0),MATCH(INDEX('Adjustment Surface'!$AO$26:$BH$26,1,MATCH(('Adjustment Surface'!AB$26),'Adjustment Surface'!$AO$26:$BH$26,1)+IF('Adjustment Surface'!AC$26="",-1,1)),$AO$26:$BH$26,0))*(INDEX('Adjustment Surface'!$AN$27:$AN$46,MATCH(('Adjustment Surface'!$O35),'Adjustment Surface'!$AN$27:$AN$46,1)+IF('Adjustment Surface'!$O36="",-1,1))-'Adjustment Surface'!$O35)*('Adjustment Surface'!AB$26-INDEX('Adjustment Surface'!$AO$26:$BH$26,1,MATCH(('Adjustment Surface'!AB$26),'Adjustment Surface'!$AO$26:$BH$26,1)))+INDEX($AO$27:$BH$46,MATCH(INDEX('Adjustment Surface'!$AN$27:$AN$46,MATCH(('Adjustment Surface'!$O35),'Adjustment Surface'!$AN$27:$AN$46,1)+IF('Adjustment Surface'!$O36="",-1,1)),$AN$27:$AN$46,0),MATCH(INDEX('Adjustment Surface'!$AO$26:$BH$26,1,MATCH(('Adjustment Surface'!AB$26),'Adjustment Surface'!$AO$26:$BH$26,1)+IF('Adjustment Surface'!AC$26="",-1,1)),$AO$26:$BH$26,0))*('Adjustment Surface'!$O35-INDEX('Adjustment Surface'!$AN$27:$AN$46,MATCH(('Adjustment Surface'!$O35),'Adjustment Surface'!$AN$27:$AN$46,1)))*('Adjustment Surface'!AB$26-INDEX('Adjustment Surface'!$AO$26:$BH$26,1,MATCH(('Adjustment Surface'!AB$26),'Adjustment Surface'!$AO$26:$BH$26,1)))))</f>
        <v/>
      </c>
      <c r="AC35" s="193" t="str" cm="1">
        <f t="array" ref="AC35">IF(OR(AC$26="",$O35=""),"",1/((INDEX('Adjustment Surface'!$AN$27:$AN$46,MATCH(('Adjustment Surface'!$O35),'Adjustment Surface'!$AN$27:$AN$46,1)+IF('Adjustment Surface'!$O36="",-1,1))-INDEX('Adjustment Surface'!$AN$27:$AN$46,MATCH(('Adjustment Surface'!$O35),'Adjustment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Surface'!$O35),'Adjustment Surface'!$AN$27:$AN$46,1)),$AN$27:$AN$46,0),MATCH(INDEX('Adjustment Surface'!$AO$26:$BH$26,1,MATCH(('Adjustment Surface'!AC$26),'Adjustment Surface'!$AO$26:$BH$26,1)),$AO$26:$BH$26,0))*(INDEX('Adjustment Surface'!$AN$27:$AN$46,MATCH(('Adjustment Surface'!$O35),'Adjustment Surface'!$AN$27:$AN$46,1)+IF('Adjustment Surface'!$O36="",-1,1))-'Adjustment Surface'!$O35)*(INDEX('Adjustment Surface'!$AO$26:$BH$26,1,MATCH(('Adjustment Surface'!AC$26),'Adjustment Surface'!$AO$26:$BH$26,1)+IF('Adjustment Surface'!AD$26="",-1,1))-'Adjustment Surface'!AC$26)+INDEX($AO$27:$BH$46,MATCH(INDEX('Adjustment Surface'!$AN$27:$AN$46,MATCH(('Adjustment Surface'!$O35),'Adjustment Surface'!$AN$27:$AN$46,1)+IF('Adjustment Surface'!$O36="",-1,1)),$AN$27:$AN$46,0),MATCH(INDEX('Adjustment Surface'!$AO$26:$BH$26,1,MATCH(('Adjustment Surface'!AC$26),'Adjustment Surface'!$AO$26:$BH$26,1)),$AO$26:$BH$26,0))*('Adjustment Surface'!$O35-INDEX('Adjustment Surface'!$AN$27:$AN$46,MATCH(('Adjustment Surface'!$O35),'Adjustment Surface'!$AN$27:$AN$46,1)))*(INDEX('Adjustment Surface'!$AO$26:$BH$26,1,MATCH(('Adjustment Surface'!AC$26),'Adjustment Surface'!$AO$26:$BH$26,1)+IF('Adjustment Surface'!AD$26="",-1,1))-'Adjustment Surface'!AC$26)+INDEX($AO$27:$BH$46,MATCH(INDEX('Adjustment Surface'!$AN$27:$AN$46,MATCH(('Adjustment Surface'!$O35),'Adjustment Surface'!$AN$27:$AN$46,1)),$AN$27:$AN$46,0),MATCH(INDEX('Adjustment Surface'!$AO$26:$BH$26,1,MATCH(('Adjustment Surface'!AC$26),'Adjustment Surface'!$AO$26:$BH$26,1)+IF('Adjustment Surface'!AD$26="",-1,1)),$AO$26:$BH$26,0))*(INDEX('Adjustment Surface'!$AN$27:$AN$46,MATCH(('Adjustment Surface'!$O35),'Adjustment Surface'!$AN$27:$AN$46,1)+IF('Adjustment Surface'!$O36="",-1,1))-'Adjustment Surface'!$O35)*('Adjustment Surface'!AC$26-INDEX('Adjustment Surface'!$AO$26:$BH$26,1,MATCH(('Adjustment Surface'!AC$26),'Adjustment Surface'!$AO$26:$BH$26,1)))+INDEX($AO$27:$BH$46,MATCH(INDEX('Adjustment Surface'!$AN$27:$AN$46,MATCH(('Adjustment Surface'!$O35),'Adjustment Surface'!$AN$27:$AN$46,1)+IF('Adjustment Surface'!$O36="",-1,1)),$AN$27:$AN$46,0),MATCH(INDEX('Adjustment Surface'!$AO$26:$BH$26,1,MATCH(('Adjustment Surface'!AC$26),'Adjustment Surface'!$AO$26:$BH$26,1)+IF('Adjustment Surface'!AD$26="",-1,1)),$AO$26:$BH$26,0))*('Adjustment Surface'!$O35-INDEX('Adjustment Surface'!$AN$27:$AN$46,MATCH(('Adjustment Surface'!$O35),'Adjustment Surface'!$AN$27:$AN$46,1)))*('Adjustment Surface'!AC$26-INDEX('Adjustment Surface'!$AO$26:$BH$26,1,MATCH(('Adjustment Surface'!AC$26),'Adjustment Surface'!$AO$26:$BH$26,1)))))</f>
        <v/>
      </c>
      <c r="AD35" s="193" t="str" cm="1">
        <f t="array" ref="AD35">IF(OR(AD$26="",$O35=""),"",1/((INDEX('Adjustment Surface'!$AN$27:$AN$46,MATCH(('Adjustment Surface'!$O35),'Adjustment Surface'!$AN$27:$AN$46,1)+IF('Adjustment Surface'!$O36="",-1,1))-INDEX('Adjustment Surface'!$AN$27:$AN$46,MATCH(('Adjustment Surface'!$O35),'Adjustment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Surface'!$O35),'Adjustment Surface'!$AN$27:$AN$46,1)),$AN$27:$AN$46,0),MATCH(INDEX('Adjustment Surface'!$AO$26:$BH$26,1,MATCH(('Adjustment Surface'!AD$26),'Adjustment Surface'!$AO$26:$BH$26,1)),$AO$26:$BH$26,0))*(INDEX('Adjustment Surface'!$AN$27:$AN$46,MATCH(('Adjustment Surface'!$O35),'Adjustment Surface'!$AN$27:$AN$46,1)+IF('Adjustment Surface'!$O36="",-1,1))-'Adjustment Surface'!$O35)*(INDEX('Adjustment Surface'!$AO$26:$BH$26,1,MATCH(('Adjustment Surface'!AD$26),'Adjustment Surface'!$AO$26:$BH$26,1)+IF('Adjustment Surface'!AE$26="",-1,1))-'Adjustment Surface'!AD$26)+INDEX($AO$27:$BH$46,MATCH(INDEX('Adjustment Surface'!$AN$27:$AN$46,MATCH(('Adjustment Surface'!$O35),'Adjustment Surface'!$AN$27:$AN$46,1)+IF('Adjustment Surface'!$O36="",-1,1)),$AN$27:$AN$46,0),MATCH(INDEX('Adjustment Surface'!$AO$26:$BH$26,1,MATCH(('Adjustment Surface'!AD$26),'Adjustment Surface'!$AO$26:$BH$26,1)),$AO$26:$BH$26,0))*('Adjustment Surface'!$O35-INDEX('Adjustment Surface'!$AN$27:$AN$46,MATCH(('Adjustment Surface'!$O35),'Adjustment Surface'!$AN$27:$AN$46,1)))*(INDEX('Adjustment Surface'!$AO$26:$BH$26,1,MATCH(('Adjustment Surface'!AD$26),'Adjustment Surface'!$AO$26:$BH$26,1)+IF('Adjustment Surface'!AE$26="",-1,1))-'Adjustment Surface'!AD$26)+INDEX($AO$27:$BH$46,MATCH(INDEX('Adjustment Surface'!$AN$27:$AN$46,MATCH(('Adjustment Surface'!$O35),'Adjustment Surface'!$AN$27:$AN$46,1)),$AN$27:$AN$46,0),MATCH(INDEX('Adjustment Surface'!$AO$26:$BH$26,1,MATCH(('Adjustment Surface'!AD$26),'Adjustment Surface'!$AO$26:$BH$26,1)+IF('Adjustment Surface'!AE$26="",-1,1)),$AO$26:$BH$26,0))*(INDEX('Adjustment Surface'!$AN$27:$AN$46,MATCH(('Adjustment Surface'!$O35),'Adjustment Surface'!$AN$27:$AN$46,1)+IF('Adjustment Surface'!$O36="",-1,1))-'Adjustment Surface'!$O35)*('Adjustment Surface'!AD$26-INDEX('Adjustment Surface'!$AO$26:$BH$26,1,MATCH(('Adjustment Surface'!AD$26),'Adjustment Surface'!$AO$26:$BH$26,1)))+INDEX($AO$27:$BH$46,MATCH(INDEX('Adjustment Surface'!$AN$27:$AN$46,MATCH(('Adjustment Surface'!$O35),'Adjustment Surface'!$AN$27:$AN$46,1)+IF('Adjustment Surface'!$O36="",-1,1)),$AN$27:$AN$46,0),MATCH(INDEX('Adjustment Surface'!$AO$26:$BH$26,1,MATCH(('Adjustment Surface'!AD$26),'Adjustment Surface'!$AO$26:$BH$26,1)+IF('Adjustment Surface'!AE$26="",-1,1)),$AO$26:$BH$26,0))*('Adjustment Surface'!$O35-INDEX('Adjustment Surface'!$AN$27:$AN$46,MATCH(('Adjustment Surface'!$O35),'Adjustment Surface'!$AN$27:$AN$46,1)))*('Adjustment Surface'!AD$26-INDEX('Adjustment Surface'!$AO$26:$BH$26,1,MATCH(('Adjustment Surface'!AD$26),'Adjustment Surface'!$AO$26:$BH$26,1)))))</f>
        <v/>
      </c>
      <c r="AE35" s="193" t="str" cm="1">
        <f t="array" ref="AE35">IF(OR(AE$26="",$O35=""),"",1/((INDEX('Adjustment Surface'!$AN$27:$AN$46,MATCH(('Adjustment Surface'!$O35),'Adjustment Surface'!$AN$27:$AN$46,1)+IF('Adjustment Surface'!$O36="",-1,1))-INDEX('Adjustment Surface'!$AN$27:$AN$46,MATCH(('Adjustment Surface'!$O35),'Adjustment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Surface'!$O35),'Adjustment Surface'!$AN$27:$AN$46,1)),$AN$27:$AN$46,0),MATCH(INDEX('Adjustment Surface'!$AO$26:$BH$26,1,MATCH(('Adjustment Surface'!AE$26),'Adjustment Surface'!$AO$26:$BH$26,1)),$AO$26:$BH$26,0))*(INDEX('Adjustment Surface'!$AN$27:$AN$46,MATCH(('Adjustment Surface'!$O35),'Adjustment Surface'!$AN$27:$AN$46,1)+IF('Adjustment Surface'!$O36="",-1,1))-'Adjustment Surface'!$O35)*(INDEX('Adjustment Surface'!$AO$26:$BH$26,1,MATCH(('Adjustment Surface'!AE$26),'Adjustment Surface'!$AO$26:$BH$26,1)+IF('Adjustment Surface'!AF$26="",-1,1))-'Adjustment Surface'!AE$26)+INDEX($AO$27:$BH$46,MATCH(INDEX('Adjustment Surface'!$AN$27:$AN$46,MATCH(('Adjustment Surface'!$O35),'Adjustment Surface'!$AN$27:$AN$46,1)+IF('Adjustment Surface'!$O36="",-1,1)),$AN$27:$AN$46,0),MATCH(INDEX('Adjustment Surface'!$AO$26:$BH$26,1,MATCH(('Adjustment Surface'!AE$26),'Adjustment Surface'!$AO$26:$BH$26,1)),$AO$26:$BH$26,0))*('Adjustment Surface'!$O35-INDEX('Adjustment Surface'!$AN$27:$AN$46,MATCH(('Adjustment Surface'!$O35),'Adjustment Surface'!$AN$27:$AN$46,1)))*(INDEX('Adjustment Surface'!$AO$26:$BH$26,1,MATCH(('Adjustment Surface'!AE$26),'Adjustment Surface'!$AO$26:$BH$26,1)+IF('Adjustment Surface'!AF$26="",-1,1))-'Adjustment Surface'!AE$26)+INDEX($AO$27:$BH$46,MATCH(INDEX('Adjustment Surface'!$AN$27:$AN$46,MATCH(('Adjustment Surface'!$O35),'Adjustment Surface'!$AN$27:$AN$46,1)),$AN$27:$AN$46,0),MATCH(INDEX('Adjustment Surface'!$AO$26:$BH$26,1,MATCH(('Adjustment Surface'!AE$26),'Adjustment Surface'!$AO$26:$BH$26,1)+IF('Adjustment Surface'!AF$26="",-1,1)),$AO$26:$BH$26,0))*(INDEX('Adjustment Surface'!$AN$27:$AN$46,MATCH(('Adjustment Surface'!$O35),'Adjustment Surface'!$AN$27:$AN$46,1)+IF('Adjustment Surface'!$O36="",-1,1))-'Adjustment Surface'!$O35)*('Adjustment Surface'!AE$26-INDEX('Adjustment Surface'!$AO$26:$BH$26,1,MATCH(('Adjustment Surface'!AE$26),'Adjustment Surface'!$AO$26:$BH$26,1)))+INDEX($AO$27:$BH$46,MATCH(INDEX('Adjustment Surface'!$AN$27:$AN$46,MATCH(('Adjustment Surface'!$O35),'Adjustment Surface'!$AN$27:$AN$46,1)+IF('Adjustment Surface'!$O36="",-1,1)),$AN$27:$AN$46,0),MATCH(INDEX('Adjustment Surface'!$AO$26:$BH$26,1,MATCH(('Adjustment Surface'!AE$26),'Adjustment Surface'!$AO$26:$BH$26,1)+IF('Adjustment Surface'!AF$26="",-1,1)),$AO$26:$BH$26,0))*('Adjustment Surface'!$O35-INDEX('Adjustment Surface'!$AN$27:$AN$46,MATCH(('Adjustment Surface'!$O35),'Adjustment Surface'!$AN$27:$AN$46,1)))*('Adjustment Surface'!AE$26-INDEX('Adjustment Surface'!$AO$26:$BH$26,1,MATCH(('Adjustment Surface'!AE$26),'Adjustment Surface'!$AO$26:$BH$26,1)))))</f>
        <v/>
      </c>
      <c r="AF35" s="193" t="str" cm="1">
        <f t="array" ref="AF35">IF(OR(AF$26="",$O35=""),"",1/((INDEX('Adjustment Surface'!$AN$27:$AN$46,MATCH(('Adjustment Surface'!$O35),'Adjustment Surface'!$AN$27:$AN$46,1)+IF('Adjustment Surface'!$O36="",-1,1))-INDEX('Adjustment Surface'!$AN$27:$AN$46,MATCH(('Adjustment Surface'!$O35),'Adjustment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Surface'!$O35),'Adjustment Surface'!$AN$27:$AN$46,1)),$AN$27:$AN$46,0),MATCH(INDEX('Adjustment Surface'!$AO$26:$BH$26,1,MATCH(('Adjustment Surface'!AF$26),'Adjustment Surface'!$AO$26:$BH$26,1)),$AO$26:$BH$26,0))*(INDEX('Adjustment Surface'!$AN$27:$AN$46,MATCH(('Adjustment Surface'!$O35),'Adjustment Surface'!$AN$27:$AN$46,1)+IF('Adjustment Surface'!$O36="",-1,1))-'Adjustment Surface'!$O35)*(INDEX('Adjustment Surface'!$AO$26:$BH$26,1,MATCH(('Adjustment Surface'!AF$26),'Adjustment Surface'!$AO$26:$BH$26,1)+IF('Adjustment Surface'!AG$26="",-1,1))-'Adjustment Surface'!AF$26)+INDEX($AO$27:$BH$46,MATCH(INDEX('Adjustment Surface'!$AN$27:$AN$46,MATCH(('Adjustment Surface'!$O35),'Adjustment Surface'!$AN$27:$AN$46,1)+IF('Adjustment Surface'!$O36="",-1,1)),$AN$27:$AN$46,0),MATCH(INDEX('Adjustment Surface'!$AO$26:$BH$26,1,MATCH(('Adjustment Surface'!AF$26),'Adjustment Surface'!$AO$26:$BH$26,1)),$AO$26:$BH$26,0))*('Adjustment Surface'!$O35-INDEX('Adjustment Surface'!$AN$27:$AN$46,MATCH(('Adjustment Surface'!$O35),'Adjustment Surface'!$AN$27:$AN$46,1)))*(INDEX('Adjustment Surface'!$AO$26:$BH$26,1,MATCH(('Adjustment Surface'!AF$26),'Adjustment Surface'!$AO$26:$BH$26,1)+IF('Adjustment Surface'!AG$26="",-1,1))-'Adjustment Surface'!AF$26)+INDEX($AO$27:$BH$46,MATCH(INDEX('Adjustment Surface'!$AN$27:$AN$46,MATCH(('Adjustment Surface'!$O35),'Adjustment Surface'!$AN$27:$AN$46,1)),$AN$27:$AN$46,0),MATCH(INDEX('Adjustment Surface'!$AO$26:$BH$26,1,MATCH(('Adjustment Surface'!AF$26),'Adjustment Surface'!$AO$26:$BH$26,1)+IF('Adjustment Surface'!AG$26="",-1,1)),$AO$26:$BH$26,0))*(INDEX('Adjustment Surface'!$AN$27:$AN$46,MATCH(('Adjustment Surface'!$O35),'Adjustment Surface'!$AN$27:$AN$46,1)+IF('Adjustment Surface'!$O36="",-1,1))-'Adjustment Surface'!$O35)*('Adjustment Surface'!AF$26-INDEX('Adjustment Surface'!$AO$26:$BH$26,1,MATCH(('Adjustment Surface'!AF$26),'Adjustment Surface'!$AO$26:$BH$26,1)))+INDEX($AO$27:$BH$46,MATCH(INDEX('Adjustment Surface'!$AN$27:$AN$46,MATCH(('Adjustment Surface'!$O35),'Adjustment Surface'!$AN$27:$AN$46,1)+IF('Adjustment Surface'!$O36="",-1,1)),$AN$27:$AN$46,0),MATCH(INDEX('Adjustment Surface'!$AO$26:$BH$26,1,MATCH(('Adjustment Surface'!AF$26),'Adjustment Surface'!$AO$26:$BH$26,1)+IF('Adjustment Surface'!AG$26="",-1,1)),$AO$26:$BH$26,0))*('Adjustment Surface'!$O35-INDEX('Adjustment Surface'!$AN$27:$AN$46,MATCH(('Adjustment Surface'!$O35),'Adjustment Surface'!$AN$27:$AN$46,1)))*('Adjustment Surface'!AF$26-INDEX('Adjustment Surface'!$AO$26:$BH$26,1,MATCH(('Adjustment Surface'!AF$26),'Adjustment Surface'!$AO$26:$BH$26,1)))))</f>
        <v/>
      </c>
      <c r="AG35" s="193" t="str" cm="1">
        <f t="array" ref="AG35">IF(OR(AG$26="",$O35=""),"",1/((INDEX('Adjustment Surface'!$AN$27:$AN$46,MATCH(('Adjustment Surface'!$O35),'Adjustment Surface'!$AN$27:$AN$46,1)+IF('Adjustment Surface'!$O36="",-1,1))-INDEX('Adjustment Surface'!$AN$27:$AN$46,MATCH(('Adjustment Surface'!$O35),'Adjustment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Surface'!$O35),'Adjustment Surface'!$AN$27:$AN$46,1)),$AN$27:$AN$46,0),MATCH(INDEX('Adjustment Surface'!$AO$26:$BH$26,1,MATCH(('Adjustment Surface'!AG$26),'Adjustment Surface'!$AO$26:$BH$26,1)),$AO$26:$BH$26,0))*(INDEX('Adjustment Surface'!$AN$27:$AN$46,MATCH(('Adjustment Surface'!$O35),'Adjustment Surface'!$AN$27:$AN$46,1)+IF('Adjustment Surface'!$O36="",-1,1))-'Adjustment Surface'!$O35)*(INDEX('Adjustment Surface'!$AO$26:$BH$26,1,MATCH(('Adjustment Surface'!AG$26),'Adjustment Surface'!$AO$26:$BH$26,1)+IF('Adjustment Surface'!AH$26="",-1,1))-'Adjustment Surface'!AG$26)+INDEX($AO$27:$BH$46,MATCH(INDEX('Adjustment Surface'!$AN$27:$AN$46,MATCH(('Adjustment Surface'!$O35),'Adjustment Surface'!$AN$27:$AN$46,1)+IF('Adjustment Surface'!$O36="",-1,1)),$AN$27:$AN$46,0),MATCH(INDEX('Adjustment Surface'!$AO$26:$BH$26,1,MATCH(('Adjustment Surface'!AG$26),'Adjustment Surface'!$AO$26:$BH$26,1)),$AO$26:$BH$26,0))*('Adjustment Surface'!$O35-INDEX('Adjustment Surface'!$AN$27:$AN$46,MATCH(('Adjustment Surface'!$O35),'Adjustment Surface'!$AN$27:$AN$46,1)))*(INDEX('Adjustment Surface'!$AO$26:$BH$26,1,MATCH(('Adjustment Surface'!AG$26),'Adjustment Surface'!$AO$26:$BH$26,1)+IF('Adjustment Surface'!AH$26="",-1,1))-'Adjustment Surface'!AG$26)+INDEX($AO$27:$BH$46,MATCH(INDEX('Adjustment Surface'!$AN$27:$AN$46,MATCH(('Adjustment Surface'!$O35),'Adjustment Surface'!$AN$27:$AN$46,1)),$AN$27:$AN$46,0),MATCH(INDEX('Adjustment Surface'!$AO$26:$BH$26,1,MATCH(('Adjustment Surface'!AG$26),'Adjustment Surface'!$AO$26:$BH$26,1)+IF('Adjustment Surface'!AH$26="",-1,1)),$AO$26:$BH$26,0))*(INDEX('Adjustment Surface'!$AN$27:$AN$46,MATCH(('Adjustment Surface'!$O35),'Adjustment Surface'!$AN$27:$AN$46,1)+IF('Adjustment Surface'!$O36="",-1,1))-'Adjustment Surface'!$O35)*('Adjustment Surface'!AG$26-INDEX('Adjustment Surface'!$AO$26:$BH$26,1,MATCH(('Adjustment Surface'!AG$26),'Adjustment Surface'!$AO$26:$BH$26,1)))+INDEX($AO$27:$BH$46,MATCH(INDEX('Adjustment Surface'!$AN$27:$AN$46,MATCH(('Adjustment Surface'!$O35),'Adjustment Surface'!$AN$27:$AN$46,1)+IF('Adjustment Surface'!$O36="",-1,1)),$AN$27:$AN$46,0),MATCH(INDEX('Adjustment Surface'!$AO$26:$BH$26,1,MATCH(('Adjustment Surface'!AG$26),'Adjustment Surface'!$AO$26:$BH$26,1)+IF('Adjustment Surface'!AH$26="",-1,1)),$AO$26:$BH$26,0))*('Adjustment Surface'!$O35-INDEX('Adjustment Surface'!$AN$27:$AN$46,MATCH(('Adjustment Surface'!$O35),'Adjustment Surface'!$AN$27:$AN$46,1)))*('Adjustment Surface'!AG$26-INDEX('Adjustment Surface'!$AO$26:$BH$26,1,MATCH(('Adjustment Surface'!AG$26),'Adjustment Surface'!$AO$26:$BH$26,1)))))</f>
        <v/>
      </c>
      <c r="AH35" s="193" t="str" cm="1">
        <f t="array" ref="AH35">IF(OR(AH$26="",$O35=""),"",1/((INDEX('Adjustment Surface'!$AN$27:$AN$46,MATCH(('Adjustment Surface'!$O35),'Adjustment Surface'!$AN$27:$AN$46,1)+IF('Adjustment Surface'!$O36="",-1,1))-INDEX('Adjustment Surface'!$AN$27:$AN$46,MATCH(('Adjustment Surface'!$O35),'Adjustment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Surface'!$O35),'Adjustment Surface'!$AN$27:$AN$46,1)),$AN$27:$AN$46,0),MATCH(INDEX('Adjustment Surface'!$AO$26:$BH$26,1,MATCH(('Adjustment Surface'!AH$26),'Adjustment Surface'!$AO$26:$BH$26,1)),$AO$26:$BH$26,0))*(INDEX('Adjustment Surface'!$AN$27:$AN$46,MATCH(('Adjustment Surface'!$O35),'Adjustment Surface'!$AN$27:$AN$46,1)+IF('Adjustment Surface'!$O36="",-1,1))-'Adjustment Surface'!$O35)*(INDEX('Adjustment Surface'!$AO$26:$BH$26,1,MATCH(('Adjustment Surface'!AH$26),'Adjustment Surface'!$AO$26:$BH$26,1)+IF('Adjustment Surface'!AI$26="",-1,1))-'Adjustment Surface'!AH$26)+INDEX($AO$27:$BH$46,MATCH(INDEX('Adjustment Surface'!$AN$27:$AN$46,MATCH(('Adjustment Surface'!$O35),'Adjustment Surface'!$AN$27:$AN$46,1)+IF('Adjustment Surface'!$O36="",-1,1)),$AN$27:$AN$46,0),MATCH(INDEX('Adjustment Surface'!$AO$26:$BH$26,1,MATCH(('Adjustment Surface'!AH$26),'Adjustment Surface'!$AO$26:$BH$26,1)),$AO$26:$BH$26,0))*('Adjustment Surface'!$O35-INDEX('Adjustment Surface'!$AN$27:$AN$46,MATCH(('Adjustment Surface'!$O35),'Adjustment Surface'!$AN$27:$AN$46,1)))*(INDEX('Adjustment Surface'!$AO$26:$BH$26,1,MATCH(('Adjustment Surface'!AH$26),'Adjustment Surface'!$AO$26:$BH$26,1)+IF('Adjustment Surface'!AI$26="",-1,1))-'Adjustment Surface'!AH$26)+INDEX($AO$27:$BH$46,MATCH(INDEX('Adjustment Surface'!$AN$27:$AN$46,MATCH(('Adjustment Surface'!$O35),'Adjustment Surface'!$AN$27:$AN$46,1)),$AN$27:$AN$46,0),MATCH(INDEX('Adjustment Surface'!$AO$26:$BH$26,1,MATCH(('Adjustment Surface'!AH$26),'Adjustment Surface'!$AO$26:$BH$26,1)+IF('Adjustment Surface'!AI$26="",-1,1)),$AO$26:$BH$26,0))*(INDEX('Adjustment Surface'!$AN$27:$AN$46,MATCH(('Adjustment Surface'!$O35),'Adjustment Surface'!$AN$27:$AN$46,1)+IF('Adjustment Surface'!$O36="",-1,1))-'Adjustment Surface'!$O35)*('Adjustment Surface'!AH$26-INDEX('Adjustment Surface'!$AO$26:$BH$26,1,MATCH(('Adjustment Surface'!AH$26),'Adjustment Surface'!$AO$26:$BH$26,1)))+INDEX($AO$27:$BH$46,MATCH(INDEX('Adjustment Surface'!$AN$27:$AN$46,MATCH(('Adjustment Surface'!$O35),'Adjustment Surface'!$AN$27:$AN$46,1)+IF('Adjustment Surface'!$O36="",-1,1)),$AN$27:$AN$46,0),MATCH(INDEX('Adjustment Surface'!$AO$26:$BH$26,1,MATCH(('Adjustment Surface'!AH$26),'Adjustment Surface'!$AO$26:$BH$26,1)+IF('Adjustment Surface'!AI$26="",-1,1)),$AO$26:$BH$26,0))*('Adjustment Surface'!$O35-INDEX('Adjustment Surface'!$AN$27:$AN$46,MATCH(('Adjustment Surface'!$O35),'Adjustment Surface'!$AN$27:$AN$46,1)))*('Adjustment Surface'!AH$26-INDEX('Adjustment Surface'!$AO$26:$BH$26,1,MATCH(('Adjustment Surface'!AH$26),'Adjustment Surface'!$AO$26:$BH$26,1)))))</f>
        <v/>
      </c>
      <c r="AI35" s="194" t="str" cm="1">
        <f t="array" ref="AI35">IF(OR(AI$26="",$O35=""),"",1/((INDEX('Adjustment Surface'!$AN$27:$AN$46,MATCH(('Adjustment Surface'!$O35),'Adjustment Surface'!$AN$27:$AN$46,1)+IF('Adjustment Surface'!$O36="",-1,1))-INDEX('Adjustment Surface'!$AN$27:$AN$46,MATCH(('Adjustment Surface'!$O35),'Adjustment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Surface'!$O35),'Adjustment Surface'!$AN$27:$AN$46,1)),$AN$27:$AN$46,0),MATCH(INDEX('Adjustment Surface'!$AO$26:$BH$26,1,MATCH(('Adjustment Surface'!AI$26),'Adjustment Surface'!$AO$26:$BH$26,1)),$AO$26:$BH$26,0))*(INDEX('Adjustment Surface'!$AN$27:$AN$46,MATCH(('Adjustment Surface'!$O35),'Adjustment Surface'!$AN$27:$AN$46,1)+IF('Adjustment Surface'!$O36="",-1,1))-'Adjustment Surface'!$O35)*(INDEX('Adjustment Surface'!$AO$26:$BH$26,1,MATCH(('Adjustment Surface'!AI$26),'Adjustment Surface'!$AO$26:$BH$26,1)+IF('Adjustment Surface'!AJ$26="",-1,1))-'Adjustment Surface'!AI$26)+INDEX($AO$27:$BH$46,MATCH(INDEX('Adjustment Surface'!$AN$27:$AN$46,MATCH(('Adjustment Surface'!$O35),'Adjustment Surface'!$AN$27:$AN$46,1)+IF('Adjustment Surface'!$O36="",-1,1)),$AN$27:$AN$46,0),MATCH(INDEX('Adjustment Surface'!$AO$26:$BH$26,1,MATCH(('Adjustment Surface'!AI$26),'Adjustment Surface'!$AO$26:$BH$26,1)),$AO$26:$BH$26,0))*('Adjustment Surface'!$O35-INDEX('Adjustment Surface'!$AN$27:$AN$46,MATCH(('Adjustment Surface'!$O35),'Adjustment Surface'!$AN$27:$AN$46,1)))*(INDEX('Adjustment Surface'!$AO$26:$BH$26,1,MATCH(('Adjustment Surface'!AI$26),'Adjustment Surface'!$AO$26:$BH$26,1)+IF('Adjustment Surface'!AJ$26="",-1,1))-'Adjustment Surface'!AI$26)+INDEX($AO$27:$BH$46,MATCH(INDEX('Adjustment Surface'!$AN$27:$AN$46,MATCH(('Adjustment Surface'!$O35),'Adjustment Surface'!$AN$27:$AN$46,1)),$AN$27:$AN$46,0),MATCH(INDEX('Adjustment Surface'!$AO$26:$BH$26,1,MATCH(('Adjustment Surface'!AI$26),'Adjustment Surface'!$AO$26:$BH$26,1)+IF('Adjustment Surface'!AJ$26="",-1,1)),$AO$26:$BH$26,0))*(INDEX('Adjustment Surface'!$AN$27:$AN$46,MATCH(('Adjustment Surface'!$O35),'Adjustment Surface'!$AN$27:$AN$46,1)+IF('Adjustment Surface'!$O36="",-1,1))-'Adjustment Surface'!$O35)*('Adjustment Surface'!AI$26-INDEX('Adjustment Surface'!$AO$26:$BH$26,1,MATCH(('Adjustment Surface'!AI$26),'Adjustment Surface'!$AO$26:$BH$26,1)))+INDEX($AO$27:$BH$46,MATCH(INDEX('Adjustment Surface'!$AN$27:$AN$46,MATCH(('Adjustment Surface'!$O35),'Adjustment Surface'!$AN$27:$AN$46,1)+IF('Adjustment Surface'!$O36="",-1,1)),$AN$27:$AN$46,0),MATCH(INDEX('Adjustment Surface'!$AO$26:$BH$26,1,MATCH(('Adjustment Surface'!AI$26),'Adjustment Surface'!$AO$26:$BH$26,1)+IF('Adjustment Surface'!AJ$26="",-1,1)),$AO$26:$BH$26,0))*('Adjustment Surface'!$O35-INDEX('Adjustment Surface'!$AN$27:$AN$46,MATCH(('Adjustment Surface'!$O35),'Adjustment Surface'!$AN$27:$AN$46,1)))*('Adjustment Surface'!AI$26-INDEX('Adjustment Surface'!$AO$26:$BH$26,1,MATCH(('Adjustment Surface'!AI$26),'Adjustment Surface'!$AO$26:$BH$26,1)))))</f>
        <v/>
      </c>
      <c r="AK35" s="203" t="str">
        <v/>
      </c>
      <c r="AL35" s="207"/>
      <c r="AN35" s="176"/>
      <c r="AO35" s="192" t="str" cm="1">
        <f t="array" ref="AO35">IF(OR(AO$26="",$AN35=""),"",INDEX(IF($C$2='Data Validation'!$A$2,'Bank Adjustments'!$I$4:$I$103,IF('Adjustment Surface'!$C$2='Data Validation'!$A$3,'Bank Adjustments'!$S$4:$S$103,"Unknown Option Type")),MATCH(1,($AN35=IF($C$2='Data Validation'!$A$2,'Bank Adjustments'!$C$4:$C$103,IF('Adjustment Surface'!$C$2='Data Validation'!$A$3,'Bank Adjustments'!$M$4:$M$103,"Unknown Option Type")))*(AO$26=IF($C$2='Data Validation'!$A$2,'Bank Adjustments'!$E$4:$E$103,IF('Adjustment Surface'!$C$2='Data Validation'!$A$3,'Bank Adjustments'!$O$4:$O$103,"Unknown Option Type"))),0)))</f>
        <v/>
      </c>
      <c r="AP35" s="193" t="str" cm="1">
        <f t="array" ref="AP35">IF(OR(AP$26="",$AN35=""),"",INDEX(IF($C$2='Data Validation'!$A$2,'Bank Adjustments'!$I$4:$I$103,IF('Adjustment Surface'!$C$2='Data Validation'!$A$3,'Bank Adjustments'!$S$4:$S$103,"Unknown Option Type")),MATCH(1,($AN35=IF($C$2='Data Validation'!$A$2,'Bank Adjustments'!$C$4:$C$103,IF('Adjustment Surface'!$C$2='Data Validation'!$A$3,'Bank Adjustments'!$M$4:$M$103,"Unknown Option Type")))*(AP$26=IF($C$2='Data Validation'!$A$2,'Bank Adjustments'!$E$4:$E$103,IF('Adjustment Surface'!$C$2='Data Validation'!$A$3,'Bank Adjustments'!$O$4:$O$103,"Unknown Option Type"))),0)))</f>
        <v/>
      </c>
      <c r="AQ35" s="193" t="str" cm="1">
        <f t="array" ref="AQ35">IF(OR(AQ$26="",$AN35=""),"",INDEX(IF($C$2='Data Validation'!$A$2,'Bank Adjustments'!$I$4:$I$103,IF('Adjustment Surface'!$C$2='Data Validation'!$A$3,'Bank Adjustments'!$S$4:$S$103,"Unknown Option Type")),MATCH(1,($AN35=IF($C$2='Data Validation'!$A$2,'Bank Adjustments'!$C$4:$C$103,IF('Adjustment Surface'!$C$2='Data Validation'!$A$3,'Bank Adjustments'!$M$4:$M$103,"Unknown Option Type")))*(AQ$26=IF($C$2='Data Validation'!$A$2,'Bank Adjustments'!$E$4:$E$103,IF('Adjustment Surface'!$C$2='Data Validation'!$A$3,'Bank Adjustments'!$O$4:$O$103,"Unknown Option Type"))),0)))</f>
        <v/>
      </c>
      <c r="AR35" s="193" t="str" cm="1">
        <f t="array" ref="AR35">IF(OR(AR$26="",$AN35=""),"",INDEX(IF($C$2='Data Validation'!$A$2,'Bank Adjustments'!$I$4:$I$103,IF('Adjustment Surface'!$C$2='Data Validation'!$A$3,'Bank Adjustments'!$S$4:$S$103,"Unknown Option Type")),MATCH(1,($AN35=IF($C$2='Data Validation'!$A$2,'Bank Adjustments'!$C$4:$C$103,IF('Adjustment Surface'!$C$2='Data Validation'!$A$3,'Bank Adjustments'!$M$4:$M$103,"Unknown Option Type")))*(AR$26=IF($C$2='Data Validation'!$A$2,'Bank Adjustments'!$E$4:$E$103,IF('Adjustment Surface'!$C$2='Data Validation'!$A$3,'Bank Adjustments'!$O$4:$O$103,"Unknown Option Type"))),0)))</f>
        <v/>
      </c>
      <c r="AS35" s="193" t="str" cm="1">
        <f t="array" ref="AS35">IF(OR(AS$26="",$AN35=""),"",INDEX(IF($C$2='Data Validation'!$A$2,'Bank Adjustments'!$I$4:$I$103,IF('Adjustment Surface'!$C$2='Data Validation'!$A$3,'Bank Adjustments'!$S$4:$S$103,"Unknown Option Type")),MATCH(1,($AN35=IF($C$2='Data Validation'!$A$2,'Bank Adjustments'!$C$4:$C$103,IF('Adjustment Surface'!$C$2='Data Validation'!$A$3,'Bank Adjustments'!$M$4:$M$103,"Unknown Option Type")))*(AS$26=IF($C$2='Data Validation'!$A$2,'Bank Adjustments'!$E$4:$E$103,IF('Adjustment Surface'!$C$2='Data Validation'!$A$3,'Bank Adjustments'!$O$4:$O$103,"Unknown Option Type"))),0)))</f>
        <v/>
      </c>
      <c r="AT35" s="193" t="str" cm="1">
        <f t="array" ref="AT35">IF(OR(AT$26="",$AN35=""),"",INDEX(IF($C$2='Data Validation'!$A$2,'Bank Adjustments'!$I$4:$I$103,IF('Adjustment Surface'!$C$2='Data Validation'!$A$3,'Bank Adjustments'!$S$4:$S$103,"Unknown Option Type")),MATCH(1,($AN35=IF($C$2='Data Validation'!$A$2,'Bank Adjustments'!$C$4:$C$103,IF('Adjustment Surface'!$C$2='Data Validation'!$A$3,'Bank Adjustments'!$M$4:$M$103,"Unknown Option Type")))*(AT$26=IF($C$2='Data Validation'!$A$2,'Bank Adjustments'!$E$4:$E$103,IF('Adjustment Surface'!$C$2='Data Validation'!$A$3,'Bank Adjustments'!$O$4:$O$103,"Unknown Option Type"))),0)))</f>
        <v/>
      </c>
      <c r="AU35" s="193" t="str" cm="1">
        <f t="array" ref="AU35">IF(OR(AU$26="",$AN35=""),"",INDEX(IF($C$2='Data Validation'!$A$2,'Bank Adjustments'!$I$4:$I$103,IF('Adjustment Surface'!$C$2='Data Validation'!$A$3,'Bank Adjustments'!$S$4:$S$103,"Unknown Option Type")),MATCH(1,($AN35=IF($C$2='Data Validation'!$A$2,'Bank Adjustments'!$C$4:$C$103,IF('Adjustment Surface'!$C$2='Data Validation'!$A$3,'Bank Adjustments'!$M$4:$M$103,"Unknown Option Type")))*(AU$26=IF($C$2='Data Validation'!$A$2,'Bank Adjustments'!$E$4:$E$103,IF('Adjustment Surface'!$C$2='Data Validation'!$A$3,'Bank Adjustments'!$O$4:$O$103,"Unknown Option Type"))),0)))</f>
        <v/>
      </c>
      <c r="AV35" s="193" t="str" cm="1">
        <f t="array" ref="AV35">IF(OR(AV$26="",$AN35=""),"",INDEX(IF($C$2='Data Validation'!$A$2,'Bank Adjustments'!$I$4:$I$103,IF('Adjustment Surface'!$C$2='Data Validation'!$A$3,'Bank Adjustments'!$S$4:$S$103,"Unknown Option Type")),MATCH(1,($AN35=IF($C$2='Data Validation'!$A$2,'Bank Adjustments'!$C$4:$C$103,IF('Adjustment Surface'!$C$2='Data Validation'!$A$3,'Bank Adjustments'!$M$4:$M$103,"Unknown Option Type")))*(AV$26=IF($C$2='Data Validation'!$A$2,'Bank Adjustments'!$E$4:$E$103,IF('Adjustment Surface'!$C$2='Data Validation'!$A$3,'Bank Adjustments'!$O$4:$O$103,"Unknown Option Type"))),0)))</f>
        <v/>
      </c>
      <c r="AW35" s="193" t="str" cm="1">
        <f t="array" ref="AW35">IF(OR(AW$26="",$AN35=""),"",INDEX(IF($C$2='Data Validation'!$A$2,'Bank Adjustments'!$I$4:$I$103,IF('Adjustment Surface'!$C$2='Data Validation'!$A$3,'Bank Adjustments'!$S$4:$S$103,"Unknown Option Type")),MATCH(1,($AN35=IF($C$2='Data Validation'!$A$2,'Bank Adjustments'!$C$4:$C$103,IF('Adjustment Surface'!$C$2='Data Validation'!$A$3,'Bank Adjustments'!$M$4:$M$103,"Unknown Option Type")))*(AW$26=IF($C$2='Data Validation'!$A$2,'Bank Adjustments'!$E$4:$E$103,IF('Adjustment Surface'!$C$2='Data Validation'!$A$3,'Bank Adjustments'!$O$4:$O$103,"Unknown Option Type"))),0)))</f>
        <v/>
      </c>
      <c r="AX35" s="193" t="str" cm="1">
        <f t="array" ref="AX35">IF(OR(AX$26="",$AN35=""),"",INDEX(IF($C$2='Data Validation'!$A$2,'Bank Adjustments'!$I$4:$I$103,IF('Adjustment Surface'!$C$2='Data Validation'!$A$3,'Bank Adjustments'!$S$4:$S$103,"Unknown Option Type")),MATCH(1,($AN35=IF($C$2='Data Validation'!$A$2,'Bank Adjustments'!$C$4:$C$103,IF('Adjustment Surface'!$C$2='Data Validation'!$A$3,'Bank Adjustments'!$M$4:$M$103,"Unknown Option Type")))*(AX$26=IF($C$2='Data Validation'!$A$2,'Bank Adjustments'!$E$4:$E$103,IF('Adjustment Surface'!$C$2='Data Validation'!$A$3,'Bank Adjustments'!$O$4:$O$103,"Unknown Option Type"))),0)))</f>
        <v/>
      </c>
      <c r="AY35" s="193" t="str" cm="1">
        <f t="array" ref="AY35">IF(OR(AY$26="",$AN35=""),"",INDEX(IF($C$2='Data Validation'!$A$2,'Bank Adjustments'!$I$4:$I$103,IF('Adjustment Surface'!$C$2='Data Validation'!$A$3,'Bank Adjustments'!$S$4:$S$103,"Unknown Option Type")),MATCH(1,($AN35=IF($C$2='Data Validation'!$A$2,'Bank Adjustments'!$C$4:$C$103,IF('Adjustment Surface'!$C$2='Data Validation'!$A$3,'Bank Adjustments'!$M$4:$M$103,"Unknown Option Type")))*(AY$26=IF($C$2='Data Validation'!$A$2,'Bank Adjustments'!$E$4:$E$103,IF('Adjustment Surface'!$C$2='Data Validation'!$A$3,'Bank Adjustments'!$O$4:$O$103,"Unknown Option Type"))),0)))</f>
        <v/>
      </c>
      <c r="AZ35" s="193" t="str" cm="1">
        <f t="array" ref="AZ35">IF(OR(AZ$26="",$AN35=""),"",INDEX(IF($C$2='Data Validation'!$A$2,'Bank Adjustments'!$I$4:$I$103,IF('Adjustment Surface'!$C$2='Data Validation'!$A$3,'Bank Adjustments'!$S$4:$S$103,"Unknown Option Type")),MATCH(1,($AN35=IF($C$2='Data Validation'!$A$2,'Bank Adjustments'!$C$4:$C$103,IF('Adjustment Surface'!$C$2='Data Validation'!$A$3,'Bank Adjustments'!$M$4:$M$103,"Unknown Option Type")))*(AZ$26=IF($C$2='Data Validation'!$A$2,'Bank Adjustments'!$E$4:$E$103,IF('Adjustment Surface'!$C$2='Data Validation'!$A$3,'Bank Adjustments'!$O$4:$O$103,"Unknown Option Type"))),0)))</f>
        <v/>
      </c>
      <c r="BA35" s="193" t="str" cm="1">
        <f t="array" ref="BA35">IF(OR(BA$26="",$AN35=""),"",INDEX(IF($C$2='Data Validation'!$A$2,'Bank Adjustments'!$I$4:$I$103,IF('Adjustment Surface'!$C$2='Data Validation'!$A$3,'Bank Adjustments'!$S$4:$S$103,"Unknown Option Type")),MATCH(1,($AN35=IF($C$2='Data Validation'!$A$2,'Bank Adjustments'!$C$4:$C$103,IF('Adjustment Surface'!$C$2='Data Validation'!$A$3,'Bank Adjustments'!$M$4:$M$103,"Unknown Option Type")))*(BA$26=IF($C$2='Data Validation'!$A$2,'Bank Adjustments'!$E$4:$E$103,IF('Adjustment Surface'!$C$2='Data Validation'!$A$3,'Bank Adjustments'!$O$4:$O$103,"Unknown Option Type"))),0)))</f>
        <v/>
      </c>
      <c r="BB35" s="193" t="str" cm="1">
        <f t="array" ref="BB35">IF(OR(BB$26="",$AN35=""),"",INDEX(IF($C$2='Data Validation'!$A$2,'Bank Adjustments'!$I$4:$I$103,IF('Adjustment Surface'!$C$2='Data Validation'!$A$3,'Bank Adjustments'!$S$4:$S$103,"Unknown Option Type")),MATCH(1,($AN35=IF($C$2='Data Validation'!$A$2,'Bank Adjustments'!$C$4:$C$103,IF('Adjustment Surface'!$C$2='Data Validation'!$A$3,'Bank Adjustments'!$M$4:$M$103,"Unknown Option Type")))*(BB$26=IF($C$2='Data Validation'!$A$2,'Bank Adjustments'!$E$4:$E$103,IF('Adjustment Surface'!$C$2='Data Validation'!$A$3,'Bank Adjustments'!$O$4:$O$103,"Unknown Option Type"))),0)))</f>
        <v/>
      </c>
      <c r="BC35" s="193" t="str" cm="1">
        <f t="array" ref="BC35">IF(OR(BC$26="",$AN35=""),"",INDEX(IF($C$2='Data Validation'!$A$2,'Bank Adjustments'!$I$4:$I$103,IF('Adjustment Surface'!$C$2='Data Validation'!$A$3,'Bank Adjustments'!$S$4:$S$103,"Unknown Option Type")),MATCH(1,($AN35=IF($C$2='Data Validation'!$A$2,'Bank Adjustments'!$C$4:$C$103,IF('Adjustment Surface'!$C$2='Data Validation'!$A$3,'Bank Adjustments'!$M$4:$M$103,"Unknown Option Type")))*(BC$26=IF($C$2='Data Validation'!$A$2,'Bank Adjustments'!$E$4:$E$103,IF('Adjustment Surface'!$C$2='Data Validation'!$A$3,'Bank Adjustments'!$O$4:$O$103,"Unknown Option Type"))),0)))</f>
        <v/>
      </c>
      <c r="BD35" s="193" t="str" cm="1">
        <f t="array" ref="BD35">IF(OR(BD$26="",$AN35=""),"",INDEX(IF($C$2='Data Validation'!$A$2,'Bank Adjustments'!$I$4:$I$103,IF('Adjustment Surface'!$C$2='Data Validation'!$A$3,'Bank Adjustments'!$S$4:$S$103,"Unknown Option Type")),MATCH(1,($AN35=IF($C$2='Data Validation'!$A$2,'Bank Adjustments'!$C$4:$C$103,IF('Adjustment Surface'!$C$2='Data Validation'!$A$3,'Bank Adjustments'!$M$4:$M$103,"Unknown Option Type")))*(BD$26=IF($C$2='Data Validation'!$A$2,'Bank Adjustments'!$E$4:$E$103,IF('Adjustment Surface'!$C$2='Data Validation'!$A$3,'Bank Adjustments'!$O$4:$O$103,"Unknown Option Type"))),0)))</f>
        <v/>
      </c>
      <c r="BE35" s="193" t="str" cm="1">
        <f t="array" ref="BE35">IF(OR(BE$26="",$AN35=""),"",INDEX(IF($C$2='Data Validation'!$A$2,'Bank Adjustments'!$I$4:$I$103,IF('Adjustment Surface'!$C$2='Data Validation'!$A$3,'Bank Adjustments'!$S$4:$S$103,"Unknown Option Type")),MATCH(1,($AN35=IF($C$2='Data Validation'!$A$2,'Bank Adjustments'!$C$4:$C$103,IF('Adjustment Surface'!$C$2='Data Validation'!$A$3,'Bank Adjustments'!$M$4:$M$103,"Unknown Option Type")))*(BE$26=IF($C$2='Data Validation'!$A$2,'Bank Adjustments'!$E$4:$E$103,IF('Adjustment Surface'!$C$2='Data Validation'!$A$3,'Bank Adjustments'!$O$4:$O$103,"Unknown Option Type"))),0)))</f>
        <v/>
      </c>
      <c r="BF35" s="193" t="str" cm="1">
        <f t="array" ref="BF35">IF(OR(BF$26="",$AN35=""),"",INDEX(IF($C$2='Data Validation'!$A$2,'Bank Adjustments'!$I$4:$I$103,IF('Adjustment Surface'!$C$2='Data Validation'!$A$3,'Bank Adjustments'!$S$4:$S$103,"Unknown Option Type")),MATCH(1,($AN35=IF($C$2='Data Validation'!$A$2,'Bank Adjustments'!$C$4:$C$103,IF('Adjustment Surface'!$C$2='Data Validation'!$A$3,'Bank Adjustments'!$M$4:$M$103,"Unknown Option Type")))*(BF$26=IF($C$2='Data Validation'!$A$2,'Bank Adjustments'!$E$4:$E$103,IF('Adjustment Surface'!$C$2='Data Validation'!$A$3,'Bank Adjustments'!$O$4:$O$103,"Unknown Option Type"))),0)))</f>
        <v/>
      </c>
      <c r="BG35" s="193" t="str" cm="1">
        <f t="array" ref="BG35">IF(OR(BG$26="",$AN35=""),"",INDEX(IF($C$2='Data Validation'!$A$2,'Bank Adjustments'!$I$4:$I$103,IF('Adjustment Surface'!$C$2='Data Validation'!$A$3,'Bank Adjustments'!$S$4:$S$103,"Unknown Option Type")),MATCH(1,($AN35=IF($C$2='Data Validation'!$A$2,'Bank Adjustments'!$C$4:$C$103,IF('Adjustment Surface'!$C$2='Data Validation'!$A$3,'Bank Adjustments'!$M$4:$M$103,"Unknown Option Type")))*(BG$26=IF($C$2='Data Validation'!$A$2,'Bank Adjustments'!$E$4:$E$103,IF('Adjustment Surface'!$C$2='Data Validation'!$A$3,'Bank Adjustments'!$O$4:$O$103,"Unknown Option Type"))),0)))</f>
        <v/>
      </c>
      <c r="BH35" s="194" t="str" cm="1">
        <f t="array" ref="BH35">IF(OR(BH$26="",$AN35=""),"",INDEX(IF($C$2='Data Validation'!$A$2,'Bank Adjustments'!$I$4:$I$103,IF('Adjustment Surface'!$C$2='Data Validation'!$A$3,'Bank Adjustments'!$S$4:$S$103,"Unknown Option Type")),MATCH(1,($AN35=IF($C$2='Data Validation'!$A$2,'Bank Adjustments'!$C$4:$C$103,IF('Adjustment Surface'!$C$2='Data Validation'!$A$3,'Bank Adjustments'!$M$4:$M$103,"Unknown Option Type")))*(BH$26=IF($C$2='Data Validation'!$A$2,'Bank Adjustments'!$E$4:$E$103,IF('Adjustment Surface'!$C$2='Data Validation'!$A$3,'Bank Adjustments'!$O$4:$O$103,"Unknown Option Type"))),0)))</f>
        <v/>
      </c>
    </row>
    <row r="36" spans="2:60" x14ac:dyDescent="0.25">
      <c r="B36" s="75">
        <f>B29</f>
        <v>0.03</v>
      </c>
      <c r="C36" s="16" cm="1">
        <f t="array" ref="C36">IF(AND(COUNT(O4:O23)&lt;2,COUNT(P3:AI3)&lt;2),P27,IF(COUNT(O4:O23)&lt;2,_xlfn.FORECAST.LINEAR(C14,INDEX(P27:AI27,1,MATCH(IF(C14&lt;MIN(P3:AI3),INDEX(P3:AI3,1,MATCH(MIN(P3:AI3),P3:AI3,0)),IF(C14&gt;=MAX(P3:AI3),INDEX(P3:AI3,1,MATCH(MAX(P3:AI3),P3:AI3,0)),INDEX(P3:AI3,1,MATCH(C14,P3:AI3,1)))):IF(C14&lt;MIN(P3:AI3),INDEX(P3:AI3,1,MATCH(MIN(P3:AI3),P3:AI3,0)+1),IF(C14&gt;=MAX(P3:AI3),INDEX(P3:AI3,1,MATCH(MAX(P3:AI3),P3:AI3,0)-1),INDEX(P3:AI3,1,MATCH(C14,P3:AI3,1)+1))),P3:AI3,0)),IF(C14&lt;MIN(P3:AI3),INDEX(P3:AI3,1,MATCH(MIN(P3:AI3),P3:AI3,0)),IF(C14&gt;=MAX(P3:AI3),INDEX(P3:AI3,1,MATCH(MAX(P3:AI3),P3:AI3,0)),INDEX(P3:AI3,1,MATCH(C14,P3:AI3,1)))):IF(C14&lt;MIN(P3:AI3),INDEX(P3:AI3,1,MATCH(MIN(P3:AI3),P3:AI3,0)+1),IF(C14&gt;=MAX(P3:AI3),INDEX(P3:AI3,1,MATCH(MAX(P3:AI3),P3:AI3,0)-1),INDEX(P3:AI3,1,MATCH(C14,P3:AI3,1)+1)))),IF(COUNT(P3:AI3)&lt;2,_xlfn.FORECAST.LINEAR(B15,INDEX(P27:P46,MATCH(IF(B15&lt;MIN(O4:O23),INDEX(O4:O23,MATCH(MIN(O4:O23),O4:O23,0)),IF(B15&gt;=MAX(O4:O23),INDEX(O4:O23,MATCH(MAX(O4:O23),O4:O23,0)),INDEX(O4:O23,MATCH(B15,O4:O23,1)))):IF(B15&lt;MIN(O4:O23),INDEX(O4:O23,MATCH(MIN(O4:O23),O4:O23,0)+1),IF(B15&gt;=MAX(O4:O23),INDEX(O4:O23,MATCH(MAX(O4:O23),O4:O23,0)-1),INDEX(O4:O23,MATCH(B15,O4:O23,1)+1))),O4:O23,0)),IF(B15&lt;MIN(O4:O23),INDEX(O4:O23,MATCH(MIN(O4:O23),O4:O23,0)),IF(B15&gt;=MAX(O4:O23),INDEX(O4:O23,MATCH(MAX(O4:O23),O4:O23,0)),INDEX(O4:O23,MATCH(B15,O4:O23,1)))):IF(B15&lt;MIN(O4:O23),INDEX(O4:O23,MATCH(MIN(O4:O23),O4:O23,0)+1),IF(B15&gt;=MAX(O4:O23),INDEX(O4:O23,MATCH(MAX(O4:O23),O4:O23,0)-1),INDEX(O4:O23,MATCH(B15,O4:O23,1)+1)))),1/((INDEX(_xlfn._xlws.FILTER(H4:H23,(INDEX(H4:H23,MATCH(SMALL(J4:J23,1),J4:J23,0))=H4:H23)=FALSE()),MATCH(SMALL(J4:J23,2),_xlfn._xlws.FILTER(J4:J23,(INDEX(H4:H23,MATCH(SMALL(J4:J23,1),J4:J23,0))=H4:H23)=FALSE()),0))-INDEX(H4:H23,MATCH(SMALL(J4:J23,1),J4:J23,0)))*(INDEX(_xlfn._xlws.FILTER(H27:H46,(INDEX(H27:H46,MATCH(SMALL(J27:J46,1),J27:J46,0))=H27:H46)=FALSE()),MATCH(SMALL(J27:J46,2),_xlfn._xlws.FILTER(J27:J46,(INDEX(H27:H46,MATCH(SMALL(J27:J46,1),J27:J46,0))=H27:H46)=FALSE()),0))-INDEX(H27:H46,MATCH(SMALL(J27:J46,1),J27:J46,0))))*(INDEX(P27:AI46,MATCH(INDEX(H27:H46,MATCH(SMALL(J27:J46,1),J27:J46,0)),O27:O46,0),MATCH(INDEX(H4:H23,MATCH(SMALL(J4:J23,1),J4:J23,0)),P26:AI26,0))*(INDEX(_xlfn._xlws.FILTER(H4:H23,(INDEX(H4:H23,MATCH(SMALL(J4:J23,1),J4:J23,0))=H4:H23)=FALSE()),MATCH(SMALL(J4:J23,2),_xlfn._xlws.FILTER(J4:J23,(INDEX(H4:H23,MATCH(SMALL(J4:J23,1),J4:J23,0))=H4:H23)=FALSE()),0))-C14)*(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27:AI46,MATCH(INDEX(H27:H46,MATCH(SMALL(J27:J46,1),J27:J46,0)),O27:O46,0),MATCH(INDEX(_xlfn._xlws.FILTER(H4:H23,(INDEX(H4:H23,MATCH(SMALL(J4:J23,1),J4:J23,0))=H4:H23)=FALSE()),MATCH(SMALL(J4:J23,2),_xlfn._xlws.FILTER(J4:J23,(INDEX(H4:H23,MATCH(SMALL(J4:J23,1),J4:J23,0))=H4:H23)=FALSE()),0)),P26:AI26,0))*(C14-INDEX(H4:H23,MATCH(SMALL(J4:J23,1),J4:J23,0)))*(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27:AI46,MATCH(INDEX(_xlfn._xlws.FILTER(H27:H46,(INDEX(H27:H46,MATCH(SMALL(J27:J46,1),J27:J46,0))=H27:H46)=FALSE()),MATCH(SMALL(J27:J46,2),_xlfn._xlws.FILTER(J27:J46,(INDEX(H27:H46,MATCH(SMALL(J27:J46,1),J27:J46,0))=H27:H46)=FALSE()),0)),O27:O46,0),MATCH(INDEX(H4:H23,MATCH(SMALL(J4:J23,1),J4:J23,0)),P26:AI26,0))*(INDEX(_xlfn._xlws.FILTER(H4:H23,(INDEX(H4:H23,MATCH(SMALL(J4:J23,1),J4:J23,0))=H4:H23)=FALSE()),MATCH(SMALL(J4:J23,2),_xlfn._xlws.FILTER(J4:J23,(INDEX(H4:H23,MATCH(SMALL(J4:J23,1),J4:J23,0))=H4:H23)=FALSE()),0))-C14)*(IF(OR(C9='Data Validation'!D2,C9='Data Validation'!D3),B15,IF(C9='Data Validation'!D3,SUMPRODUCT('Bachelier Model'!N4:N124,'Bachelier Model'!O4:O124)/SUM('Bachelier Model'!N4:N124),"Strike Type Unknown"))-INDEX(H27:H46,MATCH(SMALL(J27:J46,1),J27:J46,0)))+INDEX(P27:AI46,MATCH(INDEX(_xlfn._xlws.FILTER(H27:H46,(INDEX(H27:H46,MATCH(SMALL(J27:J46,1),J27:J46,0))=H27:H46)=FALSE()),MATCH(SMALL(J27:J46,2),_xlfn._xlws.FILTER(J27:J46,(INDEX(H27:H46,MATCH(SMALL(J27:J46,1),J27:J46,0))=H27:H46)=FALSE()),0)),O27:O46,0),MATCH(INDEX(_xlfn._xlws.FILTER(H4:H23,(INDEX(H4:H23,MATCH(SMALL(J4:J23,1),J4:J23,0))=H4:H23)=FALSE()),MATCH(SMALL(J4:J23,2),_xlfn._xlws.FILTER(J4:J23,(INDEX(H4:H23,MATCH(SMALL(J4:J23,1),J4:J23,0))=H4:H23)=FALSE()),0)),P26:AI26,0))*(C14-INDEX(H4:H23,MATCH(SMALL(J4:J23,1),J4:J23,0)))*(IF(OR(C9='Data Validation'!D2,C9='Data Validation'!D3),B15,IF(C9='Data Validation'!D3,SUMPRODUCT('Bachelier Model'!N4:N124,'Bachelier Model'!O4:O124)/SUM('Bachelier Model'!N4:N124),"Strike Type Unknown"))-INDEX(H27:H46,MATCH(SMALL(J27:J46,1),J27:J46,0)))))))</f>
        <v>0.1102292143539978</v>
      </c>
      <c r="D36" s="16" cm="1">
        <f t="array" ref="D36">IF(AND(COUNT(O4:O23)&lt;2,COUNT(P3:AI3)&lt;2),P27,IF(COUNT(O4:O23)&lt;2,_xlfn.FORECAST.LINEAR(D14,INDEX(P27:AI27,1,MATCH(IF(D14&lt;MIN(P3:AI3),INDEX(P3:AI3,1,MATCH(MIN(P3:AI3),P3:AI3,0)),IF(D14&gt;=MAX(P3:AI3),INDEX(P3:AI3,1,MATCH(MAX(P3:AI3),P3:AI3,0)),INDEX(P3:AI3,1,MATCH(D14,P3:AI3,1)))):IF(D14&lt;MIN(P3:AI3),INDEX(P3:AI3,1,MATCH(MIN(P3:AI3),P3:AI3,0)+1),IF(D14&gt;=MAX(P3:AI3),INDEX(P3:AI3,1,MATCH(MAX(P3:AI3),P3:AI3,0)-1),INDEX(P3:AI3,1,MATCH(D14,P3:AI3,1)+1))),P3:AI3,0)),IF(D14&lt;MIN(P3:AI3),INDEX(P3:AI3,1,MATCH(MIN(P3:AI3),P3:AI3,0)),IF(D14&gt;=MAX(P3:AI3),INDEX(P3:AI3,1,MATCH(MAX(P3:AI3),P3:AI3,0)),INDEX(P3:AI3,1,MATCH(D14,P3:AI3,1)))):IF(D14&lt;MIN(P3:AI3),INDEX(P3:AI3,1,MATCH(MIN(P3:AI3),P3:AI3,0)+1),IF(D14&gt;=MAX(P3:AI3),INDEX(P3:AI3,1,MATCH(MAX(P3:AI3),P3:AI3,0)-1),INDEX(P3:AI3,1,MATCH(D14,P3:AI3,1)+1)))),IF(COUNT(P3:AI3)&lt;2,_xlfn.FORECAST.LINEAR(B15,INDEX(P27:P46,MATCH(IF(B15&lt;MIN(O4:O23),INDEX(O4:O23,MATCH(MIN(O4:O23),O4:O23,0)),IF(B15&gt;=MAX(O4:O23),INDEX(O4:O23,MATCH(MAX(O4:O23),O4:O23,0)),INDEX(O4:O23,MATCH(B15,O4:O23,1)))):IF(B15&lt;MIN(O4:O23),INDEX(O4:O23,MATCH(MIN(O4:O23),O4:O23,0)+1),IF(B15&gt;=MAX(O4:O23),INDEX(O4:O23,MATCH(MAX(O4:O23),O4:O23,0)-1),INDEX(O4:O23,MATCH(B15,O4:O23,1)+1))),O4:O23,0)),IF(B15&lt;MIN(O4:O23),INDEX(O4:O23,MATCH(MIN(O4:O23),O4:O23,0)),IF(B15&gt;=MAX(O4:O23),INDEX(O4:O23,MATCH(MAX(O4:O23),O4:O23,0)),INDEX(O4:O23,MATCH(B15,O4:O23,1)))):IF(B15&lt;MIN(O4:O23),INDEX(O4:O23,MATCH(MIN(O4:O23),O4:O23,0)+1),IF(B15&gt;=MAX(O4:O23),INDEX(O4:O23,MATCH(MAX(O4:O23),O4:O23,0)-1),INDEX(O4:O23,MATCH(B15,O4:O23,1)+1)))),1/((INDEX(_xlfn._xlws.FILTER(H4:H23,(INDEX(H4:H23,MATCH(SMALL(K4:K23,1),K4:K23,0))=H4:H23)=FALSE()),MATCH(SMALL(K4:K23,2),_xlfn._xlws.FILTER(K4:K23,(INDEX(H4:H23,MATCH(SMALL(K4:K23,1),K4:K23,0))=H4:H23)=FALSE()),0))-INDEX(H4:H23,MATCH(SMALL(K4:K23,1),K4:K23,0)))*(INDEX(_xlfn._xlws.FILTER(H27:H46,(INDEX(H27:H46,MATCH(SMALL(J27:J46,1),J27:J46,0))=H27:H46)=FALSE()),MATCH(SMALL(J27:J46,2),_xlfn._xlws.FILTER(J27:J46,(INDEX(H27:H46,MATCH(SMALL(J27:J46,1),J27:J46,0))=H27:H46)=FALSE()),0))-INDEX(H27:H46,MATCH(SMALL(J27:J46,1),J27:J46,0))))*(INDEX(P27:AI46,MATCH(INDEX(H27:H46,MATCH(SMALL(J27:J46,1),J27:J46,0)),O27:O46,0),MATCH(INDEX(H4:H23,MATCH(SMALL(K4:K23,1),K4:K23,0)),P26:AI26,0))*(INDEX(_xlfn._xlws.FILTER(H4:H23,(INDEX(H4:H23,MATCH(SMALL(K4:K23,1),K4:K23,0))=H4:H23)=FALSE()),MATCH(SMALL(K4:K23,2),_xlfn._xlws.FILTER(K4:K23,(INDEX(H4:H23,MATCH(SMALL(K4:K23,1),K4:K23,0))=H4:H23)=FALSE()),0))-D14)*(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27:AI46,MATCH(INDEX(H27:H46,MATCH(SMALL(J27:J46,1),J27:J46,0)),O27:O46,0),MATCH(INDEX(_xlfn._xlws.FILTER(H4:H23,(INDEX(H4:H23,MATCH(SMALL(K4:K23,1),K4:K23,0))=H4:H23)=FALSE()),MATCH(SMALL(K4:K23,2),_xlfn._xlws.FILTER(K4:K23,(INDEX(H4:H23,MATCH(SMALL(K4:K23,1),K4:K23,0))=H4:H23)=FALSE()),0)),P26:AI26,0))*(D14-INDEX(H4:H23,MATCH(SMALL(K4:K23,1),K4:K23,0)))*(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27:AI46,MATCH(INDEX(_xlfn._xlws.FILTER(H27:H46,(INDEX(H27:H46,MATCH(SMALL(J27:J46,1),J27:J46,0))=H27:H46)=FALSE()),MATCH(SMALL(J27:J46,2),_xlfn._xlws.FILTER(J27:J46,(INDEX(H27:H46,MATCH(SMALL(J27:J46,1),J27:J46,0))=H27:H46)=FALSE()),0)),O27:O46,0),MATCH(INDEX(H4:H23,MATCH(SMALL(K4:K23,1),K4:K23,0)),P26:AI26,0))*(INDEX(_xlfn._xlws.FILTER(H4:H23,(INDEX(H4:H23,MATCH(SMALL(K4:K23,1),K4:K23,0))=H4:H23)=FALSE()),MATCH(SMALL(K4:K23,2),_xlfn._xlws.FILTER(K4:K23,(INDEX(H4:H23,MATCH(SMALL(K4:K23,1),K4:K23,0))=H4:H23)=FALSE()),0))-D14)*(IF(OR(C9='Data Validation'!D2,C9='Data Validation'!D3),B15,IF(C9='Data Validation'!D3,SUMPRODUCT('Bachelier Model'!N4:N124,'Bachelier Model'!O4:O124)/SUM('Bachelier Model'!N4:N124),"Strike Type Unknown"))-INDEX(H27:H46,MATCH(SMALL(J27:J46,1),J27:J46,0)))+INDEX(P27:AI46,MATCH(INDEX(_xlfn._xlws.FILTER(H27:H46,(INDEX(H27:H46,MATCH(SMALL(J27:J46,1),J27:J46,0))=H27:H46)=FALSE()),MATCH(SMALL(J27:J46,2),_xlfn._xlws.FILTER(J27:J46,(INDEX(H27:H46,MATCH(SMALL(J27:J46,1),J27:J46,0))=H27:H46)=FALSE()),0)),O27:O46,0),MATCH(INDEX(_xlfn._xlws.FILTER(H4:H23,(INDEX(H4:H23,MATCH(SMALL(K4:K23,1),K4:K23,0))=H4:H23)=FALSE()),MATCH(SMALL(K4:K23,2),_xlfn._xlws.FILTER(K4:K23,(INDEX(H4:H23,MATCH(SMALL(K4:K23,1),K4:K23,0))=H4:H23)=FALSE()),0)),P26:AI26,0))*(D14-INDEX(H4:H23,MATCH(SMALL(K4:K23,1),K4:K23,0)))*(IF(OR(C9='Data Validation'!D2,C9='Data Validation'!D3),B15,IF(C9='Data Validation'!D3,SUMPRODUCT('Bachelier Model'!N4:N124,'Bachelier Model'!O4:O124)/SUM('Bachelier Model'!N4:N124),"Strike Type Unknown"))-INDEX(H27:H46,MATCH(SMALL(J27:J46,1),J27:J46,0)))))))</f>
        <v>0.149543671818262</v>
      </c>
      <c r="E36" s="16" cm="1">
        <f t="array" ref="E36">IF(AND(COUNT(O4:O23)&lt;2,COUNT(P3:AI3)&lt;2),P27,IF(COUNT(O4:O23)&lt;2,_xlfn.FORECAST.LINEAR(E14,INDEX(P27:AI27,1,MATCH(IF(E14&lt;MIN(P3:AI3),INDEX(P3:AI3,1,MATCH(MIN(P3:AI3),P3:AI3,0)),IF(E14&gt;=MAX(P3:AI3),INDEX(P3:AI3,1,MATCH(MAX(P3:AI3),P3:AI3,0)),INDEX(P3:AI3,1,MATCH(E14,P3:AI3,1)))):IF(E14&lt;MIN(P3:AI3),INDEX(P3:AI3,1,MATCH(MIN(P3:AI3),P3:AI3,0)+1),IF(E14&gt;=MAX(P3:AI3),INDEX(P3:AI3,1,MATCH(MAX(P3:AI3),P3:AI3,0)-1),INDEX(P3:AI3,1,MATCH(E14,P3:AI3,1)+1))),P3:AI3,0)),IF(E14&lt;MIN(P3:AI3),INDEX(P3:AI3,1,MATCH(MIN(P3:AI3),P3:AI3,0)),IF(E14&gt;=MAX(P3:AI3),INDEX(P3:AI3,1,MATCH(MAX(P3:AI3),P3:AI3,0)),INDEX(P3:AI3,1,MATCH(E14,P3:AI3,1)))):IF(E14&lt;MIN(P3:AI3),INDEX(P3:AI3,1,MATCH(MIN(P3:AI3),P3:AI3,0)+1),IF(E14&gt;=MAX(P3:AI3),INDEX(P3:AI3,1,MATCH(MAX(P3:AI3),P3:AI3,0)-1),INDEX(P3:AI3,1,MATCH(E14,P3:AI3,1)+1)))),IF(COUNT(P3:AI3)&lt;2,_xlfn.FORECAST.LINEAR(B15,INDEX(P27:P46,MATCH(IF(B15&lt;MIN(O4:O23),INDEX(O4:O23,MATCH(MIN(O4:O23),O4:O23,0)),IF(B15&gt;=MAX(O4:O23),INDEX(O4:O23,MATCH(MAX(O4:O23),O4:O23,0)),INDEX(O4:O23,MATCH(B15,O4:O23,1)))):IF(B15&lt;MIN(O4:O23),INDEX(O4:O23,MATCH(MIN(O4:O23),O4:O23,0)+1),IF(B15&gt;=MAX(O4:O23),INDEX(O4:O23,MATCH(MAX(O4:O23),O4:O23,0)-1),INDEX(O4:O23,MATCH(B15,O4:O23,1)+1))),O4:O23,0)),IF(B15&lt;MIN(O4:O23),INDEX(O4:O23,MATCH(MIN(O4:O23),O4:O23,0)),IF(B15&gt;=MAX(O4:O23),INDEX(O4:O23,MATCH(MAX(O4:O23),O4:O23,0)),INDEX(O4:O23,MATCH(B15,O4:O23,1)))):IF(B15&lt;MIN(O4:O23),INDEX(O4:O23,MATCH(MIN(O4:O23),O4:O23,0)+1),IF(B15&gt;=MAX(O4:O23),INDEX(O4:O23,MATCH(MAX(O4:O23),O4:O23,0)-1),INDEX(O4:O23,MATCH(B15,O4:O23,1)+1)))),1/((INDEX(_xlfn._xlws.FILTER(H4:H23,(INDEX(H4:H23,MATCH(SMALL(L4:L23,1),L4:L23,0))=H4:H23)=FALSE()),MATCH(SMALL(L4:L23,2),_xlfn._xlws.FILTER(L4:L23,(INDEX(H4:H23,MATCH(SMALL(L4:L23,1),L4:L23,0))=H4:H23)=FALSE()),0))-INDEX(H4:H23,MATCH(SMALL(L4:L23,1),L4:L23,0)))*(INDEX(_xlfn._xlws.FILTER(H27:H46,(INDEX(H27:H46,MATCH(SMALL(J27:J46,1),J27:J46,0))=H27:H46)=FALSE()),MATCH(SMALL(J27:J46,2),_xlfn._xlws.FILTER(J27:J46,(INDEX(H27:H46,MATCH(SMALL(J27:J46,1),J27:J46,0))=H27:H46)=FALSE()),0))-INDEX(H27:H46,MATCH(SMALL(J27:J46,1),J27:J46,0))))*(INDEX(P27:AI46,MATCH(INDEX(H27:H46,MATCH(SMALL(J27:J46,1),J27:J46,0)),O27:O46,0),MATCH(INDEX(H4:H23,MATCH(SMALL(L4:L23,1),L4:L23,0)),P26:AI26,0))*(INDEX(_xlfn._xlws.FILTER(H4:H23,(INDEX(H4:H23,MATCH(SMALL(L4:L23,1),L4:L23,0))=H4:H23)=FALSE()),MATCH(SMALL(L4:L23,2),_xlfn._xlws.FILTER(L4:L23,(INDEX(H4:H23,MATCH(SMALL(L4:L23,1),L4:L23,0))=H4:H23)=FALSE()),0))-E14)*(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27:AI46,MATCH(INDEX(H27:H46,MATCH(SMALL(J27:J46,1),J27:J46,0)),O27:O46,0),MATCH(INDEX(_xlfn._xlws.FILTER(H4:H23,(INDEX(H4:H23,MATCH(SMALL(L4:L23,1),L4:L23,0))=H4:H23)=FALSE()),MATCH(SMALL(L4:L23,2),_xlfn._xlws.FILTER(L4:L23,(INDEX(H4:H23,MATCH(SMALL(L4:L23,1),L4:L23,0))=H4:H23)=FALSE()),0)),P26:AI26,0))*(E14-INDEX(H4:H23,MATCH(SMALL(L4:L23,1),L4:L23,0)))*(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27:AI46,MATCH(INDEX(_xlfn._xlws.FILTER(H27:H46,(INDEX(H27:H46,MATCH(SMALL(J27:J46,1),J27:J46,0))=H27:H46)=FALSE()),MATCH(SMALL(J27:J46,2),_xlfn._xlws.FILTER(J27:J46,(INDEX(H27:H46,MATCH(SMALL(J27:J46,1),J27:J46,0))=H27:H46)=FALSE()),0)),O27:O46,0),MATCH(INDEX(H4:H23,MATCH(SMALL(L4:L23,1),L4:L23,0)),P26:AI26,0))*(INDEX(_xlfn._xlws.FILTER(H4:H23,(INDEX(H4:H23,MATCH(SMALL(L4:L23,1),L4:L23,0))=H4:H23)=FALSE()),MATCH(SMALL(L4:L23,2),_xlfn._xlws.FILTER(L4:L23,(INDEX(H4:H23,MATCH(SMALL(L4:L23,1),L4:L23,0))=H4:H23)=FALSE()),0))-E14)*(IF(OR(C9='Data Validation'!D2,C9='Data Validation'!D3),B15,IF(C9='Data Validation'!D3,SUMPRODUCT('Bachelier Model'!N4:N124,'Bachelier Model'!O4:O124)/SUM('Bachelier Model'!N4:N124),"Strike Type Unknown"))-INDEX(H27:H46,MATCH(SMALL(J27:J46,1),J27:J46,0)))+INDEX(P27:AI46,MATCH(INDEX(_xlfn._xlws.FILTER(H27:H46,(INDEX(H27:H46,MATCH(SMALL(J27:J46,1),J27:J46,0))=H27:H46)=FALSE()),MATCH(SMALL(J27:J46,2),_xlfn._xlws.FILTER(J27:J46,(INDEX(H27:H46,MATCH(SMALL(J27:J46,1),J27:J46,0))=H27:H46)=FALSE()),0)),O27:O46,0),MATCH(INDEX(_xlfn._xlws.FILTER(H4:H23,(INDEX(H4:H23,MATCH(SMALL(L4:L23,1),L4:L23,0))=H4:H23)=FALSE()),MATCH(SMALL(L4:L23,2),_xlfn._xlws.FILTER(L4:L23,(INDEX(H4:H23,MATCH(SMALL(L4:L23,1),L4:L23,0))=H4:H23)=FALSE()),0)),P26:AI26,0))*(E14-INDEX(H4:H23,MATCH(SMALL(L4:L23,1),L4:L23,0)))*(IF(OR(C9='Data Validation'!D2,C9='Data Validation'!D3),B15,IF(C9='Data Validation'!D3,SUMPRODUCT('Bachelier Model'!N4:N124,'Bachelier Model'!O4:O124)/SUM('Bachelier Model'!N4:N124),"Strike Type Unknown"))-INDEX(H27:H46,MATCH(SMALL(J27:J46,1),J27:J46,0)))))))</f>
        <v>5.8874159576356659E-2</v>
      </c>
      <c r="F36" s="16" cm="1">
        <f t="array" ref="F36">IF(AND(COUNT(O4:O23)&lt;2,COUNT(P3:AI3)&lt;2),P27,IF(COUNT(O4:O23)&lt;2,_xlfn.FORECAST.LINEAR(F14,INDEX(P27:AI27,1,MATCH(IF(F14&lt;MIN(P3:AI3),INDEX(P3:AI3,1,MATCH(MIN(P3:AI3),P3:AI3,0)),IF(F14&gt;=MAX(P3:AI3),INDEX(P3:AI3,1,MATCH(MAX(P3:AI3),P3:AI3,0)),INDEX(P3:AI3,1,MATCH(F14,P3:AI3,1)))):IF(F14&lt;MIN(P3:AI3),INDEX(P3:AI3,1,MATCH(MIN(P3:AI3),P3:AI3,0)+1),IF(F14&gt;=MAX(P3:AI3),INDEX(P3:AI3,1,MATCH(MAX(P3:AI3),P3:AI3,0)-1),INDEX(P3:AI3,1,MATCH(F14,P3:AI3,1)+1))),P3:AI3,0)),IF(F14&lt;MIN(P3:AI3),INDEX(P3:AI3,1,MATCH(MIN(P3:AI3),P3:AI3,0)),IF(F14&gt;=MAX(P3:AI3),INDEX(P3:AI3,1,MATCH(MAX(P3:AI3),P3:AI3,0)),INDEX(P3:AI3,1,MATCH(F14,P3:AI3,1)))):IF(F14&lt;MIN(P3:AI3),INDEX(P3:AI3,1,MATCH(MIN(P3:AI3),P3:AI3,0)+1),IF(F14&gt;=MAX(P3:AI3),INDEX(P3:AI3,1,MATCH(MAX(P3:AI3),P3:AI3,0)-1),INDEX(P3:AI3,1,MATCH(F14,P3:AI3,1)+1)))),IF(COUNT(P3:AI3)&lt;2,_xlfn.FORECAST.LINEAR(B15,INDEX(P27:P46,MATCH(IF(B15&lt;MIN(O4:O23),INDEX(O4:O23,MATCH(MIN(O4:O23),O4:O23,0)),IF(B15&gt;=MAX(O4:O23),INDEX(O4:O23,MATCH(MAX(O4:O23),O4:O23,0)),INDEX(O4:O23,MATCH(B15,O4:O23,1)))):IF(B15&lt;MIN(O4:O23),INDEX(O4:O23,MATCH(MIN(O4:O23),O4:O23,0)+1),IF(B15&gt;=MAX(O4:O23),INDEX(O4:O23,MATCH(MAX(O4:O23),O4:O23,0)-1),INDEX(O4:O23,MATCH(B15,O4:O23,1)+1))),O4:O23,0)),IF(B15&lt;MIN(O4:O23),INDEX(O4:O23,MATCH(MIN(O4:O23),O4:O23,0)),IF(B15&gt;=MAX(O4:O23),INDEX(O4:O23,MATCH(MAX(O4:O23),O4:O23,0)),INDEX(O4:O23,MATCH(B15,O4:O23,1)))):IF(B15&lt;MIN(O4:O23),INDEX(O4:O23,MATCH(MIN(O4:O23),O4:O23,0)+1),IF(B15&gt;=MAX(O4:O23),INDEX(O4:O23,MATCH(MAX(O4:O23),O4:O23,0)-1),INDEX(O4:O23,MATCH(B15,O4:O23,1)+1)))),1/((INDEX(_xlfn._xlws.FILTER(H4:H23,(INDEX(H4:H23,MATCH(SMALL(M4:M23,1),M4:M23,0))=H4:H23)=FALSE()),MATCH(SMALL(M4:M23,2),_xlfn._xlws.FILTER(M4:M23,(INDEX(H4:H23,MATCH(SMALL(M4:M23,1),M4:M23,0))=H4:H23)=FALSE()),0))-INDEX(H4:H23,MATCH(SMALL(M4:M23,1),M4:M23,0)))*(INDEX(_xlfn._xlws.FILTER(H27:H46,(INDEX(H27:H46,MATCH(SMALL(J27:J46,1),J27:J46,0))=H27:H46)=FALSE()),MATCH(SMALL(J27:J46,2),_xlfn._xlws.FILTER(J27:J46,(INDEX(H27:H46,MATCH(SMALL(J27:J46,1),J27:J46,0))=H27:H46)=FALSE()),0))-INDEX(H27:H46,MATCH(SMALL(J27:J46,1),J27:J46,0))))*(INDEX(P27:AI46,MATCH(INDEX(H27:H46,MATCH(SMALL(J27:J46,1),J27:J46,0)),O27:O46,0),MATCH(INDEX(H4:H23,MATCH(SMALL(M4:M23,1),M4:M23,0)),P26:AI26,0))*(INDEX(_xlfn._xlws.FILTER(H4:H23,(INDEX(H4:H23,MATCH(SMALL(M4:M23,1),M4:M23,0))=H4:H23)=FALSE()),MATCH(SMALL(M4:M23,2),_xlfn._xlws.FILTER(M4:M23,(INDEX(H4:H23,MATCH(SMALL(M4:M23,1),M4:M23,0))=H4:H23)=FALSE()),0))-F14)*(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27:AI46,MATCH(INDEX(H27:H46,MATCH(SMALL(J27:J46,1),J27:J46,0)),O27:O46,0),MATCH(INDEX(_xlfn._xlws.FILTER(H4:H23,(INDEX(H4:H23,MATCH(SMALL(M4:M23,1),M4:M23,0))=H4:H23)=FALSE()),MATCH(SMALL(M4:M23,2),_xlfn._xlws.FILTER(M4:M23,(INDEX(H4:H23,MATCH(SMALL(M4:M23,1),M4:M23,0))=H4:H23)=FALSE()),0)),P26:AI26,0))*(F14-INDEX(H4:H23,MATCH(SMALL(M4:M23,1),M4:M23,0)))*(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27:AI46,MATCH(INDEX(_xlfn._xlws.FILTER(H27:H46,(INDEX(H27:H46,MATCH(SMALL(J27:J46,1),J27:J46,0))=H27:H46)=FALSE()),MATCH(SMALL(J27:J46,2),_xlfn._xlws.FILTER(J27:J46,(INDEX(H27:H46,MATCH(SMALL(J27:J46,1),J27:J46,0))=H27:H46)=FALSE()),0)),O27:O46,0),MATCH(INDEX(H4:H23,MATCH(SMALL(M4:M23,1),M4:M23,0)),P26:AI26,0))*(INDEX(_xlfn._xlws.FILTER(H4:H23,(INDEX(H4:H23,MATCH(SMALL(M4:M23,1),M4:M23,0))=H4:H23)=FALSE()),MATCH(SMALL(M4:M23,2),_xlfn._xlws.FILTER(M4:M23,(INDEX(H4:H23,MATCH(SMALL(M4:M23,1),M4:M23,0))=H4:H23)=FALSE()),0))-F14)*(IF(OR(C9='Data Validation'!D2,C9='Data Validation'!D3),B15,IF(C9='Data Validation'!D3,SUMPRODUCT('Bachelier Model'!N4:N124,'Bachelier Model'!O4:O124)/SUM('Bachelier Model'!N4:N124),"Strike Type Unknown"))-INDEX(H27:H46,MATCH(SMALL(J27:J46,1),J27:J46,0)))+INDEX(P27:AI46,MATCH(INDEX(_xlfn._xlws.FILTER(H27:H46,(INDEX(H27:H46,MATCH(SMALL(J27:J46,1),J27:J46,0))=H27:H46)=FALSE()),MATCH(SMALL(J27:J46,2),_xlfn._xlws.FILTER(J27:J46,(INDEX(H27:H46,MATCH(SMALL(J27:J46,1),J27:J46,0))=H27:H46)=FALSE()),0)),O27:O46,0),MATCH(INDEX(_xlfn._xlws.FILTER(H4:H23,(INDEX(H4:H23,MATCH(SMALL(M4:M23,1),M4:M23,0))=H4:H23)=FALSE()),MATCH(SMALL(M4:M23,2),_xlfn._xlws.FILTER(M4:M23,(INDEX(H4:H23,MATCH(SMALL(M4:M23,1),M4:M23,0))=H4:H23)=FALSE()),0)),P26:AI26,0))*(F14-INDEX(H4:H23,MATCH(SMALL(M4:M23,1),M4:M23,0)))*(IF(OR(C9='Data Validation'!D2,C9='Data Validation'!D3),B15,IF(C9='Data Validation'!D3,SUMPRODUCT('Bachelier Model'!N4:N124,'Bachelier Model'!O4:O124)/SUM('Bachelier Model'!N4:N124),"Strike Type Unknown"))-INDEX(H27:H46,MATCH(SMALL(J27:J46,1),J27:J46,0)))))))</f>
        <v>-3.1547621757783931E-2</v>
      </c>
      <c r="H36" s="176"/>
      <c r="I36" s="54" t="str">
        <f t="shared" si="6"/>
        <v/>
      </c>
      <c r="J36" s="55" t="str">
        <f t="shared" si="6"/>
        <v/>
      </c>
      <c r="K36" s="55" t="str">
        <f t="shared" si="6"/>
        <v/>
      </c>
      <c r="L36" s="55" t="str">
        <f t="shared" si="6"/>
        <v/>
      </c>
      <c r="M36" s="48" t="str">
        <f t="shared" si="6"/>
        <v/>
      </c>
      <c r="O36" s="176"/>
      <c r="P36" s="192" t="str" cm="1">
        <f t="array" ref="P36">IF(OR(P$26="",$O36=""),"",1/((INDEX('Adjustment Surface'!$AN$27:$AN$46,MATCH(('Adjustment Surface'!$O36),'Adjustment Surface'!$AN$27:$AN$46,1)+IF('Adjustment Surface'!$O37="",-1,1))-INDEX('Adjustment Surface'!$AN$27:$AN$46,MATCH(('Adjustment Surface'!$O36),'Adjustment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Surface'!$O36),'Adjustment Surface'!$AN$27:$AN$46,1)),$AN$27:$AN$46,0),MATCH(INDEX('Adjustment Surface'!$AO$26:$BH$26,1,MATCH(('Adjustment Surface'!P$26),'Adjustment Surface'!$AO$26:$BH$26,1)),$AO$26:$BH$26,0))*(INDEX('Adjustment Surface'!$AN$27:$AN$46,MATCH(('Adjustment Surface'!$O36),'Adjustment Surface'!$AN$27:$AN$46,1)+IF('Adjustment Surface'!$O37="",-1,1))-'Adjustment Surface'!$O36)*(INDEX('Adjustment Surface'!$AO$26:$BH$26,1,MATCH(('Adjustment Surface'!P$26),'Adjustment Surface'!$AO$26:$BH$26,1)+IF('Adjustment Surface'!Q$26="",-1,1))-'Adjustment Surface'!P$26)+INDEX($AO$27:$BH$46,MATCH(INDEX('Adjustment Surface'!$AN$27:$AN$46,MATCH(('Adjustment Surface'!$O36),'Adjustment Surface'!$AN$27:$AN$46,1)+IF('Adjustment Surface'!$O37="",-1,1)),$AN$27:$AN$46,0),MATCH(INDEX('Adjustment Surface'!$AO$26:$BH$26,1,MATCH(('Adjustment Surface'!P$26),'Adjustment Surface'!$AO$26:$BH$26,1)),$AO$26:$BH$26,0))*('Adjustment Surface'!$O36-INDEX('Adjustment Surface'!$AN$27:$AN$46,MATCH(('Adjustment Surface'!$O36),'Adjustment Surface'!$AN$27:$AN$46,1)))*(INDEX('Adjustment Surface'!$AO$26:$BH$26,1,MATCH(('Adjustment Surface'!P$26),'Adjustment Surface'!$AO$26:$BH$26,1)+IF('Adjustment Surface'!Q$26="",-1,1))-'Adjustment Surface'!P$26)+INDEX($AO$27:$BH$46,MATCH(INDEX('Adjustment Surface'!$AN$27:$AN$46,MATCH(('Adjustment Surface'!$O36),'Adjustment Surface'!$AN$27:$AN$46,1)),$AN$27:$AN$46,0),MATCH(INDEX('Adjustment Surface'!$AO$26:$BH$26,1,MATCH(('Adjustment Surface'!P$26),'Adjustment Surface'!$AO$26:$BH$26,1)+IF('Adjustment Surface'!Q$26="",-1,1)),$AO$26:$BH$26,0))*(INDEX('Adjustment Surface'!$AN$27:$AN$46,MATCH(('Adjustment Surface'!$O36),'Adjustment Surface'!$AN$27:$AN$46,1)+IF('Adjustment Surface'!$O37="",-1,1))-'Adjustment Surface'!$O36)*('Adjustment Surface'!P$26-INDEX('Adjustment Surface'!$AO$26:$BH$26,1,MATCH(('Adjustment Surface'!P$26),'Adjustment Surface'!$AO$26:$BH$26,1)))+INDEX($AO$27:$BH$46,MATCH(INDEX('Adjustment Surface'!$AN$27:$AN$46,MATCH(('Adjustment Surface'!$O36),'Adjustment Surface'!$AN$27:$AN$46,1)+IF('Adjustment Surface'!$O37="",-1,1)),$AN$27:$AN$46,0),MATCH(INDEX('Adjustment Surface'!$AO$26:$BH$26,1,MATCH(('Adjustment Surface'!P$26),'Adjustment Surface'!$AO$26:$BH$26,1)+IF('Adjustment Surface'!Q$26="",-1,1)),$AO$26:$BH$26,0))*('Adjustment Surface'!$O36-INDEX('Adjustment Surface'!$AN$27:$AN$46,MATCH(('Adjustment Surface'!$O36),'Adjustment Surface'!$AN$27:$AN$46,1)))*('Adjustment Surface'!P$26-INDEX('Adjustment Surface'!$AO$26:$BH$26,1,MATCH(('Adjustment Surface'!P$26),'Adjustment Surface'!$AO$26:$BH$26,1)))))</f>
        <v/>
      </c>
      <c r="Q36" s="193" t="str" cm="1">
        <f t="array" ref="Q36">IF(OR(Q$26="",$O36=""),"",1/((INDEX('Adjustment Surface'!$AN$27:$AN$46,MATCH(('Adjustment Surface'!$O36),'Adjustment Surface'!$AN$27:$AN$46,1)+IF('Adjustment Surface'!$O37="",-1,1))-INDEX('Adjustment Surface'!$AN$27:$AN$46,MATCH(('Adjustment Surface'!$O36),'Adjustment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Surface'!$O36),'Adjustment Surface'!$AN$27:$AN$46,1)),$AN$27:$AN$46,0),MATCH(INDEX('Adjustment Surface'!$AO$26:$BH$26,1,MATCH(('Adjustment Surface'!Q$26),'Adjustment Surface'!$AO$26:$BH$26,1)),$AO$26:$BH$26,0))*(INDEX('Adjustment Surface'!$AN$27:$AN$46,MATCH(('Adjustment Surface'!$O36),'Adjustment Surface'!$AN$27:$AN$46,1)+IF('Adjustment Surface'!$O37="",-1,1))-'Adjustment Surface'!$O36)*(INDEX('Adjustment Surface'!$AO$26:$BH$26,1,MATCH(('Adjustment Surface'!Q$26),'Adjustment Surface'!$AO$26:$BH$26,1)+IF('Adjustment Surface'!R$26="",-1,1))-'Adjustment Surface'!Q$26)+INDEX($AO$27:$BH$46,MATCH(INDEX('Adjustment Surface'!$AN$27:$AN$46,MATCH(('Adjustment Surface'!$O36),'Adjustment Surface'!$AN$27:$AN$46,1)+IF('Adjustment Surface'!$O37="",-1,1)),$AN$27:$AN$46,0),MATCH(INDEX('Adjustment Surface'!$AO$26:$BH$26,1,MATCH(('Adjustment Surface'!Q$26),'Adjustment Surface'!$AO$26:$BH$26,1)),$AO$26:$BH$26,0))*('Adjustment Surface'!$O36-INDEX('Adjustment Surface'!$AN$27:$AN$46,MATCH(('Adjustment Surface'!$O36),'Adjustment Surface'!$AN$27:$AN$46,1)))*(INDEX('Adjustment Surface'!$AO$26:$BH$26,1,MATCH(('Adjustment Surface'!Q$26),'Adjustment Surface'!$AO$26:$BH$26,1)+IF('Adjustment Surface'!R$26="",-1,1))-'Adjustment Surface'!Q$26)+INDEX($AO$27:$BH$46,MATCH(INDEX('Adjustment Surface'!$AN$27:$AN$46,MATCH(('Adjustment Surface'!$O36),'Adjustment Surface'!$AN$27:$AN$46,1)),$AN$27:$AN$46,0),MATCH(INDEX('Adjustment Surface'!$AO$26:$BH$26,1,MATCH(('Adjustment Surface'!Q$26),'Adjustment Surface'!$AO$26:$BH$26,1)+IF('Adjustment Surface'!R$26="",-1,1)),$AO$26:$BH$26,0))*(INDEX('Adjustment Surface'!$AN$27:$AN$46,MATCH(('Adjustment Surface'!$O36),'Adjustment Surface'!$AN$27:$AN$46,1)+IF('Adjustment Surface'!$O37="",-1,1))-'Adjustment Surface'!$O36)*('Adjustment Surface'!Q$26-INDEX('Adjustment Surface'!$AO$26:$BH$26,1,MATCH(('Adjustment Surface'!Q$26),'Adjustment Surface'!$AO$26:$BH$26,1)))+INDEX($AO$27:$BH$46,MATCH(INDEX('Adjustment Surface'!$AN$27:$AN$46,MATCH(('Adjustment Surface'!$O36),'Adjustment Surface'!$AN$27:$AN$46,1)+IF('Adjustment Surface'!$O37="",-1,1)),$AN$27:$AN$46,0),MATCH(INDEX('Adjustment Surface'!$AO$26:$BH$26,1,MATCH(('Adjustment Surface'!Q$26),'Adjustment Surface'!$AO$26:$BH$26,1)+IF('Adjustment Surface'!R$26="",-1,1)),$AO$26:$BH$26,0))*('Adjustment Surface'!$O36-INDEX('Adjustment Surface'!$AN$27:$AN$46,MATCH(('Adjustment Surface'!$O36),'Adjustment Surface'!$AN$27:$AN$46,1)))*('Adjustment Surface'!Q$26-INDEX('Adjustment Surface'!$AO$26:$BH$26,1,MATCH(('Adjustment Surface'!Q$26),'Adjustment Surface'!$AO$26:$BH$26,1)))))</f>
        <v/>
      </c>
      <c r="R36" s="193" t="str" cm="1">
        <f t="array" ref="R36">IF(OR(R$26="",$O36=""),"",1/((INDEX('Adjustment Surface'!$AN$27:$AN$46,MATCH(('Adjustment Surface'!$O36),'Adjustment Surface'!$AN$27:$AN$46,1)+IF('Adjustment Surface'!$O37="",-1,1))-INDEX('Adjustment Surface'!$AN$27:$AN$46,MATCH(('Adjustment Surface'!$O36),'Adjustment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Surface'!$O36),'Adjustment Surface'!$AN$27:$AN$46,1)),$AN$27:$AN$46,0),MATCH(INDEX('Adjustment Surface'!$AO$26:$BH$26,1,MATCH(('Adjustment Surface'!R$26),'Adjustment Surface'!$AO$26:$BH$26,1)),$AO$26:$BH$26,0))*(INDEX('Adjustment Surface'!$AN$27:$AN$46,MATCH(('Adjustment Surface'!$O36),'Adjustment Surface'!$AN$27:$AN$46,1)+IF('Adjustment Surface'!$O37="",-1,1))-'Adjustment Surface'!$O36)*(INDEX('Adjustment Surface'!$AO$26:$BH$26,1,MATCH(('Adjustment Surface'!R$26),'Adjustment Surface'!$AO$26:$BH$26,1)+IF('Adjustment Surface'!S$26="",-1,1))-'Adjustment Surface'!R$26)+INDEX($AO$27:$BH$46,MATCH(INDEX('Adjustment Surface'!$AN$27:$AN$46,MATCH(('Adjustment Surface'!$O36),'Adjustment Surface'!$AN$27:$AN$46,1)+IF('Adjustment Surface'!$O37="",-1,1)),$AN$27:$AN$46,0),MATCH(INDEX('Adjustment Surface'!$AO$26:$BH$26,1,MATCH(('Adjustment Surface'!R$26),'Adjustment Surface'!$AO$26:$BH$26,1)),$AO$26:$BH$26,0))*('Adjustment Surface'!$O36-INDEX('Adjustment Surface'!$AN$27:$AN$46,MATCH(('Adjustment Surface'!$O36),'Adjustment Surface'!$AN$27:$AN$46,1)))*(INDEX('Adjustment Surface'!$AO$26:$BH$26,1,MATCH(('Adjustment Surface'!R$26),'Adjustment Surface'!$AO$26:$BH$26,1)+IF('Adjustment Surface'!S$26="",-1,1))-'Adjustment Surface'!R$26)+INDEX($AO$27:$BH$46,MATCH(INDEX('Adjustment Surface'!$AN$27:$AN$46,MATCH(('Adjustment Surface'!$O36),'Adjustment Surface'!$AN$27:$AN$46,1)),$AN$27:$AN$46,0),MATCH(INDEX('Adjustment Surface'!$AO$26:$BH$26,1,MATCH(('Adjustment Surface'!R$26),'Adjustment Surface'!$AO$26:$BH$26,1)+IF('Adjustment Surface'!S$26="",-1,1)),$AO$26:$BH$26,0))*(INDEX('Adjustment Surface'!$AN$27:$AN$46,MATCH(('Adjustment Surface'!$O36),'Adjustment Surface'!$AN$27:$AN$46,1)+IF('Adjustment Surface'!$O37="",-1,1))-'Adjustment Surface'!$O36)*('Adjustment Surface'!R$26-INDEX('Adjustment Surface'!$AO$26:$BH$26,1,MATCH(('Adjustment Surface'!R$26),'Adjustment Surface'!$AO$26:$BH$26,1)))+INDEX($AO$27:$BH$46,MATCH(INDEX('Adjustment Surface'!$AN$27:$AN$46,MATCH(('Adjustment Surface'!$O36),'Adjustment Surface'!$AN$27:$AN$46,1)+IF('Adjustment Surface'!$O37="",-1,1)),$AN$27:$AN$46,0),MATCH(INDEX('Adjustment Surface'!$AO$26:$BH$26,1,MATCH(('Adjustment Surface'!R$26),'Adjustment Surface'!$AO$26:$BH$26,1)+IF('Adjustment Surface'!S$26="",-1,1)),$AO$26:$BH$26,0))*('Adjustment Surface'!$O36-INDEX('Adjustment Surface'!$AN$27:$AN$46,MATCH(('Adjustment Surface'!$O36),'Adjustment Surface'!$AN$27:$AN$46,1)))*('Adjustment Surface'!R$26-INDEX('Adjustment Surface'!$AO$26:$BH$26,1,MATCH(('Adjustment Surface'!R$26),'Adjustment Surface'!$AO$26:$BH$26,1)))))</f>
        <v/>
      </c>
      <c r="S36" s="193" t="str" cm="1">
        <f t="array" ref="S36">IF(OR(S$26="",$O36=""),"",1/((INDEX('Adjustment Surface'!$AN$27:$AN$46,MATCH(('Adjustment Surface'!$O36),'Adjustment Surface'!$AN$27:$AN$46,1)+IF('Adjustment Surface'!$O37="",-1,1))-INDEX('Adjustment Surface'!$AN$27:$AN$46,MATCH(('Adjustment Surface'!$O36),'Adjustment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Surface'!$O36),'Adjustment Surface'!$AN$27:$AN$46,1)),$AN$27:$AN$46,0),MATCH(INDEX('Adjustment Surface'!$AO$26:$BH$26,1,MATCH(('Adjustment Surface'!S$26),'Adjustment Surface'!$AO$26:$BH$26,1)),$AO$26:$BH$26,0))*(INDEX('Adjustment Surface'!$AN$27:$AN$46,MATCH(('Adjustment Surface'!$O36),'Adjustment Surface'!$AN$27:$AN$46,1)+IF('Adjustment Surface'!$O37="",-1,1))-'Adjustment Surface'!$O36)*(INDEX('Adjustment Surface'!$AO$26:$BH$26,1,MATCH(('Adjustment Surface'!S$26),'Adjustment Surface'!$AO$26:$BH$26,1)+IF('Adjustment Surface'!T$26="",-1,1))-'Adjustment Surface'!S$26)+INDEX($AO$27:$BH$46,MATCH(INDEX('Adjustment Surface'!$AN$27:$AN$46,MATCH(('Adjustment Surface'!$O36),'Adjustment Surface'!$AN$27:$AN$46,1)+IF('Adjustment Surface'!$O37="",-1,1)),$AN$27:$AN$46,0),MATCH(INDEX('Adjustment Surface'!$AO$26:$BH$26,1,MATCH(('Adjustment Surface'!S$26),'Adjustment Surface'!$AO$26:$BH$26,1)),$AO$26:$BH$26,0))*('Adjustment Surface'!$O36-INDEX('Adjustment Surface'!$AN$27:$AN$46,MATCH(('Adjustment Surface'!$O36),'Adjustment Surface'!$AN$27:$AN$46,1)))*(INDEX('Adjustment Surface'!$AO$26:$BH$26,1,MATCH(('Adjustment Surface'!S$26),'Adjustment Surface'!$AO$26:$BH$26,1)+IF('Adjustment Surface'!T$26="",-1,1))-'Adjustment Surface'!S$26)+INDEX($AO$27:$BH$46,MATCH(INDEX('Adjustment Surface'!$AN$27:$AN$46,MATCH(('Adjustment Surface'!$O36),'Adjustment Surface'!$AN$27:$AN$46,1)),$AN$27:$AN$46,0),MATCH(INDEX('Adjustment Surface'!$AO$26:$BH$26,1,MATCH(('Adjustment Surface'!S$26),'Adjustment Surface'!$AO$26:$BH$26,1)+IF('Adjustment Surface'!T$26="",-1,1)),$AO$26:$BH$26,0))*(INDEX('Adjustment Surface'!$AN$27:$AN$46,MATCH(('Adjustment Surface'!$O36),'Adjustment Surface'!$AN$27:$AN$46,1)+IF('Adjustment Surface'!$O37="",-1,1))-'Adjustment Surface'!$O36)*('Adjustment Surface'!S$26-INDEX('Adjustment Surface'!$AO$26:$BH$26,1,MATCH(('Adjustment Surface'!S$26),'Adjustment Surface'!$AO$26:$BH$26,1)))+INDEX($AO$27:$BH$46,MATCH(INDEX('Adjustment Surface'!$AN$27:$AN$46,MATCH(('Adjustment Surface'!$O36),'Adjustment Surface'!$AN$27:$AN$46,1)+IF('Adjustment Surface'!$O37="",-1,1)),$AN$27:$AN$46,0),MATCH(INDEX('Adjustment Surface'!$AO$26:$BH$26,1,MATCH(('Adjustment Surface'!S$26),'Adjustment Surface'!$AO$26:$BH$26,1)+IF('Adjustment Surface'!T$26="",-1,1)),$AO$26:$BH$26,0))*('Adjustment Surface'!$O36-INDEX('Adjustment Surface'!$AN$27:$AN$46,MATCH(('Adjustment Surface'!$O36),'Adjustment Surface'!$AN$27:$AN$46,1)))*('Adjustment Surface'!S$26-INDEX('Adjustment Surface'!$AO$26:$BH$26,1,MATCH(('Adjustment Surface'!S$26),'Adjustment Surface'!$AO$26:$BH$26,1)))))</f>
        <v/>
      </c>
      <c r="T36" s="193" t="str" cm="1">
        <f t="array" ref="T36">IF(OR(T$26="",$O36=""),"",1/((INDEX('Adjustment Surface'!$AN$27:$AN$46,MATCH(('Adjustment Surface'!$O36),'Adjustment Surface'!$AN$27:$AN$46,1)+IF('Adjustment Surface'!$O37="",-1,1))-INDEX('Adjustment Surface'!$AN$27:$AN$46,MATCH(('Adjustment Surface'!$O36),'Adjustment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Surface'!$O36),'Adjustment Surface'!$AN$27:$AN$46,1)),$AN$27:$AN$46,0),MATCH(INDEX('Adjustment Surface'!$AO$26:$BH$26,1,MATCH(('Adjustment Surface'!T$26),'Adjustment Surface'!$AO$26:$BH$26,1)),$AO$26:$BH$26,0))*(INDEX('Adjustment Surface'!$AN$27:$AN$46,MATCH(('Adjustment Surface'!$O36),'Adjustment Surface'!$AN$27:$AN$46,1)+IF('Adjustment Surface'!$O37="",-1,1))-'Adjustment Surface'!$O36)*(INDEX('Adjustment Surface'!$AO$26:$BH$26,1,MATCH(('Adjustment Surface'!T$26),'Adjustment Surface'!$AO$26:$BH$26,1)+IF('Adjustment Surface'!U$26="",-1,1))-'Adjustment Surface'!T$26)+INDEX($AO$27:$BH$46,MATCH(INDEX('Adjustment Surface'!$AN$27:$AN$46,MATCH(('Adjustment Surface'!$O36),'Adjustment Surface'!$AN$27:$AN$46,1)+IF('Adjustment Surface'!$O37="",-1,1)),$AN$27:$AN$46,0),MATCH(INDEX('Adjustment Surface'!$AO$26:$BH$26,1,MATCH(('Adjustment Surface'!T$26),'Adjustment Surface'!$AO$26:$BH$26,1)),$AO$26:$BH$26,0))*('Adjustment Surface'!$O36-INDEX('Adjustment Surface'!$AN$27:$AN$46,MATCH(('Adjustment Surface'!$O36),'Adjustment Surface'!$AN$27:$AN$46,1)))*(INDEX('Adjustment Surface'!$AO$26:$BH$26,1,MATCH(('Adjustment Surface'!T$26),'Adjustment Surface'!$AO$26:$BH$26,1)+IF('Adjustment Surface'!U$26="",-1,1))-'Adjustment Surface'!T$26)+INDEX($AO$27:$BH$46,MATCH(INDEX('Adjustment Surface'!$AN$27:$AN$46,MATCH(('Adjustment Surface'!$O36),'Adjustment Surface'!$AN$27:$AN$46,1)),$AN$27:$AN$46,0),MATCH(INDEX('Adjustment Surface'!$AO$26:$BH$26,1,MATCH(('Adjustment Surface'!T$26),'Adjustment Surface'!$AO$26:$BH$26,1)+IF('Adjustment Surface'!U$26="",-1,1)),$AO$26:$BH$26,0))*(INDEX('Adjustment Surface'!$AN$27:$AN$46,MATCH(('Adjustment Surface'!$O36),'Adjustment Surface'!$AN$27:$AN$46,1)+IF('Adjustment Surface'!$O37="",-1,1))-'Adjustment Surface'!$O36)*('Adjustment Surface'!T$26-INDEX('Adjustment Surface'!$AO$26:$BH$26,1,MATCH(('Adjustment Surface'!T$26),'Adjustment Surface'!$AO$26:$BH$26,1)))+INDEX($AO$27:$BH$46,MATCH(INDEX('Adjustment Surface'!$AN$27:$AN$46,MATCH(('Adjustment Surface'!$O36),'Adjustment Surface'!$AN$27:$AN$46,1)+IF('Adjustment Surface'!$O37="",-1,1)),$AN$27:$AN$46,0),MATCH(INDEX('Adjustment Surface'!$AO$26:$BH$26,1,MATCH(('Adjustment Surface'!T$26),'Adjustment Surface'!$AO$26:$BH$26,1)+IF('Adjustment Surface'!U$26="",-1,1)),$AO$26:$BH$26,0))*('Adjustment Surface'!$O36-INDEX('Adjustment Surface'!$AN$27:$AN$46,MATCH(('Adjustment Surface'!$O36),'Adjustment Surface'!$AN$27:$AN$46,1)))*('Adjustment Surface'!T$26-INDEX('Adjustment Surface'!$AO$26:$BH$26,1,MATCH(('Adjustment Surface'!T$26),'Adjustment Surface'!$AO$26:$BH$26,1)))))</f>
        <v/>
      </c>
      <c r="U36" s="193" t="str" cm="1">
        <f t="array" ref="U36">IF(OR(U$26="",$O36=""),"",1/((INDEX('Adjustment Surface'!$AN$27:$AN$46,MATCH(('Adjustment Surface'!$O36),'Adjustment Surface'!$AN$27:$AN$46,1)+IF('Adjustment Surface'!$O37="",-1,1))-INDEX('Adjustment Surface'!$AN$27:$AN$46,MATCH(('Adjustment Surface'!$O36),'Adjustment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Surface'!$O36),'Adjustment Surface'!$AN$27:$AN$46,1)),$AN$27:$AN$46,0),MATCH(INDEX('Adjustment Surface'!$AO$26:$BH$26,1,MATCH(('Adjustment Surface'!U$26),'Adjustment Surface'!$AO$26:$BH$26,1)),$AO$26:$BH$26,0))*(INDEX('Adjustment Surface'!$AN$27:$AN$46,MATCH(('Adjustment Surface'!$O36),'Adjustment Surface'!$AN$27:$AN$46,1)+IF('Adjustment Surface'!$O37="",-1,1))-'Adjustment Surface'!$O36)*(INDEX('Adjustment Surface'!$AO$26:$BH$26,1,MATCH(('Adjustment Surface'!U$26),'Adjustment Surface'!$AO$26:$BH$26,1)+IF('Adjustment Surface'!V$26="",-1,1))-'Adjustment Surface'!U$26)+INDEX($AO$27:$BH$46,MATCH(INDEX('Adjustment Surface'!$AN$27:$AN$46,MATCH(('Adjustment Surface'!$O36),'Adjustment Surface'!$AN$27:$AN$46,1)+IF('Adjustment Surface'!$O37="",-1,1)),$AN$27:$AN$46,0),MATCH(INDEX('Adjustment Surface'!$AO$26:$BH$26,1,MATCH(('Adjustment Surface'!U$26),'Adjustment Surface'!$AO$26:$BH$26,1)),$AO$26:$BH$26,0))*('Adjustment Surface'!$O36-INDEX('Adjustment Surface'!$AN$27:$AN$46,MATCH(('Adjustment Surface'!$O36),'Adjustment Surface'!$AN$27:$AN$46,1)))*(INDEX('Adjustment Surface'!$AO$26:$BH$26,1,MATCH(('Adjustment Surface'!U$26),'Adjustment Surface'!$AO$26:$BH$26,1)+IF('Adjustment Surface'!V$26="",-1,1))-'Adjustment Surface'!U$26)+INDEX($AO$27:$BH$46,MATCH(INDEX('Adjustment Surface'!$AN$27:$AN$46,MATCH(('Adjustment Surface'!$O36),'Adjustment Surface'!$AN$27:$AN$46,1)),$AN$27:$AN$46,0),MATCH(INDEX('Adjustment Surface'!$AO$26:$BH$26,1,MATCH(('Adjustment Surface'!U$26),'Adjustment Surface'!$AO$26:$BH$26,1)+IF('Adjustment Surface'!V$26="",-1,1)),$AO$26:$BH$26,0))*(INDEX('Adjustment Surface'!$AN$27:$AN$46,MATCH(('Adjustment Surface'!$O36),'Adjustment Surface'!$AN$27:$AN$46,1)+IF('Adjustment Surface'!$O37="",-1,1))-'Adjustment Surface'!$O36)*('Adjustment Surface'!U$26-INDEX('Adjustment Surface'!$AO$26:$BH$26,1,MATCH(('Adjustment Surface'!U$26),'Adjustment Surface'!$AO$26:$BH$26,1)))+INDEX($AO$27:$BH$46,MATCH(INDEX('Adjustment Surface'!$AN$27:$AN$46,MATCH(('Adjustment Surface'!$O36),'Adjustment Surface'!$AN$27:$AN$46,1)+IF('Adjustment Surface'!$O37="",-1,1)),$AN$27:$AN$46,0),MATCH(INDEX('Adjustment Surface'!$AO$26:$BH$26,1,MATCH(('Adjustment Surface'!U$26),'Adjustment Surface'!$AO$26:$BH$26,1)+IF('Adjustment Surface'!V$26="",-1,1)),$AO$26:$BH$26,0))*('Adjustment Surface'!$O36-INDEX('Adjustment Surface'!$AN$27:$AN$46,MATCH(('Adjustment Surface'!$O36),'Adjustment Surface'!$AN$27:$AN$46,1)))*('Adjustment Surface'!U$26-INDEX('Adjustment Surface'!$AO$26:$BH$26,1,MATCH(('Adjustment Surface'!U$26),'Adjustment Surface'!$AO$26:$BH$26,1)))))</f>
        <v/>
      </c>
      <c r="V36" s="193" t="str" cm="1">
        <f t="array" ref="V36">IF(OR(V$26="",$O36=""),"",1/((INDEX('Adjustment Surface'!$AN$27:$AN$46,MATCH(('Adjustment Surface'!$O36),'Adjustment Surface'!$AN$27:$AN$46,1)+IF('Adjustment Surface'!$O37="",-1,1))-INDEX('Adjustment Surface'!$AN$27:$AN$46,MATCH(('Adjustment Surface'!$O36),'Adjustment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Surface'!$O36),'Adjustment Surface'!$AN$27:$AN$46,1)),$AN$27:$AN$46,0),MATCH(INDEX('Adjustment Surface'!$AO$26:$BH$26,1,MATCH(('Adjustment Surface'!V$26),'Adjustment Surface'!$AO$26:$BH$26,1)),$AO$26:$BH$26,0))*(INDEX('Adjustment Surface'!$AN$27:$AN$46,MATCH(('Adjustment Surface'!$O36),'Adjustment Surface'!$AN$27:$AN$46,1)+IF('Adjustment Surface'!$O37="",-1,1))-'Adjustment Surface'!$O36)*(INDEX('Adjustment Surface'!$AO$26:$BH$26,1,MATCH(('Adjustment Surface'!V$26),'Adjustment Surface'!$AO$26:$BH$26,1)+IF('Adjustment Surface'!W$26="",-1,1))-'Adjustment Surface'!V$26)+INDEX($AO$27:$BH$46,MATCH(INDEX('Adjustment Surface'!$AN$27:$AN$46,MATCH(('Adjustment Surface'!$O36),'Adjustment Surface'!$AN$27:$AN$46,1)+IF('Adjustment Surface'!$O37="",-1,1)),$AN$27:$AN$46,0),MATCH(INDEX('Adjustment Surface'!$AO$26:$BH$26,1,MATCH(('Adjustment Surface'!V$26),'Adjustment Surface'!$AO$26:$BH$26,1)),$AO$26:$BH$26,0))*('Adjustment Surface'!$O36-INDEX('Adjustment Surface'!$AN$27:$AN$46,MATCH(('Adjustment Surface'!$O36),'Adjustment Surface'!$AN$27:$AN$46,1)))*(INDEX('Adjustment Surface'!$AO$26:$BH$26,1,MATCH(('Adjustment Surface'!V$26),'Adjustment Surface'!$AO$26:$BH$26,1)+IF('Adjustment Surface'!W$26="",-1,1))-'Adjustment Surface'!V$26)+INDEX($AO$27:$BH$46,MATCH(INDEX('Adjustment Surface'!$AN$27:$AN$46,MATCH(('Adjustment Surface'!$O36),'Adjustment Surface'!$AN$27:$AN$46,1)),$AN$27:$AN$46,0),MATCH(INDEX('Adjustment Surface'!$AO$26:$BH$26,1,MATCH(('Adjustment Surface'!V$26),'Adjustment Surface'!$AO$26:$BH$26,1)+IF('Adjustment Surface'!W$26="",-1,1)),$AO$26:$BH$26,0))*(INDEX('Adjustment Surface'!$AN$27:$AN$46,MATCH(('Adjustment Surface'!$O36),'Adjustment Surface'!$AN$27:$AN$46,1)+IF('Adjustment Surface'!$O37="",-1,1))-'Adjustment Surface'!$O36)*('Adjustment Surface'!V$26-INDEX('Adjustment Surface'!$AO$26:$BH$26,1,MATCH(('Adjustment Surface'!V$26),'Adjustment Surface'!$AO$26:$BH$26,1)))+INDEX($AO$27:$BH$46,MATCH(INDEX('Adjustment Surface'!$AN$27:$AN$46,MATCH(('Adjustment Surface'!$O36),'Adjustment Surface'!$AN$27:$AN$46,1)+IF('Adjustment Surface'!$O37="",-1,1)),$AN$27:$AN$46,0),MATCH(INDEX('Adjustment Surface'!$AO$26:$BH$26,1,MATCH(('Adjustment Surface'!V$26),'Adjustment Surface'!$AO$26:$BH$26,1)+IF('Adjustment Surface'!W$26="",-1,1)),$AO$26:$BH$26,0))*('Adjustment Surface'!$O36-INDEX('Adjustment Surface'!$AN$27:$AN$46,MATCH(('Adjustment Surface'!$O36),'Adjustment Surface'!$AN$27:$AN$46,1)))*('Adjustment Surface'!V$26-INDEX('Adjustment Surface'!$AO$26:$BH$26,1,MATCH(('Adjustment Surface'!V$26),'Adjustment Surface'!$AO$26:$BH$26,1)))))</f>
        <v/>
      </c>
      <c r="W36" s="193" t="str" cm="1">
        <f t="array" ref="W36">IF(OR(W$26="",$O36=""),"",1/((INDEX('Adjustment Surface'!$AN$27:$AN$46,MATCH(('Adjustment Surface'!$O36),'Adjustment Surface'!$AN$27:$AN$46,1)+IF('Adjustment Surface'!$O37="",-1,1))-INDEX('Adjustment Surface'!$AN$27:$AN$46,MATCH(('Adjustment Surface'!$O36),'Adjustment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Surface'!$O36),'Adjustment Surface'!$AN$27:$AN$46,1)),$AN$27:$AN$46,0),MATCH(INDEX('Adjustment Surface'!$AO$26:$BH$26,1,MATCH(('Adjustment Surface'!W$26),'Adjustment Surface'!$AO$26:$BH$26,1)),$AO$26:$BH$26,0))*(INDEX('Adjustment Surface'!$AN$27:$AN$46,MATCH(('Adjustment Surface'!$O36),'Adjustment Surface'!$AN$27:$AN$46,1)+IF('Adjustment Surface'!$O37="",-1,1))-'Adjustment Surface'!$O36)*(INDEX('Adjustment Surface'!$AO$26:$BH$26,1,MATCH(('Adjustment Surface'!W$26),'Adjustment Surface'!$AO$26:$BH$26,1)+IF('Adjustment Surface'!X$26="",-1,1))-'Adjustment Surface'!W$26)+INDEX($AO$27:$BH$46,MATCH(INDEX('Adjustment Surface'!$AN$27:$AN$46,MATCH(('Adjustment Surface'!$O36),'Adjustment Surface'!$AN$27:$AN$46,1)+IF('Adjustment Surface'!$O37="",-1,1)),$AN$27:$AN$46,0),MATCH(INDEX('Adjustment Surface'!$AO$26:$BH$26,1,MATCH(('Adjustment Surface'!W$26),'Adjustment Surface'!$AO$26:$BH$26,1)),$AO$26:$BH$26,0))*('Adjustment Surface'!$O36-INDEX('Adjustment Surface'!$AN$27:$AN$46,MATCH(('Adjustment Surface'!$O36),'Adjustment Surface'!$AN$27:$AN$46,1)))*(INDEX('Adjustment Surface'!$AO$26:$BH$26,1,MATCH(('Adjustment Surface'!W$26),'Adjustment Surface'!$AO$26:$BH$26,1)+IF('Adjustment Surface'!X$26="",-1,1))-'Adjustment Surface'!W$26)+INDEX($AO$27:$BH$46,MATCH(INDEX('Adjustment Surface'!$AN$27:$AN$46,MATCH(('Adjustment Surface'!$O36),'Adjustment Surface'!$AN$27:$AN$46,1)),$AN$27:$AN$46,0),MATCH(INDEX('Adjustment Surface'!$AO$26:$BH$26,1,MATCH(('Adjustment Surface'!W$26),'Adjustment Surface'!$AO$26:$BH$26,1)+IF('Adjustment Surface'!X$26="",-1,1)),$AO$26:$BH$26,0))*(INDEX('Adjustment Surface'!$AN$27:$AN$46,MATCH(('Adjustment Surface'!$O36),'Adjustment Surface'!$AN$27:$AN$46,1)+IF('Adjustment Surface'!$O37="",-1,1))-'Adjustment Surface'!$O36)*('Adjustment Surface'!W$26-INDEX('Adjustment Surface'!$AO$26:$BH$26,1,MATCH(('Adjustment Surface'!W$26),'Adjustment Surface'!$AO$26:$BH$26,1)))+INDEX($AO$27:$BH$46,MATCH(INDEX('Adjustment Surface'!$AN$27:$AN$46,MATCH(('Adjustment Surface'!$O36),'Adjustment Surface'!$AN$27:$AN$46,1)+IF('Adjustment Surface'!$O37="",-1,1)),$AN$27:$AN$46,0),MATCH(INDEX('Adjustment Surface'!$AO$26:$BH$26,1,MATCH(('Adjustment Surface'!W$26),'Adjustment Surface'!$AO$26:$BH$26,1)+IF('Adjustment Surface'!X$26="",-1,1)),$AO$26:$BH$26,0))*('Adjustment Surface'!$O36-INDEX('Adjustment Surface'!$AN$27:$AN$46,MATCH(('Adjustment Surface'!$O36),'Adjustment Surface'!$AN$27:$AN$46,1)))*('Adjustment Surface'!W$26-INDEX('Adjustment Surface'!$AO$26:$BH$26,1,MATCH(('Adjustment Surface'!W$26),'Adjustment Surface'!$AO$26:$BH$26,1)))))</f>
        <v/>
      </c>
      <c r="X36" s="193" t="str" cm="1">
        <f t="array" ref="X36">IF(OR(X$26="",$O36=""),"",1/((INDEX('Adjustment Surface'!$AN$27:$AN$46,MATCH(('Adjustment Surface'!$O36),'Adjustment Surface'!$AN$27:$AN$46,1)+IF('Adjustment Surface'!$O37="",-1,1))-INDEX('Adjustment Surface'!$AN$27:$AN$46,MATCH(('Adjustment Surface'!$O36),'Adjustment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Surface'!$O36),'Adjustment Surface'!$AN$27:$AN$46,1)),$AN$27:$AN$46,0),MATCH(INDEX('Adjustment Surface'!$AO$26:$BH$26,1,MATCH(('Adjustment Surface'!X$26),'Adjustment Surface'!$AO$26:$BH$26,1)),$AO$26:$BH$26,0))*(INDEX('Adjustment Surface'!$AN$27:$AN$46,MATCH(('Adjustment Surface'!$O36),'Adjustment Surface'!$AN$27:$AN$46,1)+IF('Adjustment Surface'!$O37="",-1,1))-'Adjustment Surface'!$O36)*(INDEX('Adjustment Surface'!$AO$26:$BH$26,1,MATCH(('Adjustment Surface'!X$26),'Adjustment Surface'!$AO$26:$BH$26,1)+IF('Adjustment Surface'!Y$26="",-1,1))-'Adjustment Surface'!X$26)+INDEX($AO$27:$BH$46,MATCH(INDEX('Adjustment Surface'!$AN$27:$AN$46,MATCH(('Adjustment Surface'!$O36),'Adjustment Surface'!$AN$27:$AN$46,1)+IF('Adjustment Surface'!$O37="",-1,1)),$AN$27:$AN$46,0),MATCH(INDEX('Adjustment Surface'!$AO$26:$BH$26,1,MATCH(('Adjustment Surface'!X$26),'Adjustment Surface'!$AO$26:$BH$26,1)),$AO$26:$BH$26,0))*('Adjustment Surface'!$O36-INDEX('Adjustment Surface'!$AN$27:$AN$46,MATCH(('Adjustment Surface'!$O36),'Adjustment Surface'!$AN$27:$AN$46,1)))*(INDEX('Adjustment Surface'!$AO$26:$BH$26,1,MATCH(('Adjustment Surface'!X$26),'Adjustment Surface'!$AO$26:$BH$26,1)+IF('Adjustment Surface'!Y$26="",-1,1))-'Adjustment Surface'!X$26)+INDEX($AO$27:$BH$46,MATCH(INDEX('Adjustment Surface'!$AN$27:$AN$46,MATCH(('Adjustment Surface'!$O36),'Adjustment Surface'!$AN$27:$AN$46,1)),$AN$27:$AN$46,0),MATCH(INDEX('Adjustment Surface'!$AO$26:$BH$26,1,MATCH(('Adjustment Surface'!X$26),'Adjustment Surface'!$AO$26:$BH$26,1)+IF('Adjustment Surface'!Y$26="",-1,1)),$AO$26:$BH$26,0))*(INDEX('Adjustment Surface'!$AN$27:$AN$46,MATCH(('Adjustment Surface'!$O36),'Adjustment Surface'!$AN$27:$AN$46,1)+IF('Adjustment Surface'!$O37="",-1,1))-'Adjustment Surface'!$O36)*('Adjustment Surface'!X$26-INDEX('Adjustment Surface'!$AO$26:$BH$26,1,MATCH(('Adjustment Surface'!X$26),'Adjustment Surface'!$AO$26:$BH$26,1)))+INDEX($AO$27:$BH$46,MATCH(INDEX('Adjustment Surface'!$AN$27:$AN$46,MATCH(('Adjustment Surface'!$O36),'Adjustment Surface'!$AN$27:$AN$46,1)+IF('Adjustment Surface'!$O37="",-1,1)),$AN$27:$AN$46,0),MATCH(INDEX('Adjustment Surface'!$AO$26:$BH$26,1,MATCH(('Adjustment Surface'!X$26),'Adjustment Surface'!$AO$26:$BH$26,1)+IF('Adjustment Surface'!Y$26="",-1,1)),$AO$26:$BH$26,0))*('Adjustment Surface'!$O36-INDEX('Adjustment Surface'!$AN$27:$AN$46,MATCH(('Adjustment Surface'!$O36),'Adjustment Surface'!$AN$27:$AN$46,1)))*('Adjustment Surface'!X$26-INDEX('Adjustment Surface'!$AO$26:$BH$26,1,MATCH(('Adjustment Surface'!X$26),'Adjustment Surface'!$AO$26:$BH$26,1)))))</f>
        <v/>
      </c>
      <c r="Y36" s="193" t="str" cm="1">
        <f t="array" ref="Y36">IF(OR(Y$26="",$O36=""),"",1/((INDEX('Adjustment Surface'!$AN$27:$AN$46,MATCH(('Adjustment Surface'!$O36),'Adjustment Surface'!$AN$27:$AN$46,1)+IF('Adjustment Surface'!$O37="",-1,1))-INDEX('Adjustment Surface'!$AN$27:$AN$46,MATCH(('Adjustment Surface'!$O36),'Adjustment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Surface'!$O36),'Adjustment Surface'!$AN$27:$AN$46,1)),$AN$27:$AN$46,0),MATCH(INDEX('Adjustment Surface'!$AO$26:$BH$26,1,MATCH(('Adjustment Surface'!Y$26),'Adjustment Surface'!$AO$26:$BH$26,1)),$AO$26:$BH$26,0))*(INDEX('Adjustment Surface'!$AN$27:$AN$46,MATCH(('Adjustment Surface'!$O36),'Adjustment Surface'!$AN$27:$AN$46,1)+IF('Adjustment Surface'!$O37="",-1,1))-'Adjustment Surface'!$O36)*(INDEX('Adjustment Surface'!$AO$26:$BH$26,1,MATCH(('Adjustment Surface'!Y$26),'Adjustment Surface'!$AO$26:$BH$26,1)+IF('Adjustment Surface'!Z$26="",-1,1))-'Adjustment Surface'!Y$26)+INDEX($AO$27:$BH$46,MATCH(INDEX('Adjustment Surface'!$AN$27:$AN$46,MATCH(('Adjustment Surface'!$O36),'Adjustment Surface'!$AN$27:$AN$46,1)+IF('Adjustment Surface'!$O37="",-1,1)),$AN$27:$AN$46,0),MATCH(INDEX('Adjustment Surface'!$AO$26:$BH$26,1,MATCH(('Adjustment Surface'!Y$26),'Adjustment Surface'!$AO$26:$BH$26,1)),$AO$26:$BH$26,0))*('Adjustment Surface'!$O36-INDEX('Adjustment Surface'!$AN$27:$AN$46,MATCH(('Adjustment Surface'!$O36),'Adjustment Surface'!$AN$27:$AN$46,1)))*(INDEX('Adjustment Surface'!$AO$26:$BH$26,1,MATCH(('Adjustment Surface'!Y$26),'Adjustment Surface'!$AO$26:$BH$26,1)+IF('Adjustment Surface'!Z$26="",-1,1))-'Adjustment Surface'!Y$26)+INDEX($AO$27:$BH$46,MATCH(INDEX('Adjustment Surface'!$AN$27:$AN$46,MATCH(('Adjustment Surface'!$O36),'Adjustment Surface'!$AN$27:$AN$46,1)),$AN$27:$AN$46,0),MATCH(INDEX('Adjustment Surface'!$AO$26:$BH$26,1,MATCH(('Adjustment Surface'!Y$26),'Adjustment Surface'!$AO$26:$BH$26,1)+IF('Adjustment Surface'!Z$26="",-1,1)),$AO$26:$BH$26,0))*(INDEX('Adjustment Surface'!$AN$27:$AN$46,MATCH(('Adjustment Surface'!$O36),'Adjustment Surface'!$AN$27:$AN$46,1)+IF('Adjustment Surface'!$O37="",-1,1))-'Adjustment Surface'!$O36)*('Adjustment Surface'!Y$26-INDEX('Adjustment Surface'!$AO$26:$BH$26,1,MATCH(('Adjustment Surface'!Y$26),'Adjustment Surface'!$AO$26:$BH$26,1)))+INDEX($AO$27:$BH$46,MATCH(INDEX('Adjustment Surface'!$AN$27:$AN$46,MATCH(('Adjustment Surface'!$O36),'Adjustment Surface'!$AN$27:$AN$46,1)+IF('Adjustment Surface'!$O37="",-1,1)),$AN$27:$AN$46,0),MATCH(INDEX('Adjustment Surface'!$AO$26:$BH$26,1,MATCH(('Adjustment Surface'!Y$26),'Adjustment Surface'!$AO$26:$BH$26,1)+IF('Adjustment Surface'!Z$26="",-1,1)),$AO$26:$BH$26,0))*('Adjustment Surface'!$O36-INDEX('Adjustment Surface'!$AN$27:$AN$46,MATCH(('Adjustment Surface'!$O36),'Adjustment Surface'!$AN$27:$AN$46,1)))*('Adjustment Surface'!Y$26-INDEX('Adjustment Surface'!$AO$26:$BH$26,1,MATCH(('Adjustment Surface'!Y$26),'Adjustment Surface'!$AO$26:$BH$26,1)))))</f>
        <v/>
      </c>
      <c r="Z36" s="193" t="str" cm="1">
        <f t="array" ref="Z36">IF(OR(Z$26="",$O36=""),"",1/((INDEX('Adjustment Surface'!$AN$27:$AN$46,MATCH(('Adjustment Surface'!$O36),'Adjustment Surface'!$AN$27:$AN$46,1)+IF('Adjustment Surface'!$O37="",-1,1))-INDEX('Adjustment Surface'!$AN$27:$AN$46,MATCH(('Adjustment Surface'!$O36),'Adjustment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Surface'!$O36),'Adjustment Surface'!$AN$27:$AN$46,1)),$AN$27:$AN$46,0),MATCH(INDEX('Adjustment Surface'!$AO$26:$BH$26,1,MATCH(('Adjustment Surface'!Z$26),'Adjustment Surface'!$AO$26:$BH$26,1)),$AO$26:$BH$26,0))*(INDEX('Adjustment Surface'!$AN$27:$AN$46,MATCH(('Adjustment Surface'!$O36),'Adjustment Surface'!$AN$27:$AN$46,1)+IF('Adjustment Surface'!$O37="",-1,1))-'Adjustment Surface'!$O36)*(INDEX('Adjustment Surface'!$AO$26:$BH$26,1,MATCH(('Adjustment Surface'!Z$26),'Adjustment Surface'!$AO$26:$BH$26,1)+IF('Adjustment Surface'!AA$26="",-1,1))-'Adjustment Surface'!Z$26)+INDEX($AO$27:$BH$46,MATCH(INDEX('Adjustment Surface'!$AN$27:$AN$46,MATCH(('Adjustment Surface'!$O36),'Adjustment Surface'!$AN$27:$AN$46,1)+IF('Adjustment Surface'!$O37="",-1,1)),$AN$27:$AN$46,0),MATCH(INDEX('Adjustment Surface'!$AO$26:$BH$26,1,MATCH(('Adjustment Surface'!Z$26),'Adjustment Surface'!$AO$26:$BH$26,1)),$AO$26:$BH$26,0))*('Adjustment Surface'!$O36-INDEX('Adjustment Surface'!$AN$27:$AN$46,MATCH(('Adjustment Surface'!$O36),'Adjustment Surface'!$AN$27:$AN$46,1)))*(INDEX('Adjustment Surface'!$AO$26:$BH$26,1,MATCH(('Adjustment Surface'!Z$26),'Adjustment Surface'!$AO$26:$BH$26,1)+IF('Adjustment Surface'!AA$26="",-1,1))-'Adjustment Surface'!Z$26)+INDEX($AO$27:$BH$46,MATCH(INDEX('Adjustment Surface'!$AN$27:$AN$46,MATCH(('Adjustment Surface'!$O36),'Adjustment Surface'!$AN$27:$AN$46,1)),$AN$27:$AN$46,0),MATCH(INDEX('Adjustment Surface'!$AO$26:$BH$26,1,MATCH(('Adjustment Surface'!Z$26),'Adjustment Surface'!$AO$26:$BH$26,1)+IF('Adjustment Surface'!AA$26="",-1,1)),$AO$26:$BH$26,0))*(INDEX('Adjustment Surface'!$AN$27:$AN$46,MATCH(('Adjustment Surface'!$O36),'Adjustment Surface'!$AN$27:$AN$46,1)+IF('Adjustment Surface'!$O37="",-1,1))-'Adjustment Surface'!$O36)*('Adjustment Surface'!Z$26-INDEX('Adjustment Surface'!$AO$26:$BH$26,1,MATCH(('Adjustment Surface'!Z$26),'Adjustment Surface'!$AO$26:$BH$26,1)))+INDEX($AO$27:$BH$46,MATCH(INDEX('Adjustment Surface'!$AN$27:$AN$46,MATCH(('Adjustment Surface'!$O36),'Adjustment Surface'!$AN$27:$AN$46,1)+IF('Adjustment Surface'!$O37="",-1,1)),$AN$27:$AN$46,0),MATCH(INDEX('Adjustment Surface'!$AO$26:$BH$26,1,MATCH(('Adjustment Surface'!Z$26),'Adjustment Surface'!$AO$26:$BH$26,1)+IF('Adjustment Surface'!AA$26="",-1,1)),$AO$26:$BH$26,0))*('Adjustment Surface'!$O36-INDEX('Adjustment Surface'!$AN$27:$AN$46,MATCH(('Adjustment Surface'!$O36),'Adjustment Surface'!$AN$27:$AN$46,1)))*('Adjustment Surface'!Z$26-INDEX('Adjustment Surface'!$AO$26:$BH$26,1,MATCH(('Adjustment Surface'!Z$26),'Adjustment Surface'!$AO$26:$BH$26,1)))))</f>
        <v/>
      </c>
      <c r="AA36" s="193" t="str" cm="1">
        <f t="array" ref="AA36">IF(OR(AA$26="",$O36=""),"",1/((INDEX('Adjustment Surface'!$AN$27:$AN$46,MATCH(('Adjustment Surface'!$O36),'Adjustment Surface'!$AN$27:$AN$46,1)+IF('Adjustment Surface'!$O37="",-1,1))-INDEX('Adjustment Surface'!$AN$27:$AN$46,MATCH(('Adjustment Surface'!$O36),'Adjustment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Surface'!$O36),'Adjustment Surface'!$AN$27:$AN$46,1)),$AN$27:$AN$46,0),MATCH(INDEX('Adjustment Surface'!$AO$26:$BH$26,1,MATCH(('Adjustment Surface'!AA$26),'Adjustment Surface'!$AO$26:$BH$26,1)),$AO$26:$BH$26,0))*(INDEX('Adjustment Surface'!$AN$27:$AN$46,MATCH(('Adjustment Surface'!$O36),'Adjustment Surface'!$AN$27:$AN$46,1)+IF('Adjustment Surface'!$O37="",-1,1))-'Adjustment Surface'!$O36)*(INDEX('Adjustment Surface'!$AO$26:$BH$26,1,MATCH(('Adjustment Surface'!AA$26),'Adjustment Surface'!$AO$26:$BH$26,1)+IF('Adjustment Surface'!AB$26="",-1,1))-'Adjustment Surface'!AA$26)+INDEX($AO$27:$BH$46,MATCH(INDEX('Adjustment Surface'!$AN$27:$AN$46,MATCH(('Adjustment Surface'!$O36),'Adjustment Surface'!$AN$27:$AN$46,1)+IF('Adjustment Surface'!$O37="",-1,1)),$AN$27:$AN$46,0),MATCH(INDEX('Adjustment Surface'!$AO$26:$BH$26,1,MATCH(('Adjustment Surface'!AA$26),'Adjustment Surface'!$AO$26:$BH$26,1)),$AO$26:$BH$26,0))*('Adjustment Surface'!$O36-INDEX('Adjustment Surface'!$AN$27:$AN$46,MATCH(('Adjustment Surface'!$O36),'Adjustment Surface'!$AN$27:$AN$46,1)))*(INDEX('Adjustment Surface'!$AO$26:$BH$26,1,MATCH(('Adjustment Surface'!AA$26),'Adjustment Surface'!$AO$26:$BH$26,1)+IF('Adjustment Surface'!AB$26="",-1,1))-'Adjustment Surface'!AA$26)+INDEX($AO$27:$BH$46,MATCH(INDEX('Adjustment Surface'!$AN$27:$AN$46,MATCH(('Adjustment Surface'!$O36),'Adjustment Surface'!$AN$27:$AN$46,1)),$AN$27:$AN$46,0),MATCH(INDEX('Adjustment Surface'!$AO$26:$BH$26,1,MATCH(('Adjustment Surface'!AA$26),'Adjustment Surface'!$AO$26:$BH$26,1)+IF('Adjustment Surface'!AB$26="",-1,1)),$AO$26:$BH$26,0))*(INDEX('Adjustment Surface'!$AN$27:$AN$46,MATCH(('Adjustment Surface'!$O36),'Adjustment Surface'!$AN$27:$AN$46,1)+IF('Adjustment Surface'!$O37="",-1,1))-'Adjustment Surface'!$O36)*('Adjustment Surface'!AA$26-INDEX('Adjustment Surface'!$AO$26:$BH$26,1,MATCH(('Adjustment Surface'!AA$26),'Adjustment Surface'!$AO$26:$BH$26,1)))+INDEX($AO$27:$BH$46,MATCH(INDEX('Adjustment Surface'!$AN$27:$AN$46,MATCH(('Adjustment Surface'!$O36),'Adjustment Surface'!$AN$27:$AN$46,1)+IF('Adjustment Surface'!$O37="",-1,1)),$AN$27:$AN$46,0),MATCH(INDEX('Adjustment Surface'!$AO$26:$BH$26,1,MATCH(('Adjustment Surface'!AA$26),'Adjustment Surface'!$AO$26:$BH$26,1)+IF('Adjustment Surface'!AB$26="",-1,1)),$AO$26:$BH$26,0))*('Adjustment Surface'!$O36-INDEX('Adjustment Surface'!$AN$27:$AN$46,MATCH(('Adjustment Surface'!$O36),'Adjustment Surface'!$AN$27:$AN$46,1)))*('Adjustment Surface'!AA$26-INDEX('Adjustment Surface'!$AO$26:$BH$26,1,MATCH(('Adjustment Surface'!AA$26),'Adjustment Surface'!$AO$26:$BH$26,1)))))</f>
        <v/>
      </c>
      <c r="AB36" s="193" t="str" cm="1">
        <f t="array" ref="AB36">IF(OR(AB$26="",$O36=""),"",1/((INDEX('Adjustment Surface'!$AN$27:$AN$46,MATCH(('Adjustment Surface'!$O36),'Adjustment Surface'!$AN$27:$AN$46,1)+IF('Adjustment Surface'!$O37="",-1,1))-INDEX('Adjustment Surface'!$AN$27:$AN$46,MATCH(('Adjustment Surface'!$O36),'Adjustment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Surface'!$O36),'Adjustment Surface'!$AN$27:$AN$46,1)),$AN$27:$AN$46,0),MATCH(INDEX('Adjustment Surface'!$AO$26:$BH$26,1,MATCH(('Adjustment Surface'!AB$26),'Adjustment Surface'!$AO$26:$BH$26,1)),$AO$26:$BH$26,0))*(INDEX('Adjustment Surface'!$AN$27:$AN$46,MATCH(('Adjustment Surface'!$O36),'Adjustment Surface'!$AN$27:$AN$46,1)+IF('Adjustment Surface'!$O37="",-1,1))-'Adjustment Surface'!$O36)*(INDEX('Adjustment Surface'!$AO$26:$BH$26,1,MATCH(('Adjustment Surface'!AB$26),'Adjustment Surface'!$AO$26:$BH$26,1)+IF('Adjustment Surface'!AC$26="",-1,1))-'Adjustment Surface'!AB$26)+INDEX($AO$27:$BH$46,MATCH(INDEX('Adjustment Surface'!$AN$27:$AN$46,MATCH(('Adjustment Surface'!$O36),'Adjustment Surface'!$AN$27:$AN$46,1)+IF('Adjustment Surface'!$O37="",-1,1)),$AN$27:$AN$46,0),MATCH(INDEX('Adjustment Surface'!$AO$26:$BH$26,1,MATCH(('Adjustment Surface'!AB$26),'Adjustment Surface'!$AO$26:$BH$26,1)),$AO$26:$BH$26,0))*('Adjustment Surface'!$O36-INDEX('Adjustment Surface'!$AN$27:$AN$46,MATCH(('Adjustment Surface'!$O36),'Adjustment Surface'!$AN$27:$AN$46,1)))*(INDEX('Adjustment Surface'!$AO$26:$BH$26,1,MATCH(('Adjustment Surface'!AB$26),'Adjustment Surface'!$AO$26:$BH$26,1)+IF('Adjustment Surface'!AC$26="",-1,1))-'Adjustment Surface'!AB$26)+INDEX($AO$27:$BH$46,MATCH(INDEX('Adjustment Surface'!$AN$27:$AN$46,MATCH(('Adjustment Surface'!$O36),'Adjustment Surface'!$AN$27:$AN$46,1)),$AN$27:$AN$46,0),MATCH(INDEX('Adjustment Surface'!$AO$26:$BH$26,1,MATCH(('Adjustment Surface'!AB$26),'Adjustment Surface'!$AO$26:$BH$26,1)+IF('Adjustment Surface'!AC$26="",-1,1)),$AO$26:$BH$26,0))*(INDEX('Adjustment Surface'!$AN$27:$AN$46,MATCH(('Adjustment Surface'!$O36),'Adjustment Surface'!$AN$27:$AN$46,1)+IF('Adjustment Surface'!$O37="",-1,1))-'Adjustment Surface'!$O36)*('Adjustment Surface'!AB$26-INDEX('Adjustment Surface'!$AO$26:$BH$26,1,MATCH(('Adjustment Surface'!AB$26),'Adjustment Surface'!$AO$26:$BH$26,1)))+INDEX($AO$27:$BH$46,MATCH(INDEX('Adjustment Surface'!$AN$27:$AN$46,MATCH(('Adjustment Surface'!$O36),'Adjustment Surface'!$AN$27:$AN$46,1)+IF('Adjustment Surface'!$O37="",-1,1)),$AN$27:$AN$46,0),MATCH(INDEX('Adjustment Surface'!$AO$26:$BH$26,1,MATCH(('Adjustment Surface'!AB$26),'Adjustment Surface'!$AO$26:$BH$26,1)+IF('Adjustment Surface'!AC$26="",-1,1)),$AO$26:$BH$26,0))*('Adjustment Surface'!$O36-INDEX('Adjustment Surface'!$AN$27:$AN$46,MATCH(('Adjustment Surface'!$O36),'Adjustment Surface'!$AN$27:$AN$46,1)))*('Adjustment Surface'!AB$26-INDEX('Adjustment Surface'!$AO$26:$BH$26,1,MATCH(('Adjustment Surface'!AB$26),'Adjustment Surface'!$AO$26:$BH$26,1)))))</f>
        <v/>
      </c>
      <c r="AC36" s="193" t="str" cm="1">
        <f t="array" ref="AC36">IF(OR(AC$26="",$O36=""),"",1/((INDEX('Adjustment Surface'!$AN$27:$AN$46,MATCH(('Adjustment Surface'!$O36),'Adjustment Surface'!$AN$27:$AN$46,1)+IF('Adjustment Surface'!$O37="",-1,1))-INDEX('Adjustment Surface'!$AN$27:$AN$46,MATCH(('Adjustment Surface'!$O36),'Adjustment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Surface'!$O36),'Adjustment Surface'!$AN$27:$AN$46,1)),$AN$27:$AN$46,0),MATCH(INDEX('Adjustment Surface'!$AO$26:$BH$26,1,MATCH(('Adjustment Surface'!AC$26),'Adjustment Surface'!$AO$26:$BH$26,1)),$AO$26:$BH$26,0))*(INDEX('Adjustment Surface'!$AN$27:$AN$46,MATCH(('Adjustment Surface'!$O36),'Adjustment Surface'!$AN$27:$AN$46,1)+IF('Adjustment Surface'!$O37="",-1,1))-'Adjustment Surface'!$O36)*(INDEX('Adjustment Surface'!$AO$26:$BH$26,1,MATCH(('Adjustment Surface'!AC$26),'Adjustment Surface'!$AO$26:$BH$26,1)+IF('Adjustment Surface'!AD$26="",-1,1))-'Adjustment Surface'!AC$26)+INDEX($AO$27:$BH$46,MATCH(INDEX('Adjustment Surface'!$AN$27:$AN$46,MATCH(('Adjustment Surface'!$O36),'Adjustment Surface'!$AN$27:$AN$46,1)+IF('Adjustment Surface'!$O37="",-1,1)),$AN$27:$AN$46,0),MATCH(INDEX('Adjustment Surface'!$AO$26:$BH$26,1,MATCH(('Adjustment Surface'!AC$26),'Adjustment Surface'!$AO$26:$BH$26,1)),$AO$26:$BH$26,0))*('Adjustment Surface'!$O36-INDEX('Adjustment Surface'!$AN$27:$AN$46,MATCH(('Adjustment Surface'!$O36),'Adjustment Surface'!$AN$27:$AN$46,1)))*(INDEX('Adjustment Surface'!$AO$26:$BH$26,1,MATCH(('Adjustment Surface'!AC$26),'Adjustment Surface'!$AO$26:$BH$26,1)+IF('Adjustment Surface'!AD$26="",-1,1))-'Adjustment Surface'!AC$26)+INDEX($AO$27:$BH$46,MATCH(INDEX('Adjustment Surface'!$AN$27:$AN$46,MATCH(('Adjustment Surface'!$O36),'Adjustment Surface'!$AN$27:$AN$46,1)),$AN$27:$AN$46,0),MATCH(INDEX('Adjustment Surface'!$AO$26:$BH$26,1,MATCH(('Adjustment Surface'!AC$26),'Adjustment Surface'!$AO$26:$BH$26,1)+IF('Adjustment Surface'!AD$26="",-1,1)),$AO$26:$BH$26,0))*(INDEX('Adjustment Surface'!$AN$27:$AN$46,MATCH(('Adjustment Surface'!$O36),'Adjustment Surface'!$AN$27:$AN$46,1)+IF('Adjustment Surface'!$O37="",-1,1))-'Adjustment Surface'!$O36)*('Adjustment Surface'!AC$26-INDEX('Adjustment Surface'!$AO$26:$BH$26,1,MATCH(('Adjustment Surface'!AC$26),'Adjustment Surface'!$AO$26:$BH$26,1)))+INDEX($AO$27:$BH$46,MATCH(INDEX('Adjustment Surface'!$AN$27:$AN$46,MATCH(('Adjustment Surface'!$O36),'Adjustment Surface'!$AN$27:$AN$46,1)+IF('Adjustment Surface'!$O37="",-1,1)),$AN$27:$AN$46,0),MATCH(INDEX('Adjustment Surface'!$AO$26:$BH$26,1,MATCH(('Adjustment Surface'!AC$26),'Adjustment Surface'!$AO$26:$BH$26,1)+IF('Adjustment Surface'!AD$26="",-1,1)),$AO$26:$BH$26,0))*('Adjustment Surface'!$O36-INDEX('Adjustment Surface'!$AN$27:$AN$46,MATCH(('Adjustment Surface'!$O36),'Adjustment Surface'!$AN$27:$AN$46,1)))*('Adjustment Surface'!AC$26-INDEX('Adjustment Surface'!$AO$26:$BH$26,1,MATCH(('Adjustment Surface'!AC$26),'Adjustment Surface'!$AO$26:$BH$26,1)))))</f>
        <v/>
      </c>
      <c r="AD36" s="193" t="str" cm="1">
        <f t="array" ref="AD36">IF(OR(AD$26="",$O36=""),"",1/((INDEX('Adjustment Surface'!$AN$27:$AN$46,MATCH(('Adjustment Surface'!$O36),'Adjustment Surface'!$AN$27:$AN$46,1)+IF('Adjustment Surface'!$O37="",-1,1))-INDEX('Adjustment Surface'!$AN$27:$AN$46,MATCH(('Adjustment Surface'!$O36),'Adjustment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Surface'!$O36),'Adjustment Surface'!$AN$27:$AN$46,1)),$AN$27:$AN$46,0),MATCH(INDEX('Adjustment Surface'!$AO$26:$BH$26,1,MATCH(('Adjustment Surface'!AD$26),'Adjustment Surface'!$AO$26:$BH$26,1)),$AO$26:$BH$26,0))*(INDEX('Adjustment Surface'!$AN$27:$AN$46,MATCH(('Adjustment Surface'!$O36),'Adjustment Surface'!$AN$27:$AN$46,1)+IF('Adjustment Surface'!$O37="",-1,1))-'Adjustment Surface'!$O36)*(INDEX('Adjustment Surface'!$AO$26:$BH$26,1,MATCH(('Adjustment Surface'!AD$26),'Adjustment Surface'!$AO$26:$BH$26,1)+IF('Adjustment Surface'!AE$26="",-1,1))-'Adjustment Surface'!AD$26)+INDEX($AO$27:$BH$46,MATCH(INDEX('Adjustment Surface'!$AN$27:$AN$46,MATCH(('Adjustment Surface'!$O36),'Adjustment Surface'!$AN$27:$AN$46,1)+IF('Adjustment Surface'!$O37="",-1,1)),$AN$27:$AN$46,0),MATCH(INDEX('Adjustment Surface'!$AO$26:$BH$26,1,MATCH(('Adjustment Surface'!AD$26),'Adjustment Surface'!$AO$26:$BH$26,1)),$AO$26:$BH$26,0))*('Adjustment Surface'!$O36-INDEX('Adjustment Surface'!$AN$27:$AN$46,MATCH(('Adjustment Surface'!$O36),'Adjustment Surface'!$AN$27:$AN$46,1)))*(INDEX('Adjustment Surface'!$AO$26:$BH$26,1,MATCH(('Adjustment Surface'!AD$26),'Adjustment Surface'!$AO$26:$BH$26,1)+IF('Adjustment Surface'!AE$26="",-1,1))-'Adjustment Surface'!AD$26)+INDEX($AO$27:$BH$46,MATCH(INDEX('Adjustment Surface'!$AN$27:$AN$46,MATCH(('Adjustment Surface'!$O36),'Adjustment Surface'!$AN$27:$AN$46,1)),$AN$27:$AN$46,0),MATCH(INDEX('Adjustment Surface'!$AO$26:$BH$26,1,MATCH(('Adjustment Surface'!AD$26),'Adjustment Surface'!$AO$26:$BH$26,1)+IF('Adjustment Surface'!AE$26="",-1,1)),$AO$26:$BH$26,0))*(INDEX('Adjustment Surface'!$AN$27:$AN$46,MATCH(('Adjustment Surface'!$O36),'Adjustment Surface'!$AN$27:$AN$46,1)+IF('Adjustment Surface'!$O37="",-1,1))-'Adjustment Surface'!$O36)*('Adjustment Surface'!AD$26-INDEX('Adjustment Surface'!$AO$26:$BH$26,1,MATCH(('Adjustment Surface'!AD$26),'Adjustment Surface'!$AO$26:$BH$26,1)))+INDEX($AO$27:$BH$46,MATCH(INDEX('Adjustment Surface'!$AN$27:$AN$46,MATCH(('Adjustment Surface'!$O36),'Adjustment Surface'!$AN$27:$AN$46,1)+IF('Adjustment Surface'!$O37="",-1,1)),$AN$27:$AN$46,0),MATCH(INDEX('Adjustment Surface'!$AO$26:$BH$26,1,MATCH(('Adjustment Surface'!AD$26),'Adjustment Surface'!$AO$26:$BH$26,1)+IF('Adjustment Surface'!AE$26="",-1,1)),$AO$26:$BH$26,0))*('Adjustment Surface'!$O36-INDEX('Adjustment Surface'!$AN$27:$AN$46,MATCH(('Adjustment Surface'!$O36),'Adjustment Surface'!$AN$27:$AN$46,1)))*('Adjustment Surface'!AD$26-INDEX('Adjustment Surface'!$AO$26:$BH$26,1,MATCH(('Adjustment Surface'!AD$26),'Adjustment Surface'!$AO$26:$BH$26,1)))))</f>
        <v/>
      </c>
      <c r="AE36" s="193" t="str" cm="1">
        <f t="array" ref="AE36">IF(OR(AE$26="",$O36=""),"",1/((INDEX('Adjustment Surface'!$AN$27:$AN$46,MATCH(('Adjustment Surface'!$O36),'Adjustment Surface'!$AN$27:$AN$46,1)+IF('Adjustment Surface'!$O37="",-1,1))-INDEX('Adjustment Surface'!$AN$27:$AN$46,MATCH(('Adjustment Surface'!$O36),'Adjustment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Surface'!$O36),'Adjustment Surface'!$AN$27:$AN$46,1)),$AN$27:$AN$46,0),MATCH(INDEX('Adjustment Surface'!$AO$26:$BH$26,1,MATCH(('Adjustment Surface'!AE$26),'Adjustment Surface'!$AO$26:$BH$26,1)),$AO$26:$BH$26,0))*(INDEX('Adjustment Surface'!$AN$27:$AN$46,MATCH(('Adjustment Surface'!$O36),'Adjustment Surface'!$AN$27:$AN$46,1)+IF('Adjustment Surface'!$O37="",-1,1))-'Adjustment Surface'!$O36)*(INDEX('Adjustment Surface'!$AO$26:$BH$26,1,MATCH(('Adjustment Surface'!AE$26),'Adjustment Surface'!$AO$26:$BH$26,1)+IF('Adjustment Surface'!AF$26="",-1,1))-'Adjustment Surface'!AE$26)+INDEX($AO$27:$BH$46,MATCH(INDEX('Adjustment Surface'!$AN$27:$AN$46,MATCH(('Adjustment Surface'!$O36),'Adjustment Surface'!$AN$27:$AN$46,1)+IF('Adjustment Surface'!$O37="",-1,1)),$AN$27:$AN$46,0),MATCH(INDEX('Adjustment Surface'!$AO$26:$BH$26,1,MATCH(('Adjustment Surface'!AE$26),'Adjustment Surface'!$AO$26:$BH$26,1)),$AO$26:$BH$26,0))*('Adjustment Surface'!$O36-INDEX('Adjustment Surface'!$AN$27:$AN$46,MATCH(('Adjustment Surface'!$O36),'Adjustment Surface'!$AN$27:$AN$46,1)))*(INDEX('Adjustment Surface'!$AO$26:$BH$26,1,MATCH(('Adjustment Surface'!AE$26),'Adjustment Surface'!$AO$26:$BH$26,1)+IF('Adjustment Surface'!AF$26="",-1,1))-'Adjustment Surface'!AE$26)+INDEX($AO$27:$BH$46,MATCH(INDEX('Adjustment Surface'!$AN$27:$AN$46,MATCH(('Adjustment Surface'!$O36),'Adjustment Surface'!$AN$27:$AN$46,1)),$AN$27:$AN$46,0),MATCH(INDEX('Adjustment Surface'!$AO$26:$BH$26,1,MATCH(('Adjustment Surface'!AE$26),'Adjustment Surface'!$AO$26:$BH$26,1)+IF('Adjustment Surface'!AF$26="",-1,1)),$AO$26:$BH$26,0))*(INDEX('Adjustment Surface'!$AN$27:$AN$46,MATCH(('Adjustment Surface'!$O36),'Adjustment Surface'!$AN$27:$AN$46,1)+IF('Adjustment Surface'!$O37="",-1,1))-'Adjustment Surface'!$O36)*('Adjustment Surface'!AE$26-INDEX('Adjustment Surface'!$AO$26:$BH$26,1,MATCH(('Adjustment Surface'!AE$26),'Adjustment Surface'!$AO$26:$BH$26,1)))+INDEX($AO$27:$BH$46,MATCH(INDEX('Adjustment Surface'!$AN$27:$AN$46,MATCH(('Adjustment Surface'!$O36),'Adjustment Surface'!$AN$27:$AN$46,1)+IF('Adjustment Surface'!$O37="",-1,1)),$AN$27:$AN$46,0),MATCH(INDEX('Adjustment Surface'!$AO$26:$BH$26,1,MATCH(('Adjustment Surface'!AE$26),'Adjustment Surface'!$AO$26:$BH$26,1)+IF('Adjustment Surface'!AF$26="",-1,1)),$AO$26:$BH$26,0))*('Adjustment Surface'!$O36-INDEX('Adjustment Surface'!$AN$27:$AN$46,MATCH(('Adjustment Surface'!$O36),'Adjustment Surface'!$AN$27:$AN$46,1)))*('Adjustment Surface'!AE$26-INDEX('Adjustment Surface'!$AO$26:$BH$26,1,MATCH(('Adjustment Surface'!AE$26),'Adjustment Surface'!$AO$26:$BH$26,1)))))</f>
        <v/>
      </c>
      <c r="AF36" s="193" t="str" cm="1">
        <f t="array" ref="AF36">IF(OR(AF$26="",$O36=""),"",1/((INDEX('Adjustment Surface'!$AN$27:$AN$46,MATCH(('Adjustment Surface'!$O36),'Adjustment Surface'!$AN$27:$AN$46,1)+IF('Adjustment Surface'!$O37="",-1,1))-INDEX('Adjustment Surface'!$AN$27:$AN$46,MATCH(('Adjustment Surface'!$O36),'Adjustment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Surface'!$O36),'Adjustment Surface'!$AN$27:$AN$46,1)),$AN$27:$AN$46,0),MATCH(INDEX('Adjustment Surface'!$AO$26:$BH$26,1,MATCH(('Adjustment Surface'!AF$26),'Adjustment Surface'!$AO$26:$BH$26,1)),$AO$26:$BH$26,0))*(INDEX('Adjustment Surface'!$AN$27:$AN$46,MATCH(('Adjustment Surface'!$O36),'Adjustment Surface'!$AN$27:$AN$46,1)+IF('Adjustment Surface'!$O37="",-1,1))-'Adjustment Surface'!$O36)*(INDEX('Adjustment Surface'!$AO$26:$BH$26,1,MATCH(('Adjustment Surface'!AF$26),'Adjustment Surface'!$AO$26:$BH$26,1)+IF('Adjustment Surface'!AG$26="",-1,1))-'Adjustment Surface'!AF$26)+INDEX($AO$27:$BH$46,MATCH(INDEX('Adjustment Surface'!$AN$27:$AN$46,MATCH(('Adjustment Surface'!$O36),'Adjustment Surface'!$AN$27:$AN$46,1)+IF('Adjustment Surface'!$O37="",-1,1)),$AN$27:$AN$46,0),MATCH(INDEX('Adjustment Surface'!$AO$26:$BH$26,1,MATCH(('Adjustment Surface'!AF$26),'Adjustment Surface'!$AO$26:$BH$26,1)),$AO$26:$BH$26,0))*('Adjustment Surface'!$O36-INDEX('Adjustment Surface'!$AN$27:$AN$46,MATCH(('Adjustment Surface'!$O36),'Adjustment Surface'!$AN$27:$AN$46,1)))*(INDEX('Adjustment Surface'!$AO$26:$BH$26,1,MATCH(('Adjustment Surface'!AF$26),'Adjustment Surface'!$AO$26:$BH$26,1)+IF('Adjustment Surface'!AG$26="",-1,1))-'Adjustment Surface'!AF$26)+INDEX($AO$27:$BH$46,MATCH(INDEX('Adjustment Surface'!$AN$27:$AN$46,MATCH(('Adjustment Surface'!$O36),'Adjustment Surface'!$AN$27:$AN$46,1)),$AN$27:$AN$46,0),MATCH(INDEX('Adjustment Surface'!$AO$26:$BH$26,1,MATCH(('Adjustment Surface'!AF$26),'Adjustment Surface'!$AO$26:$BH$26,1)+IF('Adjustment Surface'!AG$26="",-1,1)),$AO$26:$BH$26,0))*(INDEX('Adjustment Surface'!$AN$27:$AN$46,MATCH(('Adjustment Surface'!$O36),'Adjustment Surface'!$AN$27:$AN$46,1)+IF('Adjustment Surface'!$O37="",-1,1))-'Adjustment Surface'!$O36)*('Adjustment Surface'!AF$26-INDEX('Adjustment Surface'!$AO$26:$BH$26,1,MATCH(('Adjustment Surface'!AF$26),'Adjustment Surface'!$AO$26:$BH$26,1)))+INDEX($AO$27:$BH$46,MATCH(INDEX('Adjustment Surface'!$AN$27:$AN$46,MATCH(('Adjustment Surface'!$O36),'Adjustment Surface'!$AN$27:$AN$46,1)+IF('Adjustment Surface'!$O37="",-1,1)),$AN$27:$AN$46,0),MATCH(INDEX('Adjustment Surface'!$AO$26:$BH$26,1,MATCH(('Adjustment Surface'!AF$26),'Adjustment Surface'!$AO$26:$BH$26,1)+IF('Adjustment Surface'!AG$26="",-1,1)),$AO$26:$BH$26,0))*('Adjustment Surface'!$O36-INDEX('Adjustment Surface'!$AN$27:$AN$46,MATCH(('Adjustment Surface'!$O36),'Adjustment Surface'!$AN$27:$AN$46,1)))*('Adjustment Surface'!AF$26-INDEX('Adjustment Surface'!$AO$26:$BH$26,1,MATCH(('Adjustment Surface'!AF$26),'Adjustment Surface'!$AO$26:$BH$26,1)))))</f>
        <v/>
      </c>
      <c r="AG36" s="193" t="str" cm="1">
        <f t="array" ref="AG36">IF(OR(AG$26="",$O36=""),"",1/((INDEX('Adjustment Surface'!$AN$27:$AN$46,MATCH(('Adjustment Surface'!$O36),'Adjustment Surface'!$AN$27:$AN$46,1)+IF('Adjustment Surface'!$O37="",-1,1))-INDEX('Adjustment Surface'!$AN$27:$AN$46,MATCH(('Adjustment Surface'!$O36),'Adjustment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Surface'!$O36),'Adjustment Surface'!$AN$27:$AN$46,1)),$AN$27:$AN$46,0),MATCH(INDEX('Adjustment Surface'!$AO$26:$BH$26,1,MATCH(('Adjustment Surface'!AG$26),'Adjustment Surface'!$AO$26:$BH$26,1)),$AO$26:$BH$26,0))*(INDEX('Adjustment Surface'!$AN$27:$AN$46,MATCH(('Adjustment Surface'!$O36),'Adjustment Surface'!$AN$27:$AN$46,1)+IF('Adjustment Surface'!$O37="",-1,1))-'Adjustment Surface'!$O36)*(INDEX('Adjustment Surface'!$AO$26:$BH$26,1,MATCH(('Adjustment Surface'!AG$26),'Adjustment Surface'!$AO$26:$BH$26,1)+IF('Adjustment Surface'!AH$26="",-1,1))-'Adjustment Surface'!AG$26)+INDEX($AO$27:$BH$46,MATCH(INDEX('Adjustment Surface'!$AN$27:$AN$46,MATCH(('Adjustment Surface'!$O36),'Adjustment Surface'!$AN$27:$AN$46,1)+IF('Adjustment Surface'!$O37="",-1,1)),$AN$27:$AN$46,0),MATCH(INDEX('Adjustment Surface'!$AO$26:$BH$26,1,MATCH(('Adjustment Surface'!AG$26),'Adjustment Surface'!$AO$26:$BH$26,1)),$AO$26:$BH$26,0))*('Adjustment Surface'!$O36-INDEX('Adjustment Surface'!$AN$27:$AN$46,MATCH(('Adjustment Surface'!$O36),'Adjustment Surface'!$AN$27:$AN$46,1)))*(INDEX('Adjustment Surface'!$AO$26:$BH$26,1,MATCH(('Adjustment Surface'!AG$26),'Adjustment Surface'!$AO$26:$BH$26,1)+IF('Adjustment Surface'!AH$26="",-1,1))-'Adjustment Surface'!AG$26)+INDEX($AO$27:$BH$46,MATCH(INDEX('Adjustment Surface'!$AN$27:$AN$46,MATCH(('Adjustment Surface'!$O36),'Adjustment Surface'!$AN$27:$AN$46,1)),$AN$27:$AN$46,0),MATCH(INDEX('Adjustment Surface'!$AO$26:$BH$26,1,MATCH(('Adjustment Surface'!AG$26),'Adjustment Surface'!$AO$26:$BH$26,1)+IF('Adjustment Surface'!AH$26="",-1,1)),$AO$26:$BH$26,0))*(INDEX('Adjustment Surface'!$AN$27:$AN$46,MATCH(('Adjustment Surface'!$O36),'Adjustment Surface'!$AN$27:$AN$46,1)+IF('Adjustment Surface'!$O37="",-1,1))-'Adjustment Surface'!$O36)*('Adjustment Surface'!AG$26-INDEX('Adjustment Surface'!$AO$26:$BH$26,1,MATCH(('Adjustment Surface'!AG$26),'Adjustment Surface'!$AO$26:$BH$26,1)))+INDEX($AO$27:$BH$46,MATCH(INDEX('Adjustment Surface'!$AN$27:$AN$46,MATCH(('Adjustment Surface'!$O36),'Adjustment Surface'!$AN$27:$AN$46,1)+IF('Adjustment Surface'!$O37="",-1,1)),$AN$27:$AN$46,0),MATCH(INDEX('Adjustment Surface'!$AO$26:$BH$26,1,MATCH(('Adjustment Surface'!AG$26),'Adjustment Surface'!$AO$26:$BH$26,1)+IF('Adjustment Surface'!AH$26="",-1,1)),$AO$26:$BH$26,0))*('Adjustment Surface'!$O36-INDEX('Adjustment Surface'!$AN$27:$AN$46,MATCH(('Adjustment Surface'!$O36),'Adjustment Surface'!$AN$27:$AN$46,1)))*('Adjustment Surface'!AG$26-INDEX('Adjustment Surface'!$AO$26:$BH$26,1,MATCH(('Adjustment Surface'!AG$26),'Adjustment Surface'!$AO$26:$BH$26,1)))))</f>
        <v/>
      </c>
      <c r="AH36" s="193" t="str" cm="1">
        <f t="array" ref="AH36">IF(OR(AH$26="",$O36=""),"",1/((INDEX('Adjustment Surface'!$AN$27:$AN$46,MATCH(('Adjustment Surface'!$O36),'Adjustment Surface'!$AN$27:$AN$46,1)+IF('Adjustment Surface'!$O37="",-1,1))-INDEX('Adjustment Surface'!$AN$27:$AN$46,MATCH(('Adjustment Surface'!$O36),'Adjustment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Surface'!$O36),'Adjustment Surface'!$AN$27:$AN$46,1)),$AN$27:$AN$46,0),MATCH(INDEX('Adjustment Surface'!$AO$26:$BH$26,1,MATCH(('Adjustment Surface'!AH$26),'Adjustment Surface'!$AO$26:$BH$26,1)),$AO$26:$BH$26,0))*(INDEX('Adjustment Surface'!$AN$27:$AN$46,MATCH(('Adjustment Surface'!$O36),'Adjustment Surface'!$AN$27:$AN$46,1)+IF('Adjustment Surface'!$O37="",-1,1))-'Adjustment Surface'!$O36)*(INDEX('Adjustment Surface'!$AO$26:$BH$26,1,MATCH(('Adjustment Surface'!AH$26),'Adjustment Surface'!$AO$26:$BH$26,1)+IF('Adjustment Surface'!AI$26="",-1,1))-'Adjustment Surface'!AH$26)+INDEX($AO$27:$BH$46,MATCH(INDEX('Adjustment Surface'!$AN$27:$AN$46,MATCH(('Adjustment Surface'!$O36),'Adjustment Surface'!$AN$27:$AN$46,1)+IF('Adjustment Surface'!$O37="",-1,1)),$AN$27:$AN$46,0),MATCH(INDEX('Adjustment Surface'!$AO$26:$BH$26,1,MATCH(('Adjustment Surface'!AH$26),'Adjustment Surface'!$AO$26:$BH$26,1)),$AO$26:$BH$26,0))*('Adjustment Surface'!$O36-INDEX('Adjustment Surface'!$AN$27:$AN$46,MATCH(('Adjustment Surface'!$O36),'Adjustment Surface'!$AN$27:$AN$46,1)))*(INDEX('Adjustment Surface'!$AO$26:$BH$26,1,MATCH(('Adjustment Surface'!AH$26),'Adjustment Surface'!$AO$26:$BH$26,1)+IF('Adjustment Surface'!AI$26="",-1,1))-'Adjustment Surface'!AH$26)+INDEX($AO$27:$BH$46,MATCH(INDEX('Adjustment Surface'!$AN$27:$AN$46,MATCH(('Adjustment Surface'!$O36),'Adjustment Surface'!$AN$27:$AN$46,1)),$AN$27:$AN$46,0),MATCH(INDEX('Adjustment Surface'!$AO$26:$BH$26,1,MATCH(('Adjustment Surface'!AH$26),'Adjustment Surface'!$AO$26:$BH$26,1)+IF('Adjustment Surface'!AI$26="",-1,1)),$AO$26:$BH$26,0))*(INDEX('Adjustment Surface'!$AN$27:$AN$46,MATCH(('Adjustment Surface'!$O36),'Adjustment Surface'!$AN$27:$AN$46,1)+IF('Adjustment Surface'!$O37="",-1,1))-'Adjustment Surface'!$O36)*('Adjustment Surface'!AH$26-INDEX('Adjustment Surface'!$AO$26:$BH$26,1,MATCH(('Adjustment Surface'!AH$26),'Adjustment Surface'!$AO$26:$BH$26,1)))+INDEX($AO$27:$BH$46,MATCH(INDEX('Adjustment Surface'!$AN$27:$AN$46,MATCH(('Adjustment Surface'!$O36),'Adjustment Surface'!$AN$27:$AN$46,1)+IF('Adjustment Surface'!$O37="",-1,1)),$AN$27:$AN$46,0),MATCH(INDEX('Adjustment Surface'!$AO$26:$BH$26,1,MATCH(('Adjustment Surface'!AH$26),'Adjustment Surface'!$AO$26:$BH$26,1)+IF('Adjustment Surface'!AI$26="",-1,1)),$AO$26:$BH$26,0))*('Adjustment Surface'!$O36-INDEX('Adjustment Surface'!$AN$27:$AN$46,MATCH(('Adjustment Surface'!$O36),'Adjustment Surface'!$AN$27:$AN$46,1)))*('Adjustment Surface'!AH$26-INDEX('Adjustment Surface'!$AO$26:$BH$26,1,MATCH(('Adjustment Surface'!AH$26),'Adjustment Surface'!$AO$26:$BH$26,1)))))</f>
        <v/>
      </c>
      <c r="AI36" s="194" t="str" cm="1">
        <f t="array" ref="AI36">IF(OR(AI$26="",$O36=""),"",1/((INDEX('Adjustment Surface'!$AN$27:$AN$46,MATCH(('Adjustment Surface'!$O36),'Adjustment Surface'!$AN$27:$AN$46,1)+IF('Adjustment Surface'!$O37="",-1,1))-INDEX('Adjustment Surface'!$AN$27:$AN$46,MATCH(('Adjustment Surface'!$O36),'Adjustment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Surface'!$O36),'Adjustment Surface'!$AN$27:$AN$46,1)),$AN$27:$AN$46,0),MATCH(INDEX('Adjustment Surface'!$AO$26:$BH$26,1,MATCH(('Adjustment Surface'!AI$26),'Adjustment Surface'!$AO$26:$BH$26,1)),$AO$26:$BH$26,0))*(INDEX('Adjustment Surface'!$AN$27:$AN$46,MATCH(('Adjustment Surface'!$O36),'Adjustment Surface'!$AN$27:$AN$46,1)+IF('Adjustment Surface'!$O37="",-1,1))-'Adjustment Surface'!$O36)*(INDEX('Adjustment Surface'!$AO$26:$BH$26,1,MATCH(('Adjustment Surface'!AI$26),'Adjustment Surface'!$AO$26:$BH$26,1)+IF('Adjustment Surface'!AJ$26="",-1,1))-'Adjustment Surface'!AI$26)+INDEX($AO$27:$BH$46,MATCH(INDEX('Adjustment Surface'!$AN$27:$AN$46,MATCH(('Adjustment Surface'!$O36),'Adjustment Surface'!$AN$27:$AN$46,1)+IF('Adjustment Surface'!$O37="",-1,1)),$AN$27:$AN$46,0),MATCH(INDEX('Adjustment Surface'!$AO$26:$BH$26,1,MATCH(('Adjustment Surface'!AI$26),'Adjustment Surface'!$AO$26:$BH$26,1)),$AO$26:$BH$26,0))*('Adjustment Surface'!$O36-INDEX('Adjustment Surface'!$AN$27:$AN$46,MATCH(('Adjustment Surface'!$O36),'Adjustment Surface'!$AN$27:$AN$46,1)))*(INDEX('Adjustment Surface'!$AO$26:$BH$26,1,MATCH(('Adjustment Surface'!AI$26),'Adjustment Surface'!$AO$26:$BH$26,1)+IF('Adjustment Surface'!AJ$26="",-1,1))-'Adjustment Surface'!AI$26)+INDEX($AO$27:$BH$46,MATCH(INDEX('Adjustment Surface'!$AN$27:$AN$46,MATCH(('Adjustment Surface'!$O36),'Adjustment Surface'!$AN$27:$AN$46,1)),$AN$27:$AN$46,0),MATCH(INDEX('Adjustment Surface'!$AO$26:$BH$26,1,MATCH(('Adjustment Surface'!AI$26),'Adjustment Surface'!$AO$26:$BH$26,1)+IF('Adjustment Surface'!AJ$26="",-1,1)),$AO$26:$BH$26,0))*(INDEX('Adjustment Surface'!$AN$27:$AN$46,MATCH(('Adjustment Surface'!$O36),'Adjustment Surface'!$AN$27:$AN$46,1)+IF('Adjustment Surface'!$O37="",-1,1))-'Adjustment Surface'!$O36)*('Adjustment Surface'!AI$26-INDEX('Adjustment Surface'!$AO$26:$BH$26,1,MATCH(('Adjustment Surface'!AI$26),'Adjustment Surface'!$AO$26:$BH$26,1)))+INDEX($AO$27:$BH$46,MATCH(INDEX('Adjustment Surface'!$AN$27:$AN$46,MATCH(('Adjustment Surface'!$O36),'Adjustment Surface'!$AN$27:$AN$46,1)+IF('Adjustment Surface'!$O37="",-1,1)),$AN$27:$AN$46,0),MATCH(INDEX('Adjustment Surface'!$AO$26:$BH$26,1,MATCH(('Adjustment Surface'!AI$26),'Adjustment Surface'!$AO$26:$BH$26,1)+IF('Adjustment Surface'!AJ$26="",-1,1)),$AO$26:$BH$26,0))*('Adjustment Surface'!$O36-INDEX('Adjustment Surface'!$AN$27:$AN$46,MATCH(('Adjustment Surface'!$O36),'Adjustment Surface'!$AN$27:$AN$46,1)))*('Adjustment Surface'!AI$26-INDEX('Adjustment Surface'!$AO$26:$BH$26,1,MATCH(('Adjustment Surface'!AI$26),'Adjustment Surface'!$AO$26:$BH$26,1)))))</f>
        <v/>
      </c>
      <c r="AK36" s="203" t="str">
        <v/>
      </c>
      <c r="AL36" s="207"/>
      <c r="AN36" s="176"/>
      <c r="AO36" s="192" t="str" cm="1">
        <f t="array" ref="AO36">IF(OR(AO$26="",$AN36=""),"",INDEX(IF($C$2='Data Validation'!$A$2,'Bank Adjustments'!$I$4:$I$103,IF('Adjustment Surface'!$C$2='Data Validation'!$A$3,'Bank Adjustments'!$S$4:$S$103,"Unknown Option Type")),MATCH(1,($AN36=IF($C$2='Data Validation'!$A$2,'Bank Adjustments'!$C$4:$C$103,IF('Adjustment Surface'!$C$2='Data Validation'!$A$3,'Bank Adjustments'!$M$4:$M$103,"Unknown Option Type")))*(AO$26=IF($C$2='Data Validation'!$A$2,'Bank Adjustments'!$E$4:$E$103,IF('Adjustment Surface'!$C$2='Data Validation'!$A$3,'Bank Adjustments'!$O$4:$O$103,"Unknown Option Type"))),0)))</f>
        <v/>
      </c>
      <c r="AP36" s="193" t="str" cm="1">
        <f t="array" ref="AP36">IF(OR(AP$26="",$AN36=""),"",INDEX(IF($C$2='Data Validation'!$A$2,'Bank Adjustments'!$I$4:$I$103,IF('Adjustment Surface'!$C$2='Data Validation'!$A$3,'Bank Adjustments'!$S$4:$S$103,"Unknown Option Type")),MATCH(1,($AN36=IF($C$2='Data Validation'!$A$2,'Bank Adjustments'!$C$4:$C$103,IF('Adjustment Surface'!$C$2='Data Validation'!$A$3,'Bank Adjustments'!$M$4:$M$103,"Unknown Option Type")))*(AP$26=IF($C$2='Data Validation'!$A$2,'Bank Adjustments'!$E$4:$E$103,IF('Adjustment Surface'!$C$2='Data Validation'!$A$3,'Bank Adjustments'!$O$4:$O$103,"Unknown Option Type"))),0)))</f>
        <v/>
      </c>
      <c r="AQ36" s="193" t="str" cm="1">
        <f t="array" ref="AQ36">IF(OR(AQ$26="",$AN36=""),"",INDEX(IF($C$2='Data Validation'!$A$2,'Bank Adjustments'!$I$4:$I$103,IF('Adjustment Surface'!$C$2='Data Validation'!$A$3,'Bank Adjustments'!$S$4:$S$103,"Unknown Option Type")),MATCH(1,($AN36=IF($C$2='Data Validation'!$A$2,'Bank Adjustments'!$C$4:$C$103,IF('Adjustment Surface'!$C$2='Data Validation'!$A$3,'Bank Adjustments'!$M$4:$M$103,"Unknown Option Type")))*(AQ$26=IF($C$2='Data Validation'!$A$2,'Bank Adjustments'!$E$4:$E$103,IF('Adjustment Surface'!$C$2='Data Validation'!$A$3,'Bank Adjustments'!$O$4:$O$103,"Unknown Option Type"))),0)))</f>
        <v/>
      </c>
      <c r="AR36" s="193" t="str" cm="1">
        <f t="array" ref="AR36">IF(OR(AR$26="",$AN36=""),"",INDEX(IF($C$2='Data Validation'!$A$2,'Bank Adjustments'!$I$4:$I$103,IF('Adjustment Surface'!$C$2='Data Validation'!$A$3,'Bank Adjustments'!$S$4:$S$103,"Unknown Option Type")),MATCH(1,($AN36=IF($C$2='Data Validation'!$A$2,'Bank Adjustments'!$C$4:$C$103,IF('Adjustment Surface'!$C$2='Data Validation'!$A$3,'Bank Adjustments'!$M$4:$M$103,"Unknown Option Type")))*(AR$26=IF($C$2='Data Validation'!$A$2,'Bank Adjustments'!$E$4:$E$103,IF('Adjustment Surface'!$C$2='Data Validation'!$A$3,'Bank Adjustments'!$O$4:$O$103,"Unknown Option Type"))),0)))</f>
        <v/>
      </c>
      <c r="AS36" s="193" t="str" cm="1">
        <f t="array" ref="AS36">IF(OR(AS$26="",$AN36=""),"",INDEX(IF($C$2='Data Validation'!$A$2,'Bank Adjustments'!$I$4:$I$103,IF('Adjustment Surface'!$C$2='Data Validation'!$A$3,'Bank Adjustments'!$S$4:$S$103,"Unknown Option Type")),MATCH(1,($AN36=IF($C$2='Data Validation'!$A$2,'Bank Adjustments'!$C$4:$C$103,IF('Adjustment Surface'!$C$2='Data Validation'!$A$3,'Bank Adjustments'!$M$4:$M$103,"Unknown Option Type")))*(AS$26=IF($C$2='Data Validation'!$A$2,'Bank Adjustments'!$E$4:$E$103,IF('Adjustment Surface'!$C$2='Data Validation'!$A$3,'Bank Adjustments'!$O$4:$O$103,"Unknown Option Type"))),0)))</f>
        <v/>
      </c>
      <c r="AT36" s="193" t="str" cm="1">
        <f t="array" ref="AT36">IF(OR(AT$26="",$AN36=""),"",INDEX(IF($C$2='Data Validation'!$A$2,'Bank Adjustments'!$I$4:$I$103,IF('Adjustment Surface'!$C$2='Data Validation'!$A$3,'Bank Adjustments'!$S$4:$S$103,"Unknown Option Type")),MATCH(1,($AN36=IF($C$2='Data Validation'!$A$2,'Bank Adjustments'!$C$4:$C$103,IF('Adjustment Surface'!$C$2='Data Validation'!$A$3,'Bank Adjustments'!$M$4:$M$103,"Unknown Option Type")))*(AT$26=IF($C$2='Data Validation'!$A$2,'Bank Adjustments'!$E$4:$E$103,IF('Adjustment Surface'!$C$2='Data Validation'!$A$3,'Bank Adjustments'!$O$4:$O$103,"Unknown Option Type"))),0)))</f>
        <v/>
      </c>
      <c r="AU36" s="193" t="str" cm="1">
        <f t="array" ref="AU36">IF(OR(AU$26="",$AN36=""),"",INDEX(IF($C$2='Data Validation'!$A$2,'Bank Adjustments'!$I$4:$I$103,IF('Adjustment Surface'!$C$2='Data Validation'!$A$3,'Bank Adjustments'!$S$4:$S$103,"Unknown Option Type")),MATCH(1,($AN36=IF($C$2='Data Validation'!$A$2,'Bank Adjustments'!$C$4:$C$103,IF('Adjustment Surface'!$C$2='Data Validation'!$A$3,'Bank Adjustments'!$M$4:$M$103,"Unknown Option Type")))*(AU$26=IF($C$2='Data Validation'!$A$2,'Bank Adjustments'!$E$4:$E$103,IF('Adjustment Surface'!$C$2='Data Validation'!$A$3,'Bank Adjustments'!$O$4:$O$103,"Unknown Option Type"))),0)))</f>
        <v/>
      </c>
      <c r="AV36" s="193" t="str" cm="1">
        <f t="array" ref="AV36">IF(OR(AV$26="",$AN36=""),"",INDEX(IF($C$2='Data Validation'!$A$2,'Bank Adjustments'!$I$4:$I$103,IF('Adjustment Surface'!$C$2='Data Validation'!$A$3,'Bank Adjustments'!$S$4:$S$103,"Unknown Option Type")),MATCH(1,($AN36=IF($C$2='Data Validation'!$A$2,'Bank Adjustments'!$C$4:$C$103,IF('Adjustment Surface'!$C$2='Data Validation'!$A$3,'Bank Adjustments'!$M$4:$M$103,"Unknown Option Type")))*(AV$26=IF($C$2='Data Validation'!$A$2,'Bank Adjustments'!$E$4:$E$103,IF('Adjustment Surface'!$C$2='Data Validation'!$A$3,'Bank Adjustments'!$O$4:$O$103,"Unknown Option Type"))),0)))</f>
        <v/>
      </c>
      <c r="AW36" s="193" t="str" cm="1">
        <f t="array" ref="AW36">IF(OR(AW$26="",$AN36=""),"",INDEX(IF($C$2='Data Validation'!$A$2,'Bank Adjustments'!$I$4:$I$103,IF('Adjustment Surface'!$C$2='Data Validation'!$A$3,'Bank Adjustments'!$S$4:$S$103,"Unknown Option Type")),MATCH(1,($AN36=IF($C$2='Data Validation'!$A$2,'Bank Adjustments'!$C$4:$C$103,IF('Adjustment Surface'!$C$2='Data Validation'!$A$3,'Bank Adjustments'!$M$4:$M$103,"Unknown Option Type")))*(AW$26=IF($C$2='Data Validation'!$A$2,'Bank Adjustments'!$E$4:$E$103,IF('Adjustment Surface'!$C$2='Data Validation'!$A$3,'Bank Adjustments'!$O$4:$O$103,"Unknown Option Type"))),0)))</f>
        <v/>
      </c>
      <c r="AX36" s="193" t="str" cm="1">
        <f t="array" ref="AX36">IF(OR(AX$26="",$AN36=""),"",INDEX(IF($C$2='Data Validation'!$A$2,'Bank Adjustments'!$I$4:$I$103,IF('Adjustment Surface'!$C$2='Data Validation'!$A$3,'Bank Adjustments'!$S$4:$S$103,"Unknown Option Type")),MATCH(1,($AN36=IF($C$2='Data Validation'!$A$2,'Bank Adjustments'!$C$4:$C$103,IF('Adjustment Surface'!$C$2='Data Validation'!$A$3,'Bank Adjustments'!$M$4:$M$103,"Unknown Option Type")))*(AX$26=IF($C$2='Data Validation'!$A$2,'Bank Adjustments'!$E$4:$E$103,IF('Adjustment Surface'!$C$2='Data Validation'!$A$3,'Bank Adjustments'!$O$4:$O$103,"Unknown Option Type"))),0)))</f>
        <v/>
      </c>
      <c r="AY36" s="193" t="str" cm="1">
        <f t="array" ref="AY36">IF(OR(AY$26="",$AN36=""),"",INDEX(IF($C$2='Data Validation'!$A$2,'Bank Adjustments'!$I$4:$I$103,IF('Adjustment Surface'!$C$2='Data Validation'!$A$3,'Bank Adjustments'!$S$4:$S$103,"Unknown Option Type")),MATCH(1,($AN36=IF($C$2='Data Validation'!$A$2,'Bank Adjustments'!$C$4:$C$103,IF('Adjustment Surface'!$C$2='Data Validation'!$A$3,'Bank Adjustments'!$M$4:$M$103,"Unknown Option Type")))*(AY$26=IF($C$2='Data Validation'!$A$2,'Bank Adjustments'!$E$4:$E$103,IF('Adjustment Surface'!$C$2='Data Validation'!$A$3,'Bank Adjustments'!$O$4:$O$103,"Unknown Option Type"))),0)))</f>
        <v/>
      </c>
      <c r="AZ36" s="193" t="str" cm="1">
        <f t="array" ref="AZ36">IF(OR(AZ$26="",$AN36=""),"",INDEX(IF($C$2='Data Validation'!$A$2,'Bank Adjustments'!$I$4:$I$103,IF('Adjustment Surface'!$C$2='Data Validation'!$A$3,'Bank Adjustments'!$S$4:$S$103,"Unknown Option Type")),MATCH(1,($AN36=IF($C$2='Data Validation'!$A$2,'Bank Adjustments'!$C$4:$C$103,IF('Adjustment Surface'!$C$2='Data Validation'!$A$3,'Bank Adjustments'!$M$4:$M$103,"Unknown Option Type")))*(AZ$26=IF($C$2='Data Validation'!$A$2,'Bank Adjustments'!$E$4:$E$103,IF('Adjustment Surface'!$C$2='Data Validation'!$A$3,'Bank Adjustments'!$O$4:$O$103,"Unknown Option Type"))),0)))</f>
        <v/>
      </c>
      <c r="BA36" s="193" t="str" cm="1">
        <f t="array" ref="BA36">IF(OR(BA$26="",$AN36=""),"",INDEX(IF($C$2='Data Validation'!$A$2,'Bank Adjustments'!$I$4:$I$103,IF('Adjustment Surface'!$C$2='Data Validation'!$A$3,'Bank Adjustments'!$S$4:$S$103,"Unknown Option Type")),MATCH(1,($AN36=IF($C$2='Data Validation'!$A$2,'Bank Adjustments'!$C$4:$C$103,IF('Adjustment Surface'!$C$2='Data Validation'!$A$3,'Bank Adjustments'!$M$4:$M$103,"Unknown Option Type")))*(BA$26=IF($C$2='Data Validation'!$A$2,'Bank Adjustments'!$E$4:$E$103,IF('Adjustment Surface'!$C$2='Data Validation'!$A$3,'Bank Adjustments'!$O$4:$O$103,"Unknown Option Type"))),0)))</f>
        <v/>
      </c>
      <c r="BB36" s="193" t="str" cm="1">
        <f t="array" ref="BB36">IF(OR(BB$26="",$AN36=""),"",INDEX(IF($C$2='Data Validation'!$A$2,'Bank Adjustments'!$I$4:$I$103,IF('Adjustment Surface'!$C$2='Data Validation'!$A$3,'Bank Adjustments'!$S$4:$S$103,"Unknown Option Type")),MATCH(1,($AN36=IF($C$2='Data Validation'!$A$2,'Bank Adjustments'!$C$4:$C$103,IF('Adjustment Surface'!$C$2='Data Validation'!$A$3,'Bank Adjustments'!$M$4:$M$103,"Unknown Option Type")))*(BB$26=IF($C$2='Data Validation'!$A$2,'Bank Adjustments'!$E$4:$E$103,IF('Adjustment Surface'!$C$2='Data Validation'!$A$3,'Bank Adjustments'!$O$4:$O$103,"Unknown Option Type"))),0)))</f>
        <v/>
      </c>
      <c r="BC36" s="193" t="str" cm="1">
        <f t="array" ref="BC36">IF(OR(BC$26="",$AN36=""),"",INDEX(IF($C$2='Data Validation'!$A$2,'Bank Adjustments'!$I$4:$I$103,IF('Adjustment Surface'!$C$2='Data Validation'!$A$3,'Bank Adjustments'!$S$4:$S$103,"Unknown Option Type")),MATCH(1,($AN36=IF($C$2='Data Validation'!$A$2,'Bank Adjustments'!$C$4:$C$103,IF('Adjustment Surface'!$C$2='Data Validation'!$A$3,'Bank Adjustments'!$M$4:$M$103,"Unknown Option Type")))*(BC$26=IF($C$2='Data Validation'!$A$2,'Bank Adjustments'!$E$4:$E$103,IF('Adjustment Surface'!$C$2='Data Validation'!$A$3,'Bank Adjustments'!$O$4:$O$103,"Unknown Option Type"))),0)))</f>
        <v/>
      </c>
      <c r="BD36" s="193" t="str" cm="1">
        <f t="array" ref="BD36">IF(OR(BD$26="",$AN36=""),"",INDEX(IF($C$2='Data Validation'!$A$2,'Bank Adjustments'!$I$4:$I$103,IF('Adjustment Surface'!$C$2='Data Validation'!$A$3,'Bank Adjustments'!$S$4:$S$103,"Unknown Option Type")),MATCH(1,($AN36=IF($C$2='Data Validation'!$A$2,'Bank Adjustments'!$C$4:$C$103,IF('Adjustment Surface'!$C$2='Data Validation'!$A$3,'Bank Adjustments'!$M$4:$M$103,"Unknown Option Type")))*(BD$26=IF($C$2='Data Validation'!$A$2,'Bank Adjustments'!$E$4:$E$103,IF('Adjustment Surface'!$C$2='Data Validation'!$A$3,'Bank Adjustments'!$O$4:$O$103,"Unknown Option Type"))),0)))</f>
        <v/>
      </c>
      <c r="BE36" s="193" t="str" cm="1">
        <f t="array" ref="BE36">IF(OR(BE$26="",$AN36=""),"",INDEX(IF($C$2='Data Validation'!$A$2,'Bank Adjustments'!$I$4:$I$103,IF('Adjustment Surface'!$C$2='Data Validation'!$A$3,'Bank Adjustments'!$S$4:$S$103,"Unknown Option Type")),MATCH(1,($AN36=IF($C$2='Data Validation'!$A$2,'Bank Adjustments'!$C$4:$C$103,IF('Adjustment Surface'!$C$2='Data Validation'!$A$3,'Bank Adjustments'!$M$4:$M$103,"Unknown Option Type")))*(BE$26=IF($C$2='Data Validation'!$A$2,'Bank Adjustments'!$E$4:$E$103,IF('Adjustment Surface'!$C$2='Data Validation'!$A$3,'Bank Adjustments'!$O$4:$O$103,"Unknown Option Type"))),0)))</f>
        <v/>
      </c>
      <c r="BF36" s="193" t="str" cm="1">
        <f t="array" ref="BF36">IF(OR(BF$26="",$AN36=""),"",INDEX(IF($C$2='Data Validation'!$A$2,'Bank Adjustments'!$I$4:$I$103,IF('Adjustment Surface'!$C$2='Data Validation'!$A$3,'Bank Adjustments'!$S$4:$S$103,"Unknown Option Type")),MATCH(1,($AN36=IF($C$2='Data Validation'!$A$2,'Bank Adjustments'!$C$4:$C$103,IF('Adjustment Surface'!$C$2='Data Validation'!$A$3,'Bank Adjustments'!$M$4:$M$103,"Unknown Option Type")))*(BF$26=IF($C$2='Data Validation'!$A$2,'Bank Adjustments'!$E$4:$E$103,IF('Adjustment Surface'!$C$2='Data Validation'!$A$3,'Bank Adjustments'!$O$4:$O$103,"Unknown Option Type"))),0)))</f>
        <v/>
      </c>
      <c r="BG36" s="193" t="str" cm="1">
        <f t="array" ref="BG36">IF(OR(BG$26="",$AN36=""),"",INDEX(IF($C$2='Data Validation'!$A$2,'Bank Adjustments'!$I$4:$I$103,IF('Adjustment Surface'!$C$2='Data Validation'!$A$3,'Bank Adjustments'!$S$4:$S$103,"Unknown Option Type")),MATCH(1,($AN36=IF($C$2='Data Validation'!$A$2,'Bank Adjustments'!$C$4:$C$103,IF('Adjustment Surface'!$C$2='Data Validation'!$A$3,'Bank Adjustments'!$M$4:$M$103,"Unknown Option Type")))*(BG$26=IF($C$2='Data Validation'!$A$2,'Bank Adjustments'!$E$4:$E$103,IF('Adjustment Surface'!$C$2='Data Validation'!$A$3,'Bank Adjustments'!$O$4:$O$103,"Unknown Option Type"))),0)))</f>
        <v/>
      </c>
      <c r="BH36" s="194" t="str" cm="1">
        <f t="array" ref="BH36">IF(OR(BH$26="",$AN36=""),"",INDEX(IF($C$2='Data Validation'!$A$2,'Bank Adjustments'!$I$4:$I$103,IF('Adjustment Surface'!$C$2='Data Validation'!$A$3,'Bank Adjustments'!$S$4:$S$103,"Unknown Option Type")),MATCH(1,($AN36=IF($C$2='Data Validation'!$A$2,'Bank Adjustments'!$C$4:$C$103,IF('Adjustment Surface'!$C$2='Data Validation'!$A$3,'Bank Adjustments'!$M$4:$M$103,"Unknown Option Type")))*(BH$26=IF($C$2='Data Validation'!$A$2,'Bank Adjustments'!$E$4:$E$103,IF('Adjustment Surface'!$C$2='Data Validation'!$A$3,'Bank Adjustments'!$O$4:$O$103,"Unknown Option Type"))),0)))</f>
        <v/>
      </c>
    </row>
    <row r="37" spans="2:60" x14ac:dyDescent="0.25">
      <c r="B37" s="75">
        <f t="shared" ref="B37:B38" si="9">B30</f>
        <v>0.04</v>
      </c>
      <c r="C37" s="16" cm="1">
        <f t="array" ref="C37">IF(AND(COUNT(O4:O23)&lt;2,COUNT(P3:AI3)&lt;2),P27,IF(COUNT(O4:O23)&lt;2,_xlfn.FORECAST.LINEAR(C14,INDEX(P27:AI27,1,MATCH(IF(C14&lt;MIN(P3:AI3),INDEX(P3:AI3,1,MATCH(MIN(P3:AI3),P3:AI3,0)),IF(C14&gt;=MAX(P3:AI3),INDEX(P3:AI3,1,MATCH(MAX(P3:AI3),P3:AI3,0)),INDEX(P3:AI3,1,MATCH(C14,P3:AI3,1)))):IF(C14&lt;MIN(P3:AI3),INDEX(P3:AI3,1,MATCH(MIN(P3:AI3),P3:AI3,0)+1),IF(C14&gt;=MAX(P3:AI3),INDEX(P3:AI3,1,MATCH(MAX(P3:AI3),P3:AI3,0)-1),INDEX(P3:AI3,1,MATCH(C14,P3:AI3,1)+1))),P3:AI3,0)),IF(C14&lt;MIN(P3:AI3),INDEX(P3:AI3,1,MATCH(MIN(P3:AI3),P3:AI3,0)),IF(C14&gt;=MAX(P3:AI3),INDEX(P3:AI3,1,MATCH(MAX(P3:AI3),P3:AI3,0)),INDEX(P3:AI3,1,MATCH(C14,P3:AI3,1)))):IF(C14&lt;MIN(P3:AI3),INDEX(P3:AI3,1,MATCH(MIN(P3:AI3),P3:AI3,0)+1),IF(C14&gt;=MAX(P3:AI3),INDEX(P3:AI3,1,MATCH(MAX(P3:AI3),P3:AI3,0)-1),INDEX(P3:AI3,1,MATCH(C14,P3:AI3,1)+1)))),IF(COUNT(P3:AI3)&lt;2,_xlfn.FORECAST.LINEAR(B16,INDEX(P27:P46,MATCH(IF(B16&lt;MIN(O4:O23),INDEX(O4:O23,MATCH(MIN(O4:O23),O4:O23,0)),IF(B16&gt;=MAX(O4:O23),INDEX(O4:O23,MATCH(MAX(O4:O23),O4:O23,0)),INDEX(O4:O23,MATCH(B16,O4:O23,1)))):IF(B16&lt;MIN(O4:O23),INDEX(O4:O23,MATCH(MIN(O4:O23),O4:O23,0)+1),IF(B16&gt;=MAX(O4:O23),INDEX(O4:O23,MATCH(MAX(O4:O23),O4:O23,0)-1),INDEX(O4:O23,MATCH(B16,O4:O23,1)+1))),O4:O23,0)),IF(B16&lt;MIN(O4:O23),INDEX(O4:O23,MATCH(MIN(O4:O23),O4:O23,0)),IF(B16&gt;=MAX(O4:O23),INDEX(O4:O23,MATCH(MAX(O4:O23),O4:O23,0)),INDEX(O4:O23,MATCH(B16,O4:O23,1)))):IF(B16&lt;MIN(O4:O23),INDEX(O4:O23,MATCH(MIN(O4:O23),O4:O23,0)+1),IF(B16&gt;=MAX(O4:O23),INDEX(O4:O23,MATCH(MAX(O4:O23),O4:O23,0)-1),INDEX(O4:O23,MATCH(B16,O4:O23,1)+1)))),1/((INDEX(_xlfn._xlws.FILTER(H4:H23,(INDEX(H4:H23,MATCH(SMALL(J4:J23,1),J4:J23,0))=H4:H23)=FALSE()),MATCH(SMALL(J4:J23,2),_xlfn._xlws.FILTER(J4:J23,(INDEX(H4:H23,MATCH(SMALL(J4:J23,1),J4:J23,0))=H4:H23)=FALSE()),0))-INDEX(H4:H23,MATCH(SMALL(J4:J23,1),J4:J23,0)))*(INDEX(_xlfn._xlws.FILTER(H27:H46,(INDEX(H27:H46,MATCH(SMALL(K27:K46,1),K27:K46,0))=H27:H46)=FALSE()),MATCH(SMALL(K27:K46,2),_xlfn._xlws.FILTER(K27:K46,(INDEX(H27:H46,MATCH(SMALL(K27:K46,1),K27:K46,0))=H27:H46)=FALSE()),0))-INDEX(H27:H46,MATCH(SMALL(K27:K46,1),K27:K46,0))))*(INDEX(P27:AI46,MATCH(INDEX(H27:H46,MATCH(SMALL(K27:K46,1),K27:K46,0)),O27:O46,0),MATCH(INDEX(H4:H23,MATCH(SMALL(J4:J23,1),J4:J23,0)),P26:AI26,0))*(INDEX(_xlfn._xlws.FILTER(H4:H23,(INDEX(H4:H23,MATCH(SMALL(J4:J23,1),J4:J23,0))=H4:H23)=FALSE()),MATCH(SMALL(J4:J23,2),_xlfn._xlws.FILTER(J4:J23,(INDEX(H4:H23,MATCH(SMALL(J4:J23,1),J4:J23,0))=H4:H23)=FALSE()),0))-C14)*(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27:AI46,MATCH(INDEX(H27:H46,MATCH(SMALL(K27:K46,1),K27:K46,0)),O27:O46,0),MATCH(INDEX(_xlfn._xlws.FILTER(H4:H23,(INDEX(H4:H23,MATCH(SMALL(J4:J23,1),J4:J23,0))=H4:H23)=FALSE()),MATCH(SMALL(J4:J23,2),_xlfn._xlws.FILTER(J4:J23,(INDEX(H4:H23,MATCH(SMALL(J4:J23,1),J4:J23,0))=H4:H23)=FALSE()),0)),P26:AI26,0))*(C14-INDEX(H4:H23,MATCH(SMALL(J4:J23,1),J4:J23,0)))*(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27:AI46,MATCH(INDEX(_xlfn._xlws.FILTER(H27:H46,(INDEX(H27:H46,MATCH(SMALL(K27:K46,1),K27:K46,0))=H27:H46)=FALSE()),MATCH(SMALL(K27:K46,2),_xlfn._xlws.FILTER(K27:K46,(INDEX(H27:H46,MATCH(SMALL(K27:K46,1),K27:K46,0))=H27:H46)=FALSE()),0)),O27:O46,0),MATCH(INDEX(H4:H23,MATCH(SMALL(J4:J23,1),J4:J23,0)),P26:AI26,0))*(INDEX(_xlfn._xlws.FILTER(H4:H23,(INDEX(H4:H23,MATCH(SMALL(J4:J23,1),J4:J23,0))=H4:H23)=FALSE()),MATCH(SMALL(J4:J23,2),_xlfn._xlws.FILTER(J4:J23,(INDEX(H4:H23,MATCH(SMALL(J4:J23,1),J4:J23,0))=H4:H23)=FALSE()),0))-C14)*(IF(OR(C9='Data Validation'!D2,C9='Data Validation'!D3),B16,IF(C9='Data Validation'!D3,SUMPRODUCT('Bachelier Model'!N4:N124,'Bachelier Model'!O4:O124)/SUM('Bachelier Model'!N4:N124),"Strike Type Unknown"))-INDEX(H27:H46,MATCH(SMALL(K27:K46,1),K27:K46,0)))+INDEX(P27:AI46,MATCH(INDEX(_xlfn._xlws.FILTER(H27:H46,(INDEX(H27:H46,MATCH(SMALL(K27:K46,1),K27:K46,0))=H27:H46)=FALSE()),MATCH(SMALL(K27:K46,2),_xlfn._xlws.FILTER(K27:K46,(INDEX(H27:H46,MATCH(SMALL(K27:K46,1),K27:K46,0))=H27:H46)=FALSE()),0)),O27:O46,0),MATCH(INDEX(_xlfn._xlws.FILTER(H4:H23,(INDEX(H4:H23,MATCH(SMALL(J4:J23,1),J4:J23,0))=H4:H23)=FALSE()),MATCH(SMALL(J4:J23,2),_xlfn._xlws.FILTER(J4:J23,(INDEX(H4:H23,MATCH(SMALL(J4:J23,1),J4:J23,0))=H4:H23)=FALSE()),0)),P26:AI26,0))*(C14-INDEX(H4:H23,MATCH(SMALL(J4:J23,1),J4:J23,0)))*(IF(OR(C9='Data Validation'!D2,C9='Data Validation'!D3),B16,IF(C9='Data Validation'!D3,SUMPRODUCT('Bachelier Model'!N4:N124,'Bachelier Model'!O4:O124)/SUM('Bachelier Model'!N4:N124),"Strike Type Unknown"))-INDEX(H27:H46,MATCH(SMALL(K27:K46,1),K27:K46,0)))))))</f>
        <v>1.581975213197566</v>
      </c>
      <c r="D37" s="16" cm="1">
        <f t="array" ref="D37">IF(AND(COUNT(O4:O23)&lt;2,COUNT(P3:AI3)&lt;2),P27,IF(COUNT(O4:O23)&lt;2,_xlfn.FORECAST.LINEAR(D14,INDEX(P27:AI27,1,MATCH(IF(D14&lt;MIN(P3:AI3),INDEX(P3:AI3,1,MATCH(MIN(P3:AI3),P3:AI3,0)),IF(D14&gt;=MAX(P3:AI3),INDEX(P3:AI3,1,MATCH(MAX(P3:AI3),P3:AI3,0)),INDEX(P3:AI3,1,MATCH(D14,P3:AI3,1)))):IF(D14&lt;MIN(P3:AI3),INDEX(P3:AI3,1,MATCH(MIN(P3:AI3),P3:AI3,0)+1),IF(D14&gt;=MAX(P3:AI3),INDEX(P3:AI3,1,MATCH(MAX(P3:AI3),P3:AI3,0)-1),INDEX(P3:AI3,1,MATCH(D14,P3:AI3,1)+1))),P3:AI3,0)),IF(D14&lt;MIN(P3:AI3),INDEX(P3:AI3,1,MATCH(MIN(P3:AI3),P3:AI3,0)),IF(D14&gt;=MAX(P3:AI3),INDEX(P3:AI3,1,MATCH(MAX(P3:AI3),P3:AI3,0)),INDEX(P3:AI3,1,MATCH(D14,P3:AI3,1)))):IF(D14&lt;MIN(P3:AI3),INDEX(P3:AI3,1,MATCH(MIN(P3:AI3),P3:AI3,0)+1),IF(D14&gt;=MAX(P3:AI3),INDEX(P3:AI3,1,MATCH(MAX(P3:AI3),P3:AI3,0)-1),INDEX(P3:AI3,1,MATCH(D14,P3:AI3,1)+1)))),IF(COUNT(P3:AI3)&lt;2,_xlfn.FORECAST.LINEAR(B16,INDEX(P27:P46,MATCH(IF(B16&lt;MIN(O4:O23),INDEX(O4:O23,MATCH(MIN(O4:O23),O4:O23,0)),IF(B16&gt;=MAX(O4:O23),INDEX(O4:O23,MATCH(MAX(O4:O23),O4:O23,0)),INDEX(O4:O23,MATCH(B16,O4:O23,1)))):IF(B16&lt;MIN(O4:O23),INDEX(O4:O23,MATCH(MIN(O4:O23),O4:O23,0)+1),IF(B16&gt;=MAX(O4:O23),INDEX(O4:O23,MATCH(MAX(O4:O23),O4:O23,0)-1),INDEX(O4:O23,MATCH(B16,O4:O23,1)+1))),O4:O23,0)),IF(B16&lt;MIN(O4:O23),INDEX(O4:O23,MATCH(MIN(O4:O23),O4:O23,0)),IF(B16&gt;=MAX(O4:O23),INDEX(O4:O23,MATCH(MAX(O4:O23),O4:O23,0)),INDEX(O4:O23,MATCH(B16,O4:O23,1)))):IF(B16&lt;MIN(O4:O23),INDEX(O4:O23,MATCH(MIN(O4:O23),O4:O23,0)+1),IF(B16&gt;=MAX(O4:O23),INDEX(O4:O23,MATCH(MAX(O4:O23),O4:O23,0)-1),INDEX(O4:O23,MATCH(B16,O4:O23,1)+1)))),1/((INDEX(_xlfn._xlws.FILTER(H4:H23,(INDEX(H4:H23,MATCH(SMALL(K4:K23,1),K4:K23,0))=H4:H23)=FALSE()),MATCH(SMALL(K4:K23,2),_xlfn._xlws.FILTER(K4:K23,(INDEX(H4:H23,MATCH(SMALL(K4:K23,1),K4:K23,0))=H4:H23)=FALSE()),0))-INDEX(H4:H23,MATCH(SMALL(K4:K23,1),K4:K23,0)))*(INDEX(_xlfn._xlws.FILTER(H27:H46,(INDEX(H27:H46,MATCH(SMALL(K27:K46,1),K27:K46,0))=H27:H46)=FALSE()),MATCH(SMALL(K27:K46,2),_xlfn._xlws.FILTER(K27:K46,(INDEX(H27:H46,MATCH(SMALL(K27:K46,1),K27:K46,0))=H27:H46)=FALSE()),0))-INDEX(H27:H46,MATCH(SMALL(K27:K46,1),K27:K46,0))))*(INDEX(P27:AI46,MATCH(INDEX(H27:H46,MATCH(SMALL(K27:K46,1),K27:K46,0)),O27:O46,0),MATCH(INDEX(H4:H23,MATCH(SMALL(K4:K23,1),K4:K23,0)),P26:AI26,0))*(INDEX(_xlfn._xlws.FILTER(H4:H23,(INDEX(H4:H23,MATCH(SMALL(K4:K23,1),K4:K23,0))=H4:H23)=FALSE()),MATCH(SMALL(K4:K23,2),_xlfn._xlws.FILTER(K4:K23,(INDEX(H4:H23,MATCH(SMALL(K4:K23,1),K4:K23,0))=H4:H23)=FALSE()),0))-D14)*(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27:AI46,MATCH(INDEX(H27:H46,MATCH(SMALL(K27:K46,1),K27:K46,0)),O27:O46,0),MATCH(INDEX(_xlfn._xlws.FILTER(H4:H23,(INDEX(H4:H23,MATCH(SMALL(K4:K23,1),K4:K23,0))=H4:H23)=FALSE()),MATCH(SMALL(K4:K23,2),_xlfn._xlws.FILTER(K4:K23,(INDEX(H4:H23,MATCH(SMALL(K4:K23,1),K4:K23,0))=H4:H23)=FALSE()),0)),P26:AI26,0))*(D14-INDEX(H4:H23,MATCH(SMALL(K4:K23,1),K4:K23,0)))*(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27:AI46,MATCH(INDEX(_xlfn._xlws.FILTER(H27:H46,(INDEX(H27:H46,MATCH(SMALL(K27:K46,1),K27:K46,0))=H27:H46)=FALSE()),MATCH(SMALL(K27:K46,2),_xlfn._xlws.FILTER(K27:K46,(INDEX(H27:H46,MATCH(SMALL(K27:K46,1),K27:K46,0))=H27:H46)=FALSE()),0)),O27:O46,0),MATCH(INDEX(H4:H23,MATCH(SMALL(K4:K23,1),K4:K23,0)),P26:AI26,0))*(INDEX(_xlfn._xlws.FILTER(H4:H23,(INDEX(H4:H23,MATCH(SMALL(K4:K23,1),K4:K23,0))=H4:H23)=FALSE()),MATCH(SMALL(K4:K23,2),_xlfn._xlws.FILTER(K4:K23,(INDEX(H4:H23,MATCH(SMALL(K4:K23,1),K4:K23,0))=H4:H23)=FALSE()),0))-D14)*(IF(OR(C9='Data Validation'!D2,C9='Data Validation'!D3),B16,IF(C9='Data Validation'!D3,SUMPRODUCT('Bachelier Model'!N4:N124,'Bachelier Model'!O4:O124)/SUM('Bachelier Model'!N4:N124),"Strike Type Unknown"))-INDEX(H27:H46,MATCH(SMALL(K27:K46,1),K27:K46,0)))+INDEX(P27:AI46,MATCH(INDEX(_xlfn._xlws.FILTER(H27:H46,(INDEX(H27:H46,MATCH(SMALL(K27:K46,1),K27:K46,0))=H27:H46)=FALSE()),MATCH(SMALL(K27:K46,2),_xlfn._xlws.FILTER(K27:K46,(INDEX(H27:H46,MATCH(SMALL(K27:K46,1),K27:K46,0))=H27:H46)=FALSE()),0)),O27:O46,0),MATCH(INDEX(_xlfn._xlws.FILTER(H4:H23,(INDEX(H4:H23,MATCH(SMALL(K4:K23,1),K4:K23,0))=H4:H23)=FALSE()),MATCH(SMALL(K4:K23,2),_xlfn._xlws.FILTER(K4:K23,(INDEX(H4:H23,MATCH(SMALL(K4:K23,1),K4:K23,0))=H4:H23)=FALSE()),0)),P26:AI26,0))*(D14-INDEX(H4:H23,MATCH(SMALL(K4:K23,1),K4:K23,0)))*(IF(OR(C9='Data Validation'!D2,C9='Data Validation'!D3),B16,IF(C9='Data Validation'!D3,SUMPRODUCT('Bachelier Model'!N4:N124,'Bachelier Model'!O4:O124)/SUM('Bachelier Model'!N4:N124),"Strike Type Unknown"))-INDEX(H27:H46,MATCH(SMALL(K27:K46,1),K27:K46,0)))))))</f>
        <v>0.27772889782196125</v>
      </c>
      <c r="E37" s="16" cm="1">
        <f t="array" ref="E37">IF(AND(COUNT(O4:O23)&lt;2,COUNT(P3:AI3)&lt;2),P27,IF(COUNT(O4:O23)&lt;2,_xlfn.FORECAST.LINEAR(E14,INDEX(P27:AI27,1,MATCH(IF(E14&lt;MIN(P3:AI3),INDEX(P3:AI3,1,MATCH(MIN(P3:AI3),P3:AI3,0)),IF(E14&gt;=MAX(P3:AI3),INDEX(P3:AI3,1,MATCH(MAX(P3:AI3),P3:AI3,0)),INDEX(P3:AI3,1,MATCH(E14,P3:AI3,1)))):IF(E14&lt;MIN(P3:AI3),INDEX(P3:AI3,1,MATCH(MIN(P3:AI3),P3:AI3,0)+1),IF(E14&gt;=MAX(P3:AI3),INDEX(P3:AI3,1,MATCH(MAX(P3:AI3),P3:AI3,0)-1),INDEX(P3:AI3,1,MATCH(E14,P3:AI3,1)+1))),P3:AI3,0)),IF(E14&lt;MIN(P3:AI3),INDEX(P3:AI3,1,MATCH(MIN(P3:AI3),P3:AI3,0)),IF(E14&gt;=MAX(P3:AI3),INDEX(P3:AI3,1,MATCH(MAX(P3:AI3),P3:AI3,0)),INDEX(P3:AI3,1,MATCH(E14,P3:AI3,1)))):IF(E14&lt;MIN(P3:AI3),INDEX(P3:AI3,1,MATCH(MIN(P3:AI3),P3:AI3,0)+1),IF(E14&gt;=MAX(P3:AI3),INDEX(P3:AI3,1,MATCH(MAX(P3:AI3),P3:AI3,0)-1),INDEX(P3:AI3,1,MATCH(E14,P3:AI3,1)+1)))),IF(COUNT(P3:AI3)&lt;2,_xlfn.FORECAST.LINEAR(B16,INDEX(P27:P46,MATCH(IF(B16&lt;MIN(O4:O23),INDEX(O4:O23,MATCH(MIN(O4:O23),O4:O23,0)),IF(B16&gt;=MAX(O4:O23),INDEX(O4:O23,MATCH(MAX(O4:O23),O4:O23,0)),INDEX(O4:O23,MATCH(B16,O4:O23,1)))):IF(B16&lt;MIN(O4:O23),INDEX(O4:O23,MATCH(MIN(O4:O23),O4:O23,0)+1),IF(B16&gt;=MAX(O4:O23),INDEX(O4:O23,MATCH(MAX(O4:O23),O4:O23,0)-1),INDEX(O4:O23,MATCH(B16,O4:O23,1)+1))),O4:O23,0)),IF(B16&lt;MIN(O4:O23),INDEX(O4:O23,MATCH(MIN(O4:O23),O4:O23,0)),IF(B16&gt;=MAX(O4:O23),INDEX(O4:O23,MATCH(MAX(O4:O23),O4:O23,0)),INDEX(O4:O23,MATCH(B16,O4:O23,1)))):IF(B16&lt;MIN(O4:O23),INDEX(O4:O23,MATCH(MIN(O4:O23),O4:O23,0)+1),IF(B16&gt;=MAX(O4:O23),INDEX(O4:O23,MATCH(MAX(O4:O23),O4:O23,0)-1),INDEX(O4:O23,MATCH(B16,O4:O23,1)+1)))),1/((INDEX(_xlfn._xlws.FILTER(H4:H23,(INDEX(H4:H23,MATCH(SMALL(L4:L23,1),L4:L23,0))=H4:H23)=FALSE()),MATCH(SMALL(L4:L23,2),_xlfn._xlws.FILTER(L4:L23,(INDEX(H4:H23,MATCH(SMALL(L4:L23,1),L4:L23,0))=H4:H23)=FALSE()),0))-INDEX(H4:H23,MATCH(SMALL(L4:L23,1),L4:L23,0)))*(INDEX(_xlfn._xlws.FILTER(H27:H46,(INDEX(H27:H46,MATCH(SMALL(K27:K46,1),K27:K46,0))=H27:H46)=FALSE()),MATCH(SMALL(K27:K46,2),_xlfn._xlws.FILTER(K27:K46,(INDEX(H27:H46,MATCH(SMALL(K27:K46,1),K27:K46,0))=H27:H46)=FALSE()),0))-INDEX(H27:H46,MATCH(SMALL(K27:K46,1),K27:K46,0))))*(INDEX(P27:AI46,MATCH(INDEX(H27:H46,MATCH(SMALL(K27:K46,1),K27:K46,0)),O27:O46,0),MATCH(INDEX(H4:H23,MATCH(SMALL(L4:L23,1),L4:L23,0)),P26:AI26,0))*(INDEX(_xlfn._xlws.FILTER(H4:H23,(INDEX(H4:H23,MATCH(SMALL(L4:L23,1),L4:L23,0))=H4:H23)=FALSE()),MATCH(SMALL(L4:L23,2),_xlfn._xlws.FILTER(L4:L23,(INDEX(H4:H23,MATCH(SMALL(L4:L23,1),L4:L23,0))=H4:H23)=FALSE()),0))-E14)*(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27:AI46,MATCH(INDEX(H27:H46,MATCH(SMALL(K27:K46,1),K27:K46,0)),O27:O46,0),MATCH(INDEX(_xlfn._xlws.FILTER(H4:H23,(INDEX(H4:H23,MATCH(SMALL(L4:L23,1),L4:L23,0))=H4:H23)=FALSE()),MATCH(SMALL(L4:L23,2),_xlfn._xlws.FILTER(L4:L23,(INDEX(H4:H23,MATCH(SMALL(L4:L23,1),L4:L23,0))=H4:H23)=FALSE()),0)),P26:AI26,0))*(E14-INDEX(H4:H23,MATCH(SMALL(L4:L23,1),L4:L23,0)))*(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27:AI46,MATCH(INDEX(_xlfn._xlws.FILTER(H27:H46,(INDEX(H27:H46,MATCH(SMALL(K27:K46,1),K27:K46,0))=H27:H46)=FALSE()),MATCH(SMALL(K27:K46,2),_xlfn._xlws.FILTER(K27:K46,(INDEX(H27:H46,MATCH(SMALL(K27:K46,1),K27:K46,0))=H27:H46)=FALSE()),0)),O27:O46,0),MATCH(INDEX(H4:H23,MATCH(SMALL(L4:L23,1),L4:L23,0)),P26:AI26,0))*(INDEX(_xlfn._xlws.FILTER(H4:H23,(INDEX(H4:H23,MATCH(SMALL(L4:L23,1),L4:L23,0))=H4:H23)=FALSE()),MATCH(SMALL(L4:L23,2),_xlfn._xlws.FILTER(L4:L23,(INDEX(H4:H23,MATCH(SMALL(L4:L23,1),L4:L23,0))=H4:H23)=FALSE()),0))-E14)*(IF(OR(C9='Data Validation'!D2,C9='Data Validation'!D3),B16,IF(C9='Data Validation'!D3,SUMPRODUCT('Bachelier Model'!N4:N124,'Bachelier Model'!O4:O124)/SUM('Bachelier Model'!N4:N124),"Strike Type Unknown"))-INDEX(H27:H46,MATCH(SMALL(K27:K46,1),K27:K46,0)))+INDEX(P27:AI46,MATCH(INDEX(_xlfn._xlws.FILTER(H27:H46,(INDEX(H27:H46,MATCH(SMALL(K27:K46,1),K27:K46,0))=H27:H46)=FALSE()),MATCH(SMALL(K27:K46,2),_xlfn._xlws.FILTER(K27:K46,(INDEX(H27:H46,MATCH(SMALL(K27:K46,1),K27:K46,0))=H27:H46)=FALSE()),0)),O27:O46,0),MATCH(INDEX(_xlfn._xlws.FILTER(H4:H23,(INDEX(H4:H23,MATCH(SMALL(L4:L23,1),L4:L23,0))=H4:H23)=FALSE()),MATCH(SMALL(L4:L23,2),_xlfn._xlws.FILTER(L4:L23,(INDEX(H4:H23,MATCH(SMALL(L4:L23,1),L4:L23,0))=H4:H23)=FALSE()),0)),P26:AI26,0))*(E14-INDEX(H4:H23,MATCH(SMALL(L4:L23,1),L4:L23,0)))*(IF(OR(C9='Data Validation'!D2,C9='Data Validation'!D3),B16,IF(C9='Data Validation'!D3,SUMPRODUCT('Bachelier Model'!N4:N124,'Bachelier Model'!O4:O124)/SUM('Bachelier Model'!N4:N124),"Strike Type Unknown"))-INDEX(H27:H46,MATCH(SMALL(K27:K46,1),K27:K46,0)))))))</f>
        <v>0.21096747592695037</v>
      </c>
      <c r="F37" s="16" cm="1">
        <f t="array" ref="F37">IF(AND(COUNT(O4:O23)&lt;2,COUNT(P3:AI3)&lt;2),P27,IF(COUNT(O4:O23)&lt;2,_xlfn.FORECAST.LINEAR(F14,INDEX(P27:AI27,1,MATCH(IF(F14&lt;MIN(P3:AI3),INDEX(P3:AI3,1,MATCH(MIN(P3:AI3),P3:AI3,0)),IF(F14&gt;=MAX(P3:AI3),INDEX(P3:AI3,1,MATCH(MAX(P3:AI3),P3:AI3,0)),INDEX(P3:AI3,1,MATCH(F14,P3:AI3,1)))):IF(F14&lt;MIN(P3:AI3),INDEX(P3:AI3,1,MATCH(MIN(P3:AI3),P3:AI3,0)+1),IF(F14&gt;=MAX(P3:AI3),INDEX(P3:AI3,1,MATCH(MAX(P3:AI3),P3:AI3,0)-1),INDEX(P3:AI3,1,MATCH(F14,P3:AI3,1)+1))),P3:AI3,0)),IF(F14&lt;MIN(P3:AI3),INDEX(P3:AI3,1,MATCH(MIN(P3:AI3),P3:AI3,0)),IF(F14&gt;=MAX(P3:AI3),INDEX(P3:AI3,1,MATCH(MAX(P3:AI3),P3:AI3,0)),INDEX(P3:AI3,1,MATCH(F14,P3:AI3,1)))):IF(F14&lt;MIN(P3:AI3),INDEX(P3:AI3,1,MATCH(MIN(P3:AI3),P3:AI3,0)+1),IF(F14&gt;=MAX(P3:AI3),INDEX(P3:AI3,1,MATCH(MAX(P3:AI3),P3:AI3,0)-1),INDEX(P3:AI3,1,MATCH(F14,P3:AI3,1)+1)))),IF(COUNT(P3:AI3)&lt;2,_xlfn.FORECAST.LINEAR(B16,INDEX(P27:P46,MATCH(IF(B16&lt;MIN(O4:O23),INDEX(O4:O23,MATCH(MIN(O4:O23),O4:O23,0)),IF(B16&gt;=MAX(O4:O23),INDEX(O4:O23,MATCH(MAX(O4:O23),O4:O23,0)),INDEX(O4:O23,MATCH(B16,O4:O23,1)))):IF(B16&lt;MIN(O4:O23),INDEX(O4:O23,MATCH(MIN(O4:O23),O4:O23,0)+1),IF(B16&gt;=MAX(O4:O23),INDEX(O4:O23,MATCH(MAX(O4:O23),O4:O23,0)-1),INDEX(O4:O23,MATCH(B16,O4:O23,1)+1))),O4:O23,0)),IF(B16&lt;MIN(O4:O23),INDEX(O4:O23,MATCH(MIN(O4:O23),O4:O23,0)),IF(B16&gt;=MAX(O4:O23),INDEX(O4:O23,MATCH(MAX(O4:O23),O4:O23,0)),INDEX(O4:O23,MATCH(B16,O4:O23,1)))):IF(B16&lt;MIN(O4:O23),INDEX(O4:O23,MATCH(MIN(O4:O23),O4:O23,0)+1),IF(B16&gt;=MAX(O4:O23),INDEX(O4:O23,MATCH(MAX(O4:O23),O4:O23,0)-1),INDEX(O4:O23,MATCH(B16,O4:O23,1)+1)))),1/((INDEX(_xlfn._xlws.FILTER(H4:H23,(INDEX(H4:H23,MATCH(SMALL(M4:M23,1),M4:M23,0))=H4:H23)=FALSE()),MATCH(SMALL(M4:M23,2),_xlfn._xlws.FILTER(M4:M23,(INDEX(H4:H23,MATCH(SMALL(M4:M23,1),M4:M23,0))=H4:H23)=FALSE()),0))-INDEX(H4:H23,MATCH(SMALL(M4:M23,1),M4:M23,0)))*(INDEX(_xlfn._xlws.FILTER(H27:H46,(INDEX(H27:H46,MATCH(SMALL(K27:K46,1),K27:K46,0))=H27:H46)=FALSE()),MATCH(SMALL(K27:K46,2),_xlfn._xlws.FILTER(K27:K46,(INDEX(H27:H46,MATCH(SMALL(K27:K46,1),K27:K46,0))=H27:H46)=FALSE()),0))-INDEX(H27:H46,MATCH(SMALL(K27:K46,1),K27:K46,0))))*(INDEX(P27:AI46,MATCH(INDEX(H27:H46,MATCH(SMALL(K27:K46,1),K27:K46,0)),O27:O46,0),MATCH(INDEX(H4:H23,MATCH(SMALL(M4:M23,1),M4:M23,0)),P26:AI26,0))*(INDEX(_xlfn._xlws.FILTER(H4:H23,(INDEX(H4:H23,MATCH(SMALL(M4:M23,1),M4:M23,0))=H4:H23)=FALSE()),MATCH(SMALL(M4:M23,2),_xlfn._xlws.FILTER(M4:M23,(INDEX(H4:H23,MATCH(SMALL(M4:M23,1),M4:M23,0))=H4:H23)=FALSE()),0))-F14)*(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27:AI46,MATCH(INDEX(H27:H46,MATCH(SMALL(K27:K46,1),K27:K46,0)),O27:O46,0),MATCH(INDEX(_xlfn._xlws.FILTER(H4:H23,(INDEX(H4:H23,MATCH(SMALL(M4:M23,1),M4:M23,0))=H4:H23)=FALSE()),MATCH(SMALL(M4:M23,2),_xlfn._xlws.FILTER(M4:M23,(INDEX(H4:H23,MATCH(SMALL(M4:M23,1),M4:M23,0))=H4:H23)=FALSE()),0)),P26:AI26,0))*(F14-INDEX(H4:H23,MATCH(SMALL(M4:M23,1),M4:M23,0)))*(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27:AI46,MATCH(INDEX(_xlfn._xlws.FILTER(H27:H46,(INDEX(H27:H46,MATCH(SMALL(K27:K46,1),K27:K46,0))=H27:H46)=FALSE()),MATCH(SMALL(K27:K46,2),_xlfn._xlws.FILTER(K27:K46,(INDEX(H27:H46,MATCH(SMALL(K27:K46,1),K27:K46,0))=H27:H46)=FALSE()),0)),O27:O46,0),MATCH(INDEX(H4:H23,MATCH(SMALL(M4:M23,1),M4:M23,0)),P26:AI26,0))*(INDEX(_xlfn._xlws.FILTER(H4:H23,(INDEX(H4:H23,MATCH(SMALL(M4:M23,1),M4:M23,0))=H4:H23)=FALSE()),MATCH(SMALL(M4:M23,2),_xlfn._xlws.FILTER(M4:M23,(INDEX(H4:H23,MATCH(SMALL(M4:M23,1),M4:M23,0))=H4:H23)=FALSE()),0))-F14)*(IF(OR(C9='Data Validation'!D2,C9='Data Validation'!D3),B16,IF(C9='Data Validation'!D3,SUMPRODUCT('Bachelier Model'!N4:N124,'Bachelier Model'!O4:O124)/SUM('Bachelier Model'!N4:N124),"Strike Type Unknown"))-INDEX(H27:H46,MATCH(SMALL(K27:K46,1),K27:K46,0)))+INDEX(P27:AI46,MATCH(INDEX(_xlfn._xlws.FILTER(H27:H46,(INDEX(H27:H46,MATCH(SMALL(K27:K46,1),K27:K46,0))=H27:H46)=FALSE()),MATCH(SMALL(K27:K46,2),_xlfn._xlws.FILTER(K27:K46,(INDEX(H27:H46,MATCH(SMALL(K27:K46,1),K27:K46,0))=H27:H46)=FALSE()),0)),O27:O46,0),MATCH(INDEX(_xlfn._xlws.FILTER(H4:H23,(INDEX(H4:H23,MATCH(SMALL(M4:M23,1),M4:M23,0))=H4:H23)=FALSE()),MATCH(SMALL(M4:M23,2),_xlfn._xlws.FILTER(M4:M23,(INDEX(H4:H23,MATCH(SMALL(M4:M23,1),M4:M23,0))=H4:H23)=FALSE()),0)),P26:AI26,0))*(F14-INDEX(H4:H23,MATCH(SMALL(M4:M23,1),M4:M23,0)))*(IF(OR(C9='Data Validation'!D2,C9='Data Validation'!D3),B16,IF(C9='Data Validation'!D3,SUMPRODUCT('Bachelier Model'!N4:N124,'Bachelier Model'!O4:O124)/SUM('Bachelier Model'!N4:N124),"Strike Type Unknown"))-INDEX(H27:H46,MATCH(SMALL(K27:K46,1),K27:K46,0)))))))</f>
        <v>0.14438846228848318</v>
      </c>
      <c r="H37" s="176"/>
      <c r="I37" s="54" t="str">
        <f t="shared" si="6"/>
        <v/>
      </c>
      <c r="J37" s="55" t="str">
        <f t="shared" si="6"/>
        <v/>
      </c>
      <c r="K37" s="55" t="str">
        <f t="shared" si="6"/>
        <v/>
      </c>
      <c r="L37" s="55" t="str">
        <f t="shared" si="6"/>
        <v/>
      </c>
      <c r="M37" s="48" t="str">
        <f t="shared" si="6"/>
        <v/>
      </c>
      <c r="O37" s="176"/>
      <c r="P37" s="192" t="str" cm="1">
        <f t="array" ref="P37">IF(OR(P$26="",$O37=""),"",1/((INDEX('Adjustment Surface'!$AN$27:$AN$46,MATCH(('Adjustment Surface'!$O37),'Adjustment Surface'!$AN$27:$AN$46,1)+IF('Adjustment Surface'!$O38="",-1,1))-INDEX('Adjustment Surface'!$AN$27:$AN$46,MATCH(('Adjustment Surface'!$O37),'Adjustment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Surface'!$O37),'Adjustment Surface'!$AN$27:$AN$46,1)),$AN$27:$AN$46,0),MATCH(INDEX('Adjustment Surface'!$AO$26:$BH$26,1,MATCH(('Adjustment Surface'!P$26),'Adjustment Surface'!$AO$26:$BH$26,1)),$AO$26:$BH$26,0))*(INDEX('Adjustment Surface'!$AN$27:$AN$46,MATCH(('Adjustment Surface'!$O37),'Adjustment Surface'!$AN$27:$AN$46,1)+IF('Adjustment Surface'!$O38="",-1,1))-'Adjustment Surface'!$O37)*(INDEX('Adjustment Surface'!$AO$26:$BH$26,1,MATCH(('Adjustment Surface'!P$26),'Adjustment Surface'!$AO$26:$BH$26,1)+IF('Adjustment Surface'!Q$26="",-1,1))-'Adjustment Surface'!P$26)+INDEX($AO$27:$BH$46,MATCH(INDEX('Adjustment Surface'!$AN$27:$AN$46,MATCH(('Adjustment Surface'!$O37),'Adjustment Surface'!$AN$27:$AN$46,1)+IF('Adjustment Surface'!$O38="",-1,1)),$AN$27:$AN$46,0),MATCH(INDEX('Adjustment Surface'!$AO$26:$BH$26,1,MATCH(('Adjustment Surface'!P$26),'Adjustment Surface'!$AO$26:$BH$26,1)),$AO$26:$BH$26,0))*('Adjustment Surface'!$O37-INDEX('Adjustment Surface'!$AN$27:$AN$46,MATCH(('Adjustment Surface'!$O37),'Adjustment Surface'!$AN$27:$AN$46,1)))*(INDEX('Adjustment Surface'!$AO$26:$BH$26,1,MATCH(('Adjustment Surface'!P$26),'Adjustment Surface'!$AO$26:$BH$26,1)+IF('Adjustment Surface'!Q$26="",-1,1))-'Adjustment Surface'!P$26)+INDEX($AO$27:$BH$46,MATCH(INDEX('Adjustment Surface'!$AN$27:$AN$46,MATCH(('Adjustment Surface'!$O37),'Adjustment Surface'!$AN$27:$AN$46,1)),$AN$27:$AN$46,0),MATCH(INDEX('Adjustment Surface'!$AO$26:$BH$26,1,MATCH(('Adjustment Surface'!P$26),'Adjustment Surface'!$AO$26:$BH$26,1)+IF('Adjustment Surface'!Q$26="",-1,1)),$AO$26:$BH$26,0))*(INDEX('Adjustment Surface'!$AN$27:$AN$46,MATCH(('Adjustment Surface'!$O37),'Adjustment Surface'!$AN$27:$AN$46,1)+IF('Adjustment Surface'!$O38="",-1,1))-'Adjustment Surface'!$O37)*('Adjustment Surface'!P$26-INDEX('Adjustment Surface'!$AO$26:$BH$26,1,MATCH(('Adjustment Surface'!P$26),'Adjustment Surface'!$AO$26:$BH$26,1)))+INDEX($AO$27:$BH$46,MATCH(INDEX('Adjustment Surface'!$AN$27:$AN$46,MATCH(('Adjustment Surface'!$O37),'Adjustment Surface'!$AN$27:$AN$46,1)+IF('Adjustment Surface'!$O38="",-1,1)),$AN$27:$AN$46,0),MATCH(INDEX('Adjustment Surface'!$AO$26:$BH$26,1,MATCH(('Adjustment Surface'!P$26),'Adjustment Surface'!$AO$26:$BH$26,1)+IF('Adjustment Surface'!Q$26="",-1,1)),$AO$26:$BH$26,0))*('Adjustment Surface'!$O37-INDEX('Adjustment Surface'!$AN$27:$AN$46,MATCH(('Adjustment Surface'!$O37),'Adjustment Surface'!$AN$27:$AN$46,1)))*('Adjustment Surface'!P$26-INDEX('Adjustment Surface'!$AO$26:$BH$26,1,MATCH(('Adjustment Surface'!P$26),'Adjustment Surface'!$AO$26:$BH$26,1)))))</f>
        <v/>
      </c>
      <c r="Q37" s="193" t="str" cm="1">
        <f t="array" ref="Q37">IF(OR(Q$26="",$O37=""),"",1/((INDEX('Adjustment Surface'!$AN$27:$AN$46,MATCH(('Adjustment Surface'!$O37),'Adjustment Surface'!$AN$27:$AN$46,1)+IF('Adjustment Surface'!$O38="",-1,1))-INDEX('Adjustment Surface'!$AN$27:$AN$46,MATCH(('Adjustment Surface'!$O37),'Adjustment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Surface'!$O37),'Adjustment Surface'!$AN$27:$AN$46,1)),$AN$27:$AN$46,0),MATCH(INDEX('Adjustment Surface'!$AO$26:$BH$26,1,MATCH(('Adjustment Surface'!Q$26),'Adjustment Surface'!$AO$26:$BH$26,1)),$AO$26:$BH$26,0))*(INDEX('Adjustment Surface'!$AN$27:$AN$46,MATCH(('Adjustment Surface'!$O37),'Adjustment Surface'!$AN$27:$AN$46,1)+IF('Adjustment Surface'!$O38="",-1,1))-'Adjustment Surface'!$O37)*(INDEX('Adjustment Surface'!$AO$26:$BH$26,1,MATCH(('Adjustment Surface'!Q$26),'Adjustment Surface'!$AO$26:$BH$26,1)+IF('Adjustment Surface'!R$26="",-1,1))-'Adjustment Surface'!Q$26)+INDEX($AO$27:$BH$46,MATCH(INDEX('Adjustment Surface'!$AN$27:$AN$46,MATCH(('Adjustment Surface'!$O37),'Adjustment Surface'!$AN$27:$AN$46,1)+IF('Adjustment Surface'!$O38="",-1,1)),$AN$27:$AN$46,0),MATCH(INDEX('Adjustment Surface'!$AO$26:$BH$26,1,MATCH(('Adjustment Surface'!Q$26),'Adjustment Surface'!$AO$26:$BH$26,1)),$AO$26:$BH$26,0))*('Adjustment Surface'!$O37-INDEX('Adjustment Surface'!$AN$27:$AN$46,MATCH(('Adjustment Surface'!$O37),'Adjustment Surface'!$AN$27:$AN$46,1)))*(INDEX('Adjustment Surface'!$AO$26:$BH$26,1,MATCH(('Adjustment Surface'!Q$26),'Adjustment Surface'!$AO$26:$BH$26,1)+IF('Adjustment Surface'!R$26="",-1,1))-'Adjustment Surface'!Q$26)+INDEX($AO$27:$BH$46,MATCH(INDEX('Adjustment Surface'!$AN$27:$AN$46,MATCH(('Adjustment Surface'!$O37),'Adjustment Surface'!$AN$27:$AN$46,1)),$AN$27:$AN$46,0),MATCH(INDEX('Adjustment Surface'!$AO$26:$BH$26,1,MATCH(('Adjustment Surface'!Q$26),'Adjustment Surface'!$AO$26:$BH$26,1)+IF('Adjustment Surface'!R$26="",-1,1)),$AO$26:$BH$26,0))*(INDEX('Adjustment Surface'!$AN$27:$AN$46,MATCH(('Adjustment Surface'!$O37),'Adjustment Surface'!$AN$27:$AN$46,1)+IF('Adjustment Surface'!$O38="",-1,1))-'Adjustment Surface'!$O37)*('Adjustment Surface'!Q$26-INDEX('Adjustment Surface'!$AO$26:$BH$26,1,MATCH(('Adjustment Surface'!Q$26),'Adjustment Surface'!$AO$26:$BH$26,1)))+INDEX($AO$27:$BH$46,MATCH(INDEX('Adjustment Surface'!$AN$27:$AN$46,MATCH(('Adjustment Surface'!$O37),'Adjustment Surface'!$AN$27:$AN$46,1)+IF('Adjustment Surface'!$O38="",-1,1)),$AN$27:$AN$46,0),MATCH(INDEX('Adjustment Surface'!$AO$26:$BH$26,1,MATCH(('Adjustment Surface'!Q$26),'Adjustment Surface'!$AO$26:$BH$26,1)+IF('Adjustment Surface'!R$26="",-1,1)),$AO$26:$BH$26,0))*('Adjustment Surface'!$O37-INDEX('Adjustment Surface'!$AN$27:$AN$46,MATCH(('Adjustment Surface'!$O37),'Adjustment Surface'!$AN$27:$AN$46,1)))*('Adjustment Surface'!Q$26-INDEX('Adjustment Surface'!$AO$26:$BH$26,1,MATCH(('Adjustment Surface'!Q$26),'Adjustment Surface'!$AO$26:$BH$26,1)))))</f>
        <v/>
      </c>
      <c r="R37" s="193" t="str" cm="1">
        <f t="array" ref="R37">IF(OR(R$26="",$O37=""),"",1/((INDEX('Adjustment Surface'!$AN$27:$AN$46,MATCH(('Adjustment Surface'!$O37),'Adjustment Surface'!$AN$27:$AN$46,1)+IF('Adjustment Surface'!$O38="",-1,1))-INDEX('Adjustment Surface'!$AN$27:$AN$46,MATCH(('Adjustment Surface'!$O37),'Adjustment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Surface'!$O37),'Adjustment Surface'!$AN$27:$AN$46,1)),$AN$27:$AN$46,0),MATCH(INDEX('Adjustment Surface'!$AO$26:$BH$26,1,MATCH(('Adjustment Surface'!R$26),'Adjustment Surface'!$AO$26:$BH$26,1)),$AO$26:$BH$26,0))*(INDEX('Adjustment Surface'!$AN$27:$AN$46,MATCH(('Adjustment Surface'!$O37),'Adjustment Surface'!$AN$27:$AN$46,1)+IF('Adjustment Surface'!$O38="",-1,1))-'Adjustment Surface'!$O37)*(INDEX('Adjustment Surface'!$AO$26:$BH$26,1,MATCH(('Adjustment Surface'!R$26),'Adjustment Surface'!$AO$26:$BH$26,1)+IF('Adjustment Surface'!S$26="",-1,1))-'Adjustment Surface'!R$26)+INDEX($AO$27:$BH$46,MATCH(INDEX('Adjustment Surface'!$AN$27:$AN$46,MATCH(('Adjustment Surface'!$O37),'Adjustment Surface'!$AN$27:$AN$46,1)+IF('Adjustment Surface'!$O38="",-1,1)),$AN$27:$AN$46,0),MATCH(INDEX('Adjustment Surface'!$AO$26:$BH$26,1,MATCH(('Adjustment Surface'!R$26),'Adjustment Surface'!$AO$26:$BH$26,1)),$AO$26:$BH$26,0))*('Adjustment Surface'!$O37-INDEX('Adjustment Surface'!$AN$27:$AN$46,MATCH(('Adjustment Surface'!$O37),'Adjustment Surface'!$AN$27:$AN$46,1)))*(INDEX('Adjustment Surface'!$AO$26:$BH$26,1,MATCH(('Adjustment Surface'!R$26),'Adjustment Surface'!$AO$26:$BH$26,1)+IF('Adjustment Surface'!S$26="",-1,1))-'Adjustment Surface'!R$26)+INDEX($AO$27:$BH$46,MATCH(INDEX('Adjustment Surface'!$AN$27:$AN$46,MATCH(('Adjustment Surface'!$O37),'Adjustment Surface'!$AN$27:$AN$46,1)),$AN$27:$AN$46,0),MATCH(INDEX('Adjustment Surface'!$AO$26:$BH$26,1,MATCH(('Adjustment Surface'!R$26),'Adjustment Surface'!$AO$26:$BH$26,1)+IF('Adjustment Surface'!S$26="",-1,1)),$AO$26:$BH$26,0))*(INDEX('Adjustment Surface'!$AN$27:$AN$46,MATCH(('Adjustment Surface'!$O37),'Adjustment Surface'!$AN$27:$AN$46,1)+IF('Adjustment Surface'!$O38="",-1,1))-'Adjustment Surface'!$O37)*('Adjustment Surface'!R$26-INDEX('Adjustment Surface'!$AO$26:$BH$26,1,MATCH(('Adjustment Surface'!R$26),'Adjustment Surface'!$AO$26:$BH$26,1)))+INDEX($AO$27:$BH$46,MATCH(INDEX('Adjustment Surface'!$AN$27:$AN$46,MATCH(('Adjustment Surface'!$O37),'Adjustment Surface'!$AN$27:$AN$46,1)+IF('Adjustment Surface'!$O38="",-1,1)),$AN$27:$AN$46,0),MATCH(INDEX('Adjustment Surface'!$AO$26:$BH$26,1,MATCH(('Adjustment Surface'!R$26),'Adjustment Surface'!$AO$26:$BH$26,1)+IF('Adjustment Surface'!S$26="",-1,1)),$AO$26:$BH$26,0))*('Adjustment Surface'!$O37-INDEX('Adjustment Surface'!$AN$27:$AN$46,MATCH(('Adjustment Surface'!$O37),'Adjustment Surface'!$AN$27:$AN$46,1)))*('Adjustment Surface'!R$26-INDEX('Adjustment Surface'!$AO$26:$BH$26,1,MATCH(('Adjustment Surface'!R$26),'Adjustment Surface'!$AO$26:$BH$26,1)))))</f>
        <v/>
      </c>
      <c r="S37" s="193" t="str" cm="1">
        <f t="array" ref="S37">IF(OR(S$26="",$O37=""),"",1/((INDEX('Adjustment Surface'!$AN$27:$AN$46,MATCH(('Adjustment Surface'!$O37),'Adjustment Surface'!$AN$27:$AN$46,1)+IF('Adjustment Surface'!$O38="",-1,1))-INDEX('Adjustment Surface'!$AN$27:$AN$46,MATCH(('Adjustment Surface'!$O37),'Adjustment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Surface'!$O37),'Adjustment Surface'!$AN$27:$AN$46,1)),$AN$27:$AN$46,0),MATCH(INDEX('Adjustment Surface'!$AO$26:$BH$26,1,MATCH(('Adjustment Surface'!S$26),'Adjustment Surface'!$AO$26:$BH$26,1)),$AO$26:$BH$26,0))*(INDEX('Adjustment Surface'!$AN$27:$AN$46,MATCH(('Adjustment Surface'!$O37),'Adjustment Surface'!$AN$27:$AN$46,1)+IF('Adjustment Surface'!$O38="",-1,1))-'Adjustment Surface'!$O37)*(INDEX('Adjustment Surface'!$AO$26:$BH$26,1,MATCH(('Adjustment Surface'!S$26),'Adjustment Surface'!$AO$26:$BH$26,1)+IF('Adjustment Surface'!T$26="",-1,1))-'Adjustment Surface'!S$26)+INDEX($AO$27:$BH$46,MATCH(INDEX('Adjustment Surface'!$AN$27:$AN$46,MATCH(('Adjustment Surface'!$O37),'Adjustment Surface'!$AN$27:$AN$46,1)+IF('Adjustment Surface'!$O38="",-1,1)),$AN$27:$AN$46,0),MATCH(INDEX('Adjustment Surface'!$AO$26:$BH$26,1,MATCH(('Adjustment Surface'!S$26),'Adjustment Surface'!$AO$26:$BH$26,1)),$AO$26:$BH$26,0))*('Adjustment Surface'!$O37-INDEX('Adjustment Surface'!$AN$27:$AN$46,MATCH(('Adjustment Surface'!$O37),'Adjustment Surface'!$AN$27:$AN$46,1)))*(INDEX('Adjustment Surface'!$AO$26:$BH$26,1,MATCH(('Adjustment Surface'!S$26),'Adjustment Surface'!$AO$26:$BH$26,1)+IF('Adjustment Surface'!T$26="",-1,1))-'Adjustment Surface'!S$26)+INDEX($AO$27:$BH$46,MATCH(INDEX('Adjustment Surface'!$AN$27:$AN$46,MATCH(('Adjustment Surface'!$O37),'Adjustment Surface'!$AN$27:$AN$46,1)),$AN$27:$AN$46,0),MATCH(INDEX('Adjustment Surface'!$AO$26:$BH$26,1,MATCH(('Adjustment Surface'!S$26),'Adjustment Surface'!$AO$26:$BH$26,1)+IF('Adjustment Surface'!T$26="",-1,1)),$AO$26:$BH$26,0))*(INDEX('Adjustment Surface'!$AN$27:$AN$46,MATCH(('Adjustment Surface'!$O37),'Adjustment Surface'!$AN$27:$AN$46,1)+IF('Adjustment Surface'!$O38="",-1,1))-'Adjustment Surface'!$O37)*('Adjustment Surface'!S$26-INDEX('Adjustment Surface'!$AO$26:$BH$26,1,MATCH(('Adjustment Surface'!S$26),'Adjustment Surface'!$AO$26:$BH$26,1)))+INDEX($AO$27:$BH$46,MATCH(INDEX('Adjustment Surface'!$AN$27:$AN$46,MATCH(('Adjustment Surface'!$O37),'Adjustment Surface'!$AN$27:$AN$46,1)+IF('Adjustment Surface'!$O38="",-1,1)),$AN$27:$AN$46,0),MATCH(INDEX('Adjustment Surface'!$AO$26:$BH$26,1,MATCH(('Adjustment Surface'!S$26),'Adjustment Surface'!$AO$26:$BH$26,1)+IF('Adjustment Surface'!T$26="",-1,1)),$AO$26:$BH$26,0))*('Adjustment Surface'!$O37-INDEX('Adjustment Surface'!$AN$27:$AN$46,MATCH(('Adjustment Surface'!$O37),'Adjustment Surface'!$AN$27:$AN$46,1)))*('Adjustment Surface'!S$26-INDEX('Adjustment Surface'!$AO$26:$BH$26,1,MATCH(('Adjustment Surface'!S$26),'Adjustment Surface'!$AO$26:$BH$26,1)))))</f>
        <v/>
      </c>
      <c r="T37" s="193" t="str" cm="1">
        <f t="array" ref="T37">IF(OR(T$26="",$O37=""),"",1/((INDEX('Adjustment Surface'!$AN$27:$AN$46,MATCH(('Adjustment Surface'!$O37),'Adjustment Surface'!$AN$27:$AN$46,1)+IF('Adjustment Surface'!$O38="",-1,1))-INDEX('Adjustment Surface'!$AN$27:$AN$46,MATCH(('Adjustment Surface'!$O37),'Adjustment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Surface'!$O37),'Adjustment Surface'!$AN$27:$AN$46,1)),$AN$27:$AN$46,0),MATCH(INDEX('Adjustment Surface'!$AO$26:$BH$26,1,MATCH(('Adjustment Surface'!T$26),'Adjustment Surface'!$AO$26:$BH$26,1)),$AO$26:$BH$26,0))*(INDEX('Adjustment Surface'!$AN$27:$AN$46,MATCH(('Adjustment Surface'!$O37),'Adjustment Surface'!$AN$27:$AN$46,1)+IF('Adjustment Surface'!$O38="",-1,1))-'Adjustment Surface'!$O37)*(INDEX('Adjustment Surface'!$AO$26:$BH$26,1,MATCH(('Adjustment Surface'!T$26),'Adjustment Surface'!$AO$26:$BH$26,1)+IF('Adjustment Surface'!U$26="",-1,1))-'Adjustment Surface'!T$26)+INDEX($AO$27:$BH$46,MATCH(INDEX('Adjustment Surface'!$AN$27:$AN$46,MATCH(('Adjustment Surface'!$O37),'Adjustment Surface'!$AN$27:$AN$46,1)+IF('Adjustment Surface'!$O38="",-1,1)),$AN$27:$AN$46,0),MATCH(INDEX('Adjustment Surface'!$AO$26:$BH$26,1,MATCH(('Adjustment Surface'!T$26),'Adjustment Surface'!$AO$26:$BH$26,1)),$AO$26:$BH$26,0))*('Adjustment Surface'!$O37-INDEX('Adjustment Surface'!$AN$27:$AN$46,MATCH(('Adjustment Surface'!$O37),'Adjustment Surface'!$AN$27:$AN$46,1)))*(INDEX('Adjustment Surface'!$AO$26:$BH$26,1,MATCH(('Adjustment Surface'!T$26),'Adjustment Surface'!$AO$26:$BH$26,1)+IF('Adjustment Surface'!U$26="",-1,1))-'Adjustment Surface'!T$26)+INDEX($AO$27:$BH$46,MATCH(INDEX('Adjustment Surface'!$AN$27:$AN$46,MATCH(('Adjustment Surface'!$O37),'Adjustment Surface'!$AN$27:$AN$46,1)),$AN$27:$AN$46,0),MATCH(INDEX('Adjustment Surface'!$AO$26:$BH$26,1,MATCH(('Adjustment Surface'!T$26),'Adjustment Surface'!$AO$26:$BH$26,1)+IF('Adjustment Surface'!U$26="",-1,1)),$AO$26:$BH$26,0))*(INDEX('Adjustment Surface'!$AN$27:$AN$46,MATCH(('Adjustment Surface'!$O37),'Adjustment Surface'!$AN$27:$AN$46,1)+IF('Adjustment Surface'!$O38="",-1,1))-'Adjustment Surface'!$O37)*('Adjustment Surface'!T$26-INDEX('Adjustment Surface'!$AO$26:$BH$26,1,MATCH(('Adjustment Surface'!T$26),'Adjustment Surface'!$AO$26:$BH$26,1)))+INDEX($AO$27:$BH$46,MATCH(INDEX('Adjustment Surface'!$AN$27:$AN$46,MATCH(('Adjustment Surface'!$O37),'Adjustment Surface'!$AN$27:$AN$46,1)+IF('Adjustment Surface'!$O38="",-1,1)),$AN$27:$AN$46,0),MATCH(INDEX('Adjustment Surface'!$AO$26:$BH$26,1,MATCH(('Adjustment Surface'!T$26),'Adjustment Surface'!$AO$26:$BH$26,1)+IF('Adjustment Surface'!U$26="",-1,1)),$AO$26:$BH$26,0))*('Adjustment Surface'!$O37-INDEX('Adjustment Surface'!$AN$27:$AN$46,MATCH(('Adjustment Surface'!$O37),'Adjustment Surface'!$AN$27:$AN$46,1)))*('Adjustment Surface'!T$26-INDEX('Adjustment Surface'!$AO$26:$BH$26,1,MATCH(('Adjustment Surface'!T$26),'Adjustment Surface'!$AO$26:$BH$26,1)))))</f>
        <v/>
      </c>
      <c r="U37" s="193" t="str" cm="1">
        <f t="array" ref="U37">IF(OR(U$26="",$O37=""),"",1/((INDEX('Adjustment Surface'!$AN$27:$AN$46,MATCH(('Adjustment Surface'!$O37),'Adjustment Surface'!$AN$27:$AN$46,1)+IF('Adjustment Surface'!$O38="",-1,1))-INDEX('Adjustment Surface'!$AN$27:$AN$46,MATCH(('Adjustment Surface'!$O37),'Adjustment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Surface'!$O37),'Adjustment Surface'!$AN$27:$AN$46,1)),$AN$27:$AN$46,0),MATCH(INDEX('Adjustment Surface'!$AO$26:$BH$26,1,MATCH(('Adjustment Surface'!U$26),'Adjustment Surface'!$AO$26:$BH$26,1)),$AO$26:$BH$26,0))*(INDEX('Adjustment Surface'!$AN$27:$AN$46,MATCH(('Adjustment Surface'!$O37),'Adjustment Surface'!$AN$27:$AN$46,1)+IF('Adjustment Surface'!$O38="",-1,1))-'Adjustment Surface'!$O37)*(INDEX('Adjustment Surface'!$AO$26:$BH$26,1,MATCH(('Adjustment Surface'!U$26),'Adjustment Surface'!$AO$26:$BH$26,1)+IF('Adjustment Surface'!V$26="",-1,1))-'Adjustment Surface'!U$26)+INDEX($AO$27:$BH$46,MATCH(INDEX('Adjustment Surface'!$AN$27:$AN$46,MATCH(('Adjustment Surface'!$O37),'Adjustment Surface'!$AN$27:$AN$46,1)+IF('Adjustment Surface'!$O38="",-1,1)),$AN$27:$AN$46,0),MATCH(INDEX('Adjustment Surface'!$AO$26:$BH$26,1,MATCH(('Adjustment Surface'!U$26),'Adjustment Surface'!$AO$26:$BH$26,1)),$AO$26:$BH$26,0))*('Adjustment Surface'!$O37-INDEX('Adjustment Surface'!$AN$27:$AN$46,MATCH(('Adjustment Surface'!$O37),'Adjustment Surface'!$AN$27:$AN$46,1)))*(INDEX('Adjustment Surface'!$AO$26:$BH$26,1,MATCH(('Adjustment Surface'!U$26),'Adjustment Surface'!$AO$26:$BH$26,1)+IF('Adjustment Surface'!V$26="",-1,1))-'Adjustment Surface'!U$26)+INDEX($AO$27:$BH$46,MATCH(INDEX('Adjustment Surface'!$AN$27:$AN$46,MATCH(('Adjustment Surface'!$O37),'Adjustment Surface'!$AN$27:$AN$46,1)),$AN$27:$AN$46,0),MATCH(INDEX('Adjustment Surface'!$AO$26:$BH$26,1,MATCH(('Adjustment Surface'!U$26),'Adjustment Surface'!$AO$26:$BH$26,1)+IF('Adjustment Surface'!V$26="",-1,1)),$AO$26:$BH$26,0))*(INDEX('Adjustment Surface'!$AN$27:$AN$46,MATCH(('Adjustment Surface'!$O37),'Adjustment Surface'!$AN$27:$AN$46,1)+IF('Adjustment Surface'!$O38="",-1,1))-'Adjustment Surface'!$O37)*('Adjustment Surface'!U$26-INDEX('Adjustment Surface'!$AO$26:$BH$26,1,MATCH(('Adjustment Surface'!U$26),'Adjustment Surface'!$AO$26:$BH$26,1)))+INDEX($AO$27:$BH$46,MATCH(INDEX('Adjustment Surface'!$AN$27:$AN$46,MATCH(('Adjustment Surface'!$O37),'Adjustment Surface'!$AN$27:$AN$46,1)+IF('Adjustment Surface'!$O38="",-1,1)),$AN$27:$AN$46,0),MATCH(INDEX('Adjustment Surface'!$AO$26:$BH$26,1,MATCH(('Adjustment Surface'!U$26),'Adjustment Surface'!$AO$26:$BH$26,1)+IF('Adjustment Surface'!V$26="",-1,1)),$AO$26:$BH$26,0))*('Adjustment Surface'!$O37-INDEX('Adjustment Surface'!$AN$27:$AN$46,MATCH(('Adjustment Surface'!$O37),'Adjustment Surface'!$AN$27:$AN$46,1)))*('Adjustment Surface'!U$26-INDEX('Adjustment Surface'!$AO$26:$BH$26,1,MATCH(('Adjustment Surface'!U$26),'Adjustment Surface'!$AO$26:$BH$26,1)))))</f>
        <v/>
      </c>
      <c r="V37" s="193" t="str" cm="1">
        <f t="array" ref="V37">IF(OR(V$26="",$O37=""),"",1/((INDEX('Adjustment Surface'!$AN$27:$AN$46,MATCH(('Adjustment Surface'!$O37),'Adjustment Surface'!$AN$27:$AN$46,1)+IF('Adjustment Surface'!$O38="",-1,1))-INDEX('Adjustment Surface'!$AN$27:$AN$46,MATCH(('Adjustment Surface'!$O37),'Adjustment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Surface'!$O37),'Adjustment Surface'!$AN$27:$AN$46,1)),$AN$27:$AN$46,0),MATCH(INDEX('Adjustment Surface'!$AO$26:$BH$26,1,MATCH(('Adjustment Surface'!V$26),'Adjustment Surface'!$AO$26:$BH$26,1)),$AO$26:$BH$26,0))*(INDEX('Adjustment Surface'!$AN$27:$AN$46,MATCH(('Adjustment Surface'!$O37),'Adjustment Surface'!$AN$27:$AN$46,1)+IF('Adjustment Surface'!$O38="",-1,1))-'Adjustment Surface'!$O37)*(INDEX('Adjustment Surface'!$AO$26:$BH$26,1,MATCH(('Adjustment Surface'!V$26),'Adjustment Surface'!$AO$26:$BH$26,1)+IF('Adjustment Surface'!W$26="",-1,1))-'Adjustment Surface'!V$26)+INDEX($AO$27:$BH$46,MATCH(INDEX('Adjustment Surface'!$AN$27:$AN$46,MATCH(('Adjustment Surface'!$O37),'Adjustment Surface'!$AN$27:$AN$46,1)+IF('Adjustment Surface'!$O38="",-1,1)),$AN$27:$AN$46,0),MATCH(INDEX('Adjustment Surface'!$AO$26:$BH$26,1,MATCH(('Adjustment Surface'!V$26),'Adjustment Surface'!$AO$26:$BH$26,1)),$AO$26:$BH$26,0))*('Adjustment Surface'!$O37-INDEX('Adjustment Surface'!$AN$27:$AN$46,MATCH(('Adjustment Surface'!$O37),'Adjustment Surface'!$AN$27:$AN$46,1)))*(INDEX('Adjustment Surface'!$AO$26:$BH$26,1,MATCH(('Adjustment Surface'!V$26),'Adjustment Surface'!$AO$26:$BH$26,1)+IF('Adjustment Surface'!W$26="",-1,1))-'Adjustment Surface'!V$26)+INDEX($AO$27:$BH$46,MATCH(INDEX('Adjustment Surface'!$AN$27:$AN$46,MATCH(('Adjustment Surface'!$O37),'Adjustment Surface'!$AN$27:$AN$46,1)),$AN$27:$AN$46,0),MATCH(INDEX('Adjustment Surface'!$AO$26:$BH$26,1,MATCH(('Adjustment Surface'!V$26),'Adjustment Surface'!$AO$26:$BH$26,1)+IF('Adjustment Surface'!W$26="",-1,1)),$AO$26:$BH$26,0))*(INDEX('Adjustment Surface'!$AN$27:$AN$46,MATCH(('Adjustment Surface'!$O37),'Adjustment Surface'!$AN$27:$AN$46,1)+IF('Adjustment Surface'!$O38="",-1,1))-'Adjustment Surface'!$O37)*('Adjustment Surface'!V$26-INDEX('Adjustment Surface'!$AO$26:$BH$26,1,MATCH(('Adjustment Surface'!V$26),'Adjustment Surface'!$AO$26:$BH$26,1)))+INDEX($AO$27:$BH$46,MATCH(INDEX('Adjustment Surface'!$AN$27:$AN$46,MATCH(('Adjustment Surface'!$O37),'Adjustment Surface'!$AN$27:$AN$46,1)+IF('Adjustment Surface'!$O38="",-1,1)),$AN$27:$AN$46,0),MATCH(INDEX('Adjustment Surface'!$AO$26:$BH$26,1,MATCH(('Adjustment Surface'!V$26),'Adjustment Surface'!$AO$26:$BH$26,1)+IF('Adjustment Surface'!W$26="",-1,1)),$AO$26:$BH$26,0))*('Adjustment Surface'!$O37-INDEX('Adjustment Surface'!$AN$27:$AN$46,MATCH(('Adjustment Surface'!$O37),'Adjustment Surface'!$AN$27:$AN$46,1)))*('Adjustment Surface'!V$26-INDEX('Adjustment Surface'!$AO$26:$BH$26,1,MATCH(('Adjustment Surface'!V$26),'Adjustment Surface'!$AO$26:$BH$26,1)))))</f>
        <v/>
      </c>
      <c r="W37" s="193" t="str" cm="1">
        <f t="array" ref="W37">IF(OR(W$26="",$O37=""),"",1/((INDEX('Adjustment Surface'!$AN$27:$AN$46,MATCH(('Adjustment Surface'!$O37),'Adjustment Surface'!$AN$27:$AN$46,1)+IF('Adjustment Surface'!$O38="",-1,1))-INDEX('Adjustment Surface'!$AN$27:$AN$46,MATCH(('Adjustment Surface'!$O37),'Adjustment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Surface'!$O37),'Adjustment Surface'!$AN$27:$AN$46,1)),$AN$27:$AN$46,0),MATCH(INDEX('Adjustment Surface'!$AO$26:$BH$26,1,MATCH(('Adjustment Surface'!W$26),'Adjustment Surface'!$AO$26:$BH$26,1)),$AO$26:$BH$26,0))*(INDEX('Adjustment Surface'!$AN$27:$AN$46,MATCH(('Adjustment Surface'!$O37),'Adjustment Surface'!$AN$27:$AN$46,1)+IF('Adjustment Surface'!$O38="",-1,1))-'Adjustment Surface'!$O37)*(INDEX('Adjustment Surface'!$AO$26:$BH$26,1,MATCH(('Adjustment Surface'!W$26),'Adjustment Surface'!$AO$26:$BH$26,1)+IF('Adjustment Surface'!X$26="",-1,1))-'Adjustment Surface'!W$26)+INDEX($AO$27:$BH$46,MATCH(INDEX('Adjustment Surface'!$AN$27:$AN$46,MATCH(('Adjustment Surface'!$O37),'Adjustment Surface'!$AN$27:$AN$46,1)+IF('Adjustment Surface'!$O38="",-1,1)),$AN$27:$AN$46,0),MATCH(INDEX('Adjustment Surface'!$AO$26:$BH$26,1,MATCH(('Adjustment Surface'!W$26),'Adjustment Surface'!$AO$26:$BH$26,1)),$AO$26:$BH$26,0))*('Adjustment Surface'!$O37-INDEX('Adjustment Surface'!$AN$27:$AN$46,MATCH(('Adjustment Surface'!$O37),'Adjustment Surface'!$AN$27:$AN$46,1)))*(INDEX('Adjustment Surface'!$AO$26:$BH$26,1,MATCH(('Adjustment Surface'!W$26),'Adjustment Surface'!$AO$26:$BH$26,1)+IF('Adjustment Surface'!X$26="",-1,1))-'Adjustment Surface'!W$26)+INDEX($AO$27:$BH$46,MATCH(INDEX('Adjustment Surface'!$AN$27:$AN$46,MATCH(('Adjustment Surface'!$O37),'Adjustment Surface'!$AN$27:$AN$46,1)),$AN$27:$AN$46,0),MATCH(INDEX('Adjustment Surface'!$AO$26:$BH$26,1,MATCH(('Adjustment Surface'!W$26),'Adjustment Surface'!$AO$26:$BH$26,1)+IF('Adjustment Surface'!X$26="",-1,1)),$AO$26:$BH$26,0))*(INDEX('Adjustment Surface'!$AN$27:$AN$46,MATCH(('Adjustment Surface'!$O37),'Adjustment Surface'!$AN$27:$AN$46,1)+IF('Adjustment Surface'!$O38="",-1,1))-'Adjustment Surface'!$O37)*('Adjustment Surface'!W$26-INDEX('Adjustment Surface'!$AO$26:$BH$26,1,MATCH(('Adjustment Surface'!W$26),'Adjustment Surface'!$AO$26:$BH$26,1)))+INDEX($AO$27:$BH$46,MATCH(INDEX('Adjustment Surface'!$AN$27:$AN$46,MATCH(('Adjustment Surface'!$O37),'Adjustment Surface'!$AN$27:$AN$46,1)+IF('Adjustment Surface'!$O38="",-1,1)),$AN$27:$AN$46,0),MATCH(INDEX('Adjustment Surface'!$AO$26:$BH$26,1,MATCH(('Adjustment Surface'!W$26),'Adjustment Surface'!$AO$26:$BH$26,1)+IF('Adjustment Surface'!X$26="",-1,1)),$AO$26:$BH$26,0))*('Adjustment Surface'!$O37-INDEX('Adjustment Surface'!$AN$27:$AN$46,MATCH(('Adjustment Surface'!$O37),'Adjustment Surface'!$AN$27:$AN$46,1)))*('Adjustment Surface'!W$26-INDEX('Adjustment Surface'!$AO$26:$BH$26,1,MATCH(('Adjustment Surface'!W$26),'Adjustment Surface'!$AO$26:$BH$26,1)))))</f>
        <v/>
      </c>
      <c r="X37" s="193" t="str" cm="1">
        <f t="array" ref="X37">IF(OR(X$26="",$O37=""),"",1/((INDEX('Adjustment Surface'!$AN$27:$AN$46,MATCH(('Adjustment Surface'!$O37),'Adjustment Surface'!$AN$27:$AN$46,1)+IF('Adjustment Surface'!$O38="",-1,1))-INDEX('Adjustment Surface'!$AN$27:$AN$46,MATCH(('Adjustment Surface'!$O37),'Adjustment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Surface'!$O37),'Adjustment Surface'!$AN$27:$AN$46,1)),$AN$27:$AN$46,0),MATCH(INDEX('Adjustment Surface'!$AO$26:$BH$26,1,MATCH(('Adjustment Surface'!X$26),'Adjustment Surface'!$AO$26:$BH$26,1)),$AO$26:$BH$26,0))*(INDEX('Adjustment Surface'!$AN$27:$AN$46,MATCH(('Adjustment Surface'!$O37),'Adjustment Surface'!$AN$27:$AN$46,1)+IF('Adjustment Surface'!$O38="",-1,1))-'Adjustment Surface'!$O37)*(INDEX('Adjustment Surface'!$AO$26:$BH$26,1,MATCH(('Adjustment Surface'!X$26),'Adjustment Surface'!$AO$26:$BH$26,1)+IF('Adjustment Surface'!Y$26="",-1,1))-'Adjustment Surface'!X$26)+INDEX($AO$27:$BH$46,MATCH(INDEX('Adjustment Surface'!$AN$27:$AN$46,MATCH(('Adjustment Surface'!$O37),'Adjustment Surface'!$AN$27:$AN$46,1)+IF('Adjustment Surface'!$O38="",-1,1)),$AN$27:$AN$46,0),MATCH(INDEX('Adjustment Surface'!$AO$26:$BH$26,1,MATCH(('Adjustment Surface'!X$26),'Adjustment Surface'!$AO$26:$BH$26,1)),$AO$26:$BH$26,0))*('Adjustment Surface'!$O37-INDEX('Adjustment Surface'!$AN$27:$AN$46,MATCH(('Adjustment Surface'!$O37),'Adjustment Surface'!$AN$27:$AN$46,1)))*(INDEX('Adjustment Surface'!$AO$26:$BH$26,1,MATCH(('Adjustment Surface'!X$26),'Adjustment Surface'!$AO$26:$BH$26,1)+IF('Adjustment Surface'!Y$26="",-1,1))-'Adjustment Surface'!X$26)+INDEX($AO$27:$BH$46,MATCH(INDEX('Adjustment Surface'!$AN$27:$AN$46,MATCH(('Adjustment Surface'!$O37),'Adjustment Surface'!$AN$27:$AN$46,1)),$AN$27:$AN$46,0),MATCH(INDEX('Adjustment Surface'!$AO$26:$BH$26,1,MATCH(('Adjustment Surface'!X$26),'Adjustment Surface'!$AO$26:$BH$26,1)+IF('Adjustment Surface'!Y$26="",-1,1)),$AO$26:$BH$26,0))*(INDEX('Adjustment Surface'!$AN$27:$AN$46,MATCH(('Adjustment Surface'!$O37),'Adjustment Surface'!$AN$27:$AN$46,1)+IF('Adjustment Surface'!$O38="",-1,1))-'Adjustment Surface'!$O37)*('Adjustment Surface'!X$26-INDEX('Adjustment Surface'!$AO$26:$BH$26,1,MATCH(('Adjustment Surface'!X$26),'Adjustment Surface'!$AO$26:$BH$26,1)))+INDEX($AO$27:$BH$46,MATCH(INDEX('Adjustment Surface'!$AN$27:$AN$46,MATCH(('Adjustment Surface'!$O37),'Adjustment Surface'!$AN$27:$AN$46,1)+IF('Adjustment Surface'!$O38="",-1,1)),$AN$27:$AN$46,0),MATCH(INDEX('Adjustment Surface'!$AO$26:$BH$26,1,MATCH(('Adjustment Surface'!X$26),'Adjustment Surface'!$AO$26:$BH$26,1)+IF('Adjustment Surface'!Y$26="",-1,1)),$AO$26:$BH$26,0))*('Adjustment Surface'!$O37-INDEX('Adjustment Surface'!$AN$27:$AN$46,MATCH(('Adjustment Surface'!$O37),'Adjustment Surface'!$AN$27:$AN$46,1)))*('Adjustment Surface'!X$26-INDEX('Adjustment Surface'!$AO$26:$BH$26,1,MATCH(('Adjustment Surface'!X$26),'Adjustment Surface'!$AO$26:$BH$26,1)))))</f>
        <v/>
      </c>
      <c r="Y37" s="193" t="str" cm="1">
        <f t="array" ref="Y37">IF(OR(Y$26="",$O37=""),"",1/((INDEX('Adjustment Surface'!$AN$27:$AN$46,MATCH(('Adjustment Surface'!$O37),'Adjustment Surface'!$AN$27:$AN$46,1)+IF('Adjustment Surface'!$O38="",-1,1))-INDEX('Adjustment Surface'!$AN$27:$AN$46,MATCH(('Adjustment Surface'!$O37),'Adjustment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Surface'!$O37),'Adjustment Surface'!$AN$27:$AN$46,1)),$AN$27:$AN$46,0),MATCH(INDEX('Adjustment Surface'!$AO$26:$BH$26,1,MATCH(('Adjustment Surface'!Y$26),'Adjustment Surface'!$AO$26:$BH$26,1)),$AO$26:$BH$26,0))*(INDEX('Adjustment Surface'!$AN$27:$AN$46,MATCH(('Adjustment Surface'!$O37),'Adjustment Surface'!$AN$27:$AN$46,1)+IF('Adjustment Surface'!$O38="",-1,1))-'Adjustment Surface'!$O37)*(INDEX('Adjustment Surface'!$AO$26:$BH$26,1,MATCH(('Adjustment Surface'!Y$26),'Adjustment Surface'!$AO$26:$BH$26,1)+IF('Adjustment Surface'!Z$26="",-1,1))-'Adjustment Surface'!Y$26)+INDEX($AO$27:$BH$46,MATCH(INDEX('Adjustment Surface'!$AN$27:$AN$46,MATCH(('Adjustment Surface'!$O37),'Adjustment Surface'!$AN$27:$AN$46,1)+IF('Adjustment Surface'!$O38="",-1,1)),$AN$27:$AN$46,0),MATCH(INDEX('Adjustment Surface'!$AO$26:$BH$26,1,MATCH(('Adjustment Surface'!Y$26),'Adjustment Surface'!$AO$26:$BH$26,1)),$AO$26:$BH$26,0))*('Adjustment Surface'!$O37-INDEX('Adjustment Surface'!$AN$27:$AN$46,MATCH(('Adjustment Surface'!$O37),'Adjustment Surface'!$AN$27:$AN$46,1)))*(INDEX('Adjustment Surface'!$AO$26:$BH$26,1,MATCH(('Adjustment Surface'!Y$26),'Adjustment Surface'!$AO$26:$BH$26,1)+IF('Adjustment Surface'!Z$26="",-1,1))-'Adjustment Surface'!Y$26)+INDEX($AO$27:$BH$46,MATCH(INDEX('Adjustment Surface'!$AN$27:$AN$46,MATCH(('Adjustment Surface'!$O37),'Adjustment Surface'!$AN$27:$AN$46,1)),$AN$27:$AN$46,0),MATCH(INDEX('Adjustment Surface'!$AO$26:$BH$26,1,MATCH(('Adjustment Surface'!Y$26),'Adjustment Surface'!$AO$26:$BH$26,1)+IF('Adjustment Surface'!Z$26="",-1,1)),$AO$26:$BH$26,0))*(INDEX('Adjustment Surface'!$AN$27:$AN$46,MATCH(('Adjustment Surface'!$O37),'Adjustment Surface'!$AN$27:$AN$46,1)+IF('Adjustment Surface'!$O38="",-1,1))-'Adjustment Surface'!$O37)*('Adjustment Surface'!Y$26-INDEX('Adjustment Surface'!$AO$26:$BH$26,1,MATCH(('Adjustment Surface'!Y$26),'Adjustment Surface'!$AO$26:$BH$26,1)))+INDEX($AO$27:$BH$46,MATCH(INDEX('Adjustment Surface'!$AN$27:$AN$46,MATCH(('Adjustment Surface'!$O37),'Adjustment Surface'!$AN$27:$AN$46,1)+IF('Adjustment Surface'!$O38="",-1,1)),$AN$27:$AN$46,0),MATCH(INDEX('Adjustment Surface'!$AO$26:$BH$26,1,MATCH(('Adjustment Surface'!Y$26),'Adjustment Surface'!$AO$26:$BH$26,1)+IF('Adjustment Surface'!Z$26="",-1,1)),$AO$26:$BH$26,0))*('Adjustment Surface'!$O37-INDEX('Adjustment Surface'!$AN$27:$AN$46,MATCH(('Adjustment Surface'!$O37),'Adjustment Surface'!$AN$27:$AN$46,1)))*('Adjustment Surface'!Y$26-INDEX('Adjustment Surface'!$AO$26:$BH$26,1,MATCH(('Adjustment Surface'!Y$26),'Adjustment Surface'!$AO$26:$BH$26,1)))))</f>
        <v/>
      </c>
      <c r="Z37" s="193" t="str" cm="1">
        <f t="array" ref="Z37">IF(OR(Z$26="",$O37=""),"",1/((INDEX('Adjustment Surface'!$AN$27:$AN$46,MATCH(('Adjustment Surface'!$O37),'Adjustment Surface'!$AN$27:$AN$46,1)+IF('Adjustment Surface'!$O38="",-1,1))-INDEX('Adjustment Surface'!$AN$27:$AN$46,MATCH(('Adjustment Surface'!$O37),'Adjustment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Surface'!$O37),'Adjustment Surface'!$AN$27:$AN$46,1)),$AN$27:$AN$46,0),MATCH(INDEX('Adjustment Surface'!$AO$26:$BH$26,1,MATCH(('Adjustment Surface'!Z$26),'Adjustment Surface'!$AO$26:$BH$26,1)),$AO$26:$BH$26,0))*(INDEX('Adjustment Surface'!$AN$27:$AN$46,MATCH(('Adjustment Surface'!$O37),'Adjustment Surface'!$AN$27:$AN$46,1)+IF('Adjustment Surface'!$O38="",-1,1))-'Adjustment Surface'!$O37)*(INDEX('Adjustment Surface'!$AO$26:$BH$26,1,MATCH(('Adjustment Surface'!Z$26),'Adjustment Surface'!$AO$26:$BH$26,1)+IF('Adjustment Surface'!AA$26="",-1,1))-'Adjustment Surface'!Z$26)+INDEX($AO$27:$BH$46,MATCH(INDEX('Adjustment Surface'!$AN$27:$AN$46,MATCH(('Adjustment Surface'!$O37),'Adjustment Surface'!$AN$27:$AN$46,1)+IF('Adjustment Surface'!$O38="",-1,1)),$AN$27:$AN$46,0),MATCH(INDEX('Adjustment Surface'!$AO$26:$BH$26,1,MATCH(('Adjustment Surface'!Z$26),'Adjustment Surface'!$AO$26:$BH$26,1)),$AO$26:$BH$26,0))*('Adjustment Surface'!$O37-INDEX('Adjustment Surface'!$AN$27:$AN$46,MATCH(('Adjustment Surface'!$O37),'Adjustment Surface'!$AN$27:$AN$46,1)))*(INDEX('Adjustment Surface'!$AO$26:$BH$26,1,MATCH(('Adjustment Surface'!Z$26),'Adjustment Surface'!$AO$26:$BH$26,1)+IF('Adjustment Surface'!AA$26="",-1,1))-'Adjustment Surface'!Z$26)+INDEX($AO$27:$BH$46,MATCH(INDEX('Adjustment Surface'!$AN$27:$AN$46,MATCH(('Adjustment Surface'!$O37),'Adjustment Surface'!$AN$27:$AN$46,1)),$AN$27:$AN$46,0),MATCH(INDEX('Adjustment Surface'!$AO$26:$BH$26,1,MATCH(('Adjustment Surface'!Z$26),'Adjustment Surface'!$AO$26:$BH$26,1)+IF('Adjustment Surface'!AA$26="",-1,1)),$AO$26:$BH$26,0))*(INDEX('Adjustment Surface'!$AN$27:$AN$46,MATCH(('Adjustment Surface'!$O37),'Adjustment Surface'!$AN$27:$AN$46,1)+IF('Adjustment Surface'!$O38="",-1,1))-'Adjustment Surface'!$O37)*('Adjustment Surface'!Z$26-INDEX('Adjustment Surface'!$AO$26:$BH$26,1,MATCH(('Adjustment Surface'!Z$26),'Adjustment Surface'!$AO$26:$BH$26,1)))+INDEX($AO$27:$BH$46,MATCH(INDEX('Adjustment Surface'!$AN$27:$AN$46,MATCH(('Adjustment Surface'!$O37),'Adjustment Surface'!$AN$27:$AN$46,1)+IF('Adjustment Surface'!$O38="",-1,1)),$AN$27:$AN$46,0),MATCH(INDEX('Adjustment Surface'!$AO$26:$BH$26,1,MATCH(('Adjustment Surface'!Z$26),'Adjustment Surface'!$AO$26:$BH$26,1)+IF('Adjustment Surface'!AA$26="",-1,1)),$AO$26:$BH$26,0))*('Adjustment Surface'!$O37-INDEX('Adjustment Surface'!$AN$27:$AN$46,MATCH(('Adjustment Surface'!$O37),'Adjustment Surface'!$AN$27:$AN$46,1)))*('Adjustment Surface'!Z$26-INDEX('Adjustment Surface'!$AO$26:$BH$26,1,MATCH(('Adjustment Surface'!Z$26),'Adjustment Surface'!$AO$26:$BH$26,1)))))</f>
        <v/>
      </c>
      <c r="AA37" s="193" t="str" cm="1">
        <f t="array" ref="AA37">IF(OR(AA$26="",$O37=""),"",1/((INDEX('Adjustment Surface'!$AN$27:$AN$46,MATCH(('Adjustment Surface'!$O37),'Adjustment Surface'!$AN$27:$AN$46,1)+IF('Adjustment Surface'!$O38="",-1,1))-INDEX('Adjustment Surface'!$AN$27:$AN$46,MATCH(('Adjustment Surface'!$O37),'Adjustment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Surface'!$O37),'Adjustment Surface'!$AN$27:$AN$46,1)),$AN$27:$AN$46,0),MATCH(INDEX('Adjustment Surface'!$AO$26:$BH$26,1,MATCH(('Adjustment Surface'!AA$26),'Adjustment Surface'!$AO$26:$BH$26,1)),$AO$26:$BH$26,0))*(INDEX('Adjustment Surface'!$AN$27:$AN$46,MATCH(('Adjustment Surface'!$O37),'Adjustment Surface'!$AN$27:$AN$46,1)+IF('Adjustment Surface'!$O38="",-1,1))-'Adjustment Surface'!$O37)*(INDEX('Adjustment Surface'!$AO$26:$BH$26,1,MATCH(('Adjustment Surface'!AA$26),'Adjustment Surface'!$AO$26:$BH$26,1)+IF('Adjustment Surface'!AB$26="",-1,1))-'Adjustment Surface'!AA$26)+INDEX($AO$27:$BH$46,MATCH(INDEX('Adjustment Surface'!$AN$27:$AN$46,MATCH(('Adjustment Surface'!$O37),'Adjustment Surface'!$AN$27:$AN$46,1)+IF('Adjustment Surface'!$O38="",-1,1)),$AN$27:$AN$46,0),MATCH(INDEX('Adjustment Surface'!$AO$26:$BH$26,1,MATCH(('Adjustment Surface'!AA$26),'Adjustment Surface'!$AO$26:$BH$26,1)),$AO$26:$BH$26,0))*('Adjustment Surface'!$O37-INDEX('Adjustment Surface'!$AN$27:$AN$46,MATCH(('Adjustment Surface'!$O37),'Adjustment Surface'!$AN$27:$AN$46,1)))*(INDEX('Adjustment Surface'!$AO$26:$BH$26,1,MATCH(('Adjustment Surface'!AA$26),'Adjustment Surface'!$AO$26:$BH$26,1)+IF('Adjustment Surface'!AB$26="",-1,1))-'Adjustment Surface'!AA$26)+INDEX($AO$27:$BH$46,MATCH(INDEX('Adjustment Surface'!$AN$27:$AN$46,MATCH(('Adjustment Surface'!$O37),'Adjustment Surface'!$AN$27:$AN$46,1)),$AN$27:$AN$46,0),MATCH(INDEX('Adjustment Surface'!$AO$26:$BH$26,1,MATCH(('Adjustment Surface'!AA$26),'Adjustment Surface'!$AO$26:$BH$26,1)+IF('Adjustment Surface'!AB$26="",-1,1)),$AO$26:$BH$26,0))*(INDEX('Adjustment Surface'!$AN$27:$AN$46,MATCH(('Adjustment Surface'!$O37),'Adjustment Surface'!$AN$27:$AN$46,1)+IF('Adjustment Surface'!$O38="",-1,1))-'Adjustment Surface'!$O37)*('Adjustment Surface'!AA$26-INDEX('Adjustment Surface'!$AO$26:$BH$26,1,MATCH(('Adjustment Surface'!AA$26),'Adjustment Surface'!$AO$26:$BH$26,1)))+INDEX($AO$27:$BH$46,MATCH(INDEX('Adjustment Surface'!$AN$27:$AN$46,MATCH(('Adjustment Surface'!$O37),'Adjustment Surface'!$AN$27:$AN$46,1)+IF('Adjustment Surface'!$O38="",-1,1)),$AN$27:$AN$46,0),MATCH(INDEX('Adjustment Surface'!$AO$26:$BH$26,1,MATCH(('Adjustment Surface'!AA$26),'Adjustment Surface'!$AO$26:$BH$26,1)+IF('Adjustment Surface'!AB$26="",-1,1)),$AO$26:$BH$26,0))*('Adjustment Surface'!$O37-INDEX('Adjustment Surface'!$AN$27:$AN$46,MATCH(('Adjustment Surface'!$O37),'Adjustment Surface'!$AN$27:$AN$46,1)))*('Adjustment Surface'!AA$26-INDEX('Adjustment Surface'!$AO$26:$BH$26,1,MATCH(('Adjustment Surface'!AA$26),'Adjustment Surface'!$AO$26:$BH$26,1)))))</f>
        <v/>
      </c>
      <c r="AB37" s="193" t="str" cm="1">
        <f t="array" ref="AB37">IF(OR(AB$26="",$O37=""),"",1/((INDEX('Adjustment Surface'!$AN$27:$AN$46,MATCH(('Adjustment Surface'!$O37),'Adjustment Surface'!$AN$27:$AN$46,1)+IF('Adjustment Surface'!$O38="",-1,1))-INDEX('Adjustment Surface'!$AN$27:$AN$46,MATCH(('Adjustment Surface'!$O37),'Adjustment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Surface'!$O37),'Adjustment Surface'!$AN$27:$AN$46,1)),$AN$27:$AN$46,0),MATCH(INDEX('Adjustment Surface'!$AO$26:$BH$26,1,MATCH(('Adjustment Surface'!AB$26),'Adjustment Surface'!$AO$26:$BH$26,1)),$AO$26:$BH$26,0))*(INDEX('Adjustment Surface'!$AN$27:$AN$46,MATCH(('Adjustment Surface'!$O37),'Adjustment Surface'!$AN$27:$AN$46,1)+IF('Adjustment Surface'!$O38="",-1,1))-'Adjustment Surface'!$O37)*(INDEX('Adjustment Surface'!$AO$26:$BH$26,1,MATCH(('Adjustment Surface'!AB$26),'Adjustment Surface'!$AO$26:$BH$26,1)+IF('Adjustment Surface'!AC$26="",-1,1))-'Adjustment Surface'!AB$26)+INDEX($AO$27:$BH$46,MATCH(INDEX('Adjustment Surface'!$AN$27:$AN$46,MATCH(('Adjustment Surface'!$O37),'Adjustment Surface'!$AN$27:$AN$46,1)+IF('Adjustment Surface'!$O38="",-1,1)),$AN$27:$AN$46,0),MATCH(INDEX('Adjustment Surface'!$AO$26:$BH$26,1,MATCH(('Adjustment Surface'!AB$26),'Adjustment Surface'!$AO$26:$BH$26,1)),$AO$26:$BH$26,0))*('Adjustment Surface'!$O37-INDEX('Adjustment Surface'!$AN$27:$AN$46,MATCH(('Adjustment Surface'!$O37),'Adjustment Surface'!$AN$27:$AN$46,1)))*(INDEX('Adjustment Surface'!$AO$26:$BH$26,1,MATCH(('Adjustment Surface'!AB$26),'Adjustment Surface'!$AO$26:$BH$26,1)+IF('Adjustment Surface'!AC$26="",-1,1))-'Adjustment Surface'!AB$26)+INDEX($AO$27:$BH$46,MATCH(INDEX('Adjustment Surface'!$AN$27:$AN$46,MATCH(('Adjustment Surface'!$O37),'Adjustment Surface'!$AN$27:$AN$46,1)),$AN$27:$AN$46,0),MATCH(INDEX('Adjustment Surface'!$AO$26:$BH$26,1,MATCH(('Adjustment Surface'!AB$26),'Adjustment Surface'!$AO$26:$BH$26,1)+IF('Adjustment Surface'!AC$26="",-1,1)),$AO$26:$BH$26,0))*(INDEX('Adjustment Surface'!$AN$27:$AN$46,MATCH(('Adjustment Surface'!$O37),'Adjustment Surface'!$AN$27:$AN$46,1)+IF('Adjustment Surface'!$O38="",-1,1))-'Adjustment Surface'!$O37)*('Adjustment Surface'!AB$26-INDEX('Adjustment Surface'!$AO$26:$BH$26,1,MATCH(('Adjustment Surface'!AB$26),'Adjustment Surface'!$AO$26:$BH$26,1)))+INDEX($AO$27:$BH$46,MATCH(INDEX('Adjustment Surface'!$AN$27:$AN$46,MATCH(('Adjustment Surface'!$O37),'Adjustment Surface'!$AN$27:$AN$46,1)+IF('Adjustment Surface'!$O38="",-1,1)),$AN$27:$AN$46,0),MATCH(INDEX('Adjustment Surface'!$AO$26:$BH$26,1,MATCH(('Adjustment Surface'!AB$26),'Adjustment Surface'!$AO$26:$BH$26,1)+IF('Adjustment Surface'!AC$26="",-1,1)),$AO$26:$BH$26,0))*('Adjustment Surface'!$O37-INDEX('Adjustment Surface'!$AN$27:$AN$46,MATCH(('Adjustment Surface'!$O37),'Adjustment Surface'!$AN$27:$AN$46,1)))*('Adjustment Surface'!AB$26-INDEX('Adjustment Surface'!$AO$26:$BH$26,1,MATCH(('Adjustment Surface'!AB$26),'Adjustment Surface'!$AO$26:$BH$26,1)))))</f>
        <v/>
      </c>
      <c r="AC37" s="193" t="str" cm="1">
        <f t="array" ref="AC37">IF(OR(AC$26="",$O37=""),"",1/((INDEX('Adjustment Surface'!$AN$27:$AN$46,MATCH(('Adjustment Surface'!$O37),'Adjustment Surface'!$AN$27:$AN$46,1)+IF('Adjustment Surface'!$O38="",-1,1))-INDEX('Adjustment Surface'!$AN$27:$AN$46,MATCH(('Adjustment Surface'!$O37),'Adjustment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Surface'!$O37),'Adjustment Surface'!$AN$27:$AN$46,1)),$AN$27:$AN$46,0),MATCH(INDEX('Adjustment Surface'!$AO$26:$BH$26,1,MATCH(('Adjustment Surface'!AC$26),'Adjustment Surface'!$AO$26:$BH$26,1)),$AO$26:$BH$26,0))*(INDEX('Adjustment Surface'!$AN$27:$AN$46,MATCH(('Adjustment Surface'!$O37),'Adjustment Surface'!$AN$27:$AN$46,1)+IF('Adjustment Surface'!$O38="",-1,1))-'Adjustment Surface'!$O37)*(INDEX('Adjustment Surface'!$AO$26:$BH$26,1,MATCH(('Adjustment Surface'!AC$26),'Adjustment Surface'!$AO$26:$BH$26,1)+IF('Adjustment Surface'!AD$26="",-1,1))-'Adjustment Surface'!AC$26)+INDEX($AO$27:$BH$46,MATCH(INDEX('Adjustment Surface'!$AN$27:$AN$46,MATCH(('Adjustment Surface'!$O37),'Adjustment Surface'!$AN$27:$AN$46,1)+IF('Adjustment Surface'!$O38="",-1,1)),$AN$27:$AN$46,0),MATCH(INDEX('Adjustment Surface'!$AO$26:$BH$26,1,MATCH(('Adjustment Surface'!AC$26),'Adjustment Surface'!$AO$26:$BH$26,1)),$AO$26:$BH$26,0))*('Adjustment Surface'!$O37-INDEX('Adjustment Surface'!$AN$27:$AN$46,MATCH(('Adjustment Surface'!$O37),'Adjustment Surface'!$AN$27:$AN$46,1)))*(INDEX('Adjustment Surface'!$AO$26:$BH$26,1,MATCH(('Adjustment Surface'!AC$26),'Adjustment Surface'!$AO$26:$BH$26,1)+IF('Adjustment Surface'!AD$26="",-1,1))-'Adjustment Surface'!AC$26)+INDEX($AO$27:$BH$46,MATCH(INDEX('Adjustment Surface'!$AN$27:$AN$46,MATCH(('Adjustment Surface'!$O37),'Adjustment Surface'!$AN$27:$AN$46,1)),$AN$27:$AN$46,0),MATCH(INDEX('Adjustment Surface'!$AO$26:$BH$26,1,MATCH(('Adjustment Surface'!AC$26),'Adjustment Surface'!$AO$26:$BH$26,1)+IF('Adjustment Surface'!AD$26="",-1,1)),$AO$26:$BH$26,0))*(INDEX('Adjustment Surface'!$AN$27:$AN$46,MATCH(('Adjustment Surface'!$O37),'Adjustment Surface'!$AN$27:$AN$46,1)+IF('Adjustment Surface'!$O38="",-1,1))-'Adjustment Surface'!$O37)*('Adjustment Surface'!AC$26-INDEX('Adjustment Surface'!$AO$26:$BH$26,1,MATCH(('Adjustment Surface'!AC$26),'Adjustment Surface'!$AO$26:$BH$26,1)))+INDEX($AO$27:$BH$46,MATCH(INDEX('Adjustment Surface'!$AN$27:$AN$46,MATCH(('Adjustment Surface'!$O37),'Adjustment Surface'!$AN$27:$AN$46,1)+IF('Adjustment Surface'!$O38="",-1,1)),$AN$27:$AN$46,0),MATCH(INDEX('Adjustment Surface'!$AO$26:$BH$26,1,MATCH(('Adjustment Surface'!AC$26),'Adjustment Surface'!$AO$26:$BH$26,1)+IF('Adjustment Surface'!AD$26="",-1,1)),$AO$26:$BH$26,0))*('Adjustment Surface'!$O37-INDEX('Adjustment Surface'!$AN$27:$AN$46,MATCH(('Adjustment Surface'!$O37),'Adjustment Surface'!$AN$27:$AN$46,1)))*('Adjustment Surface'!AC$26-INDEX('Adjustment Surface'!$AO$26:$BH$26,1,MATCH(('Adjustment Surface'!AC$26),'Adjustment Surface'!$AO$26:$BH$26,1)))))</f>
        <v/>
      </c>
      <c r="AD37" s="193" t="str" cm="1">
        <f t="array" ref="AD37">IF(OR(AD$26="",$O37=""),"",1/((INDEX('Adjustment Surface'!$AN$27:$AN$46,MATCH(('Adjustment Surface'!$O37),'Adjustment Surface'!$AN$27:$AN$46,1)+IF('Adjustment Surface'!$O38="",-1,1))-INDEX('Adjustment Surface'!$AN$27:$AN$46,MATCH(('Adjustment Surface'!$O37),'Adjustment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Surface'!$O37),'Adjustment Surface'!$AN$27:$AN$46,1)),$AN$27:$AN$46,0),MATCH(INDEX('Adjustment Surface'!$AO$26:$BH$26,1,MATCH(('Adjustment Surface'!AD$26),'Adjustment Surface'!$AO$26:$BH$26,1)),$AO$26:$BH$26,0))*(INDEX('Adjustment Surface'!$AN$27:$AN$46,MATCH(('Adjustment Surface'!$O37),'Adjustment Surface'!$AN$27:$AN$46,1)+IF('Adjustment Surface'!$O38="",-1,1))-'Adjustment Surface'!$O37)*(INDEX('Adjustment Surface'!$AO$26:$BH$26,1,MATCH(('Adjustment Surface'!AD$26),'Adjustment Surface'!$AO$26:$BH$26,1)+IF('Adjustment Surface'!AE$26="",-1,1))-'Adjustment Surface'!AD$26)+INDEX($AO$27:$BH$46,MATCH(INDEX('Adjustment Surface'!$AN$27:$AN$46,MATCH(('Adjustment Surface'!$O37),'Adjustment Surface'!$AN$27:$AN$46,1)+IF('Adjustment Surface'!$O38="",-1,1)),$AN$27:$AN$46,0),MATCH(INDEX('Adjustment Surface'!$AO$26:$BH$26,1,MATCH(('Adjustment Surface'!AD$26),'Adjustment Surface'!$AO$26:$BH$26,1)),$AO$26:$BH$26,0))*('Adjustment Surface'!$O37-INDEX('Adjustment Surface'!$AN$27:$AN$46,MATCH(('Adjustment Surface'!$O37),'Adjustment Surface'!$AN$27:$AN$46,1)))*(INDEX('Adjustment Surface'!$AO$26:$BH$26,1,MATCH(('Adjustment Surface'!AD$26),'Adjustment Surface'!$AO$26:$BH$26,1)+IF('Adjustment Surface'!AE$26="",-1,1))-'Adjustment Surface'!AD$26)+INDEX($AO$27:$BH$46,MATCH(INDEX('Adjustment Surface'!$AN$27:$AN$46,MATCH(('Adjustment Surface'!$O37),'Adjustment Surface'!$AN$27:$AN$46,1)),$AN$27:$AN$46,0),MATCH(INDEX('Adjustment Surface'!$AO$26:$BH$26,1,MATCH(('Adjustment Surface'!AD$26),'Adjustment Surface'!$AO$26:$BH$26,1)+IF('Adjustment Surface'!AE$26="",-1,1)),$AO$26:$BH$26,0))*(INDEX('Adjustment Surface'!$AN$27:$AN$46,MATCH(('Adjustment Surface'!$O37),'Adjustment Surface'!$AN$27:$AN$46,1)+IF('Adjustment Surface'!$O38="",-1,1))-'Adjustment Surface'!$O37)*('Adjustment Surface'!AD$26-INDEX('Adjustment Surface'!$AO$26:$BH$26,1,MATCH(('Adjustment Surface'!AD$26),'Adjustment Surface'!$AO$26:$BH$26,1)))+INDEX($AO$27:$BH$46,MATCH(INDEX('Adjustment Surface'!$AN$27:$AN$46,MATCH(('Adjustment Surface'!$O37),'Adjustment Surface'!$AN$27:$AN$46,1)+IF('Adjustment Surface'!$O38="",-1,1)),$AN$27:$AN$46,0),MATCH(INDEX('Adjustment Surface'!$AO$26:$BH$26,1,MATCH(('Adjustment Surface'!AD$26),'Adjustment Surface'!$AO$26:$BH$26,1)+IF('Adjustment Surface'!AE$26="",-1,1)),$AO$26:$BH$26,0))*('Adjustment Surface'!$O37-INDEX('Adjustment Surface'!$AN$27:$AN$46,MATCH(('Adjustment Surface'!$O37),'Adjustment Surface'!$AN$27:$AN$46,1)))*('Adjustment Surface'!AD$26-INDEX('Adjustment Surface'!$AO$26:$BH$26,1,MATCH(('Adjustment Surface'!AD$26),'Adjustment Surface'!$AO$26:$BH$26,1)))))</f>
        <v/>
      </c>
      <c r="AE37" s="193" t="str" cm="1">
        <f t="array" ref="AE37">IF(OR(AE$26="",$O37=""),"",1/((INDEX('Adjustment Surface'!$AN$27:$AN$46,MATCH(('Adjustment Surface'!$O37),'Adjustment Surface'!$AN$27:$AN$46,1)+IF('Adjustment Surface'!$O38="",-1,1))-INDEX('Adjustment Surface'!$AN$27:$AN$46,MATCH(('Adjustment Surface'!$O37),'Adjustment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Surface'!$O37),'Adjustment Surface'!$AN$27:$AN$46,1)),$AN$27:$AN$46,0),MATCH(INDEX('Adjustment Surface'!$AO$26:$BH$26,1,MATCH(('Adjustment Surface'!AE$26),'Adjustment Surface'!$AO$26:$BH$26,1)),$AO$26:$BH$26,0))*(INDEX('Adjustment Surface'!$AN$27:$AN$46,MATCH(('Adjustment Surface'!$O37),'Adjustment Surface'!$AN$27:$AN$46,1)+IF('Adjustment Surface'!$O38="",-1,1))-'Adjustment Surface'!$O37)*(INDEX('Adjustment Surface'!$AO$26:$BH$26,1,MATCH(('Adjustment Surface'!AE$26),'Adjustment Surface'!$AO$26:$BH$26,1)+IF('Adjustment Surface'!AF$26="",-1,1))-'Adjustment Surface'!AE$26)+INDEX($AO$27:$BH$46,MATCH(INDEX('Adjustment Surface'!$AN$27:$AN$46,MATCH(('Adjustment Surface'!$O37),'Adjustment Surface'!$AN$27:$AN$46,1)+IF('Adjustment Surface'!$O38="",-1,1)),$AN$27:$AN$46,0),MATCH(INDEX('Adjustment Surface'!$AO$26:$BH$26,1,MATCH(('Adjustment Surface'!AE$26),'Adjustment Surface'!$AO$26:$BH$26,1)),$AO$26:$BH$26,0))*('Adjustment Surface'!$O37-INDEX('Adjustment Surface'!$AN$27:$AN$46,MATCH(('Adjustment Surface'!$O37),'Adjustment Surface'!$AN$27:$AN$46,1)))*(INDEX('Adjustment Surface'!$AO$26:$BH$26,1,MATCH(('Adjustment Surface'!AE$26),'Adjustment Surface'!$AO$26:$BH$26,1)+IF('Adjustment Surface'!AF$26="",-1,1))-'Adjustment Surface'!AE$26)+INDEX($AO$27:$BH$46,MATCH(INDEX('Adjustment Surface'!$AN$27:$AN$46,MATCH(('Adjustment Surface'!$O37),'Adjustment Surface'!$AN$27:$AN$46,1)),$AN$27:$AN$46,0),MATCH(INDEX('Adjustment Surface'!$AO$26:$BH$26,1,MATCH(('Adjustment Surface'!AE$26),'Adjustment Surface'!$AO$26:$BH$26,1)+IF('Adjustment Surface'!AF$26="",-1,1)),$AO$26:$BH$26,0))*(INDEX('Adjustment Surface'!$AN$27:$AN$46,MATCH(('Adjustment Surface'!$O37),'Adjustment Surface'!$AN$27:$AN$46,1)+IF('Adjustment Surface'!$O38="",-1,1))-'Adjustment Surface'!$O37)*('Adjustment Surface'!AE$26-INDEX('Adjustment Surface'!$AO$26:$BH$26,1,MATCH(('Adjustment Surface'!AE$26),'Adjustment Surface'!$AO$26:$BH$26,1)))+INDEX($AO$27:$BH$46,MATCH(INDEX('Adjustment Surface'!$AN$27:$AN$46,MATCH(('Adjustment Surface'!$O37),'Adjustment Surface'!$AN$27:$AN$46,1)+IF('Adjustment Surface'!$O38="",-1,1)),$AN$27:$AN$46,0),MATCH(INDEX('Adjustment Surface'!$AO$26:$BH$26,1,MATCH(('Adjustment Surface'!AE$26),'Adjustment Surface'!$AO$26:$BH$26,1)+IF('Adjustment Surface'!AF$26="",-1,1)),$AO$26:$BH$26,0))*('Adjustment Surface'!$O37-INDEX('Adjustment Surface'!$AN$27:$AN$46,MATCH(('Adjustment Surface'!$O37),'Adjustment Surface'!$AN$27:$AN$46,1)))*('Adjustment Surface'!AE$26-INDEX('Adjustment Surface'!$AO$26:$BH$26,1,MATCH(('Adjustment Surface'!AE$26),'Adjustment Surface'!$AO$26:$BH$26,1)))))</f>
        <v/>
      </c>
      <c r="AF37" s="193" t="str" cm="1">
        <f t="array" ref="AF37">IF(OR(AF$26="",$O37=""),"",1/((INDEX('Adjustment Surface'!$AN$27:$AN$46,MATCH(('Adjustment Surface'!$O37),'Adjustment Surface'!$AN$27:$AN$46,1)+IF('Adjustment Surface'!$O38="",-1,1))-INDEX('Adjustment Surface'!$AN$27:$AN$46,MATCH(('Adjustment Surface'!$O37),'Adjustment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Surface'!$O37),'Adjustment Surface'!$AN$27:$AN$46,1)),$AN$27:$AN$46,0),MATCH(INDEX('Adjustment Surface'!$AO$26:$BH$26,1,MATCH(('Adjustment Surface'!AF$26),'Adjustment Surface'!$AO$26:$BH$26,1)),$AO$26:$BH$26,0))*(INDEX('Adjustment Surface'!$AN$27:$AN$46,MATCH(('Adjustment Surface'!$O37),'Adjustment Surface'!$AN$27:$AN$46,1)+IF('Adjustment Surface'!$O38="",-1,1))-'Adjustment Surface'!$O37)*(INDEX('Adjustment Surface'!$AO$26:$BH$26,1,MATCH(('Adjustment Surface'!AF$26),'Adjustment Surface'!$AO$26:$BH$26,1)+IF('Adjustment Surface'!AG$26="",-1,1))-'Adjustment Surface'!AF$26)+INDEX($AO$27:$BH$46,MATCH(INDEX('Adjustment Surface'!$AN$27:$AN$46,MATCH(('Adjustment Surface'!$O37),'Adjustment Surface'!$AN$27:$AN$46,1)+IF('Adjustment Surface'!$O38="",-1,1)),$AN$27:$AN$46,0),MATCH(INDEX('Adjustment Surface'!$AO$26:$BH$26,1,MATCH(('Adjustment Surface'!AF$26),'Adjustment Surface'!$AO$26:$BH$26,1)),$AO$26:$BH$26,0))*('Adjustment Surface'!$O37-INDEX('Adjustment Surface'!$AN$27:$AN$46,MATCH(('Adjustment Surface'!$O37),'Adjustment Surface'!$AN$27:$AN$46,1)))*(INDEX('Adjustment Surface'!$AO$26:$BH$26,1,MATCH(('Adjustment Surface'!AF$26),'Adjustment Surface'!$AO$26:$BH$26,1)+IF('Adjustment Surface'!AG$26="",-1,1))-'Adjustment Surface'!AF$26)+INDEX($AO$27:$BH$46,MATCH(INDEX('Adjustment Surface'!$AN$27:$AN$46,MATCH(('Adjustment Surface'!$O37),'Adjustment Surface'!$AN$27:$AN$46,1)),$AN$27:$AN$46,0),MATCH(INDEX('Adjustment Surface'!$AO$26:$BH$26,1,MATCH(('Adjustment Surface'!AF$26),'Adjustment Surface'!$AO$26:$BH$26,1)+IF('Adjustment Surface'!AG$26="",-1,1)),$AO$26:$BH$26,0))*(INDEX('Adjustment Surface'!$AN$27:$AN$46,MATCH(('Adjustment Surface'!$O37),'Adjustment Surface'!$AN$27:$AN$46,1)+IF('Adjustment Surface'!$O38="",-1,1))-'Adjustment Surface'!$O37)*('Adjustment Surface'!AF$26-INDEX('Adjustment Surface'!$AO$26:$BH$26,1,MATCH(('Adjustment Surface'!AF$26),'Adjustment Surface'!$AO$26:$BH$26,1)))+INDEX($AO$27:$BH$46,MATCH(INDEX('Adjustment Surface'!$AN$27:$AN$46,MATCH(('Adjustment Surface'!$O37),'Adjustment Surface'!$AN$27:$AN$46,1)+IF('Adjustment Surface'!$O38="",-1,1)),$AN$27:$AN$46,0),MATCH(INDEX('Adjustment Surface'!$AO$26:$BH$26,1,MATCH(('Adjustment Surface'!AF$26),'Adjustment Surface'!$AO$26:$BH$26,1)+IF('Adjustment Surface'!AG$26="",-1,1)),$AO$26:$BH$26,0))*('Adjustment Surface'!$O37-INDEX('Adjustment Surface'!$AN$27:$AN$46,MATCH(('Adjustment Surface'!$O37),'Adjustment Surface'!$AN$27:$AN$46,1)))*('Adjustment Surface'!AF$26-INDEX('Adjustment Surface'!$AO$26:$BH$26,1,MATCH(('Adjustment Surface'!AF$26),'Adjustment Surface'!$AO$26:$BH$26,1)))))</f>
        <v/>
      </c>
      <c r="AG37" s="193" t="str" cm="1">
        <f t="array" ref="AG37">IF(OR(AG$26="",$O37=""),"",1/((INDEX('Adjustment Surface'!$AN$27:$AN$46,MATCH(('Adjustment Surface'!$O37),'Adjustment Surface'!$AN$27:$AN$46,1)+IF('Adjustment Surface'!$O38="",-1,1))-INDEX('Adjustment Surface'!$AN$27:$AN$46,MATCH(('Adjustment Surface'!$O37),'Adjustment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Surface'!$O37),'Adjustment Surface'!$AN$27:$AN$46,1)),$AN$27:$AN$46,0),MATCH(INDEX('Adjustment Surface'!$AO$26:$BH$26,1,MATCH(('Adjustment Surface'!AG$26),'Adjustment Surface'!$AO$26:$BH$26,1)),$AO$26:$BH$26,0))*(INDEX('Adjustment Surface'!$AN$27:$AN$46,MATCH(('Adjustment Surface'!$O37),'Adjustment Surface'!$AN$27:$AN$46,1)+IF('Adjustment Surface'!$O38="",-1,1))-'Adjustment Surface'!$O37)*(INDEX('Adjustment Surface'!$AO$26:$BH$26,1,MATCH(('Adjustment Surface'!AG$26),'Adjustment Surface'!$AO$26:$BH$26,1)+IF('Adjustment Surface'!AH$26="",-1,1))-'Adjustment Surface'!AG$26)+INDEX($AO$27:$BH$46,MATCH(INDEX('Adjustment Surface'!$AN$27:$AN$46,MATCH(('Adjustment Surface'!$O37),'Adjustment Surface'!$AN$27:$AN$46,1)+IF('Adjustment Surface'!$O38="",-1,1)),$AN$27:$AN$46,0),MATCH(INDEX('Adjustment Surface'!$AO$26:$BH$26,1,MATCH(('Adjustment Surface'!AG$26),'Adjustment Surface'!$AO$26:$BH$26,1)),$AO$26:$BH$26,0))*('Adjustment Surface'!$O37-INDEX('Adjustment Surface'!$AN$27:$AN$46,MATCH(('Adjustment Surface'!$O37),'Adjustment Surface'!$AN$27:$AN$46,1)))*(INDEX('Adjustment Surface'!$AO$26:$BH$26,1,MATCH(('Adjustment Surface'!AG$26),'Adjustment Surface'!$AO$26:$BH$26,1)+IF('Adjustment Surface'!AH$26="",-1,1))-'Adjustment Surface'!AG$26)+INDEX($AO$27:$BH$46,MATCH(INDEX('Adjustment Surface'!$AN$27:$AN$46,MATCH(('Adjustment Surface'!$O37),'Adjustment Surface'!$AN$27:$AN$46,1)),$AN$27:$AN$46,0),MATCH(INDEX('Adjustment Surface'!$AO$26:$BH$26,1,MATCH(('Adjustment Surface'!AG$26),'Adjustment Surface'!$AO$26:$BH$26,1)+IF('Adjustment Surface'!AH$26="",-1,1)),$AO$26:$BH$26,0))*(INDEX('Adjustment Surface'!$AN$27:$AN$46,MATCH(('Adjustment Surface'!$O37),'Adjustment Surface'!$AN$27:$AN$46,1)+IF('Adjustment Surface'!$O38="",-1,1))-'Adjustment Surface'!$O37)*('Adjustment Surface'!AG$26-INDEX('Adjustment Surface'!$AO$26:$BH$26,1,MATCH(('Adjustment Surface'!AG$26),'Adjustment Surface'!$AO$26:$BH$26,1)))+INDEX($AO$27:$BH$46,MATCH(INDEX('Adjustment Surface'!$AN$27:$AN$46,MATCH(('Adjustment Surface'!$O37),'Adjustment Surface'!$AN$27:$AN$46,1)+IF('Adjustment Surface'!$O38="",-1,1)),$AN$27:$AN$46,0),MATCH(INDEX('Adjustment Surface'!$AO$26:$BH$26,1,MATCH(('Adjustment Surface'!AG$26),'Adjustment Surface'!$AO$26:$BH$26,1)+IF('Adjustment Surface'!AH$26="",-1,1)),$AO$26:$BH$26,0))*('Adjustment Surface'!$O37-INDEX('Adjustment Surface'!$AN$27:$AN$46,MATCH(('Adjustment Surface'!$O37),'Adjustment Surface'!$AN$27:$AN$46,1)))*('Adjustment Surface'!AG$26-INDEX('Adjustment Surface'!$AO$26:$BH$26,1,MATCH(('Adjustment Surface'!AG$26),'Adjustment Surface'!$AO$26:$BH$26,1)))))</f>
        <v/>
      </c>
      <c r="AH37" s="193" t="str" cm="1">
        <f t="array" ref="AH37">IF(OR(AH$26="",$O37=""),"",1/((INDEX('Adjustment Surface'!$AN$27:$AN$46,MATCH(('Adjustment Surface'!$O37),'Adjustment Surface'!$AN$27:$AN$46,1)+IF('Adjustment Surface'!$O38="",-1,1))-INDEX('Adjustment Surface'!$AN$27:$AN$46,MATCH(('Adjustment Surface'!$O37),'Adjustment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Surface'!$O37),'Adjustment Surface'!$AN$27:$AN$46,1)),$AN$27:$AN$46,0),MATCH(INDEX('Adjustment Surface'!$AO$26:$BH$26,1,MATCH(('Adjustment Surface'!AH$26),'Adjustment Surface'!$AO$26:$BH$26,1)),$AO$26:$BH$26,0))*(INDEX('Adjustment Surface'!$AN$27:$AN$46,MATCH(('Adjustment Surface'!$O37),'Adjustment Surface'!$AN$27:$AN$46,1)+IF('Adjustment Surface'!$O38="",-1,1))-'Adjustment Surface'!$O37)*(INDEX('Adjustment Surface'!$AO$26:$BH$26,1,MATCH(('Adjustment Surface'!AH$26),'Adjustment Surface'!$AO$26:$BH$26,1)+IF('Adjustment Surface'!AI$26="",-1,1))-'Adjustment Surface'!AH$26)+INDEX($AO$27:$BH$46,MATCH(INDEX('Adjustment Surface'!$AN$27:$AN$46,MATCH(('Adjustment Surface'!$O37),'Adjustment Surface'!$AN$27:$AN$46,1)+IF('Adjustment Surface'!$O38="",-1,1)),$AN$27:$AN$46,0),MATCH(INDEX('Adjustment Surface'!$AO$26:$BH$26,1,MATCH(('Adjustment Surface'!AH$26),'Adjustment Surface'!$AO$26:$BH$26,1)),$AO$26:$BH$26,0))*('Adjustment Surface'!$O37-INDEX('Adjustment Surface'!$AN$27:$AN$46,MATCH(('Adjustment Surface'!$O37),'Adjustment Surface'!$AN$27:$AN$46,1)))*(INDEX('Adjustment Surface'!$AO$26:$BH$26,1,MATCH(('Adjustment Surface'!AH$26),'Adjustment Surface'!$AO$26:$BH$26,1)+IF('Adjustment Surface'!AI$26="",-1,1))-'Adjustment Surface'!AH$26)+INDEX($AO$27:$BH$46,MATCH(INDEX('Adjustment Surface'!$AN$27:$AN$46,MATCH(('Adjustment Surface'!$O37),'Adjustment Surface'!$AN$27:$AN$46,1)),$AN$27:$AN$46,0),MATCH(INDEX('Adjustment Surface'!$AO$26:$BH$26,1,MATCH(('Adjustment Surface'!AH$26),'Adjustment Surface'!$AO$26:$BH$26,1)+IF('Adjustment Surface'!AI$26="",-1,1)),$AO$26:$BH$26,0))*(INDEX('Adjustment Surface'!$AN$27:$AN$46,MATCH(('Adjustment Surface'!$O37),'Adjustment Surface'!$AN$27:$AN$46,1)+IF('Adjustment Surface'!$O38="",-1,1))-'Adjustment Surface'!$O37)*('Adjustment Surface'!AH$26-INDEX('Adjustment Surface'!$AO$26:$BH$26,1,MATCH(('Adjustment Surface'!AH$26),'Adjustment Surface'!$AO$26:$BH$26,1)))+INDEX($AO$27:$BH$46,MATCH(INDEX('Adjustment Surface'!$AN$27:$AN$46,MATCH(('Adjustment Surface'!$O37),'Adjustment Surface'!$AN$27:$AN$46,1)+IF('Adjustment Surface'!$O38="",-1,1)),$AN$27:$AN$46,0),MATCH(INDEX('Adjustment Surface'!$AO$26:$BH$26,1,MATCH(('Adjustment Surface'!AH$26),'Adjustment Surface'!$AO$26:$BH$26,1)+IF('Adjustment Surface'!AI$26="",-1,1)),$AO$26:$BH$26,0))*('Adjustment Surface'!$O37-INDEX('Adjustment Surface'!$AN$27:$AN$46,MATCH(('Adjustment Surface'!$O37),'Adjustment Surface'!$AN$27:$AN$46,1)))*('Adjustment Surface'!AH$26-INDEX('Adjustment Surface'!$AO$26:$BH$26,1,MATCH(('Adjustment Surface'!AH$26),'Adjustment Surface'!$AO$26:$BH$26,1)))))</f>
        <v/>
      </c>
      <c r="AI37" s="194" t="str" cm="1">
        <f t="array" ref="AI37">IF(OR(AI$26="",$O37=""),"",1/((INDEX('Adjustment Surface'!$AN$27:$AN$46,MATCH(('Adjustment Surface'!$O37),'Adjustment Surface'!$AN$27:$AN$46,1)+IF('Adjustment Surface'!$O38="",-1,1))-INDEX('Adjustment Surface'!$AN$27:$AN$46,MATCH(('Adjustment Surface'!$O37),'Adjustment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Surface'!$O37),'Adjustment Surface'!$AN$27:$AN$46,1)),$AN$27:$AN$46,0),MATCH(INDEX('Adjustment Surface'!$AO$26:$BH$26,1,MATCH(('Adjustment Surface'!AI$26),'Adjustment Surface'!$AO$26:$BH$26,1)),$AO$26:$BH$26,0))*(INDEX('Adjustment Surface'!$AN$27:$AN$46,MATCH(('Adjustment Surface'!$O37),'Adjustment Surface'!$AN$27:$AN$46,1)+IF('Adjustment Surface'!$O38="",-1,1))-'Adjustment Surface'!$O37)*(INDEX('Adjustment Surface'!$AO$26:$BH$26,1,MATCH(('Adjustment Surface'!AI$26),'Adjustment Surface'!$AO$26:$BH$26,1)+IF('Adjustment Surface'!AJ$26="",-1,1))-'Adjustment Surface'!AI$26)+INDEX($AO$27:$BH$46,MATCH(INDEX('Adjustment Surface'!$AN$27:$AN$46,MATCH(('Adjustment Surface'!$O37),'Adjustment Surface'!$AN$27:$AN$46,1)+IF('Adjustment Surface'!$O38="",-1,1)),$AN$27:$AN$46,0),MATCH(INDEX('Adjustment Surface'!$AO$26:$BH$26,1,MATCH(('Adjustment Surface'!AI$26),'Adjustment Surface'!$AO$26:$BH$26,1)),$AO$26:$BH$26,0))*('Adjustment Surface'!$O37-INDEX('Adjustment Surface'!$AN$27:$AN$46,MATCH(('Adjustment Surface'!$O37),'Adjustment Surface'!$AN$27:$AN$46,1)))*(INDEX('Adjustment Surface'!$AO$26:$BH$26,1,MATCH(('Adjustment Surface'!AI$26),'Adjustment Surface'!$AO$26:$BH$26,1)+IF('Adjustment Surface'!AJ$26="",-1,1))-'Adjustment Surface'!AI$26)+INDEX($AO$27:$BH$46,MATCH(INDEX('Adjustment Surface'!$AN$27:$AN$46,MATCH(('Adjustment Surface'!$O37),'Adjustment Surface'!$AN$27:$AN$46,1)),$AN$27:$AN$46,0),MATCH(INDEX('Adjustment Surface'!$AO$26:$BH$26,1,MATCH(('Adjustment Surface'!AI$26),'Adjustment Surface'!$AO$26:$BH$26,1)+IF('Adjustment Surface'!AJ$26="",-1,1)),$AO$26:$BH$26,0))*(INDEX('Adjustment Surface'!$AN$27:$AN$46,MATCH(('Adjustment Surface'!$O37),'Adjustment Surface'!$AN$27:$AN$46,1)+IF('Adjustment Surface'!$O38="",-1,1))-'Adjustment Surface'!$O37)*('Adjustment Surface'!AI$26-INDEX('Adjustment Surface'!$AO$26:$BH$26,1,MATCH(('Adjustment Surface'!AI$26),'Adjustment Surface'!$AO$26:$BH$26,1)))+INDEX($AO$27:$BH$46,MATCH(INDEX('Adjustment Surface'!$AN$27:$AN$46,MATCH(('Adjustment Surface'!$O37),'Adjustment Surface'!$AN$27:$AN$46,1)+IF('Adjustment Surface'!$O38="",-1,1)),$AN$27:$AN$46,0),MATCH(INDEX('Adjustment Surface'!$AO$26:$BH$26,1,MATCH(('Adjustment Surface'!AI$26),'Adjustment Surface'!$AO$26:$BH$26,1)+IF('Adjustment Surface'!AJ$26="",-1,1)),$AO$26:$BH$26,0))*('Adjustment Surface'!$O37-INDEX('Adjustment Surface'!$AN$27:$AN$46,MATCH(('Adjustment Surface'!$O37),'Adjustment Surface'!$AN$27:$AN$46,1)))*('Adjustment Surface'!AI$26-INDEX('Adjustment Surface'!$AO$26:$BH$26,1,MATCH(('Adjustment Surface'!AI$26),'Adjustment Surface'!$AO$26:$BH$26,1)))))</f>
        <v/>
      </c>
      <c r="AK37" s="203"/>
      <c r="AL37" s="207"/>
      <c r="AN37" s="176"/>
      <c r="AO37" s="192" t="str" cm="1">
        <f t="array" ref="AO37">IF(OR(AO$26="",$AN37=""),"",INDEX(IF($C$2='Data Validation'!$A$2,'Bank Adjustments'!$I$4:$I$103,IF('Adjustment Surface'!$C$2='Data Validation'!$A$3,'Bank Adjustments'!$S$4:$S$103,"Unknown Option Type")),MATCH(1,($AN37=IF($C$2='Data Validation'!$A$2,'Bank Adjustments'!$C$4:$C$103,IF('Adjustment Surface'!$C$2='Data Validation'!$A$3,'Bank Adjustments'!$M$4:$M$103,"Unknown Option Type")))*(AO$26=IF($C$2='Data Validation'!$A$2,'Bank Adjustments'!$E$4:$E$103,IF('Adjustment Surface'!$C$2='Data Validation'!$A$3,'Bank Adjustments'!$O$4:$O$103,"Unknown Option Type"))),0)))</f>
        <v/>
      </c>
      <c r="AP37" s="193" t="str" cm="1">
        <f t="array" ref="AP37">IF(OR(AP$26="",$AN37=""),"",INDEX(IF($C$2='Data Validation'!$A$2,'Bank Adjustments'!$I$4:$I$103,IF('Adjustment Surface'!$C$2='Data Validation'!$A$3,'Bank Adjustments'!$S$4:$S$103,"Unknown Option Type")),MATCH(1,($AN37=IF($C$2='Data Validation'!$A$2,'Bank Adjustments'!$C$4:$C$103,IF('Adjustment Surface'!$C$2='Data Validation'!$A$3,'Bank Adjustments'!$M$4:$M$103,"Unknown Option Type")))*(AP$26=IF($C$2='Data Validation'!$A$2,'Bank Adjustments'!$E$4:$E$103,IF('Adjustment Surface'!$C$2='Data Validation'!$A$3,'Bank Adjustments'!$O$4:$O$103,"Unknown Option Type"))),0)))</f>
        <v/>
      </c>
      <c r="AQ37" s="193" t="str" cm="1">
        <f t="array" ref="AQ37">IF(OR(AQ$26="",$AN37=""),"",INDEX(IF($C$2='Data Validation'!$A$2,'Bank Adjustments'!$I$4:$I$103,IF('Adjustment Surface'!$C$2='Data Validation'!$A$3,'Bank Adjustments'!$S$4:$S$103,"Unknown Option Type")),MATCH(1,($AN37=IF($C$2='Data Validation'!$A$2,'Bank Adjustments'!$C$4:$C$103,IF('Adjustment Surface'!$C$2='Data Validation'!$A$3,'Bank Adjustments'!$M$4:$M$103,"Unknown Option Type")))*(AQ$26=IF($C$2='Data Validation'!$A$2,'Bank Adjustments'!$E$4:$E$103,IF('Adjustment Surface'!$C$2='Data Validation'!$A$3,'Bank Adjustments'!$O$4:$O$103,"Unknown Option Type"))),0)))</f>
        <v/>
      </c>
      <c r="AR37" s="193" t="str" cm="1">
        <f t="array" ref="AR37">IF(OR(AR$26="",$AN37=""),"",INDEX(IF($C$2='Data Validation'!$A$2,'Bank Adjustments'!$I$4:$I$103,IF('Adjustment Surface'!$C$2='Data Validation'!$A$3,'Bank Adjustments'!$S$4:$S$103,"Unknown Option Type")),MATCH(1,($AN37=IF($C$2='Data Validation'!$A$2,'Bank Adjustments'!$C$4:$C$103,IF('Adjustment Surface'!$C$2='Data Validation'!$A$3,'Bank Adjustments'!$M$4:$M$103,"Unknown Option Type")))*(AR$26=IF($C$2='Data Validation'!$A$2,'Bank Adjustments'!$E$4:$E$103,IF('Adjustment Surface'!$C$2='Data Validation'!$A$3,'Bank Adjustments'!$O$4:$O$103,"Unknown Option Type"))),0)))</f>
        <v/>
      </c>
      <c r="AS37" s="193" t="str" cm="1">
        <f t="array" ref="AS37">IF(OR(AS$26="",$AN37=""),"",INDEX(IF($C$2='Data Validation'!$A$2,'Bank Adjustments'!$I$4:$I$103,IF('Adjustment Surface'!$C$2='Data Validation'!$A$3,'Bank Adjustments'!$S$4:$S$103,"Unknown Option Type")),MATCH(1,($AN37=IF($C$2='Data Validation'!$A$2,'Bank Adjustments'!$C$4:$C$103,IF('Adjustment Surface'!$C$2='Data Validation'!$A$3,'Bank Adjustments'!$M$4:$M$103,"Unknown Option Type")))*(AS$26=IF($C$2='Data Validation'!$A$2,'Bank Adjustments'!$E$4:$E$103,IF('Adjustment Surface'!$C$2='Data Validation'!$A$3,'Bank Adjustments'!$O$4:$O$103,"Unknown Option Type"))),0)))</f>
        <v/>
      </c>
      <c r="AT37" s="193" t="str" cm="1">
        <f t="array" ref="AT37">IF(OR(AT$26="",$AN37=""),"",INDEX(IF($C$2='Data Validation'!$A$2,'Bank Adjustments'!$I$4:$I$103,IF('Adjustment Surface'!$C$2='Data Validation'!$A$3,'Bank Adjustments'!$S$4:$S$103,"Unknown Option Type")),MATCH(1,($AN37=IF($C$2='Data Validation'!$A$2,'Bank Adjustments'!$C$4:$C$103,IF('Adjustment Surface'!$C$2='Data Validation'!$A$3,'Bank Adjustments'!$M$4:$M$103,"Unknown Option Type")))*(AT$26=IF($C$2='Data Validation'!$A$2,'Bank Adjustments'!$E$4:$E$103,IF('Adjustment Surface'!$C$2='Data Validation'!$A$3,'Bank Adjustments'!$O$4:$O$103,"Unknown Option Type"))),0)))</f>
        <v/>
      </c>
      <c r="AU37" s="193" t="str" cm="1">
        <f t="array" ref="AU37">IF(OR(AU$26="",$AN37=""),"",INDEX(IF($C$2='Data Validation'!$A$2,'Bank Adjustments'!$I$4:$I$103,IF('Adjustment Surface'!$C$2='Data Validation'!$A$3,'Bank Adjustments'!$S$4:$S$103,"Unknown Option Type")),MATCH(1,($AN37=IF($C$2='Data Validation'!$A$2,'Bank Adjustments'!$C$4:$C$103,IF('Adjustment Surface'!$C$2='Data Validation'!$A$3,'Bank Adjustments'!$M$4:$M$103,"Unknown Option Type")))*(AU$26=IF($C$2='Data Validation'!$A$2,'Bank Adjustments'!$E$4:$E$103,IF('Adjustment Surface'!$C$2='Data Validation'!$A$3,'Bank Adjustments'!$O$4:$O$103,"Unknown Option Type"))),0)))</f>
        <v/>
      </c>
      <c r="AV37" s="193" t="str" cm="1">
        <f t="array" ref="AV37">IF(OR(AV$26="",$AN37=""),"",INDEX(IF($C$2='Data Validation'!$A$2,'Bank Adjustments'!$I$4:$I$103,IF('Adjustment Surface'!$C$2='Data Validation'!$A$3,'Bank Adjustments'!$S$4:$S$103,"Unknown Option Type")),MATCH(1,($AN37=IF($C$2='Data Validation'!$A$2,'Bank Adjustments'!$C$4:$C$103,IF('Adjustment Surface'!$C$2='Data Validation'!$A$3,'Bank Adjustments'!$M$4:$M$103,"Unknown Option Type")))*(AV$26=IF($C$2='Data Validation'!$A$2,'Bank Adjustments'!$E$4:$E$103,IF('Adjustment Surface'!$C$2='Data Validation'!$A$3,'Bank Adjustments'!$O$4:$O$103,"Unknown Option Type"))),0)))</f>
        <v/>
      </c>
      <c r="AW37" s="193" t="str" cm="1">
        <f t="array" ref="AW37">IF(OR(AW$26="",$AN37=""),"",INDEX(IF($C$2='Data Validation'!$A$2,'Bank Adjustments'!$I$4:$I$103,IF('Adjustment Surface'!$C$2='Data Validation'!$A$3,'Bank Adjustments'!$S$4:$S$103,"Unknown Option Type")),MATCH(1,($AN37=IF($C$2='Data Validation'!$A$2,'Bank Adjustments'!$C$4:$C$103,IF('Adjustment Surface'!$C$2='Data Validation'!$A$3,'Bank Adjustments'!$M$4:$M$103,"Unknown Option Type")))*(AW$26=IF($C$2='Data Validation'!$A$2,'Bank Adjustments'!$E$4:$E$103,IF('Adjustment Surface'!$C$2='Data Validation'!$A$3,'Bank Adjustments'!$O$4:$O$103,"Unknown Option Type"))),0)))</f>
        <v/>
      </c>
      <c r="AX37" s="193" t="str" cm="1">
        <f t="array" ref="AX37">IF(OR(AX$26="",$AN37=""),"",INDEX(IF($C$2='Data Validation'!$A$2,'Bank Adjustments'!$I$4:$I$103,IF('Adjustment Surface'!$C$2='Data Validation'!$A$3,'Bank Adjustments'!$S$4:$S$103,"Unknown Option Type")),MATCH(1,($AN37=IF($C$2='Data Validation'!$A$2,'Bank Adjustments'!$C$4:$C$103,IF('Adjustment Surface'!$C$2='Data Validation'!$A$3,'Bank Adjustments'!$M$4:$M$103,"Unknown Option Type")))*(AX$26=IF($C$2='Data Validation'!$A$2,'Bank Adjustments'!$E$4:$E$103,IF('Adjustment Surface'!$C$2='Data Validation'!$A$3,'Bank Adjustments'!$O$4:$O$103,"Unknown Option Type"))),0)))</f>
        <v/>
      </c>
      <c r="AY37" s="193" t="str" cm="1">
        <f t="array" ref="AY37">IF(OR(AY$26="",$AN37=""),"",INDEX(IF($C$2='Data Validation'!$A$2,'Bank Adjustments'!$I$4:$I$103,IF('Adjustment Surface'!$C$2='Data Validation'!$A$3,'Bank Adjustments'!$S$4:$S$103,"Unknown Option Type")),MATCH(1,($AN37=IF($C$2='Data Validation'!$A$2,'Bank Adjustments'!$C$4:$C$103,IF('Adjustment Surface'!$C$2='Data Validation'!$A$3,'Bank Adjustments'!$M$4:$M$103,"Unknown Option Type")))*(AY$26=IF($C$2='Data Validation'!$A$2,'Bank Adjustments'!$E$4:$E$103,IF('Adjustment Surface'!$C$2='Data Validation'!$A$3,'Bank Adjustments'!$O$4:$O$103,"Unknown Option Type"))),0)))</f>
        <v/>
      </c>
      <c r="AZ37" s="193" t="str" cm="1">
        <f t="array" ref="AZ37">IF(OR(AZ$26="",$AN37=""),"",INDEX(IF($C$2='Data Validation'!$A$2,'Bank Adjustments'!$I$4:$I$103,IF('Adjustment Surface'!$C$2='Data Validation'!$A$3,'Bank Adjustments'!$S$4:$S$103,"Unknown Option Type")),MATCH(1,($AN37=IF($C$2='Data Validation'!$A$2,'Bank Adjustments'!$C$4:$C$103,IF('Adjustment Surface'!$C$2='Data Validation'!$A$3,'Bank Adjustments'!$M$4:$M$103,"Unknown Option Type")))*(AZ$26=IF($C$2='Data Validation'!$A$2,'Bank Adjustments'!$E$4:$E$103,IF('Adjustment Surface'!$C$2='Data Validation'!$A$3,'Bank Adjustments'!$O$4:$O$103,"Unknown Option Type"))),0)))</f>
        <v/>
      </c>
      <c r="BA37" s="193" t="str" cm="1">
        <f t="array" ref="BA37">IF(OR(BA$26="",$AN37=""),"",INDEX(IF($C$2='Data Validation'!$A$2,'Bank Adjustments'!$I$4:$I$103,IF('Adjustment Surface'!$C$2='Data Validation'!$A$3,'Bank Adjustments'!$S$4:$S$103,"Unknown Option Type")),MATCH(1,($AN37=IF($C$2='Data Validation'!$A$2,'Bank Adjustments'!$C$4:$C$103,IF('Adjustment Surface'!$C$2='Data Validation'!$A$3,'Bank Adjustments'!$M$4:$M$103,"Unknown Option Type")))*(BA$26=IF($C$2='Data Validation'!$A$2,'Bank Adjustments'!$E$4:$E$103,IF('Adjustment Surface'!$C$2='Data Validation'!$A$3,'Bank Adjustments'!$O$4:$O$103,"Unknown Option Type"))),0)))</f>
        <v/>
      </c>
      <c r="BB37" s="193" t="str" cm="1">
        <f t="array" ref="BB37">IF(OR(BB$26="",$AN37=""),"",INDEX(IF($C$2='Data Validation'!$A$2,'Bank Adjustments'!$I$4:$I$103,IF('Adjustment Surface'!$C$2='Data Validation'!$A$3,'Bank Adjustments'!$S$4:$S$103,"Unknown Option Type")),MATCH(1,($AN37=IF($C$2='Data Validation'!$A$2,'Bank Adjustments'!$C$4:$C$103,IF('Adjustment Surface'!$C$2='Data Validation'!$A$3,'Bank Adjustments'!$M$4:$M$103,"Unknown Option Type")))*(BB$26=IF($C$2='Data Validation'!$A$2,'Bank Adjustments'!$E$4:$E$103,IF('Adjustment Surface'!$C$2='Data Validation'!$A$3,'Bank Adjustments'!$O$4:$O$103,"Unknown Option Type"))),0)))</f>
        <v/>
      </c>
      <c r="BC37" s="193" t="str" cm="1">
        <f t="array" ref="BC37">IF(OR(BC$26="",$AN37=""),"",INDEX(IF($C$2='Data Validation'!$A$2,'Bank Adjustments'!$I$4:$I$103,IF('Adjustment Surface'!$C$2='Data Validation'!$A$3,'Bank Adjustments'!$S$4:$S$103,"Unknown Option Type")),MATCH(1,($AN37=IF($C$2='Data Validation'!$A$2,'Bank Adjustments'!$C$4:$C$103,IF('Adjustment Surface'!$C$2='Data Validation'!$A$3,'Bank Adjustments'!$M$4:$M$103,"Unknown Option Type")))*(BC$26=IF($C$2='Data Validation'!$A$2,'Bank Adjustments'!$E$4:$E$103,IF('Adjustment Surface'!$C$2='Data Validation'!$A$3,'Bank Adjustments'!$O$4:$O$103,"Unknown Option Type"))),0)))</f>
        <v/>
      </c>
      <c r="BD37" s="193" t="str" cm="1">
        <f t="array" ref="BD37">IF(OR(BD$26="",$AN37=""),"",INDEX(IF($C$2='Data Validation'!$A$2,'Bank Adjustments'!$I$4:$I$103,IF('Adjustment Surface'!$C$2='Data Validation'!$A$3,'Bank Adjustments'!$S$4:$S$103,"Unknown Option Type")),MATCH(1,($AN37=IF($C$2='Data Validation'!$A$2,'Bank Adjustments'!$C$4:$C$103,IF('Adjustment Surface'!$C$2='Data Validation'!$A$3,'Bank Adjustments'!$M$4:$M$103,"Unknown Option Type")))*(BD$26=IF($C$2='Data Validation'!$A$2,'Bank Adjustments'!$E$4:$E$103,IF('Adjustment Surface'!$C$2='Data Validation'!$A$3,'Bank Adjustments'!$O$4:$O$103,"Unknown Option Type"))),0)))</f>
        <v/>
      </c>
      <c r="BE37" s="193" t="str" cm="1">
        <f t="array" ref="BE37">IF(OR(BE$26="",$AN37=""),"",INDEX(IF($C$2='Data Validation'!$A$2,'Bank Adjustments'!$I$4:$I$103,IF('Adjustment Surface'!$C$2='Data Validation'!$A$3,'Bank Adjustments'!$S$4:$S$103,"Unknown Option Type")),MATCH(1,($AN37=IF($C$2='Data Validation'!$A$2,'Bank Adjustments'!$C$4:$C$103,IF('Adjustment Surface'!$C$2='Data Validation'!$A$3,'Bank Adjustments'!$M$4:$M$103,"Unknown Option Type")))*(BE$26=IF($C$2='Data Validation'!$A$2,'Bank Adjustments'!$E$4:$E$103,IF('Adjustment Surface'!$C$2='Data Validation'!$A$3,'Bank Adjustments'!$O$4:$O$103,"Unknown Option Type"))),0)))</f>
        <v/>
      </c>
      <c r="BF37" s="193" t="str" cm="1">
        <f t="array" ref="BF37">IF(OR(BF$26="",$AN37=""),"",INDEX(IF($C$2='Data Validation'!$A$2,'Bank Adjustments'!$I$4:$I$103,IF('Adjustment Surface'!$C$2='Data Validation'!$A$3,'Bank Adjustments'!$S$4:$S$103,"Unknown Option Type")),MATCH(1,($AN37=IF($C$2='Data Validation'!$A$2,'Bank Adjustments'!$C$4:$C$103,IF('Adjustment Surface'!$C$2='Data Validation'!$A$3,'Bank Adjustments'!$M$4:$M$103,"Unknown Option Type")))*(BF$26=IF($C$2='Data Validation'!$A$2,'Bank Adjustments'!$E$4:$E$103,IF('Adjustment Surface'!$C$2='Data Validation'!$A$3,'Bank Adjustments'!$O$4:$O$103,"Unknown Option Type"))),0)))</f>
        <v/>
      </c>
      <c r="BG37" s="193" t="str" cm="1">
        <f t="array" ref="BG37">IF(OR(BG$26="",$AN37=""),"",INDEX(IF($C$2='Data Validation'!$A$2,'Bank Adjustments'!$I$4:$I$103,IF('Adjustment Surface'!$C$2='Data Validation'!$A$3,'Bank Adjustments'!$S$4:$S$103,"Unknown Option Type")),MATCH(1,($AN37=IF($C$2='Data Validation'!$A$2,'Bank Adjustments'!$C$4:$C$103,IF('Adjustment Surface'!$C$2='Data Validation'!$A$3,'Bank Adjustments'!$M$4:$M$103,"Unknown Option Type")))*(BG$26=IF($C$2='Data Validation'!$A$2,'Bank Adjustments'!$E$4:$E$103,IF('Adjustment Surface'!$C$2='Data Validation'!$A$3,'Bank Adjustments'!$O$4:$O$103,"Unknown Option Type"))),0)))</f>
        <v/>
      </c>
      <c r="BH37" s="194" t="str" cm="1">
        <f t="array" ref="BH37">IF(OR(BH$26="",$AN37=""),"",INDEX(IF($C$2='Data Validation'!$A$2,'Bank Adjustments'!$I$4:$I$103,IF('Adjustment Surface'!$C$2='Data Validation'!$A$3,'Bank Adjustments'!$S$4:$S$103,"Unknown Option Type")),MATCH(1,($AN37=IF($C$2='Data Validation'!$A$2,'Bank Adjustments'!$C$4:$C$103,IF('Adjustment Surface'!$C$2='Data Validation'!$A$3,'Bank Adjustments'!$M$4:$M$103,"Unknown Option Type")))*(BH$26=IF($C$2='Data Validation'!$A$2,'Bank Adjustments'!$E$4:$E$103,IF('Adjustment Surface'!$C$2='Data Validation'!$A$3,'Bank Adjustments'!$O$4:$O$103,"Unknown Option Type"))),0)))</f>
        <v/>
      </c>
    </row>
    <row r="38" spans="2:60" x14ac:dyDescent="0.25">
      <c r="B38" s="75">
        <f t="shared" si="9"/>
        <v>0.05</v>
      </c>
      <c r="C38" s="16" cm="1">
        <f t="array" ref="C38">IF(AND(COUNT(O4:O23)&lt;2,COUNT(P3:AI3)&lt;2),P27,IF(COUNT(O4:O23)&lt;2,_xlfn.FORECAST.LINEAR(C14,INDEX(P27:AI27,1,MATCH(IF(C14&lt;MIN(P3:AI3),INDEX(P3:AI3,1,MATCH(MIN(P3:AI3),P3:AI3,0)),IF(C14&gt;=MAX(P3:AI3),INDEX(P3:AI3,1,MATCH(MAX(P3:AI3),P3:AI3,0)),INDEX(P3:AI3,1,MATCH(C14,P3:AI3,1)))):IF(C14&lt;MIN(P3:AI3),INDEX(P3:AI3,1,MATCH(MIN(P3:AI3),P3:AI3,0)+1),IF(C14&gt;=MAX(P3:AI3),INDEX(P3:AI3,1,MATCH(MAX(P3:AI3),P3:AI3,0)-1),INDEX(P3:AI3,1,MATCH(C14,P3:AI3,1)+1))),P3:AI3,0)),IF(C14&lt;MIN(P3:AI3),INDEX(P3:AI3,1,MATCH(MIN(P3:AI3),P3:AI3,0)),IF(C14&gt;=MAX(P3:AI3),INDEX(P3:AI3,1,MATCH(MAX(P3:AI3),P3:AI3,0)),INDEX(P3:AI3,1,MATCH(C14,P3:AI3,1)))):IF(C14&lt;MIN(P3:AI3),INDEX(P3:AI3,1,MATCH(MIN(P3:AI3),P3:AI3,0)+1),IF(C14&gt;=MAX(P3:AI3),INDEX(P3:AI3,1,MATCH(MAX(P3:AI3),P3:AI3,0)-1),INDEX(P3:AI3,1,MATCH(C14,P3:AI3,1)+1)))),IF(COUNT(P3:AI3)&lt;2,_xlfn.FORECAST.LINEAR(B17,INDEX(P27:P46,MATCH(IF(B17&lt;MIN(O4:O23),INDEX(O4:O23,MATCH(MIN(O4:O23),O4:O23,0)),IF(B17&gt;=MAX(O4:O23),INDEX(O4:O23,MATCH(MAX(O4:O23),O4:O23,0)),INDEX(O4:O23,MATCH(B17,O4:O23,1)))):IF(B17&lt;MIN(O4:O23),INDEX(O4:O23,MATCH(MIN(O4:O23),O4:O23,0)+1),IF(B17&gt;=MAX(O4:O23),INDEX(O4:O23,MATCH(MAX(O4:O23),O4:O23,0)-1),INDEX(O4:O23,MATCH(B17,O4:O23,1)+1))),O4:O23,0)),IF(B17&lt;MIN(O4:O23),INDEX(O4:O23,MATCH(MIN(O4:O23),O4:O23,0)),IF(B17&gt;=MAX(O4:O23),INDEX(O4:O23,MATCH(MAX(O4:O23),O4:O23,0)),INDEX(O4:O23,MATCH(B17,O4:O23,1)))):IF(B17&lt;MIN(O4:O23),INDEX(O4:O23,MATCH(MIN(O4:O23),O4:O23,0)+1),IF(B17&gt;=MAX(O4:O23),INDEX(O4:O23,MATCH(MAX(O4:O23),O4:O23,0)-1),INDEX(O4:O23,MATCH(B17,O4:O23,1)+1)))),1/((INDEX(_xlfn._xlws.FILTER(H4:H23,(INDEX(H4:H23,MATCH(SMALL(J4:J23,1),J4:J23,0))=H4:H23)=FALSE()),MATCH(SMALL(J4:J23,2),_xlfn._xlws.FILTER(J4:J23,(INDEX(H4:H23,MATCH(SMALL(J4:J23,1),J4:J23,0))=H4:H23)=FALSE()),0))-INDEX(H4:H23,MATCH(SMALL(J4:J23,1),J4:J23,0)))*(INDEX(_xlfn._xlws.FILTER(H27:H46,(INDEX(H27:H46,MATCH(SMALL(L27:L46,1),L27:L46,0))=H27:H46)=FALSE()),MATCH(SMALL(L27:L46,2),_xlfn._xlws.FILTER(L27:L46,(INDEX(H27:H46,MATCH(SMALL(L27:L46,1),L27:L46,0))=H27:H46)=FALSE()),0))-INDEX(H27:H46,MATCH(SMALL(L27:L46,1),L27:L46,0))))*(INDEX(P27:AI46,MATCH(INDEX(H27:H46,MATCH(SMALL(L27:L46,1),L27:L46,0)),O27:O46,0),MATCH(INDEX(H4:H23,MATCH(SMALL(J4:J23,1),J4:J23,0)),P26:AI26,0))*(INDEX(_xlfn._xlws.FILTER(H4:H23,(INDEX(H4:H23,MATCH(SMALL(J4:J23,1),J4:J23,0))=H4:H23)=FALSE()),MATCH(SMALL(J4:J23,2),_xlfn._xlws.FILTER(J4:J23,(INDEX(H4:H23,MATCH(SMALL(J4:J23,1),J4:J23,0))=H4:H23)=FALSE()),0))-C14)*(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27:AI46,MATCH(INDEX(H27:H46,MATCH(SMALL(L27:L46,1),L27:L46,0)),O27:O46,0),MATCH(INDEX(_xlfn._xlws.FILTER(H4:H23,(INDEX(H4:H23,MATCH(SMALL(J4:J23,1),J4:J23,0))=H4:H23)=FALSE()),MATCH(SMALL(J4:J23,2),_xlfn._xlws.FILTER(J4:J23,(INDEX(H4:H23,MATCH(SMALL(J4:J23,1),J4:J23,0))=H4:H23)=FALSE()),0)),P26:AI26,0))*(C14-INDEX(H4:H23,MATCH(SMALL(J4:J23,1),J4:J23,0)))*(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27:AI46,MATCH(INDEX(_xlfn._xlws.FILTER(H27:H46,(INDEX(H27:H46,MATCH(SMALL(L27:L46,1),L27:L46,0))=H27:H46)=FALSE()),MATCH(SMALL(L27:L46,2),_xlfn._xlws.FILTER(L27:L46,(INDEX(H27:H46,MATCH(SMALL(L27:L46,1),L27:L46,0))=H27:H46)=FALSE()),0)),O27:O46,0),MATCH(INDEX(H4:H23,MATCH(SMALL(J4:J23,1),J4:J23,0)),P26:AI26,0))*(INDEX(_xlfn._xlws.FILTER(H4:H23,(INDEX(H4:H23,MATCH(SMALL(J4:J23,1),J4:J23,0))=H4:H23)=FALSE()),MATCH(SMALL(J4:J23,2),_xlfn._xlws.FILTER(J4:J23,(INDEX(H4:H23,MATCH(SMALL(J4:J23,1),J4:J23,0))=H4:H23)=FALSE()),0))-C14)*(IF(OR(C9='Data Validation'!D2,C9='Data Validation'!D3),B17,IF(C9='Data Validation'!D3,SUMPRODUCT('Bachelier Model'!N4:N124,'Bachelier Model'!O4:O124)/SUM('Bachelier Model'!N4:N124),"Strike Type Unknown"))-INDEX(H27:H46,MATCH(SMALL(L27:L46,1),L27:L46,0)))+INDEX(P27:AI46,MATCH(INDEX(_xlfn._xlws.FILTER(H27:H46,(INDEX(H27:H46,MATCH(SMALL(L27:L46,1),L27:L46,0))=H27:H46)=FALSE()),MATCH(SMALL(L27:L46,2),_xlfn._xlws.FILTER(L27:L46,(INDEX(H27:H46,MATCH(SMALL(L27:L46,1),L27:L46,0))=H27:H46)=FALSE()),0)),O27:O46,0),MATCH(INDEX(_xlfn._xlws.FILTER(H4:H23,(INDEX(H4:H23,MATCH(SMALL(J4:J23,1),J4:J23,0))=H4:H23)=FALSE()),MATCH(SMALL(J4:J23,2),_xlfn._xlws.FILTER(J4:J23,(INDEX(H4:H23,MATCH(SMALL(J4:J23,1),J4:J23,0))=H4:H23)=FALSE()),0)),P26:AI26,0))*(C14-INDEX(H4:H23,MATCH(SMALL(J4:J23,1),J4:J23,0)))*(IF(OR(C9='Data Validation'!D2,C9='Data Validation'!D3),B17,IF(C9='Data Validation'!D3,SUMPRODUCT('Bachelier Model'!N4:N124,'Bachelier Model'!O4:O124)/SUM('Bachelier Model'!N4:N124),"Strike Type Unknown"))-INDEX(H27:H46,MATCH(SMALL(L27:L46,1),L27:L46,0)))))))</f>
        <v>20.37719998109305</v>
      </c>
      <c r="D38" s="16" cm="1">
        <f t="array" ref="D38">IF(AND(COUNT(O4:O23)&lt;2,COUNT(P3:AI3)&lt;2),P27,IF(COUNT(O4:O23)&lt;2,_xlfn.FORECAST.LINEAR(D14,INDEX(P27:AI27,1,MATCH(IF(D14&lt;MIN(P3:AI3),INDEX(P3:AI3,1,MATCH(MIN(P3:AI3),P3:AI3,0)),IF(D14&gt;=MAX(P3:AI3),INDEX(P3:AI3,1,MATCH(MAX(P3:AI3),P3:AI3,0)),INDEX(P3:AI3,1,MATCH(D14,P3:AI3,1)))):IF(D14&lt;MIN(P3:AI3),INDEX(P3:AI3,1,MATCH(MIN(P3:AI3),P3:AI3,0)+1),IF(D14&gt;=MAX(P3:AI3),INDEX(P3:AI3,1,MATCH(MAX(P3:AI3),P3:AI3,0)-1),INDEX(P3:AI3,1,MATCH(D14,P3:AI3,1)+1))),P3:AI3,0)),IF(D14&lt;MIN(P3:AI3),INDEX(P3:AI3,1,MATCH(MIN(P3:AI3),P3:AI3,0)),IF(D14&gt;=MAX(P3:AI3),INDEX(P3:AI3,1,MATCH(MAX(P3:AI3),P3:AI3,0)),INDEX(P3:AI3,1,MATCH(D14,P3:AI3,1)))):IF(D14&lt;MIN(P3:AI3),INDEX(P3:AI3,1,MATCH(MIN(P3:AI3),P3:AI3,0)+1),IF(D14&gt;=MAX(P3:AI3),INDEX(P3:AI3,1,MATCH(MAX(P3:AI3),P3:AI3,0)-1),INDEX(P3:AI3,1,MATCH(D14,P3:AI3,1)+1)))),IF(COUNT(P3:AI3)&lt;2,_xlfn.FORECAST.LINEAR(B17,INDEX(P27:P46,MATCH(IF(B17&lt;MIN(O4:O23),INDEX(O4:O23,MATCH(MIN(O4:O23),O4:O23,0)),IF(B17&gt;=MAX(O4:O23),INDEX(O4:O23,MATCH(MAX(O4:O23),O4:O23,0)),INDEX(O4:O23,MATCH(B17,O4:O23,1)))):IF(B17&lt;MIN(O4:O23),INDEX(O4:O23,MATCH(MIN(O4:O23),O4:O23,0)+1),IF(B17&gt;=MAX(O4:O23),INDEX(O4:O23,MATCH(MAX(O4:O23),O4:O23,0)-1),INDEX(O4:O23,MATCH(B17,O4:O23,1)+1))),O4:O23,0)),IF(B17&lt;MIN(O4:O23),INDEX(O4:O23,MATCH(MIN(O4:O23),O4:O23,0)),IF(B17&gt;=MAX(O4:O23),INDEX(O4:O23,MATCH(MAX(O4:O23),O4:O23,0)),INDEX(O4:O23,MATCH(B17,O4:O23,1)))):IF(B17&lt;MIN(O4:O23),INDEX(O4:O23,MATCH(MIN(O4:O23),O4:O23,0)+1),IF(B17&gt;=MAX(O4:O23),INDEX(O4:O23,MATCH(MAX(O4:O23),O4:O23,0)-1),INDEX(O4:O23,MATCH(B17,O4:O23,1)+1)))),1/((INDEX(_xlfn._xlws.FILTER(H4:H23,(INDEX(H4:H23,MATCH(SMALL(K4:K23,1),K4:K23,0))=H4:H23)=FALSE()),MATCH(SMALL(K4:K23,2),_xlfn._xlws.FILTER(K4:K23,(INDEX(H4:H23,MATCH(SMALL(K4:K23,1),K4:K23,0))=H4:H23)=FALSE()),0))-INDEX(H4:H23,MATCH(SMALL(K4:K23,1),K4:K23,0)))*(INDEX(_xlfn._xlws.FILTER(H27:H46,(INDEX(H27:H46,MATCH(SMALL(L27:L46,1),L27:L46,0))=H27:H46)=FALSE()),MATCH(SMALL(L27:L46,2),_xlfn._xlws.FILTER(L27:L46,(INDEX(H27:H46,MATCH(SMALL(L27:L46,1),L27:L46,0))=H27:H46)=FALSE()),0))-INDEX(H27:H46,MATCH(SMALL(L27:L46,1),L27:L46,0))))*(INDEX(P27:AI46,MATCH(INDEX(H27:H46,MATCH(SMALL(L27:L46,1),L27:L46,0)),O27:O46,0),MATCH(INDEX(H4:H23,MATCH(SMALL(K4:K23,1),K4:K23,0)),P26:AI26,0))*(INDEX(_xlfn._xlws.FILTER(H4:H23,(INDEX(H4:H23,MATCH(SMALL(K4:K23,1),K4:K23,0))=H4:H23)=FALSE()),MATCH(SMALL(K4:K23,2),_xlfn._xlws.FILTER(K4:K23,(INDEX(H4:H23,MATCH(SMALL(K4:K23,1),K4:K23,0))=H4:H23)=FALSE()),0))-D14)*(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27:AI46,MATCH(INDEX(H27:H46,MATCH(SMALL(L27:L46,1),L27:L46,0)),O27:O46,0),MATCH(INDEX(_xlfn._xlws.FILTER(H4:H23,(INDEX(H4:H23,MATCH(SMALL(K4:K23,1),K4:K23,0))=H4:H23)=FALSE()),MATCH(SMALL(K4:K23,2),_xlfn._xlws.FILTER(K4:K23,(INDEX(H4:H23,MATCH(SMALL(K4:K23,1),K4:K23,0))=H4:H23)=FALSE()),0)),P26:AI26,0))*(D14-INDEX(H4:H23,MATCH(SMALL(K4:K23,1),K4:K23,0)))*(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27:AI46,MATCH(INDEX(_xlfn._xlws.FILTER(H27:H46,(INDEX(H27:H46,MATCH(SMALL(L27:L46,1),L27:L46,0))=H27:H46)=FALSE()),MATCH(SMALL(L27:L46,2),_xlfn._xlws.FILTER(L27:L46,(INDEX(H27:H46,MATCH(SMALL(L27:L46,1),L27:L46,0))=H27:H46)=FALSE()),0)),O27:O46,0),MATCH(INDEX(H4:H23,MATCH(SMALL(K4:K23,1),K4:K23,0)),P26:AI26,0))*(INDEX(_xlfn._xlws.FILTER(H4:H23,(INDEX(H4:H23,MATCH(SMALL(K4:K23,1),K4:K23,0))=H4:H23)=FALSE()),MATCH(SMALL(K4:K23,2),_xlfn._xlws.FILTER(K4:K23,(INDEX(H4:H23,MATCH(SMALL(K4:K23,1),K4:K23,0))=H4:H23)=FALSE()),0))-D14)*(IF(OR(C9='Data Validation'!D2,C9='Data Validation'!D3),B17,IF(C9='Data Validation'!D3,SUMPRODUCT('Bachelier Model'!N4:N124,'Bachelier Model'!O4:O124)/SUM('Bachelier Model'!N4:N124),"Strike Type Unknown"))-INDEX(H27:H46,MATCH(SMALL(L27:L46,1),L27:L46,0)))+INDEX(P27:AI46,MATCH(INDEX(_xlfn._xlws.FILTER(H27:H46,(INDEX(H27:H46,MATCH(SMALL(L27:L46,1),L27:L46,0))=H27:H46)=FALSE()),MATCH(SMALL(L27:L46,2),_xlfn._xlws.FILTER(L27:L46,(INDEX(H27:H46,MATCH(SMALL(L27:L46,1),L27:L46,0))=H27:H46)=FALSE()),0)),O27:O46,0),MATCH(INDEX(_xlfn._xlws.FILTER(H4:H23,(INDEX(H4:H23,MATCH(SMALL(K4:K23,1),K4:K23,0))=H4:H23)=FALSE()),MATCH(SMALL(K4:K23,2),_xlfn._xlws.FILTER(K4:K23,(INDEX(H4:H23,MATCH(SMALL(K4:K23,1),K4:K23,0))=H4:H23)=FALSE()),0)),P26:AI26,0))*(D14-INDEX(H4:H23,MATCH(SMALL(K4:K23,1),K4:K23,0)))*(IF(OR(C9='Data Validation'!D2,C9='Data Validation'!D3),B17,IF(C9='Data Validation'!D3,SUMPRODUCT('Bachelier Model'!N4:N124,'Bachelier Model'!O4:O124)/SUM('Bachelier Model'!N4:N124),"Strike Type Unknown"))-INDEX(H27:H46,MATCH(SMALL(L27:L46,1),L27:L46,0)))))))</f>
        <v>0.88914289006595604</v>
      </c>
      <c r="E38" s="16" cm="1">
        <f t="array" ref="E38">IF(AND(COUNT(O4:O23)&lt;2,COUNT(P3:AI3)&lt;2),P27,IF(COUNT(O4:O23)&lt;2,_xlfn.FORECAST.LINEAR(E14,INDEX(P27:AI27,1,MATCH(IF(E14&lt;MIN(P3:AI3),INDEX(P3:AI3,1,MATCH(MIN(P3:AI3),P3:AI3,0)),IF(E14&gt;=MAX(P3:AI3),INDEX(P3:AI3,1,MATCH(MAX(P3:AI3),P3:AI3,0)),INDEX(P3:AI3,1,MATCH(E14,P3:AI3,1)))):IF(E14&lt;MIN(P3:AI3),INDEX(P3:AI3,1,MATCH(MIN(P3:AI3),P3:AI3,0)+1),IF(E14&gt;=MAX(P3:AI3),INDEX(P3:AI3,1,MATCH(MAX(P3:AI3),P3:AI3,0)-1),INDEX(P3:AI3,1,MATCH(E14,P3:AI3,1)+1))),P3:AI3,0)),IF(E14&lt;MIN(P3:AI3),INDEX(P3:AI3,1,MATCH(MIN(P3:AI3),P3:AI3,0)),IF(E14&gt;=MAX(P3:AI3),INDEX(P3:AI3,1,MATCH(MAX(P3:AI3),P3:AI3,0)),INDEX(P3:AI3,1,MATCH(E14,P3:AI3,1)))):IF(E14&lt;MIN(P3:AI3),INDEX(P3:AI3,1,MATCH(MIN(P3:AI3),P3:AI3,0)+1),IF(E14&gt;=MAX(P3:AI3),INDEX(P3:AI3,1,MATCH(MAX(P3:AI3),P3:AI3,0)-1),INDEX(P3:AI3,1,MATCH(E14,P3:AI3,1)+1)))),IF(COUNT(P3:AI3)&lt;2,_xlfn.FORECAST.LINEAR(B17,INDEX(P27:P46,MATCH(IF(B17&lt;MIN(O4:O23),INDEX(O4:O23,MATCH(MIN(O4:O23),O4:O23,0)),IF(B17&gt;=MAX(O4:O23),INDEX(O4:O23,MATCH(MAX(O4:O23),O4:O23,0)),INDEX(O4:O23,MATCH(B17,O4:O23,1)))):IF(B17&lt;MIN(O4:O23),INDEX(O4:O23,MATCH(MIN(O4:O23),O4:O23,0)+1),IF(B17&gt;=MAX(O4:O23),INDEX(O4:O23,MATCH(MAX(O4:O23),O4:O23,0)-1),INDEX(O4:O23,MATCH(B17,O4:O23,1)+1))),O4:O23,0)),IF(B17&lt;MIN(O4:O23),INDEX(O4:O23,MATCH(MIN(O4:O23),O4:O23,0)),IF(B17&gt;=MAX(O4:O23),INDEX(O4:O23,MATCH(MAX(O4:O23),O4:O23,0)),INDEX(O4:O23,MATCH(B17,O4:O23,1)))):IF(B17&lt;MIN(O4:O23),INDEX(O4:O23,MATCH(MIN(O4:O23),O4:O23,0)+1),IF(B17&gt;=MAX(O4:O23),INDEX(O4:O23,MATCH(MAX(O4:O23),O4:O23,0)-1),INDEX(O4:O23,MATCH(B17,O4:O23,1)+1)))),1/((INDEX(_xlfn._xlws.FILTER(H4:H23,(INDEX(H4:H23,MATCH(SMALL(L4:L23,1),L4:L23,0))=H4:H23)=FALSE()),MATCH(SMALL(L4:L23,2),_xlfn._xlws.FILTER(L4:L23,(INDEX(H4:H23,MATCH(SMALL(L4:L23,1),L4:L23,0))=H4:H23)=FALSE()),0))-INDEX(H4:H23,MATCH(SMALL(L4:L23,1),L4:L23,0)))*(INDEX(_xlfn._xlws.FILTER(H27:H46,(INDEX(H27:H46,MATCH(SMALL(L27:L46,1),L27:L46,0))=H27:H46)=FALSE()),MATCH(SMALL(L27:L46,2),_xlfn._xlws.FILTER(L27:L46,(INDEX(H27:H46,MATCH(SMALL(L27:L46,1),L27:L46,0))=H27:H46)=FALSE()),0))-INDEX(H27:H46,MATCH(SMALL(L27:L46,1),L27:L46,0))))*(INDEX(P27:AI46,MATCH(INDEX(H27:H46,MATCH(SMALL(L27:L46,1),L27:L46,0)),O27:O46,0),MATCH(INDEX(H4:H23,MATCH(SMALL(L4:L23,1),L4:L23,0)),P26:AI26,0))*(INDEX(_xlfn._xlws.FILTER(H4:H23,(INDEX(H4:H23,MATCH(SMALL(L4:L23,1),L4:L23,0))=H4:H23)=FALSE()),MATCH(SMALL(L4:L23,2),_xlfn._xlws.FILTER(L4:L23,(INDEX(H4:H23,MATCH(SMALL(L4:L23,1),L4:L23,0))=H4:H23)=FALSE()),0))-E14)*(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27:AI46,MATCH(INDEX(H27:H46,MATCH(SMALL(L27:L46,1),L27:L46,0)),O27:O46,0),MATCH(INDEX(_xlfn._xlws.FILTER(H4:H23,(INDEX(H4:H23,MATCH(SMALL(L4:L23,1),L4:L23,0))=H4:H23)=FALSE()),MATCH(SMALL(L4:L23,2),_xlfn._xlws.FILTER(L4:L23,(INDEX(H4:H23,MATCH(SMALL(L4:L23,1),L4:L23,0))=H4:H23)=FALSE()),0)),P26:AI26,0))*(E14-INDEX(H4:H23,MATCH(SMALL(L4:L23,1),L4:L23,0)))*(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27:AI46,MATCH(INDEX(_xlfn._xlws.FILTER(H27:H46,(INDEX(H27:H46,MATCH(SMALL(L27:L46,1),L27:L46,0))=H27:H46)=FALSE()),MATCH(SMALL(L27:L46,2),_xlfn._xlws.FILTER(L27:L46,(INDEX(H27:H46,MATCH(SMALL(L27:L46,1),L27:L46,0))=H27:H46)=FALSE()),0)),O27:O46,0),MATCH(INDEX(H4:H23,MATCH(SMALL(L4:L23,1),L4:L23,0)),P26:AI26,0))*(INDEX(_xlfn._xlws.FILTER(H4:H23,(INDEX(H4:H23,MATCH(SMALL(L4:L23,1),L4:L23,0))=H4:H23)=FALSE()),MATCH(SMALL(L4:L23,2),_xlfn._xlws.FILTER(L4:L23,(INDEX(H4:H23,MATCH(SMALL(L4:L23,1),L4:L23,0))=H4:H23)=FALSE()),0))-E14)*(IF(OR(C9='Data Validation'!D2,C9='Data Validation'!D3),B17,IF(C9='Data Validation'!D3,SUMPRODUCT('Bachelier Model'!N4:N124,'Bachelier Model'!O4:O124)/SUM('Bachelier Model'!N4:N124),"Strike Type Unknown"))-INDEX(H27:H46,MATCH(SMALL(L27:L46,1),L27:L46,0)))+INDEX(P27:AI46,MATCH(INDEX(_xlfn._xlws.FILTER(H27:H46,(INDEX(H27:H46,MATCH(SMALL(L27:L46,1),L27:L46,0))=H27:H46)=FALSE()),MATCH(SMALL(L27:L46,2),_xlfn._xlws.FILTER(L27:L46,(INDEX(H27:H46,MATCH(SMALL(L27:L46,1),L27:L46,0))=H27:H46)=FALSE()),0)),O27:O46,0),MATCH(INDEX(_xlfn._xlws.FILTER(H4:H23,(INDEX(H4:H23,MATCH(SMALL(L4:L23,1),L4:L23,0))=H4:H23)=FALSE()),MATCH(SMALL(L4:L23,2),_xlfn._xlws.FILTER(L4:L23,(INDEX(H4:H23,MATCH(SMALL(L4:L23,1),L4:L23,0))=H4:H23)=FALSE()),0)),P26:AI26,0))*(E14-INDEX(H4:H23,MATCH(SMALL(L4:L23,1),L4:L23,0)))*(IF(OR(C9='Data Validation'!D2,C9='Data Validation'!D3),B17,IF(C9='Data Validation'!D3,SUMPRODUCT('Bachelier Model'!N4:N124,'Bachelier Model'!O4:O124)/SUM('Bachelier Model'!N4:N124),"Strike Type Unknown"))-INDEX(H27:H46,MATCH(SMALL(L27:L46,1),L27:L46,0)))))))</f>
        <v>0.45480169289721006</v>
      </c>
      <c r="F38" s="16" cm="1">
        <f t="array" ref="F38">IF(AND(COUNT(O4:O23)&lt;2,COUNT(P3:AI3)&lt;2),P27,IF(COUNT(O4:O23)&lt;2,_xlfn.FORECAST.LINEAR(F14,INDEX(P27:AI27,1,MATCH(IF(F14&lt;MIN(P3:AI3),INDEX(P3:AI3,1,MATCH(MIN(P3:AI3),P3:AI3,0)),IF(F14&gt;=MAX(P3:AI3),INDEX(P3:AI3,1,MATCH(MAX(P3:AI3),P3:AI3,0)),INDEX(P3:AI3,1,MATCH(F14,P3:AI3,1)))):IF(F14&lt;MIN(P3:AI3),INDEX(P3:AI3,1,MATCH(MIN(P3:AI3),P3:AI3,0)+1),IF(F14&gt;=MAX(P3:AI3),INDEX(P3:AI3,1,MATCH(MAX(P3:AI3),P3:AI3,0)-1),INDEX(P3:AI3,1,MATCH(F14,P3:AI3,1)+1))),P3:AI3,0)),IF(F14&lt;MIN(P3:AI3),INDEX(P3:AI3,1,MATCH(MIN(P3:AI3),P3:AI3,0)),IF(F14&gt;=MAX(P3:AI3),INDEX(P3:AI3,1,MATCH(MAX(P3:AI3),P3:AI3,0)),INDEX(P3:AI3,1,MATCH(F14,P3:AI3,1)))):IF(F14&lt;MIN(P3:AI3),INDEX(P3:AI3,1,MATCH(MIN(P3:AI3),P3:AI3,0)+1),IF(F14&gt;=MAX(P3:AI3),INDEX(P3:AI3,1,MATCH(MAX(P3:AI3),P3:AI3,0)-1),INDEX(P3:AI3,1,MATCH(F14,P3:AI3,1)+1)))),IF(COUNT(P3:AI3)&lt;2,_xlfn.FORECAST.LINEAR(B17,INDEX(P27:P46,MATCH(IF(B17&lt;MIN(O4:O23),INDEX(O4:O23,MATCH(MIN(O4:O23),O4:O23,0)),IF(B17&gt;=MAX(O4:O23),INDEX(O4:O23,MATCH(MAX(O4:O23),O4:O23,0)),INDEX(O4:O23,MATCH(B17,O4:O23,1)))):IF(B17&lt;MIN(O4:O23),INDEX(O4:O23,MATCH(MIN(O4:O23),O4:O23,0)+1),IF(B17&gt;=MAX(O4:O23),INDEX(O4:O23,MATCH(MAX(O4:O23),O4:O23,0)-1),INDEX(O4:O23,MATCH(B17,O4:O23,1)+1))),O4:O23,0)),IF(B17&lt;MIN(O4:O23),INDEX(O4:O23,MATCH(MIN(O4:O23),O4:O23,0)),IF(B17&gt;=MAX(O4:O23),INDEX(O4:O23,MATCH(MAX(O4:O23),O4:O23,0)),INDEX(O4:O23,MATCH(B17,O4:O23,1)))):IF(B17&lt;MIN(O4:O23),INDEX(O4:O23,MATCH(MIN(O4:O23),O4:O23,0)+1),IF(B17&gt;=MAX(O4:O23),INDEX(O4:O23,MATCH(MAX(O4:O23),O4:O23,0)-1),INDEX(O4:O23,MATCH(B17,O4:O23,1)+1)))),1/((INDEX(_xlfn._xlws.FILTER(H4:H23,(INDEX(H4:H23,MATCH(SMALL(M4:M23,1),M4:M23,0))=H4:H23)=FALSE()),MATCH(SMALL(M4:M23,2),_xlfn._xlws.FILTER(M4:M23,(INDEX(H4:H23,MATCH(SMALL(M4:M23,1),M4:M23,0))=H4:H23)=FALSE()),0))-INDEX(H4:H23,MATCH(SMALL(M4:M23,1),M4:M23,0)))*(INDEX(_xlfn._xlws.FILTER(H27:H46,(INDEX(H27:H46,MATCH(SMALL(L27:L46,1),L27:L46,0))=H27:H46)=FALSE()),MATCH(SMALL(L27:L46,2),_xlfn._xlws.FILTER(L27:L46,(INDEX(H27:H46,MATCH(SMALL(L27:L46,1),L27:L46,0))=H27:H46)=FALSE()),0))-INDEX(H27:H46,MATCH(SMALL(L27:L46,1),L27:L46,0))))*(INDEX(P27:AI46,MATCH(INDEX(H27:H46,MATCH(SMALL(L27:L46,1),L27:L46,0)),O27:O46,0),MATCH(INDEX(H4:H23,MATCH(SMALL(M4:M23,1),M4:M23,0)),P26:AI26,0))*(INDEX(_xlfn._xlws.FILTER(H4:H23,(INDEX(H4:H23,MATCH(SMALL(M4:M23,1),M4:M23,0))=H4:H23)=FALSE()),MATCH(SMALL(M4:M23,2),_xlfn._xlws.FILTER(M4:M23,(INDEX(H4:H23,MATCH(SMALL(M4:M23,1),M4:M23,0))=H4:H23)=FALSE()),0))-F14)*(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27:AI46,MATCH(INDEX(H27:H46,MATCH(SMALL(L27:L46,1),L27:L46,0)),O27:O46,0),MATCH(INDEX(_xlfn._xlws.FILTER(H4:H23,(INDEX(H4:H23,MATCH(SMALL(M4:M23,1),M4:M23,0))=H4:H23)=FALSE()),MATCH(SMALL(M4:M23,2),_xlfn._xlws.FILTER(M4:M23,(INDEX(H4:H23,MATCH(SMALL(M4:M23,1),M4:M23,0))=H4:H23)=FALSE()),0)),P26:AI26,0))*(F14-INDEX(H4:H23,MATCH(SMALL(M4:M23,1),M4:M23,0)))*(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27:AI46,MATCH(INDEX(_xlfn._xlws.FILTER(H27:H46,(INDEX(H27:H46,MATCH(SMALL(L27:L46,1),L27:L46,0))=H27:H46)=FALSE()),MATCH(SMALL(L27:L46,2),_xlfn._xlws.FILTER(L27:L46,(INDEX(H27:H46,MATCH(SMALL(L27:L46,1),L27:L46,0))=H27:H46)=FALSE()),0)),O27:O46,0),MATCH(INDEX(H4:H23,MATCH(SMALL(M4:M23,1),M4:M23,0)),P26:AI26,0))*(INDEX(_xlfn._xlws.FILTER(H4:H23,(INDEX(H4:H23,MATCH(SMALL(M4:M23,1),M4:M23,0))=H4:H23)=FALSE()),MATCH(SMALL(M4:M23,2),_xlfn._xlws.FILTER(M4:M23,(INDEX(H4:H23,MATCH(SMALL(M4:M23,1),M4:M23,0))=H4:H23)=FALSE()),0))-F14)*(IF(OR(C9='Data Validation'!D2,C9='Data Validation'!D3),B17,IF(C9='Data Validation'!D3,SUMPRODUCT('Bachelier Model'!N4:N124,'Bachelier Model'!O4:O124)/SUM('Bachelier Model'!N4:N124),"Strike Type Unknown"))-INDEX(H27:H46,MATCH(SMALL(L27:L46,1),L27:L46,0)))+INDEX(P27:AI46,MATCH(INDEX(_xlfn._xlws.FILTER(H27:H46,(INDEX(H27:H46,MATCH(SMALL(L27:L46,1),L27:L46,0))=H27:H46)=FALSE()),MATCH(SMALL(L27:L46,2),_xlfn._xlws.FILTER(L27:L46,(INDEX(H27:H46,MATCH(SMALL(L27:L46,1),L27:L46,0))=H27:H46)=FALSE()),0)),O27:O46,0),MATCH(INDEX(_xlfn._xlws.FILTER(H4:H23,(INDEX(H4:H23,MATCH(SMALL(M4:M23,1),M4:M23,0))=H4:H23)=FALSE()),MATCH(SMALL(M4:M23,2),_xlfn._xlws.FILTER(M4:M23,(INDEX(H4:H23,MATCH(SMALL(M4:M23,1),M4:M23,0))=H4:H23)=FALSE()),0)),P26:AI26,0))*(F14-INDEX(H4:H23,MATCH(SMALL(M4:M23,1),M4:M23,0)))*(IF(OR(C9='Data Validation'!D2,C9='Data Validation'!D3),B17,IF(C9='Data Validation'!D3,SUMPRODUCT('Bachelier Model'!N4:N124,'Bachelier Model'!O4:O124)/SUM('Bachelier Model'!N4:N124),"Strike Type Unknown"))-INDEX(H27:H46,MATCH(SMALL(L27:L46,1),L27:L46,0)))))))</f>
        <v>2.1647220310891765E-2</v>
      </c>
      <c r="H38" s="176"/>
      <c r="I38" s="54" t="str">
        <f t="shared" si="6"/>
        <v/>
      </c>
      <c r="J38" s="55" t="str">
        <f t="shared" si="6"/>
        <v/>
      </c>
      <c r="K38" s="55" t="str">
        <f t="shared" si="6"/>
        <v/>
      </c>
      <c r="L38" s="55" t="str">
        <f t="shared" si="6"/>
        <v/>
      </c>
      <c r="M38" s="48" t="str">
        <f t="shared" si="6"/>
        <v/>
      </c>
      <c r="O38" s="176"/>
      <c r="P38" s="192" t="str" cm="1">
        <f t="array" ref="P38">IF(OR(P$26="",$O38=""),"",1/((INDEX('Adjustment Surface'!$AN$27:$AN$46,MATCH(('Adjustment Surface'!$O38),'Adjustment Surface'!$AN$27:$AN$46,1)+IF('Adjustment Surface'!$O39="",-1,1))-INDEX('Adjustment Surface'!$AN$27:$AN$46,MATCH(('Adjustment Surface'!$O38),'Adjustment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Surface'!$O38),'Adjustment Surface'!$AN$27:$AN$46,1)),$AN$27:$AN$46,0),MATCH(INDEX('Adjustment Surface'!$AO$26:$BH$26,1,MATCH(('Adjustment Surface'!P$26),'Adjustment Surface'!$AO$26:$BH$26,1)),$AO$26:$BH$26,0))*(INDEX('Adjustment Surface'!$AN$27:$AN$46,MATCH(('Adjustment Surface'!$O38),'Adjustment Surface'!$AN$27:$AN$46,1)+IF('Adjustment Surface'!$O39="",-1,1))-'Adjustment Surface'!$O38)*(INDEX('Adjustment Surface'!$AO$26:$BH$26,1,MATCH(('Adjustment Surface'!P$26),'Adjustment Surface'!$AO$26:$BH$26,1)+IF('Adjustment Surface'!Q$26="",-1,1))-'Adjustment Surface'!P$26)+INDEX($AO$27:$BH$46,MATCH(INDEX('Adjustment Surface'!$AN$27:$AN$46,MATCH(('Adjustment Surface'!$O38),'Adjustment Surface'!$AN$27:$AN$46,1)+IF('Adjustment Surface'!$O39="",-1,1)),$AN$27:$AN$46,0),MATCH(INDEX('Adjustment Surface'!$AO$26:$BH$26,1,MATCH(('Adjustment Surface'!P$26),'Adjustment Surface'!$AO$26:$BH$26,1)),$AO$26:$BH$26,0))*('Adjustment Surface'!$O38-INDEX('Adjustment Surface'!$AN$27:$AN$46,MATCH(('Adjustment Surface'!$O38),'Adjustment Surface'!$AN$27:$AN$46,1)))*(INDEX('Adjustment Surface'!$AO$26:$BH$26,1,MATCH(('Adjustment Surface'!P$26),'Adjustment Surface'!$AO$26:$BH$26,1)+IF('Adjustment Surface'!Q$26="",-1,1))-'Adjustment Surface'!P$26)+INDEX($AO$27:$BH$46,MATCH(INDEX('Adjustment Surface'!$AN$27:$AN$46,MATCH(('Adjustment Surface'!$O38),'Adjustment Surface'!$AN$27:$AN$46,1)),$AN$27:$AN$46,0),MATCH(INDEX('Adjustment Surface'!$AO$26:$BH$26,1,MATCH(('Adjustment Surface'!P$26),'Adjustment Surface'!$AO$26:$BH$26,1)+IF('Adjustment Surface'!Q$26="",-1,1)),$AO$26:$BH$26,0))*(INDEX('Adjustment Surface'!$AN$27:$AN$46,MATCH(('Adjustment Surface'!$O38),'Adjustment Surface'!$AN$27:$AN$46,1)+IF('Adjustment Surface'!$O39="",-1,1))-'Adjustment Surface'!$O38)*('Adjustment Surface'!P$26-INDEX('Adjustment Surface'!$AO$26:$BH$26,1,MATCH(('Adjustment Surface'!P$26),'Adjustment Surface'!$AO$26:$BH$26,1)))+INDEX($AO$27:$BH$46,MATCH(INDEX('Adjustment Surface'!$AN$27:$AN$46,MATCH(('Adjustment Surface'!$O38),'Adjustment Surface'!$AN$27:$AN$46,1)+IF('Adjustment Surface'!$O39="",-1,1)),$AN$27:$AN$46,0),MATCH(INDEX('Adjustment Surface'!$AO$26:$BH$26,1,MATCH(('Adjustment Surface'!P$26),'Adjustment Surface'!$AO$26:$BH$26,1)+IF('Adjustment Surface'!Q$26="",-1,1)),$AO$26:$BH$26,0))*('Adjustment Surface'!$O38-INDEX('Adjustment Surface'!$AN$27:$AN$46,MATCH(('Adjustment Surface'!$O38),'Adjustment Surface'!$AN$27:$AN$46,1)))*('Adjustment Surface'!P$26-INDEX('Adjustment Surface'!$AO$26:$BH$26,1,MATCH(('Adjustment Surface'!P$26),'Adjustment Surface'!$AO$26:$BH$26,1)))))</f>
        <v/>
      </c>
      <c r="Q38" s="193" t="str" cm="1">
        <f t="array" ref="Q38">IF(OR(Q$26="",$O38=""),"",1/((INDEX('Adjustment Surface'!$AN$27:$AN$46,MATCH(('Adjustment Surface'!$O38),'Adjustment Surface'!$AN$27:$AN$46,1)+IF('Adjustment Surface'!$O39="",-1,1))-INDEX('Adjustment Surface'!$AN$27:$AN$46,MATCH(('Adjustment Surface'!$O38),'Adjustment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Surface'!$O38),'Adjustment Surface'!$AN$27:$AN$46,1)),$AN$27:$AN$46,0),MATCH(INDEX('Adjustment Surface'!$AO$26:$BH$26,1,MATCH(('Adjustment Surface'!Q$26),'Adjustment Surface'!$AO$26:$BH$26,1)),$AO$26:$BH$26,0))*(INDEX('Adjustment Surface'!$AN$27:$AN$46,MATCH(('Adjustment Surface'!$O38),'Adjustment Surface'!$AN$27:$AN$46,1)+IF('Adjustment Surface'!$O39="",-1,1))-'Adjustment Surface'!$O38)*(INDEX('Adjustment Surface'!$AO$26:$BH$26,1,MATCH(('Adjustment Surface'!Q$26),'Adjustment Surface'!$AO$26:$BH$26,1)+IF('Adjustment Surface'!R$26="",-1,1))-'Adjustment Surface'!Q$26)+INDEX($AO$27:$BH$46,MATCH(INDEX('Adjustment Surface'!$AN$27:$AN$46,MATCH(('Adjustment Surface'!$O38),'Adjustment Surface'!$AN$27:$AN$46,1)+IF('Adjustment Surface'!$O39="",-1,1)),$AN$27:$AN$46,0),MATCH(INDEX('Adjustment Surface'!$AO$26:$BH$26,1,MATCH(('Adjustment Surface'!Q$26),'Adjustment Surface'!$AO$26:$BH$26,1)),$AO$26:$BH$26,0))*('Adjustment Surface'!$O38-INDEX('Adjustment Surface'!$AN$27:$AN$46,MATCH(('Adjustment Surface'!$O38),'Adjustment Surface'!$AN$27:$AN$46,1)))*(INDEX('Adjustment Surface'!$AO$26:$BH$26,1,MATCH(('Adjustment Surface'!Q$26),'Adjustment Surface'!$AO$26:$BH$26,1)+IF('Adjustment Surface'!R$26="",-1,1))-'Adjustment Surface'!Q$26)+INDEX($AO$27:$BH$46,MATCH(INDEX('Adjustment Surface'!$AN$27:$AN$46,MATCH(('Adjustment Surface'!$O38),'Adjustment Surface'!$AN$27:$AN$46,1)),$AN$27:$AN$46,0),MATCH(INDEX('Adjustment Surface'!$AO$26:$BH$26,1,MATCH(('Adjustment Surface'!Q$26),'Adjustment Surface'!$AO$26:$BH$26,1)+IF('Adjustment Surface'!R$26="",-1,1)),$AO$26:$BH$26,0))*(INDEX('Adjustment Surface'!$AN$27:$AN$46,MATCH(('Adjustment Surface'!$O38),'Adjustment Surface'!$AN$27:$AN$46,1)+IF('Adjustment Surface'!$O39="",-1,1))-'Adjustment Surface'!$O38)*('Adjustment Surface'!Q$26-INDEX('Adjustment Surface'!$AO$26:$BH$26,1,MATCH(('Adjustment Surface'!Q$26),'Adjustment Surface'!$AO$26:$BH$26,1)))+INDEX($AO$27:$BH$46,MATCH(INDEX('Adjustment Surface'!$AN$27:$AN$46,MATCH(('Adjustment Surface'!$O38),'Adjustment Surface'!$AN$27:$AN$46,1)+IF('Adjustment Surface'!$O39="",-1,1)),$AN$27:$AN$46,0),MATCH(INDEX('Adjustment Surface'!$AO$26:$BH$26,1,MATCH(('Adjustment Surface'!Q$26),'Adjustment Surface'!$AO$26:$BH$26,1)+IF('Adjustment Surface'!R$26="",-1,1)),$AO$26:$BH$26,0))*('Adjustment Surface'!$O38-INDEX('Adjustment Surface'!$AN$27:$AN$46,MATCH(('Adjustment Surface'!$O38),'Adjustment Surface'!$AN$27:$AN$46,1)))*('Adjustment Surface'!Q$26-INDEX('Adjustment Surface'!$AO$26:$BH$26,1,MATCH(('Adjustment Surface'!Q$26),'Adjustment Surface'!$AO$26:$BH$26,1)))))</f>
        <v/>
      </c>
      <c r="R38" s="193" t="str" cm="1">
        <f t="array" ref="R38">IF(OR(R$26="",$O38=""),"",1/((INDEX('Adjustment Surface'!$AN$27:$AN$46,MATCH(('Adjustment Surface'!$O38),'Adjustment Surface'!$AN$27:$AN$46,1)+IF('Adjustment Surface'!$O39="",-1,1))-INDEX('Adjustment Surface'!$AN$27:$AN$46,MATCH(('Adjustment Surface'!$O38),'Adjustment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Surface'!$O38),'Adjustment Surface'!$AN$27:$AN$46,1)),$AN$27:$AN$46,0),MATCH(INDEX('Adjustment Surface'!$AO$26:$BH$26,1,MATCH(('Adjustment Surface'!R$26),'Adjustment Surface'!$AO$26:$BH$26,1)),$AO$26:$BH$26,0))*(INDEX('Adjustment Surface'!$AN$27:$AN$46,MATCH(('Adjustment Surface'!$O38),'Adjustment Surface'!$AN$27:$AN$46,1)+IF('Adjustment Surface'!$O39="",-1,1))-'Adjustment Surface'!$O38)*(INDEX('Adjustment Surface'!$AO$26:$BH$26,1,MATCH(('Adjustment Surface'!R$26),'Adjustment Surface'!$AO$26:$BH$26,1)+IF('Adjustment Surface'!S$26="",-1,1))-'Adjustment Surface'!R$26)+INDEX($AO$27:$BH$46,MATCH(INDEX('Adjustment Surface'!$AN$27:$AN$46,MATCH(('Adjustment Surface'!$O38),'Adjustment Surface'!$AN$27:$AN$46,1)+IF('Adjustment Surface'!$O39="",-1,1)),$AN$27:$AN$46,0),MATCH(INDEX('Adjustment Surface'!$AO$26:$BH$26,1,MATCH(('Adjustment Surface'!R$26),'Adjustment Surface'!$AO$26:$BH$26,1)),$AO$26:$BH$26,0))*('Adjustment Surface'!$O38-INDEX('Adjustment Surface'!$AN$27:$AN$46,MATCH(('Adjustment Surface'!$O38),'Adjustment Surface'!$AN$27:$AN$46,1)))*(INDEX('Adjustment Surface'!$AO$26:$BH$26,1,MATCH(('Adjustment Surface'!R$26),'Adjustment Surface'!$AO$26:$BH$26,1)+IF('Adjustment Surface'!S$26="",-1,1))-'Adjustment Surface'!R$26)+INDEX($AO$27:$BH$46,MATCH(INDEX('Adjustment Surface'!$AN$27:$AN$46,MATCH(('Adjustment Surface'!$O38),'Adjustment Surface'!$AN$27:$AN$46,1)),$AN$27:$AN$46,0),MATCH(INDEX('Adjustment Surface'!$AO$26:$BH$26,1,MATCH(('Adjustment Surface'!R$26),'Adjustment Surface'!$AO$26:$BH$26,1)+IF('Adjustment Surface'!S$26="",-1,1)),$AO$26:$BH$26,0))*(INDEX('Adjustment Surface'!$AN$27:$AN$46,MATCH(('Adjustment Surface'!$O38),'Adjustment Surface'!$AN$27:$AN$46,1)+IF('Adjustment Surface'!$O39="",-1,1))-'Adjustment Surface'!$O38)*('Adjustment Surface'!R$26-INDEX('Adjustment Surface'!$AO$26:$BH$26,1,MATCH(('Adjustment Surface'!R$26),'Adjustment Surface'!$AO$26:$BH$26,1)))+INDEX($AO$27:$BH$46,MATCH(INDEX('Adjustment Surface'!$AN$27:$AN$46,MATCH(('Adjustment Surface'!$O38),'Adjustment Surface'!$AN$27:$AN$46,1)+IF('Adjustment Surface'!$O39="",-1,1)),$AN$27:$AN$46,0),MATCH(INDEX('Adjustment Surface'!$AO$26:$BH$26,1,MATCH(('Adjustment Surface'!R$26),'Adjustment Surface'!$AO$26:$BH$26,1)+IF('Adjustment Surface'!S$26="",-1,1)),$AO$26:$BH$26,0))*('Adjustment Surface'!$O38-INDEX('Adjustment Surface'!$AN$27:$AN$46,MATCH(('Adjustment Surface'!$O38),'Adjustment Surface'!$AN$27:$AN$46,1)))*('Adjustment Surface'!R$26-INDEX('Adjustment Surface'!$AO$26:$BH$26,1,MATCH(('Adjustment Surface'!R$26),'Adjustment Surface'!$AO$26:$BH$26,1)))))</f>
        <v/>
      </c>
      <c r="S38" s="193" t="str" cm="1">
        <f t="array" ref="S38">IF(OR(S$26="",$O38=""),"",1/((INDEX('Adjustment Surface'!$AN$27:$AN$46,MATCH(('Adjustment Surface'!$O38),'Adjustment Surface'!$AN$27:$AN$46,1)+IF('Adjustment Surface'!$O39="",-1,1))-INDEX('Adjustment Surface'!$AN$27:$AN$46,MATCH(('Adjustment Surface'!$O38),'Adjustment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Surface'!$O38),'Adjustment Surface'!$AN$27:$AN$46,1)),$AN$27:$AN$46,0),MATCH(INDEX('Adjustment Surface'!$AO$26:$BH$26,1,MATCH(('Adjustment Surface'!S$26),'Adjustment Surface'!$AO$26:$BH$26,1)),$AO$26:$BH$26,0))*(INDEX('Adjustment Surface'!$AN$27:$AN$46,MATCH(('Adjustment Surface'!$O38),'Adjustment Surface'!$AN$27:$AN$46,1)+IF('Adjustment Surface'!$O39="",-1,1))-'Adjustment Surface'!$O38)*(INDEX('Adjustment Surface'!$AO$26:$BH$26,1,MATCH(('Adjustment Surface'!S$26),'Adjustment Surface'!$AO$26:$BH$26,1)+IF('Adjustment Surface'!T$26="",-1,1))-'Adjustment Surface'!S$26)+INDEX($AO$27:$BH$46,MATCH(INDEX('Adjustment Surface'!$AN$27:$AN$46,MATCH(('Adjustment Surface'!$O38),'Adjustment Surface'!$AN$27:$AN$46,1)+IF('Adjustment Surface'!$O39="",-1,1)),$AN$27:$AN$46,0),MATCH(INDEX('Adjustment Surface'!$AO$26:$BH$26,1,MATCH(('Adjustment Surface'!S$26),'Adjustment Surface'!$AO$26:$BH$26,1)),$AO$26:$BH$26,0))*('Adjustment Surface'!$O38-INDEX('Adjustment Surface'!$AN$27:$AN$46,MATCH(('Adjustment Surface'!$O38),'Adjustment Surface'!$AN$27:$AN$46,1)))*(INDEX('Adjustment Surface'!$AO$26:$BH$26,1,MATCH(('Adjustment Surface'!S$26),'Adjustment Surface'!$AO$26:$BH$26,1)+IF('Adjustment Surface'!T$26="",-1,1))-'Adjustment Surface'!S$26)+INDEX($AO$27:$BH$46,MATCH(INDEX('Adjustment Surface'!$AN$27:$AN$46,MATCH(('Adjustment Surface'!$O38),'Adjustment Surface'!$AN$27:$AN$46,1)),$AN$27:$AN$46,0),MATCH(INDEX('Adjustment Surface'!$AO$26:$BH$26,1,MATCH(('Adjustment Surface'!S$26),'Adjustment Surface'!$AO$26:$BH$26,1)+IF('Adjustment Surface'!T$26="",-1,1)),$AO$26:$BH$26,0))*(INDEX('Adjustment Surface'!$AN$27:$AN$46,MATCH(('Adjustment Surface'!$O38),'Adjustment Surface'!$AN$27:$AN$46,1)+IF('Adjustment Surface'!$O39="",-1,1))-'Adjustment Surface'!$O38)*('Adjustment Surface'!S$26-INDEX('Adjustment Surface'!$AO$26:$BH$26,1,MATCH(('Adjustment Surface'!S$26),'Adjustment Surface'!$AO$26:$BH$26,1)))+INDEX($AO$27:$BH$46,MATCH(INDEX('Adjustment Surface'!$AN$27:$AN$46,MATCH(('Adjustment Surface'!$O38),'Adjustment Surface'!$AN$27:$AN$46,1)+IF('Adjustment Surface'!$O39="",-1,1)),$AN$27:$AN$46,0),MATCH(INDEX('Adjustment Surface'!$AO$26:$BH$26,1,MATCH(('Adjustment Surface'!S$26),'Adjustment Surface'!$AO$26:$BH$26,1)+IF('Adjustment Surface'!T$26="",-1,1)),$AO$26:$BH$26,0))*('Adjustment Surface'!$O38-INDEX('Adjustment Surface'!$AN$27:$AN$46,MATCH(('Adjustment Surface'!$O38),'Adjustment Surface'!$AN$27:$AN$46,1)))*('Adjustment Surface'!S$26-INDEX('Adjustment Surface'!$AO$26:$BH$26,1,MATCH(('Adjustment Surface'!S$26),'Adjustment Surface'!$AO$26:$BH$26,1)))))</f>
        <v/>
      </c>
      <c r="T38" s="193" t="str" cm="1">
        <f t="array" ref="T38">IF(OR(T$26="",$O38=""),"",1/((INDEX('Adjustment Surface'!$AN$27:$AN$46,MATCH(('Adjustment Surface'!$O38),'Adjustment Surface'!$AN$27:$AN$46,1)+IF('Adjustment Surface'!$O39="",-1,1))-INDEX('Adjustment Surface'!$AN$27:$AN$46,MATCH(('Adjustment Surface'!$O38),'Adjustment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Surface'!$O38),'Adjustment Surface'!$AN$27:$AN$46,1)),$AN$27:$AN$46,0),MATCH(INDEX('Adjustment Surface'!$AO$26:$BH$26,1,MATCH(('Adjustment Surface'!T$26),'Adjustment Surface'!$AO$26:$BH$26,1)),$AO$26:$BH$26,0))*(INDEX('Adjustment Surface'!$AN$27:$AN$46,MATCH(('Adjustment Surface'!$O38),'Adjustment Surface'!$AN$27:$AN$46,1)+IF('Adjustment Surface'!$O39="",-1,1))-'Adjustment Surface'!$O38)*(INDEX('Adjustment Surface'!$AO$26:$BH$26,1,MATCH(('Adjustment Surface'!T$26),'Adjustment Surface'!$AO$26:$BH$26,1)+IF('Adjustment Surface'!U$26="",-1,1))-'Adjustment Surface'!T$26)+INDEX($AO$27:$BH$46,MATCH(INDEX('Adjustment Surface'!$AN$27:$AN$46,MATCH(('Adjustment Surface'!$O38),'Adjustment Surface'!$AN$27:$AN$46,1)+IF('Adjustment Surface'!$O39="",-1,1)),$AN$27:$AN$46,0),MATCH(INDEX('Adjustment Surface'!$AO$26:$BH$26,1,MATCH(('Adjustment Surface'!T$26),'Adjustment Surface'!$AO$26:$BH$26,1)),$AO$26:$BH$26,0))*('Adjustment Surface'!$O38-INDEX('Adjustment Surface'!$AN$27:$AN$46,MATCH(('Adjustment Surface'!$O38),'Adjustment Surface'!$AN$27:$AN$46,1)))*(INDEX('Adjustment Surface'!$AO$26:$BH$26,1,MATCH(('Adjustment Surface'!T$26),'Adjustment Surface'!$AO$26:$BH$26,1)+IF('Adjustment Surface'!U$26="",-1,1))-'Adjustment Surface'!T$26)+INDEX($AO$27:$BH$46,MATCH(INDEX('Adjustment Surface'!$AN$27:$AN$46,MATCH(('Adjustment Surface'!$O38),'Adjustment Surface'!$AN$27:$AN$46,1)),$AN$27:$AN$46,0),MATCH(INDEX('Adjustment Surface'!$AO$26:$BH$26,1,MATCH(('Adjustment Surface'!T$26),'Adjustment Surface'!$AO$26:$BH$26,1)+IF('Adjustment Surface'!U$26="",-1,1)),$AO$26:$BH$26,0))*(INDEX('Adjustment Surface'!$AN$27:$AN$46,MATCH(('Adjustment Surface'!$O38),'Adjustment Surface'!$AN$27:$AN$46,1)+IF('Adjustment Surface'!$O39="",-1,1))-'Adjustment Surface'!$O38)*('Adjustment Surface'!T$26-INDEX('Adjustment Surface'!$AO$26:$BH$26,1,MATCH(('Adjustment Surface'!T$26),'Adjustment Surface'!$AO$26:$BH$26,1)))+INDEX($AO$27:$BH$46,MATCH(INDEX('Adjustment Surface'!$AN$27:$AN$46,MATCH(('Adjustment Surface'!$O38),'Adjustment Surface'!$AN$27:$AN$46,1)+IF('Adjustment Surface'!$O39="",-1,1)),$AN$27:$AN$46,0),MATCH(INDEX('Adjustment Surface'!$AO$26:$BH$26,1,MATCH(('Adjustment Surface'!T$26),'Adjustment Surface'!$AO$26:$BH$26,1)+IF('Adjustment Surface'!U$26="",-1,1)),$AO$26:$BH$26,0))*('Adjustment Surface'!$O38-INDEX('Adjustment Surface'!$AN$27:$AN$46,MATCH(('Adjustment Surface'!$O38),'Adjustment Surface'!$AN$27:$AN$46,1)))*('Adjustment Surface'!T$26-INDEX('Adjustment Surface'!$AO$26:$BH$26,1,MATCH(('Adjustment Surface'!T$26),'Adjustment Surface'!$AO$26:$BH$26,1)))))</f>
        <v/>
      </c>
      <c r="U38" s="193" t="str" cm="1">
        <f t="array" ref="U38">IF(OR(U$26="",$O38=""),"",1/((INDEX('Adjustment Surface'!$AN$27:$AN$46,MATCH(('Adjustment Surface'!$O38),'Adjustment Surface'!$AN$27:$AN$46,1)+IF('Adjustment Surface'!$O39="",-1,1))-INDEX('Adjustment Surface'!$AN$27:$AN$46,MATCH(('Adjustment Surface'!$O38),'Adjustment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Surface'!$O38),'Adjustment Surface'!$AN$27:$AN$46,1)),$AN$27:$AN$46,0),MATCH(INDEX('Adjustment Surface'!$AO$26:$BH$26,1,MATCH(('Adjustment Surface'!U$26),'Adjustment Surface'!$AO$26:$BH$26,1)),$AO$26:$BH$26,0))*(INDEX('Adjustment Surface'!$AN$27:$AN$46,MATCH(('Adjustment Surface'!$O38),'Adjustment Surface'!$AN$27:$AN$46,1)+IF('Adjustment Surface'!$O39="",-1,1))-'Adjustment Surface'!$O38)*(INDEX('Adjustment Surface'!$AO$26:$BH$26,1,MATCH(('Adjustment Surface'!U$26),'Adjustment Surface'!$AO$26:$BH$26,1)+IF('Adjustment Surface'!V$26="",-1,1))-'Adjustment Surface'!U$26)+INDEX($AO$27:$BH$46,MATCH(INDEX('Adjustment Surface'!$AN$27:$AN$46,MATCH(('Adjustment Surface'!$O38),'Adjustment Surface'!$AN$27:$AN$46,1)+IF('Adjustment Surface'!$O39="",-1,1)),$AN$27:$AN$46,0),MATCH(INDEX('Adjustment Surface'!$AO$26:$BH$26,1,MATCH(('Adjustment Surface'!U$26),'Adjustment Surface'!$AO$26:$BH$26,1)),$AO$26:$BH$26,0))*('Adjustment Surface'!$O38-INDEX('Adjustment Surface'!$AN$27:$AN$46,MATCH(('Adjustment Surface'!$O38),'Adjustment Surface'!$AN$27:$AN$46,1)))*(INDEX('Adjustment Surface'!$AO$26:$BH$26,1,MATCH(('Adjustment Surface'!U$26),'Adjustment Surface'!$AO$26:$BH$26,1)+IF('Adjustment Surface'!V$26="",-1,1))-'Adjustment Surface'!U$26)+INDEX($AO$27:$BH$46,MATCH(INDEX('Adjustment Surface'!$AN$27:$AN$46,MATCH(('Adjustment Surface'!$O38),'Adjustment Surface'!$AN$27:$AN$46,1)),$AN$27:$AN$46,0),MATCH(INDEX('Adjustment Surface'!$AO$26:$BH$26,1,MATCH(('Adjustment Surface'!U$26),'Adjustment Surface'!$AO$26:$BH$26,1)+IF('Adjustment Surface'!V$26="",-1,1)),$AO$26:$BH$26,0))*(INDEX('Adjustment Surface'!$AN$27:$AN$46,MATCH(('Adjustment Surface'!$O38),'Adjustment Surface'!$AN$27:$AN$46,1)+IF('Adjustment Surface'!$O39="",-1,1))-'Adjustment Surface'!$O38)*('Adjustment Surface'!U$26-INDEX('Adjustment Surface'!$AO$26:$BH$26,1,MATCH(('Adjustment Surface'!U$26),'Adjustment Surface'!$AO$26:$BH$26,1)))+INDEX($AO$27:$BH$46,MATCH(INDEX('Adjustment Surface'!$AN$27:$AN$46,MATCH(('Adjustment Surface'!$O38),'Adjustment Surface'!$AN$27:$AN$46,1)+IF('Adjustment Surface'!$O39="",-1,1)),$AN$27:$AN$46,0),MATCH(INDEX('Adjustment Surface'!$AO$26:$BH$26,1,MATCH(('Adjustment Surface'!U$26),'Adjustment Surface'!$AO$26:$BH$26,1)+IF('Adjustment Surface'!V$26="",-1,1)),$AO$26:$BH$26,0))*('Adjustment Surface'!$O38-INDEX('Adjustment Surface'!$AN$27:$AN$46,MATCH(('Adjustment Surface'!$O38),'Adjustment Surface'!$AN$27:$AN$46,1)))*('Adjustment Surface'!U$26-INDEX('Adjustment Surface'!$AO$26:$BH$26,1,MATCH(('Adjustment Surface'!U$26),'Adjustment Surface'!$AO$26:$BH$26,1)))))</f>
        <v/>
      </c>
      <c r="V38" s="193" t="str" cm="1">
        <f t="array" ref="V38">IF(OR(V$26="",$O38=""),"",1/((INDEX('Adjustment Surface'!$AN$27:$AN$46,MATCH(('Adjustment Surface'!$O38),'Adjustment Surface'!$AN$27:$AN$46,1)+IF('Adjustment Surface'!$O39="",-1,1))-INDEX('Adjustment Surface'!$AN$27:$AN$46,MATCH(('Adjustment Surface'!$O38),'Adjustment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Surface'!$O38),'Adjustment Surface'!$AN$27:$AN$46,1)),$AN$27:$AN$46,0),MATCH(INDEX('Adjustment Surface'!$AO$26:$BH$26,1,MATCH(('Adjustment Surface'!V$26),'Adjustment Surface'!$AO$26:$BH$26,1)),$AO$26:$BH$26,0))*(INDEX('Adjustment Surface'!$AN$27:$AN$46,MATCH(('Adjustment Surface'!$O38),'Adjustment Surface'!$AN$27:$AN$46,1)+IF('Adjustment Surface'!$O39="",-1,1))-'Adjustment Surface'!$O38)*(INDEX('Adjustment Surface'!$AO$26:$BH$26,1,MATCH(('Adjustment Surface'!V$26),'Adjustment Surface'!$AO$26:$BH$26,1)+IF('Adjustment Surface'!W$26="",-1,1))-'Adjustment Surface'!V$26)+INDEX($AO$27:$BH$46,MATCH(INDEX('Adjustment Surface'!$AN$27:$AN$46,MATCH(('Adjustment Surface'!$O38),'Adjustment Surface'!$AN$27:$AN$46,1)+IF('Adjustment Surface'!$O39="",-1,1)),$AN$27:$AN$46,0),MATCH(INDEX('Adjustment Surface'!$AO$26:$BH$26,1,MATCH(('Adjustment Surface'!V$26),'Adjustment Surface'!$AO$26:$BH$26,1)),$AO$26:$BH$26,0))*('Adjustment Surface'!$O38-INDEX('Adjustment Surface'!$AN$27:$AN$46,MATCH(('Adjustment Surface'!$O38),'Adjustment Surface'!$AN$27:$AN$46,1)))*(INDEX('Adjustment Surface'!$AO$26:$BH$26,1,MATCH(('Adjustment Surface'!V$26),'Adjustment Surface'!$AO$26:$BH$26,1)+IF('Adjustment Surface'!W$26="",-1,1))-'Adjustment Surface'!V$26)+INDEX($AO$27:$BH$46,MATCH(INDEX('Adjustment Surface'!$AN$27:$AN$46,MATCH(('Adjustment Surface'!$O38),'Adjustment Surface'!$AN$27:$AN$46,1)),$AN$27:$AN$46,0),MATCH(INDEX('Adjustment Surface'!$AO$26:$BH$26,1,MATCH(('Adjustment Surface'!V$26),'Adjustment Surface'!$AO$26:$BH$26,1)+IF('Adjustment Surface'!W$26="",-1,1)),$AO$26:$BH$26,0))*(INDEX('Adjustment Surface'!$AN$27:$AN$46,MATCH(('Adjustment Surface'!$O38),'Adjustment Surface'!$AN$27:$AN$46,1)+IF('Adjustment Surface'!$O39="",-1,1))-'Adjustment Surface'!$O38)*('Adjustment Surface'!V$26-INDEX('Adjustment Surface'!$AO$26:$BH$26,1,MATCH(('Adjustment Surface'!V$26),'Adjustment Surface'!$AO$26:$BH$26,1)))+INDEX($AO$27:$BH$46,MATCH(INDEX('Adjustment Surface'!$AN$27:$AN$46,MATCH(('Adjustment Surface'!$O38),'Adjustment Surface'!$AN$27:$AN$46,1)+IF('Adjustment Surface'!$O39="",-1,1)),$AN$27:$AN$46,0),MATCH(INDEX('Adjustment Surface'!$AO$26:$BH$26,1,MATCH(('Adjustment Surface'!V$26),'Adjustment Surface'!$AO$26:$BH$26,1)+IF('Adjustment Surface'!W$26="",-1,1)),$AO$26:$BH$26,0))*('Adjustment Surface'!$O38-INDEX('Adjustment Surface'!$AN$27:$AN$46,MATCH(('Adjustment Surface'!$O38),'Adjustment Surface'!$AN$27:$AN$46,1)))*('Adjustment Surface'!V$26-INDEX('Adjustment Surface'!$AO$26:$BH$26,1,MATCH(('Adjustment Surface'!V$26),'Adjustment Surface'!$AO$26:$BH$26,1)))))</f>
        <v/>
      </c>
      <c r="W38" s="193" t="str" cm="1">
        <f t="array" ref="W38">IF(OR(W$26="",$O38=""),"",1/((INDEX('Adjustment Surface'!$AN$27:$AN$46,MATCH(('Adjustment Surface'!$O38),'Adjustment Surface'!$AN$27:$AN$46,1)+IF('Adjustment Surface'!$O39="",-1,1))-INDEX('Adjustment Surface'!$AN$27:$AN$46,MATCH(('Adjustment Surface'!$O38),'Adjustment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Surface'!$O38),'Adjustment Surface'!$AN$27:$AN$46,1)),$AN$27:$AN$46,0),MATCH(INDEX('Adjustment Surface'!$AO$26:$BH$26,1,MATCH(('Adjustment Surface'!W$26),'Adjustment Surface'!$AO$26:$BH$26,1)),$AO$26:$BH$26,0))*(INDEX('Adjustment Surface'!$AN$27:$AN$46,MATCH(('Adjustment Surface'!$O38),'Adjustment Surface'!$AN$27:$AN$46,1)+IF('Adjustment Surface'!$O39="",-1,1))-'Adjustment Surface'!$O38)*(INDEX('Adjustment Surface'!$AO$26:$BH$26,1,MATCH(('Adjustment Surface'!W$26),'Adjustment Surface'!$AO$26:$BH$26,1)+IF('Adjustment Surface'!X$26="",-1,1))-'Adjustment Surface'!W$26)+INDEX($AO$27:$BH$46,MATCH(INDEX('Adjustment Surface'!$AN$27:$AN$46,MATCH(('Adjustment Surface'!$O38),'Adjustment Surface'!$AN$27:$AN$46,1)+IF('Adjustment Surface'!$O39="",-1,1)),$AN$27:$AN$46,0),MATCH(INDEX('Adjustment Surface'!$AO$26:$BH$26,1,MATCH(('Adjustment Surface'!W$26),'Adjustment Surface'!$AO$26:$BH$26,1)),$AO$26:$BH$26,0))*('Adjustment Surface'!$O38-INDEX('Adjustment Surface'!$AN$27:$AN$46,MATCH(('Adjustment Surface'!$O38),'Adjustment Surface'!$AN$27:$AN$46,1)))*(INDEX('Adjustment Surface'!$AO$26:$BH$26,1,MATCH(('Adjustment Surface'!W$26),'Adjustment Surface'!$AO$26:$BH$26,1)+IF('Adjustment Surface'!X$26="",-1,1))-'Adjustment Surface'!W$26)+INDEX($AO$27:$BH$46,MATCH(INDEX('Adjustment Surface'!$AN$27:$AN$46,MATCH(('Adjustment Surface'!$O38),'Adjustment Surface'!$AN$27:$AN$46,1)),$AN$27:$AN$46,0),MATCH(INDEX('Adjustment Surface'!$AO$26:$BH$26,1,MATCH(('Adjustment Surface'!W$26),'Adjustment Surface'!$AO$26:$BH$26,1)+IF('Adjustment Surface'!X$26="",-1,1)),$AO$26:$BH$26,0))*(INDEX('Adjustment Surface'!$AN$27:$AN$46,MATCH(('Adjustment Surface'!$O38),'Adjustment Surface'!$AN$27:$AN$46,1)+IF('Adjustment Surface'!$O39="",-1,1))-'Adjustment Surface'!$O38)*('Adjustment Surface'!W$26-INDEX('Adjustment Surface'!$AO$26:$BH$26,1,MATCH(('Adjustment Surface'!W$26),'Adjustment Surface'!$AO$26:$BH$26,1)))+INDEX($AO$27:$BH$46,MATCH(INDEX('Adjustment Surface'!$AN$27:$AN$46,MATCH(('Adjustment Surface'!$O38),'Adjustment Surface'!$AN$27:$AN$46,1)+IF('Adjustment Surface'!$O39="",-1,1)),$AN$27:$AN$46,0),MATCH(INDEX('Adjustment Surface'!$AO$26:$BH$26,1,MATCH(('Adjustment Surface'!W$26),'Adjustment Surface'!$AO$26:$BH$26,1)+IF('Adjustment Surface'!X$26="",-1,1)),$AO$26:$BH$26,0))*('Adjustment Surface'!$O38-INDEX('Adjustment Surface'!$AN$27:$AN$46,MATCH(('Adjustment Surface'!$O38),'Adjustment Surface'!$AN$27:$AN$46,1)))*('Adjustment Surface'!W$26-INDEX('Adjustment Surface'!$AO$26:$BH$26,1,MATCH(('Adjustment Surface'!W$26),'Adjustment Surface'!$AO$26:$BH$26,1)))))</f>
        <v/>
      </c>
      <c r="X38" s="193" t="str" cm="1">
        <f t="array" ref="X38">IF(OR(X$26="",$O38=""),"",1/((INDEX('Adjustment Surface'!$AN$27:$AN$46,MATCH(('Adjustment Surface'!$O38),'Adjustment Surface'!$AN$27:$AN$46,1)+IF('Adjustment Surface'!$O39="",-1,1))-INDEX('Adjustment Surface'!$AN$27:$AN$46,MATCH(('Adjustment Surface'!$O38),'Adjustment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Surface'!$O38),'Adjustment Surface'!$AN$27:$AN$46,1)),$AN$27:$AN$46,0),MATCH(INDEX('Adjustment Surface'!$AO$26:$BH$26,1,MATCH(('Adjustment Surface'!X$26),'Adjustment Surface'!$AO$26:$BH$26,1)),$AO$26:$BH$26,0))*(INDEX('Adjustment Surface'!$AN$27:$AN$46,MATCH(('Adjustment Surface'!$O38),'Adjustment Surface'!$AN$27:$AN$46,1)+IF('Adjustment Surface'!$O39="",-1,1))-'Adjustment Surface'!$O38)*(INDEX('Adjustment Surface'!$AO$26:$BH$26,1,MATCH(('Adjustment Surface'!X$26),'Adjustment Surface'!$AO$26:$BH$26,1)+IF('Adjustment Surface'!Y$26="",-1,1))-'Adjustment Surface'!X$26)+INDEX($AO$27:$BH$46,MATCH(INDEX('Adjustment Surface'!$AN$27:$AN$46,MATCH(('Adjustment Surface'!$O38),'Adjustment Surface'!$AN$27:$AN$46,1)+IF('Adjustment Surface'!$O39="",-1,1)),$AN$27:$AN$46,0),MATCH(INDEX('Adjustment Surface'!$AO$26:$BH$26,1,MATCH(('Adjustment Surface'!X$26),'Adjustment Surface'!$AO$26:$BH$26,1)),$AO$26:$BH$26,0))*('Adjustment Surface'!$O38-INDEX('Adjustment Surface'!$AN$27:$AN$46,MATCH(('Adjustment Surface'!$O38),'Adjustment Surface'!$AN$27:$AN$46,1)))*(INDEX('Adjustment Surface'!$AO$26:$BH$26,1,MATCH(('Adjustment Surface'!X$26),'Adjustment Surface'!$AO$26:$BH$26,1)+IF('Adjustment Surface'!Y$26="",-1,1))-'Adjustment Surface'!X$26)+INDEX($AO$27:$BH$46,MATCH(INDEX('Adjustment Surface'!$AN$27:$AN$46,MATCH(('Adjustment Surface'!$O38),'Adjustment Surface'!$AN$27:$AN$46,1)),$AN$27:$AN$46,0),MATCH(INDEX('Adjustment Surface'!$AO$26:$BH$26,1,MATCH(('Adjustment Surface'!X$26),'Adjustment Surface'!$AO$26:$BH$26,1)+IF('Adjustment Surface'!Y$26="",-1,1)),$AO$26:$BH$26,0))*(INDEX('Adjustment Surface'!$AN$27:$AN$46,MATCH(('Adjustment Surface'!$O38),'Adjustment Surface'!$AN$27:$AN$46,1)+IF('Adjustment Surface'!$O39="",-1,1))-'Adjustment Surface'!$O38)*('Adjustment Surface'!X$26-INDEX('Adjustment Surface'!$AO$26:$BH$26,1,MATCH(('Adjustment Surface'!X$26),'Adjustment Surface'!$AO$26:$BH$26,1)))+INDEX($AO$27:$BH$46,MATCH(INDEX('Adjustment Surface'!$AN$27:$AN$46,MATCH(('Adjustment Surface'!$O38),'Adjustment Surface'!$AN$27:$AN$46,1)+IF('Adjustment Surface'!$O39="",-1,1)),$AN$27:$AN$46,0),MATCH(INDEX('Adjustment Surface'!$AO$26:$BH$26,1,MATCH(('Adjustment Surface'!X$26),'Adjustment Surface'!$AO$26:$BH$26,1)+IF('Adjustment Surface'!Y$26="",-1,1)),$AO$26:$BH$26,0))*('Adjustment Surface'!$O38-INDEX('Adjustment Surface'!$AN$27:$AN$46,MATCH(('Adjustment Surface'!$O38),'Adjustment Surface'!$AN$27:$AN$46,1)))*('Adjustment Surface'!X$26-INDEX('Adjustment Surface'!$AO$26:$BH$26,1,MATCH(('Adjustment Surface'!X$26),'Adjustment Surface'!$AO$26:$BH$26,1)))))</f>
        <v/>
      </c>
      <c r="Y38" s="193" t="str" cm="1">
        <f t="array" ref="Y38">IF(OR(Y$26="",$O38=""),"",1/((INDEX('Adjustment Surface'!$AN$27:$AN$46,MATCH(('Adjustment Surface'!$O38),'Adjustment Surface'!$AN$27:$AN$46,1)+IF('Adjustment Surface'!$O39="",-1,1))-INDEX('Adjustment Surface'!$AN$27:$AN$46,MATCH(('Adjustment Surface'!$O38),'Adjustment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Surface'!$O38),'Adjustment Surface'!$AN$27:$AN$46,1)),$AN$27:$AN$46,0),MATCH(INDEX('Adjustment Surface'!$AO$26:$BH$26,1,MATCH(('Adjustment Surface'!Y$26),'Adjustment Surface'!$AO$26:$BH$26,1)),$AO$26:$BH$26,0))*(INDEX('Adjustment Surface'!$AN$27:$AN$46,MATCH(('Adjustment Surface'!$O38),'Adjustment Surface'!$AN$27:$AN$46,1)+IF('Adjustment Surface'!$O39="",-1,1))-'Adjustment Surface'!$O38)*(INDEX('Adjustment Surface'!$AO$26:$BH$26,1,MATCH(('Adjustment Surface'!Y$26),'Adjustment Surface'!$AO$26:$BH$26,1)+IF('Adjustment Surface'!Z$26="",-1,1))-'Adjustment Surface'!Y$26)+INDEX($AO$27:$BH$46,MATCH(INDEX('Adjustment Surface'!$AN$27:$AN$46,MATCH(('Adjustment Surface'!$O38),'Adjustment Surface'!$AN$27:$AN$46,1)+IF('Adjustment Surface'!$O39="",-1,1)),$AN$27:$AN$46,0),MATCH(INDEX('Adjustment Surface'!$AO$26:$BH$26,1,MATCH(('Adjustment Surface'!Y$26),'Adjustment Surface'!$AO$26:$BH$26,1)),$AO$26:$BH$26,0))*('Adjustment Surface'!$O38-INDEX('Adjustment Surface'!$AN$27:$AN$46,MATCH(('Adjustment Surface'!$O38),'Adjustment Surface'!$AN$27:$AN$46,1)))*(INDEX('Adjustment Surface'!$AO$26:$BH$26,1,MATCH(('Adjustment Surface'!Y$26),'Adjustment Surface'!$AO$26:$BH$26,1)+IF('Adjustment Surface'!Z$26="",-1,1))-'Adjustment Surface'!Y$26)+INDEX($AO$27:$BH$46,MATCH(INDEX('Adjustment Surface'!$AN$27:$AN$46,MATCH(('Adjustment Surface'!$O38),'Adjustment Surface'!$AN$27:$AN$46,1)),$AN$27:$AN$46,0),MATCH(INDEX('Adjustment Surface'!$AO$26:$BH$26,1,MATCH(('Adjustment Surface'!Y$26),'Adjustment Surface'!$AO$26:$BH$26,1)+IF('Adjustment Surface'!Z$26="",-1,1)),$AO$26:$BH$26,0))*(INDEX('Adjustment Surface'!$AN$27:$AN$46,MATCH(('Adjustment Surface'!$O38),'Adjustment Surface'!$AN$27:$AN$46,1)+IF('Adjustment Surface'!$O39="",-1,1))-'Adjustment Surface'!$O38)*('Adjustment Surface'!Y$26-INDEX('Adjustment Surface'!$AO$26:$BH$26,1,MATCH(('Adjustment Surface'!Y$26),'Adjustment Surface'!$AO$26:$BH$26,1)))+INDEX($AO$27:$BH$46,MATCH(INDEX('Adjustment Surface'!$AN$27:$AN$46,MATCH(('Adjustment Surface'!$O38),'Adjustment Surface'!$AN$27:$AN$46,1)+IF('Adjustment Surface'!$O39="",-1,1)),$AN$27:$AN$46,0),MATCH(INDEX('Adjustment Surface'!$AO$26:$BH$26,1,MATCH(('Adjustment Surface'!Y$26),'Adjustment Surface'!$AO$26:$BH$26,1)+IF('Adjustment Surface'!Z$26="",-1,1)),$AO$26:$BH$26,0))*('Adjustment Surface'!$O38-INDEX('Adjustment Surface'!$AN$27:$AN$46,MATCH(('Adjustment Surface'!$O38),'Adjustment Surface'!$AN$27:$AN$46,1)))*('Adjustment Surface'!Y$26-INDEX('Adjustment Surface'!$AO$26:$BH$26,1,MATCH(('Adjustment Surface'!Y$26),'Adjustment Surface'!$AO$26:$BH$26,1)))))</f>
        <v/>
      </c>
      <c r="Z38" s="193" t="str" cm="1">
        <f t="array" ref="Z38">IF(OR(Z$26="",$O38=""),"",1/((INDEX('Adjustment Surface'!$AN$27:$AN$46,MATCH(('Adjustment Surface'!$O38),'Adjustment Surface'!$AN$27:$AN$46,1)+IF('Adjustment Surface'!$O39="",-1,1))-INDEX('Adjustment Surface'!$AN$27:$AN$46,MATCH(('Adjustment Surface'!$O38),'Adjustment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Surface'!$O38),'Adjustment Surface'!$AN$27:$AN$46,1)),$AN$27:$AN$46,0),MATCH(INDEX('Adjustment Surface'!$AO$26:$BH$26,1,MATCH(('Adjustment Surface'!Z$26),'Adjustment Surface'!$AO$26:$BH$26,1)),$AO$26:$BH$26,0))*(INDEX('Adjustment Surface'!$AN$27:$AN$46,MATCH(('Adjustment Surface'!$O38),'Adjustment Surface'!$AN$27:$AN$46,1)+IF('Adjustment Surface'!$O39="",-1,1))-'Adjustment Surface'!$O38)*(INDEX('Adjustment Surface'!$AO$26:$BH$26,1,MATCH(('Adjustment Surface'!Z$26),'Adjustment Surface'!$AO$26:$BH$26,1)+IF('Adjustment Surface'!AA$26="",-1,1))-'Adjustment Surface'!Z$26)+INDEX($AO$27:$BH$46,MATCH(INDEX('Adjustment Surface'!$AN$27:$AN$46,MATCH(('Adjustment Surface'!$O38),'Adjustment Surface'!$AN$27:$AN$46,1)+IF('Adjustment Surface'!$O39="",-1,1)),$AN$27:$AN$46,0),MATCH(INDEX('Adjustment Surface'!$AO$26:$BH$26,1,MATCH(('Adjustment Surface'!Z$26),'Adjustment Surface'!$AO$26:$BH$26,1)),$AO$26:$BH$26,0))*('Adjustment Surface'!$O38-INDEX('Adjustment Surface'!$AN$27:$AN$46,MATCH(('Adjustment Surface'!$O38),'Adjustment Surface'!$AN$27:$AN$46,1)))*(INDEX('Adjustment Surface'!$AO$26:$BH$26,1,MATCH(('Adjustment Surface'!Z$26),'Adjustment Surface'!$AO$26:$BH$26,1)+IF('Adjustment Surface'!AA$26="",-1,1))-'Adjustment Surface'!Z$26)+INDEX($AO$27:$BH$46,MATCH(INDEX('Adjustment Surface'!$AN$27:$AN$46,MATCH(('Adjustment Surface'!$O38),'Adjustment Surface'!$AN$27:$AN$46,1)),$AN$27:$AN$46,0),MATCH(INDEX('Adjustment Surface'!$AO$26:$BH$26,1,MATCH(('Adjustment Surface'!Z$26),'Adjustment Surface'!$AO$26:$BH$26,1)+IF('Adjustment Surface'!AA$26="",-1,1)),$AO$26:$BH$26,0))*(INDEX('Adjustment Surface'!$AN$27:$AN$46,MATCH(('Adjustment Surface'!$O38),'Adjustment Surface'!$AN$27:$AN$46,1)+IF('Adjustment Surface'!$O39="",-1,1))-'Adjustment Surface'!$O38)*('Adjustment Surface'!Z$26-INDEX('Adjustment Surface'!$AO$26:$BH$26,1,MATCH(('Adjustment Surface'!Z$26),'Adjustment Surface'!$AO$26:$BH$26,1)))+INDEX($AO$27:$BH$46,MATCH(INDEX('Adjustment Surface'!$AN$27:$AN$46,MATCH(('Adjustment Surface'!$O38),'Adjustment Surface'!$AN$27:$AN$46,1)+IF('Adjustment Surface'!$O39="",-1,1)),$AN$27:$AN$46,0),MATCH(INDEX('Adjustment Surface'!$AO$26:$BH$26,1,MATCH(('Adjustment Surface'!Z$26),'Adjustment Surface'!$AO$26:$BH$26,1)+IF('Adjustment Surface'!AA$26="",-1,1)),$AO$26:$BH$26,0))*('Adjustment Surface'!$O38-INDEX('Adjustment Surface'!$AN$27:$AN$46,MATCH(('Adjustment Surface'!$O38),'Adjustment Surface'!$AN$27:$AN$46,1)))*('Adjustment Surface'!Z$26-INDEX('Adjustment Surface'!$AO$26:$BH$26,1,MATCH(('Adjustment Surface'!Z$26),'Adjustment Surface'!$AO$26:$BH$26,1)))))</f>
        <v/>
      </c>
      <c r="AA38" s="193" t="str" cm="1">
        <f t="array" ref="AA38">IF(OR(AA$26="",$O38=""),"",1/((INDEX('Adjustment Surface'!$AN$27:$AN$46,MATCH(('Adjustment Surface'!$O38),'Adjustment Surface'!$AN$27:$AN$46,1)+IF('Adjustment Surface'!$O39="",-1,1))-INDEX('Adjustment Surface'!$AN$27:$AN$46,MATCH(('Adjustment Surface'!$O38),'Adjustment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Surface'!$O38),'Adjustment Surface'!$AN$27:$AN$46,1)),$AN$27:$AN$46,0),MATCH(INDEX('Adjustment Surface'!$AO$26:$BH$26,1,MATCH(('Adjustment Surface'!AA$26),'Adjustment Surface'!$AO$26:$BH$26,1)),$AO$26:$BH$26,0))*(INDEX('Adjustment Surface'!$AN$27:$AN$46,MATCH(('Adjustment Surface'!$O38),'Adjustment Surface'!$AN$27:$AN$46,1)+IF('Adjustment Surface'!$O39="",-1,1))-'Adjustment Surface'!$O38)*(INDEX('Adjustment Surface'!$AO$26:$BH$26,1,MATCH(('Adjustment Surface'!AA$26),'Adjustment Surface'!$AO$26:$BH$26,1)+IF('Adjustment Surface'!AB$26="",-1,1))-'Adjustment Surface'!AA$26)+INDEX($AO$27:$BH$46,MATCH(INDEX('Adjustment Surface'!$AN$27:$AN$46,MATCH(('Adjustment Surface'!$O38),'Adjustment Surface'!$AN$27:$AN$46,1)+IF('Adjustment Surface'!$O39="",-1,1)),$AN$27:$AN$46,0),MATCH(INDEX('Adjustment Surface'!$AO$26:$BH$26,1,MATCH(('Adjustment Surface'!AA$26),'Adjustment Surface'!$AO$26:$BH$26,1)),$AO$26:$BH$26,0))*('Adjustment Surface'!$O38-INDEX('Adjustment Surface'!$AN$27:$AN$46,MATCH(('Adjustment Surface'!$O38),'Adjustment Surface'!$AN$27:$AN$46,1)))*(INDEX('Adjustment Surface'!$AO$26:$BH$26,1,MATCH(('Adjustment Surface'!AA$26),'Adjustment Surface'!$AO$26:$BH$26,1)+IF('Adjustment Surface'!AB$26="",-1,1))-'Adjustment Surface'!AA$26)+INDEX($AO$27:$BH$46,MATCH(INDEX('Adjustment Surface'!$AN$27:$AN$46,MATCH(('Adjustment Surface'!$O38),'Adjustment Surface'!$AN$27:$AN$46,1)),$AN$27:$AN$46,0),MATCH(INDEX('Adjustment Surface'!$AO$26:$BH$26,1,MATCH(('Adjustment Surface'!AA$26),'Adjustment Surface'!$AO$26:$BH$26,1)+IF('Adjustment Surface'!AB$26="",-1,1)),$AO$26:$BH$26,0))*(INDEX('Adjustment Surface'!$AN$27:$AN$46,MATCH(('Adjustment Surface'!$O38),'Adjustment Surface'!$AN$27:$AN$46,1)+IF('Adjustment Surface'!$O39="",-1,1))-'Adjustment Surface'!$O38)*('Adjustment Surface'!AA$26-INDEX('Adjustment Surface'!$AO$26:$BH$26,1,MATCH(('Adjustment Surface'!AA$26),'Adjustment Surface'!$AO$26:$BH$26,1)))+INDEX($AO$27:$BH$46,MATCH(INDEX('Adjustment Surface'!$AN$27:$AN$46,MATCH(('Adjustment Surface'!$O38),'Adjustment Surface'!$AN$27:$AN$46,1)+IF('Adjustment Surface'!$O39="",-1,1)),$AN$27:$AN$46,0),MATCH(INDEX('Adjustment Surface'!$AO$26:$BH$26,1,MATCH(('Adjustment Surface'!AA$26),'Adjustment Surface'!$AO$26:$BH$26,1)+IF('Adjustment Surface'!AB$26="",-1,1)),$AO$26:$BH$26,0))*('Adjustment Surface'!$O38-INDEX('Adjustment Surface'!$AN$27:$AN$46,MATCH(('Adjustment Surface'!$O38),'Adjustment Surface'!$AN$27:$AN$46,1)))*('Adjustment Surface'!AA$26-INDEX('Adjustment Surface'!$AO$26:$BH$26,1,MATCH(('Adjustment Surface'!AA$26),'Adjustment Surface'!$AO$26:$BH$26,1)))))</f>
        <v/>
      </c>
      <c r="AB38" s="193" t="str" cm="1">
        <f t="array" ref="AB38">IF(OR(AB$26="",$O38=""),"",1/((INDEX('Adjustment Surface'!$AN$27:$AN$46,MATCH(('Adjustment Surface'!$O38),'Adjustment Surface'!$AN$27:$AN$46,1)+IF('Adjustment Surface'!$O39="",-1,1))-INDEX('Adjustment Surface'!$AN$27:$AN$46,MATCH(('Adjustment Surface'!$O38),'Adjustment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Surface'!$O38),'Adjustment Surface'!$AN$27:$AN$46,1)),$AN$27:$AN$46,0),MATCH(INDEX('Adjustment Surface'!$AO$26:$BH$26,1,MATCH(('Adjustment Surface'!AB$26),'Adjustment Surface'!$AO$26:$BH$26,1)),$AO$26:$BH$26,0))*(INDEX('Adjustment Surface'!$AN$27:$AN$46,MATCH(('Adjustment Surface'!$O38),'Adjustment Surface'!$AN$27:$AN$46,1)+IF('Adjustment Surface'!$O39="",-1,1))-'Adjustment Surface'!$O38)*(INDEX('Adjustment Surface'!$AO$26:$BH$26,1,MATCH(('Adjustment Surface'!AB$26),'Adjustment Surface'!$AO$26:$BH$26,1)+IF('Adjustment Surface'!AC$26="",-1,1))-'Adjustment Surface'!AB$26)+INDEX($AO$27:$BH$46,MATCH(INDEX('Adjustment Surface'!$AN$27:$AN$46,MATCH(('Adjustment Surface'!$O38),'Adjustment Surface'!$AN$27:$AN$46,1)+IF('Adjustment Surface'!$O39="",-1,1)),$AN$27:$AN$46,0),MATCH(INDEX('Adjustment Surface'!$AO$26:$BH$26,1,MATCH(('Adjustment Surface'!AB$26),'Adjustment Surface'!$AO$26:$BH$26,1)),$AO$26:$BH$26,0))*('Adjustment Surface'!$O38-INDEX('Adjustment Surface'!$AN$27:$AN$46,MATCH(('Adjustment Surface'!$O38),'Adjustment Surface'!$AN$27:$AN$46,1)))*(INDEX('Adjustment Surface'!$AO$26:$BH$26,1,MATCH(('Adjustment Surface'!AB$26),'Adjustment Surface'!$AO$26:$BH$26,1)+IF('Adjustment Surface'!AC$26="",-1,1))-'Adjustment Surface'!AB$26)+INDEX($AO$27:$BH$46,MATCH(INDEX('Adjustment Surface'!$AN$27:$AN$46,MATCH(('Adjustment Surface'!$O38),'Adjustment Surface'!$AN$27:$AN$46,1)),$AN$27:$AN$46,0),MATCH(INDEX('Adjustment Surface'!$AO$26:$BH$26,1,MATCH(('Adjustment Surface'!AB$26),'Adjustment Surface'!$AO$26:$BH$26,1)+IF('Adjustment Surface'!AC$26="",-1,1)),$AO$26:$BH$26,0))*(INDEX('Adjustment Surface'!$AN$27:$AN$46,MATCH(('Adjustment Surface'!$O38),'Adjustment Surface'!$AN$27:$AN$46,1)+IF('Adjustment Surface'!$O39="",-1,1))-'Adjustment Surface'!$O38)*('Adjustment Surface'!AB$26-INDEX('Adjustment Surface'!$AO$26:$BH$26,1,MATCH(('Adjustment Surface'!AB$26),'Adjustment Surface'!$AO$26:$BH$26,1)))+INDEX($AO$27:$BH$46,MATCH(INDEX('Adjustment Surface'!$AN$27:$AN$46,MATCH(('Adjustment Surface'!$O38),'Adjustment Surface'!$AN$27:$AN$46,1)+IF('Adjustment Surface'!$O39="",-1,1)),$AN$27:$AN$46,0),MATCH(INDEX('Adjustment Surface'!$AO$26:$BH$26,1,MATCH(('Adjustment Surface'!AB$26),'Adjustment Surface'!$AO$26:$BH$26,1)+IF('Adjustment Surface'!AC$26="",-1,1)),$AO$26:$BH$26,0))*('Adjustment Surface'!$O38-INDEX('Adjustment Surface'!$AN$27:$AN$46,MATCH(('Adjustment Surface'!$O38),'Adjustment Surface'!$AN$27:$AN$46,1)))*('Adjustment Surface'!AB$26-INDEX('Adjustment Surface'!$AO$26:$BH$26,1,MATCH(('Adjustment Surface'!AB$26),'Adjustment Surface'!$AO$26:$BH$26,1)))))</f>
        <v/>
      </c>
      <c r="AC38" s="193" t="str" cm="1">
        <f t="array" ref="AC38">IF(OR(AC$26="",$O38=""),"",1/((INDEX('Adjustment Surface'!$AN$27:$AN$46,MATCH(('Adjustment Surface'!$O38),'Adjustment Surface'!$AN$27:$AN$46,1)+IF('Adjustment Surface'!$O39="",-1,1))-INDEX('Adjustment Surface'!$AN$27:$AN$46,MATCH(('Adjustment Surface'!$O38),'Adjustment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Surface'!$O38),'Adjustment Surface'!$AN$27:$AN$46,1)),$AN$27:$AN$46,0),MATCH(INDEX('Adjustment Surface'!$AO$26:$BH$26,1,MATCH(('Adjustment Surface'!AC$26),'Adjustment Surface'!$AO$26:$BH$26,1)),$AO$26:$BH$26,0))*(INDEX('Adjustment Surface'!$AN$27:$AN$46,MATCH(('Adjustment Surface'!$O38),'Adjustment Surface'!$AN$27:$AN$46,1)+IF('Adjustment Surface'!$O39="",-1,1))-'Adjustment Surface'!$O38)*(INDEX('Adjustment Surface'!$AO$26:$BH$26,1,MATCH(('Adjustment Surface'!AC$26),'Adjustment Surface'!$AO$26:$BH$26,1)+IF('Adjustment Surface'!AD$26="",-1,1))-'Adjustment Surface'!AC$26)+INDEX($AO$27:$BH$46,MATCH(INDEX('Adjustment Surface'!$AN$27:$AN$46,MATCH(('Adjustment Surface'!$O38),'Adjustment Surface'!$AN$27:$AN$46,1)+IF('Adjustment Surface'!$O39="",-1,1)),$AN$27:$AN$46,0),MATCH(INDEX('Adjustment Surface'!$AO$26:$BH$26,1,MATCH(('Adjustment Surface'!AC$26),'Adjustment Surface'!$AO$26:$BH$26,1)),$AO$26:$BH$26,0))*('Adjustment Surface'!$O38-INDEX('Adjustment Surface'!$AN$27:$AN$46,MATCH(('Adjustment Surface'!$O38),'Adjustment Surface'!$AN$27:$AN$46,1)))*(INDEX('Adjustment Surface'!$AO$26:$BH$26,1,MATCH(('Adjustment Surface'!AC$26),'Adjustment Surface'!$AO$26:$BH$26,1)+IF('Adjustment Surface'!AD$26="",-1,1))-'Adjustment Surface'!AC$26)+INDEX($AO$27:$BH$46,MATCH(INDEX('Adjustment Surface'!$AN$27:$AN$46,MATCH(('Adjustment Surface'!$O38),'Adjustment Surface'!$AN$27:$AN$46,1)),$AN$27:$AN$46,0),MATCH(INDEX('Adjustment Surface'!$AO$26:$BH$26,1,MATCH(('Adjustment Surface'!AC$26),'Adjustment Surface'!$AO$26:$BH$26,1)+IF('Adjustment Surface'!AD$26="",-1,1)),$AO$26:$BH$26,0))*(INDEX('Adjustment Surface'!$AN$27:$AN$46,MATCH(('Adjustment Surface'!$O38),'Adjustment Surface'!$AN$27:$AN$46,1)+IF('Adjustment Surface'!$O39="",-1,1))-'Adjustment Surface'!$O38)*('Adjustment Surface'!AC$26-INDEX('Adjustment Surface'!$AO$26:$BH$26,1,MATCH(('Adjustment Surface'!AC$26),'Adjustment Surface'!$AO$26:$BH$26,1)))+INDEX($AO$27:$BH$46,MATCH(INDEX('Adjustment Surface'!$AN$27:$AN$46,MATCH(('Adjustment Surface'!$O38),'Adjustment Surface'!$AN$27:$AN$46,1)+IF('Adjustment Surface'!$O39="",-1,1)),$AN$27:$AN$46,0),MATCH(INDEX('Adjustment Surface'!$AO$26:$BH$26,1,MATCH(('Adjustment Surface'!AC$26),'Adjustment Surface'!$AO$26:$BH$26,1)+IF('Adjustment Surface'!AD$26="",-1,1)),$AO$26:$BH$26,0))*('Adjustment Surface'!$O38-INDEX('Adjustment Surface'!$AN$27:$AN$46,MATCH(('Adjustment Surface'!$O38),'Adjustment Surface'!$AN$27:$AN$46,1)))*('Adjustment Surface'!AC$26-INDEX('Adjustment Surface'!$AO$26:$BH$26,1,MATCH(('Adjustment Surface'!AC$26),'Adjustment Surface'!$AO$26:$BH$26,1)))))</f>
        <v/>
      </c>
      <c r="AD38" s="193" t="str" cm="1">
        <f t="array" ref="AD38">IF(OR(AD$26="",$O38=""),"",1/((INDEX('Adjustment Surface'!$AN$27:$AN$46,MATCH(('Adjustment Surface'!$O38),'Adjustment Surface'!$AN$27:$AN$46,1)+IF('Adjustment Surface'!$O39="",-1,1))-INDEX('Adjustment Surface'!$AN$27:$AN$46,MATCH(('Adjustment Surface'!$O38),'Adjustment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Surface'!$O38),'Adjustment Surface'!$AN$27:$AN$46,1)),$AN$27:$AN$46,0),MATCH(INDEX('Adjustment Surface'!$AO$26:$BH$26,1,MATCH(('Adjustment Surface'!AD$26),'Adjustment Surface'!$AO$26:$BH$26,1)),$AO$26:$BH$26,0))*(INDEX('Adjustment Surface'!$AN$27:$AN$46,MATCH(('Adjustment Surface'!$O38),'Adjustment Surface'!$AN$27:$AN$46,1)+IF('Adjustment Surface'!$O39="",-1,1))-'Adjustment Surface'!$O38)*(INDEX('Adjustment Surface'!$AO$26:$BH$26,1,MATCH(('Adjustment Surface'!AD$26),'Adjustment Surface'!$AO$26:$BH$26,1)+IF('Adjustment Surface'!AE$26="",-1,1))-'Adjustment Surface'!AD$26)+INDEX($AO$27:$BH$46,MATCH(INDEX('Adjustment Surface'!$AN$27:$AN$46,MATCH(('Adjustment Surface'!$O38),'Adjustment Surface'!$AN$27:$AN$46,1)+IF('Adjustment Surface'!$O39="",-1,1)),$AN$27:$AN$46,0),MATCH(INDEX('Adjustment Surface'!$AO$26:$BH$26,1,MATCH(('Adjustment Surface'!AD$26),'Adjustment Surface'!$AO$26:$BH$26,1)),$AO$26:$BH$26,0))*('Adjustment Surface'!$O38-INDEX('Adjustment Surface'!$AN$27:$AN$46,MATCH(('Adjustment Surface'!$O38),'Adjustment Surface'!$AN$27:$AN$46,1)))*(INDEX('Adjustment Surface'!$AO$26:$BH$26,1,MATCH(('Adjustment Surface'!AD$26),'Adjustment Surface'!$AO$26:$BH$26,1)+IF('Adjustment Surface'!AE$26="",-1,1))-'Adjustment Surface'!AD$26)+INDEX($AO$27:$BH$46,MATCH(INDEX('Adjustment Surface'!$AN$27:$AN$46,MATCH(('Adjustment Surface'!$O38),'Adjustment Surface'!$AN$27:$AN$46,1)),$AN$27:$AN$46,0),MATCH(INDEX('Adjustment Surface'!$AO$26:$BH$26,1,MATCH(('Adjustment Surface'!AD$26),'Adjustment Surface'!$AO$26:$BH$26,1)+IF('Adjustment Surface'!AE$26="",-1,1)),$AO$26:$BH$26,0))*(INDEX('Adjustment Surface'!$AN$27:$AN$46,MATCH(('Adjustment Surface'!$O38),'Adjustment Surface'!$AN$27:$AN$46,1)+IF('Adjustment Surface'!$O39="",-1,1))-'Adjustment Surface'!$O38)*('Adjustment Surface'!AD$26-INDEX('Adjustment Surface'!$AO$26:$BH$26,1,MATCH(('Adjustment Surface'!AD$26),'Adjustment Surface'!$AO$26:$BH$26,1)))+INDEX($AO$27:$BH$46,MATCH(INDEX('Adjustment Surface'!$AN$27:$AN$46,MATCH(('Adjustment Surface'!$O38),'Adjustment Surface'!$AN$27:$AN$46,1)+IF('Adjustment Surface'!$O39="",-1,1)),$AN$27:$AN$46,0),MATCH(INDEX('Adjustment Surface'!$AO$26:$BH$26,1,MATCH(('Adjustment Surface'!AD$26),'Adjustment Surface'!$AO$26:$BH$26,1)+IF('Adjustment Surface'!AE$26="",-1,1)),$AO$26:$BH$26,0))*('Adjustment Surface'!$O38-INDEX('Adjustment Surface'!$AN$27:$AN$46,MATCH(('Adjustment Surface'!$O38),'Adjustment Surface'!$AN$27:$AN$46,1)))*('Adjustment Surface'!AD$26-INDEX('Adjustment Surface'!$AO$26:$BH$26,1,MATCH(('Adjustment Surface'!AD$26),'Adjustment Surface'!$AO$26:$BH$26,1)))))</f>
        <v/>
      </c>
      <c r="AE38" s="193" t="str" cm="1">
        <f t="array" ref="AE38">IF(OR(AE$26="",$O38=""),"",1/((INDEX('Adjustment Surface'!$AN$27:$AN$46,MATCH(('Adjustment Surface'!$O38),'Adjustment Surface'!$AN$27:$AN$46,1)+IF('Adjustment Surface'!$O39="",-1,1))-INDEX('Adjustment Surface'!$AN$27:$AN$46,MATCH(('Adjustment Surface'!$O38),'Adjustment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Surface'!$O38),'Adjustment Surface'!$AN$27:$AN$46,1)),$AN$27:$AN$46,0),MATCH(INDEX('Adjustment Surface'!$AO$26:$BH$26,1,MATCH(('Adjustment Surface'!AE$26),'Adjustment Surface'!$AO$26:$BH$26,1)),$AO$26:$BH$26,0))*(INDEX('Adjustment Surface'!$AN$27:$AN$46,MATCH(('Adjustment Surface'!$O38),'Adjustment Surface'!$AN$27:$AN$46,1)+IF('Adjustment Surface'!$O39="",-1,1))-'Adjustment Surface'!$O38)*(INDEX('Adjustment Surface'!$AO$26:$BH$26,1,MATCH(('Adjustment Surface'!AE$26),'Adjustment Surface'!$AO$26:$BH$26,1)+IF('Adjustment Surface'!AF$26="",-1,1))-'Adjustment Surface'!AE$26)+INDEX($AO$27:$BH$46,MATCH(INDEX('Adjustment Surface'!$AN$27:$AN$46,MATCH(('Adjustment Surface'!$O38),'Adjustment Surface'!$AN$27:$AN$46,1)+IF('Adjustment Surface'!$O39="",-1,1)),$AN$27:$AN$46,0),MATCH(INDEX('Adjustment Surface'!$AO$26:$BH$26,1,MATCH(('Adjustment Surface'!AE$26),'Adjustment Surface'!$AO$26:$BH$26,1)),$AO$26:$BH$26,0))*('Adjustment Surface'!$O38-INDEX('Adjustment Surface'!$AN$27:$AN$46,MATCH(('Adjustment Surface'!$O38),'Adjustment Surface'!$AN$27:$AN$46,1)))*(INDEX('Adjustment Surface'!$AO$26:$BH$26,1,MATCH(('Adjustment Surface'!AE$26),'Adjustment Surface'!$AO$26:$BH$26,1)+IF('Adjustment Surface'!AF$26="",-1,1))-'Adjustment Surface'!AE$26)+INDEX($AO$27:$BH$46,MATCH(INDEX('Adjustment Surface'!$AN$27:$AN$46,MATCH(('Adjustment Surface'!$O38),'Adjustment Surface'!$AN$27:$AN$46,1)),$AN$27:$AN$46,0),MATCH(INDEX('Adjustment Surface'!$AO$26:$BH$26,1,MATCH(('Adjustment Surface'!AE$26),'Adjustment Surface'!$AO$26:$BH$26,1)+IF('Adjustment Surface'!AF$26="",-1,1)),$AO$26:$BH$26,0))*(INDEX('Adjustment Surface'!$AN$27:$AN$46,MATCH(('Adjustment Surface'!$O38),'Adjustment Surface'!$AN$27:$AN$46,1)+IF('Adjustment Surface'!$O39="",-1,1))-'Adjustment Surface'!$O38)*('Adjustment Surface'!AE$26-INDEX('Adjustment Surface'!$AO$26:$BH$26,1,MATCH(('Adjustment Surface'!AE$26),'Adjustment Surface'!$AO$26:$BH$26,1)))+INDEX($AO$27:$BH$46,MATCH(INDEX('Adjustment Surface'!$AN$27:$AN$46,MATCH(('Adjustment Surface'!$O38),'Adjustment Surface'!$AN$27:$AN$46,1)+IF('Adjustment Surface'!$O39="",-1,1)),$AN$27:$AN$46,0),MATCH(INDEX('Adjustment Surface'!$AO$26:$BH$26,1,MATCH(('Adjustment Surface'!AE$26),'Adjustment Surface'!$AO$26:$BH$26,1)+IF('Adjustment Surface'!AF$26="",-1,1)),$AO$26:$BH$26,0))*('Adjustment Surface'!$O38-INDEX('Adjustment Surface'!$AN$27:$AN$46,MATCH(('Adjustment Surface'!$O38),'Adjustment Surface'!$AN$27:$AN$46,1)))*('Adjustment Surface'!AE$26-INDEX('Adjustment Surface'!$AO$26:$BH$26,1,MATCH(('Adjustment Surface'!AE$26),'Adjustment Surface'!$AO$26:$BH$26,1)))))</f>
        <v/>
      </c>
      <c r="AF38" s="193" t="str" cm="1">
        <f t="array" ref="AF38">IF(OR(AF$26="",$O38=""),"",1/((INDEX('Adjustment Surface'!$AN$27:$AN$46,MATCH(('Adjustment Surface'!$O38),'Adjustment Surface'!$AN$27:$AN$46,1)+IF('Adjustment Surface'!$O39="",-1,1))-INDEX('Adjustment Surface'!$AN$27:$AN$46,MATCH(('Adjustment Surface'!$O38),'Adjustment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Surface'!$O38),'Adjustment Surface'!$AN$27:$AN$46,1)),$AN$27:$AN$46,0),MATCH(INDEX('Adjustment Surface'!$AO$26:$BH$26,1,MATCH(('Adjustment Surface'!AF$26),'Adjustment Surface'!$AO$26:$BH$26,1)),$AO$26:$BH$26,0))*(INDEX('Adjustment Surface'!$AN$27:$AN$46,MATCH(('Adjustment Surface'!$O38),'Adjustment Surface'!$AN$27:$AN$46,1)+IF('Adjustment Surface'!$O39="",-1,1))-'Adjustment Surface'!$O38)*(INDEX('Adjustment Surface'!$AO$26:$BH$26,1,MATCH(('Adjustment Surface'!AF$26),'Adjustment Surface'!$AO$26:$BH$26,1)+IF('Adjustment Surface'!AG$26="",-1,1))-'Adjustment Surface'!AF$26)+INDEX($AO$27:$BH$46,MATCH(INDEX('Adjustment Surface'!$AN$27:$AN$46,MATCH(('Adjustment Surface'!$O38),'Adjustment Surface'!$AN$27:$AN$46,1)+IF('Adjustment Surface'!$O39="",-1,1)),$AN$27:$AN$46,0),MATCH(INDEX('Adjustment Surface'!$AO$26:$BH$26,1,MATCH(('Adjustment Surface'!AF$26),'Adjustment Surface'!$AO$26:$BH$26,1)),$AO$26:$BH$26,0))*('Adjustment Surface'!$O38-INDEX('Adjustment Surface'!$AN$27:$AN$46,MATCH(('Adjustment Surface'!$O38),'Adjustment Surface'!$AN$27:$AN$46,1)))*(INDEX('Adjustment Surface'!$AO$26:$BH$26,1,MATCH(('Adjustment Surface'!AF$26),'Adjustment Surface'!$AO$26:$BH$26,1)+IF('Adjustment Surface'!AG$26="",-1,1))-'Adjustment Surface'!AF$26)+INDEX($AO$27:$BH$46,MATCH(INDEX('Adjustment Surface'!$AN$27:$AN$46,MATCH(('Adjustment Surface'!$O38),'Adjustment Surface'!$AN$27:$AN$46,1)),$AN$27:$AN$46,0),MATCH(INDEX('Adjustment Surface'!$AO$26:$BH$26,1,MATCH(('Adjustment Surface'!AF$26),'Adjustment Surface'!$AO$26:$BH$26,1)+IF('Adjustment Surface'!AG$26="",-1,1)),$AO$26:$BH$26,0))*(INDEX('Adjustment Surface'!$AN$27:$AN$46,MATCH(('Adjustment Surface'!$O38),'Adjustment Surface'!$AN$27:$AN$46,1)+IF('Adjustment Surface'!$O39="",-1,1))-'Adjustment Surface'!$O38)*('Adjustment Surface'!AF$26-INDEX('Adjustment Surface'!$AO$26:$BH$26,1,MATCH(('Adjustment Surface'!AF$26),'Adjustment Surface'!$AO$26:$BH$26,1)))+INDEX($AO$27:$BH$46,MATCH(INDEX('Adjustment Surface'!$AN$27:$AN$46,MATCH(('Adjustment Surface'!$O38),'Adjustment Surface'!$AN$27:$AN$46,1)+IF('Adjustment Surface'!$O39="",-1,1)),$AN$27:$AN$46,0),MATCH(INDEX('Adjustment Surface'!$AO$26:$BH$26,1,MATCH(('Adjustment Surface'!AF$26),'Adjustment Surface'!$AO$26:$BH$26,1)+IF('Adjustment Surface'!AG$26="",-1,1)),$AO$26:$BH$26,0))*('Adjustment Surface'!$O38-INDEX('Adjustment Surface'!$AN$27:$AN$46,MATCH(('Adjustment Surface'!$O38),'Adjustment Surface'!$AN$27:$AN$46,1)))*('Adjustment Surface'!AF$26-INDEX('Adjustment Surface'!$AO$26:$BH$26,1,MATCH(('Adjustment Surface'!AF$26),'Adjustment Surface'!$AO$26:$BH$26,1)))))</f>
        <v/>
      </c>
      <c r="AG38" s="193" t="str" cm="1">
        <f t="array" ref="AG38">IF(OR(AG$26="",$O38=""),"",1/((INDEX('Adjustment Surface'!$AN$27:$AN$46,MATCH(('Adjustment Surface'!$O38),'Adjustment Surface'!$AN$27:$AN$46,1)+IF('Adjustment Surface'!$O39="",-1,1))-INDEX('Adjustment Surface'!$AN$27:$AN$46,MATCH(('Adjustment Surface'!$O38),'Adjustment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Surface'!$O38),'Adjustment Surface'!$AN$27:$AN$46,1)),$AN$27:$AN$46,0),MATCH(INDEX('Adjustment Surface'!$AO$26:$BH$26,1,MATCH(('Adjustment Surface'!AG$26),'Adjustment Surface'!$AO$26:$BH$26,1)),$AO$26:$BH$26,0))*(INDEX('Adjustment Surface'!$AN$27:$AN$46,MATCH(('Adjustment Surface'!$O38),'Adjustment Surface'!$AN$27:$AN$46,1)+IF('Adjustment Surface'!$O39="",-1,1))-'Adjustment Surface'!$O38)*(INDEX('Adjustment Surface'!$AO$26:$BH$26,1,MATCH(('Adjustment Surface'!AG$26),'Adjustment Surface'!$AO$26:$BH$26,1)+IF('Adjustment Surface'!AH$26="",-1,1))-'Adjustment Surface'!AG$26)+INDEX($AO$27:$BH$46,MATCH(INDEX('Adjustment Surface'!$AN$27:$AN$46,MATCH(('Adjustment Surface'!$O38),'Adjustment Surface'!$AN$27:$AN$46,1)+IF('Adjustment Surface'!$O39="",-1,1)),$AN$27:$AN$46,0),MATCH(INDEX('Adjustment Surface'!$AO$26:$BH$26,1,MATCH(('Adjustment Surface'!AG$26),'Adjustment Surface'!$AO$26:$BH$26,1)),$AO$26:$BH$26,0))*('Adjustment Surface'!$O38-INDEX('Adjustment Surface'!$AN$27:$AN$46,MATCH(('Adjustment Surface'!$O38),'Adjustment Surface'!$AN$27:$AN$46,1)))*(INDEX('Adjustment Surface'!$AO$26:$BH$26,1,MATCH(('Adjustment Surface'!AG$26),'Adjustment Surface'!$AO$26:$BH$26,1)+IF('Adjustment Surface'!AH$26="",-1,1))-'Adjustment Surface'!AG$26)+INDEX($AO$27:$BH$46,MATCH(INDEX('Adjustment Surface'!$AN$27:$AN$46,MATCH(('Adjustment Surface'!$O38),'Adjustment Surface'!$AN$27:$AN$46,1)),$AN$27:$AN$46,0),MATCH(INDEX('Adjustment Surface'!$AO$26:$BH$26,1,MATCH(('Adjustment Surface'!AG$26),'Adjustment Surface'!$AO$26:$BH$26,1)+IF('Adjustment Surface'!AH$26="",-1,1)),$AO$26:$BH$26,0))*(INDEX('Adjustment Surface'!$AN$27:$AN$46,MATCH(('Adjustment Surface'!$O38),'Adjustment Surface'!$AN$27:$AN$46,1)+IF('Adjustment Surface'!$O39="",-1,1))-'Adjustment Surface'!$O38)*('Adjustment Surface'!AG$26-INDEX('Adjustment Surface'!$AO$26:$BH$26,1,MATCH(('Adjustment Surface'!AG$26),'Adjustment Surface'!$AO$26:$BH$26,1)))+INDEX($AO$27:$BH$46,MATCH(INDEX('Adjustment Surface'!$AN$27:$AN$46,MATCH(('Adjustment Surface'!$O38),'Adjustment Surface'!$AN$27:$AN$46,1)+IF('Adjustment Surface'!$O39="",-1,1)),$AN$27:$AN$46,0),MATCH(INDEX('Adjustment Surface'!$AO$26:$BH$26,1,MATCH(('Adjustment Surface'!AG$26),'Adjustment Surface'!$AO$26:$BH$26,1)+IF('Adjustment Surface'!AH$26="",-1,1)),$AO$26:$BH$26,0))*('Adjustment Surface'!$O38-INDEX('Adjustment Surface'!$AN$27:$AN$46,MATCH(('Adjustment Surface'!$O38),'Adjustment Surface'!$AN$27:$AN$46,1)))*('Adjustment Surface'!AG$26-INDEX('Adjustment Surface'!$AO$26:$BH$26,1,MATCH(('Adjustment Surface'!AG$26),'Adjustment Surface'!$AO$26:$BH$26,1)))))</f>
        <v/>
      </c>
      <c r="AH38" s="193" t="str" cm="1">
        <f t="array" ref="AH38">IF(OR(AH$26="",$O38=""),"",1/((INDEX('Adjustment Surface'!$AN$27:$AN$46,MATCH(('Adjustment Surface'!$O38),'Adjustment Surface'!$AN$27:$AN$46,1)+IF('Adjustment Surface'!$O39="",-1,1))-INDEX('Adjustment Surface'!$AN$27:$AN$46,MATCH(('Adjustment Surface'!$O38),'Adjustment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Surface'!$O38),'Adjustment Surface'!$AN$27:$AN$46,1)),$AN$27:$AN$46,0),MATCH(INDEX('Adjustment Surface'!$AO$26:$BH$26,1,MATCH(('Adjustment Surface'!AH$26),'Adjustment Surface'!$AO$26:$BH$26,1)),$AO$26:$BH$26,0))*(INDEX('Adjustment Surface'!$AN$27:$AN$46,MATCH(('Adjustment Surface'!$O38),'Adjustment Surface'!$AN$27:$AN$46,1)+IF('Adjustment Surface'!$O39="",-1,1))-'Adjustment Surface'!$O38)*(INDEX('Adjustment Surface'!$AO$26:$BH$26,1,MATCH(('Adjustment Surface'!AH$26),'Adjustment Surface'!$AO$26:$BH$26,1)+IF('Adjustment Surface'!AI$26="",-1,1))-'Adjustment Surface'!AH$26)+INDEX($AO$27:$BH$46,MATCH(INDEX('Adjustment Surface'!$AN$27:$AN$46,MATCH(('Adjustment Surface'!$O38),'Adjustment Surface'!$AN$27:$AN$46,1)+IF('Adjustment Surface'!$O39="",-1,1)),$AN$27:$AN$46,0),MATCH(INDEX('Adjustment Surface'!$AO$26:$BH$26,1,MATCH(('Adjustment Surface'!AH$26),'Adjustment Surface'!$AO$26:$BH$26,1)),$AO$26:$BH$26,0))*('Adjustment Surface'!$O38-INDEX('Adjustment Surface'!$AN$27:$AN$46,MATCH(('Adjustment Surface'!$O38),'Adjustment Surface'!$AN$27:$AN$46,1)))*(INDEX('Adjustment Surface'!$AO$26:$BH$26,1,MATCH(('Adjustment Surface'!AH$26),'Adjustment Surface'!$AO$26:$BH$26,1)+IF('Adjustment Surface'!AI$26="",-1,1))-'Adjustment Surface'!AH$26)+INDEX($AO$27:$BH$46,MATCH(INDEX('Adjustment Surface'!$AN$27:$AN$46,MATCH(('Adjustment Surface'!$O38),'Adjustment Surface'!$AN$27:$AN$46,1)),$AN$27:$AN$46,0),MATCH(INDEX('Adjustment Surface'!$AO$26:$BH$26,1,MATCH(('Adjustment Surface'!AH$26),'Adjustment Surface'!$AO$26:$BH$26,1)+IF('Adjustment Surface'!AI$26="",-1,1)),$AO$26:$BH$26,0))*(INDEX('Adjustment Surface'!$AN$27:$AN$46,MATCH(('Adjustment Surface'!$O38),'Adjustment Surface'!$AN$27:$AN$46,1)+IF('Adjustment Surface'!$O39="",-1,1))-'Adjustment Surface'!$O38)*('Adjustment Surface'!AH$26-INDEX('Adjustment Surface'!$AO$26:$BH$26,1,MATCH(('Adjustment Surface'!AH$26),'Adjustment Surface'!$AO$26:$BH$26,1)))+INDEX($AO$27:$BH$46,MATCH(INDEX('Adjustment Surface'!$AN$27:$AN$46,MATCH(('Adjustment Surface'!$O38),'Adjustment Surface'!$AN$27:$AN$46,1)+IF('Adjustment Surface'!$O39="",-1,1)),$AN$27:$AN$46,0),MATCH(INDEX('Adjustment Surface'!$AO$26:$BH$26,1,MATCH(('Adjustment Surface'!AH$26),'Adjustment Surface'!$AO$26:$BH$26,1)+IF('Adjustment Surface'!AI$26="",-1,1)),$AO$26:$BH$26,0))*('Adjustment Surface'!$O38-INDEX('Adjustment Surface'!$AN$27:$AN$46,MATCH(('Adjustment Surface'!$O38),'Adjustment Surface'!$AN$27:$AN$46,1)))*('Adjustment Surface'!AH$26-INDEX('Adjustment Surface'!$AO$26:$BH$26,1,MATCH(('Adjustment Surface'!AH$26),'Adjustment Surface'!$AO$26:$BH$26,1)))))</f>
        <v/>
      </c>
      <c r="AI38" s="194" t="str" cm="1">
        <f t="array" ref="AI38">IF(OR(AI$26="",$O38=""),"",1/((INDEX('Adjustment Surface'!$AN$27:$AN$46,MATCH(('Adjustment Surface'!$O38),'Adjustment Surface'!$AN$27:$AN$46,1)+IF('Adjustment Surface'!$O39="",-1,1))-INDEX('Adjustment Surface'!$AN$27:$AN$46,MATCH(('Adjustment Surface'!$O38),'Adjustment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Surface'!$O38),'Adjustment Surface'!$AN$27:$AN$46,1)),$AN$27:$AN$46,0),MATCH(INDEX('Adjustment Surface'!$AO$26:$BH$26,1,MATCH(('Adjustment Surface'!AI$26),'Adjustment Surface'!$AO$26:$BH$26,1)),$AO$26:$BH$26,0))*(INDEX('Adjustment Surface'!$AN$27:$AN$46,MATCH(('Adjustment Surface'!$O38),'Adjustment Surface'!$AN$27:$AN$46,1)+IF('Adjustment Surface'!$O39="",-1,1))-'Adjustment Surface'!$O38)*(INDEX('Adjustment Surface'!$AO$26:$BH$26,1,MATCH(('Adjustment Surface'!AI$26),'Adjustment Surface'!$AO$26:$BH$26,1)+IF('Adjustment Surface'!AJ$26="",-1,1))-'Adjustment Surface'!AI$26)+INDEX($AO$27:$BH$46,MATCH(INDEX('Adjustment Surface'!$AN$27:$AN$46,MATCH(('Adjustment Surface'!$O38),'Adjustment Surface'!$AN$27:$AN$46,1)+IF('Adjustment Surface'!$O39="",-1,1)),$AN$27:$AN$46,0),MATCH(INDEX('Adjustment Surface'!$AO$26:$BH$26,1,MATCH(('Adjustment Surface'!AI$26),'Adjustment Surface'!$AO$26:$BH$26,1)),$AO$26:$BH$26,0))*('Adjustment Surface'!$O38-INDEX('Adjustment Surface'!$AN$27:$AN$46,MATCH(('Adjustment Surface'!$O38),'Adjustment Surface'!$AN$27:$AN$46,1)))*(INDEX('Adjustment Surface'!$AO$26:$BH$26,1,MATCH(('Adjustment Surface'!AI$26),'Adjustment Surface'!$AO$26:$BH$26,1)+IF('Adjustment Surface'!AJ$26="",-1,1))-'Adjustment Surface'!AI$26)+INDEX($AO$27:$BH$46,MATCH(INDEX('Adjustment Surface'!$AN$27:$AN$46,MATCH(('Adjustment Surface'!$O38),'Adjustment Surface'!$AN$27:$AN$46,1)),$AN$27:$AN$46,0),MATCH(INDEX('Adjustment Surface'!$AO$26:$BH$26,1,MATCH(('Adjustment Surface'!AI$26),'Adjustment Surface'!$AO$26:$BH$26,1)+IF('Adjustment Surface'!AJ$26="",-1,1)),$AO$26:$BH$26,0))*(INDEX('Adjustment Surface'!$AN$27:$AN$46,MATCH(('Adjustment Surface'!$O38),'Adjustment Surface'!$AN$27:$AN$46,1)+IF('Adjustment Surface'!$O39="",-1,1))-'Adjustment Surface'!$O38)*('Adjustment Surface'!AI$26-INDEX('Adjustment Surface'!$AO$26:$BH$26,1,MATCH(('Adjustment Surface'!AI$26),'Adjustment Surface'!$AO$26:$BH$26,1)))+INDEX($AO$27:$BH$46,MATCH(INDEX('Adjustment Surface'!$AN$27:$AN$46,MATCH(('Adjustment Surface'!$O38),'Adjustment Surface'!$AN$27:$AN$46,1)+IF('Adjustment Surface'!$O39="",-1,1)),$AN$27:$AN$46,0),MATCH(INDEX('Adjustment Surface'!$AO$26:$BH$26,1,MATCH(('Adjustment Surface'!AI$26),'Adjustment Surface'!$AO$26:$BH$26,1)+IF('Adjustment Surface'!AJ$26="",-1,1)),$AO$26:$BH$26,0))*('Adjustment Surface'!$O38-INDEX('Adjustment Surface'!$AN$27:$AN$46,MATCH(('Adjustment Surface'!$O38),'Adjustment Surface'!$AN$27:$AN$46,1)))*('Adjustment Surface'!AI$26-INDEX('Adjustment Surface'!$AO$26:$BH$26,1,MATCH(('Adjustment Surface'!AI$26),'Adjustment Surface'!$AO$26:$BH$26,1)))))</f>
        <v/>
      </c>
      <c r="AK38" s="203"/>
      <c r="AL38" s="207"/>
      <c r="AN38" s="176"/>
      <c r="AO38" s="192" t="str" cm="1">
        <f t="array" ref="AO38">IF(OR(AO$26="",$AN38=""),"",INDEX(IF($C$2='Data Validation'!$A$2,'Bank Adjustments'!$I$4:$I$103,IF('Adjustment Surface'!$C$2='Data Validation'!$A$3,'Bank Adjustments'!$S$4:$S$103,"Unknown Option Type")),MATCH(1,($AN38=IF($C$2='Data Validation'!$A$2,'Bank Adjustments'!$C$4:$C$103,IF('Adjustment Surface'!$C$2='Data Validation'!$A$3,'Bank Adjustments'!$M$4:$M$103,"Unknown Option Type")))*(AO$26=IF($C$2='Data Validation'!$A$2,'Bank Adjustments'!$E$4:$E$103,IF('Adjustment Surface'!$C$2='Data Validation'!$A$3,'Bank Adjustments'!$O$4:$O$103,"Unknown Option Type"))),0)))</f>
        <v/>
      </c>
      <c r="AP38" s="193" t="str" cm="1">
        <f t="array" ref="AP38">IF(OR(AP$26="",$AN38=""),"",INDEX(IF($C$2='Data Validation'!$A$2,'Bank Adjustments'!$I$4:$I$103,IF('Adjustment Surface'!$C$2='Data Validation'!$A$3,'Bank Adjustments'!$S$4:$S$103,"Unknown Option Type")),MATCH(1,($AN38=IF($C$2='Data Validation'!$A$2,'Bank Adjustments'!$C$4:$C$103,IF('Adjustment Surface'!$C$2='Data Validation'!$A$3,'Bank Adjustments'!$M$4:$M$103,"Unknown Option Type")))*(AP$26=IF($C$2='Data Validation'!$A$2,'Bank Adjustments'!$E$4:$E$103,IF('Adjustment Surface'!$C$2='Data Validation'!$A$3,'Bank Adjustments'!$O$4:$O$103,"Unknown Option Type"))),0)))</f>
        <v/>
      </c>
      <c r="AQ38" s="193" t="str" cm="1">
        <f t="array" ref="AQ38">IF(OR(AQ$26="",$AN38=""),"",INDEX(IF($C$2='Data Validation'!$A$2,'Bank Adjustments'!$I$4:$I$103,IF('Adjustment Surface'!$C$2='Data Validation'!$A$3,'Bank Adjustments'!$S$4:$S$103,"Unknown Option Type")),MATCH(1,($AN38=IF($C$2='Data Validation'!$A$2,'Bank Adjustments'!$C$4:$C$103,IF('Adjustment Surface'!$C$2='Data Validation'!$A$3,'Bank Adjustments'!$M$4:$M$103,"Unknown Option Type")))*(AQ$26=IF($C$2='Data Validation'!$A$2,'Bank Adjustments'!$E$4:$E$103,IF('Adjustment Surface'!$C$2='Data Validation'!$A$3,'Bank Adjustments'!$O$4:$O$103,"Unknown Option Type"))),0)))</f>
        <v/>
      </c>
      <c r="AR38" s="193" t="str" cm="1">
        <f t="array" ref="AR38">IF(OR(AR$26="",$AN38=""),"",INDEX(IF($C$2='Data Validation'!$A$2,'Bank Adjustments'!$I$4:$I$103,IF('Adjustment Surface'!$C$2='Data Validation'!$A$3,'Bank Adjustments'!$S$4:$S$103,"Unknown Option Type")),MATCH(1,($AN38=IF($C$2='Data Validation'!$A$2,'Bank Adjustments'!$C$4:$C$103,IF('Adjustment Surface'!$C$2='Data Validation'!$A$3,'Bank Adjustments'!$M$4:$M$103,"Unknown Option Type")))*(AR$26=IF($C$2='Data Validation'!$A$2,'Bank Adjustments'!$E$4:$E$103,IF('Adjustment Surface'!$C$2='Data Validation'!$A$3,'Bank Adjustments'!$O$4:$O$103,"Unknown Option Type"))),0)))</f>
        <v/>
      </c>
      <c r="AS38" s="193" t="str" cm="1">
        <f t="array" ref="AS38">IF(OR(AS$26="",$AN38=""),"",INDEX(IF($C$2='Data Validation'!$A$2,'Bank Adjustments'!$I$4:$I$103,IF('Adjustment Surface'!$C$2='Data Validation'!$A$3,'Bank Adjustments'!$S$4:$S$103,"Unknown Option Type")),MATCH(1,($AN38=IF($C$2='Data Validation'!$A$2,'Bank Adjustments'!$C$4:$C$103,IF('Adjustment Surface'!$C$2='Data Validation'!$A$3,'Bank Adjustments'!$M$4:$M$103,"Unknown Option Type")))*(AS$26=IF($C$2='Data Validation'!$A$2,'Bank Adjustments'!$E$4:$E$103,IF('Adjustment Surface'!$C$2='Data Validation'!$A$3,'Bank Adjustments'!$O$4:$O$103,"Unknown Option Type"))),0)))</f>
        <v/>
      </c>
      <c r="AT38" s="193" t="str" cm="1">
        <f t="array" ref="AT38">IF(OR(AT$26="",$AN38=""),"",INDEX(IF($C$2='Data Validation'!$A$2,'Bank Adjustments'!$I$4:$I$103,IF('Adjustment Surface'!$C$2='Data Validation'!$A$3,'Bank Adjustments'!$S$4:$S$103,"Unknown Option Type")),MATCH(1,($AN38=IF($C$2='Data Validation'!$A$2,'Bank Adjustments'!$C$4:$C$103,IF('Adjustment Surface'!$C$2='Data Validation'!$A$3,'Bank Adjustments'!$M$4:$M$103,"Unknown Option Type")))*(AT$26=IF($C$2='Data Validation'!$A$2,'Bank Adjustments'!$E$4:$E$103,IF('Adjustment Surface'!$C$2='Data Validation'!$A$3,'Bank Adjustments'!$O$4:$O$103,"Unknown Option Type"))),0)))</f>
        <v/>
      </c>
      <c r="AU38" s="193" t="str" cm="1">
        <f t="array" ref="AU38">IF(OR(AU$26="",$AN38=""),"",INDEX(IF($C$2='Data Validation'!$A$2,'Bank Adjustments'!$I$4:$I$103,IF('Adjustment Surface'!$C$2='Data Validation'!$A$3,'Bank Adjustments'!$S$4:$S$103,"Unknown Option Type")),MATCH(1,($AN38=IF($C$2='Data Validation'!$A$2,'Bank Adjustments'!$C$4:$C$103,IF('Adjustment Surface'!$C$2='Data Validation'!$A$3,'Bank Adjustments'!$M$4:$M$103,"Unknown Option Type")))*(AU$26=IF($C$2='Data Validation'!$A$2,'Bank Adjustments'!$E$4:$E$103,IF('Adjustment Surface'!$C$2='Data Validation'!$A$3,'Bank Adjustments'!$O$4:$O$103,"Unknown Option Type"))),0)))</f>
        <v/>
      </c>
      <c r="AV38" s="193" t="str" cm="1">
        <f t="array" ref="AV38">IF(OR(AV$26="",$AN38=""),"",INDEX(IF($C$2='Data Validation'!$A$2,'Bank Adjustments'!$I$4:$I$103,IF('Adjustment Surface'!$C$2='Data Validation'!$A$3,'Bank Adjustments'!$S$4:$S$103,"Unknown Option Type")),MATCH(1,($AN38=IF($C$2='Data Validation'!$A$2,'Bank Adjustments'!$C$4:$C$103,IF('Adjustment Surface'!$C$2='Data Validation'!$A$3,'Bank Adjustments'!$M$4:$M$103,"Unknown Option Type")))*(AV$26=IF($C$2='Data Validation'!$A$2,'Bank Adjustments'!$E$4:$E$103,IF('Adjustment Surface'!$C$2='Data Validation'!$A$3,'Bank Adjustments'!$O$4:$O$103,"Unknown Option Type"))),0)))</f>
        <v/>
      </c>
      <c r="AW38" s="193" t="str" cm="1">
        <f t="array" ref="AW38">IF(OR(AW$26="",$AN38=""),"",INDEX(IF($C$2='Data Validation'!$A$2,'Bank Adjustments'!$I$4:$I$103,IF('Adjustment Surface'!$C$2='Data Validation'!$A$3,'Bank Adjustments'!$S$4:$S$103,"Unknown Option Type")),MATCH(1,($AN38=IF($C$2='Data Validation'!$A$2,'Bank Adjustments'!$C$4:$C$103,IF('Adjustment Surface'!$C$2='Data Validation'!$A$3,'Bank Adjustments'!$M$4:$M$103,"Unknown Option Type")))*(AW$26=IF($C$2='Data Validation'!$A$2,'Bank Adjustments'!$E$4:$E$103,IF('Adjustment Surface'!$C$2='Data Validation'!$A$3,'Bank Adjustments'!$O$4:$O$103,"Unknown Option Type"))),0)))</f>
        <v/>
      </c>
      <c r="AX38" s="193" t="str" cm="1">
        <f t="array" ref="AX38">IF(OR(AX$26="",$AN38=""),"",INDEX(IF($C$2='Data Validation'!$A$2,'Bank Adjustments'!$I$4:$I$103,IF('Adjustment Surface'!$C$2='Data Validation'!$A$3,'Bank Adjustments'!$S$4:$S$103,"Unknown Option Type")),MATCH(1,($AN38=IF($C$2='Data Validation'!$A$2,'Bank Adjustments'!$C$4:$C$103,IF('Adjustment Surface'!$C$2='Data Validation'!$A$3,'Bank Adjustments'!$M$4:$M$103,"Unknown Option Type")))*(AX$26=IF($C$2='Data Validation'!$A$2,'Bank Adjustments'!$E$4:$E$103,IF('Adjustment Surface'!$C$2='Data Validation'!$A$3,'Bank Adjustments'!$O$4:$O$103,"Unknown Option Type"))),0)))</f>
        <v/>
      </c>
      <c r="AY38" s="193" t="str" cm="1">
        <f t="array" ref="AY38">IF(OR(AY$26="",$AN38=""),"",INDEX(IF($C$2='Data Validation'!$A$2,'Bank Adjustments'!$I$4:$I$103,IF('Adjustment Surface'!$C$2='Data Validation'!$A$3,'Bank Adjustments'!$S$4:$S$103,"Unknown Option Type")),MATCH(1,($AN38=IF($C$2='Data Validation'!$A$2,'Bank Adjustments'!$C$4:$C$103,IF('Adjustment Surface'!$C$2='Data Validation'!$A$3,'Bank Adjustments'!$M$4:$M$103,"Unknown Option Type")))*(AY$26=IF($C$2='Data Validation'!$A$2,'Bank Adjustments'!$E$4:$E$103,IF('Adjustment Surface'!$C$2='Data Validation'!$A$3,'Bank Adjustments'!$O$4:$O$103,"Unknown Option Type"))),0)))</f>
        <v/>
      </c>
      <c r="AZ38" s="193" t="str" cm="1">
        <f t="array" ref="AZ38">IF(OR(AZ$26="",$AN38=""),"",INDEX(IF($C$2='Data Validation'!$A$2,'Bank Adjustments'!$I$4:$I$103,IF('Adjustment Surface'!$C$2='Data Validation'!$A$3,'Bank Adjustments'!$S$4:$S$103,"Unknown Option Type")),MATCH(1,($AN38=IF($C$2='Data Validation'!$A$2,'Bank Adjustments'!$C$4:$C$103,IF('Adjustment Surface'!$C$2='Data Validation'!$A$3,'Bank Adjustments'!$M$4:$M$103,"Unknown Option Type")))*(AZ$26=IF($C$2='Data Validation'!$A$2,'Bank Adjustments'!$E$4:$E$103,IF('Adjustment Surface'!$C$2='Data Validation'!$A$3,'Bank Adjustments'!$O$4:$O$103,"Unknown Option Type"))),0)))</f>
        <v/>
      </c>
      <c r="BA38" s="193" t="str" cm="1">
        <f t="array" ref="BA38">IF(OR(BA$26="",$AN38=""),"",INDEX(IF($C$2='Data Validation'!$A$2,'Bank Adjustments'!$I$4:$I$103,IF('Adjustment Surface'!$C$2='Data Validation'!$A$3,'Bank Adjustments'!$S$4:$S$103,"Unknown Option Type")),MATCH(1,($AN38=IF($C$2='Data Validation'!$A$2,'Bank Adjustments'!$C$4:$C$103,IF('Adjustment Surface'!$C$2='Data Validation'!$A$3,'Bank Adjustments'!$M$4:$M$103,"Unknown Option Type")))*(BA$26=IF($C$2='Data Validation'!$A$2,'Bank Adjustments'!$E$4:$E$103,IF('Adjustment Surface'!$C$2='Data Validation'!$A$3,'Bank Adjustments'!$O$4:$O$103,"Unknown Option Type"))),0)))</f>
        <v/>
      </c>
      <c r="BB38" s="193" t="str" cm="1">
        <f t="array" ref="BB38">IF(OR(BB$26="",$AN38=""),"",INDEX(IF($C$2='Data Validation'!$A$2,'Bank Adjustments'!$I$4:$I$103,IF('Adjustment Surface'!$C$2='Data Validation'!$A$3,'Bank Adjustments'!$S$4:$S$103,"Unknown Option Type")),MATCH(1,($AN38=IF($C$2='Data Validation'!$A$2,'Bank Adjustments'!$C$4:$C$103,IF('Adjustment Surface'!$C$2='Data Validation'!$A$3,'Bank Adjustments'!$M$4:$M$103,"Unknown Option Type")))*(BB$26=IF($C$2='Data Validation'!$A$2,'Bank Adjustments'!$E$4:$E$103,IF('Adjustment Surface'!$C$2='Data Validation'!$A$3,'Bank Adjustments'!$O$4:$O$103,"Unknown Option Type"))),0)))</f>
        <v/>
      </c>
      <c r="BC38" s="193" t="str" cm="1">
        <f t="array" ref="BC38">IF(OR(BC$26="",$AN38=""),"",INDEX(IF($C$2='Data Validation'!$A$2,'Bank Adjustments'!$I$4:$I$103,IF('Adjustment Surface'!$C$2='Data Validation'!$A$3,'Bank Adjustments'!$S$4:$S$103,"Unknown Option Type")),MATCH(1,($AN38=IF($C$2='Data Validation'!$A$2,'Bank Adjustments'!$C$4:$C$103,IF('Adjustment Surface'!$C$2='Data Validation'!$A$3,'Bank Adjustments'!$M$4:$M$103,"Unknown Option Type")))*(BC$26=IF($C$2='Data Validation'!$A$2,'Bank Adjustments'!$E$4:$E$103,IF('Adjustment Surface'!$C$2='Data Validation'!$A$3,'Bank Adjustments'!$O$4:$O$103,"Unknown Option Type"))),0)))</f>
        <v/>
      </c>
      <c r="BD38" s="193" t="str" cm="1">
        <f t="array" ref="BD38">IF(OR(BD$26="",$AN38=""),"",INDEX(IF($C$2='Data Validation'!$A$2,'Bank Adjustments'!$I$4:$I$103,IF('Adjustment Surface'!$C$2='Data Validation'!$A$3,'Bank Adjustments'!$S$4:$S$103,"Unknown Option Type")),MATCH(1,($AN38=IF($C$2='Data Validation'!$A$2,'Bank Adjustments'!$C$4:$C$103,IF('Adjustment Surface'!$C$2='Data Validation'!$A$3,'Bank Adjustments'!$M$4:$M$103,"Unknown Option Type")))*(BD$26=IF($C$2='Data Validation'!$A$2,'Bank Adjustments'!$E$4:$E$103,IF('Adjustment Surface'!$C$2='Data Validation'!$A$3,'Bank Adjustments'!$O$4:$O$103,"Unknown Option Type"))),0)))</f>
        <v/>
      </c>
      <c r="BE38" s="193" t="str" cm="1">
        <f t="array" ref="BE38">IF(OR(BE$26="",$AN38=""),"",INDEX(IF($C$2='Data Validation'!$A$2,'Bank Adjustments'!$I$4:$I$103,IF('Adjustment Surface'!$C$2='Data Validation'!$A$3,'Bank Adjustments'!$S$4:$S$103,"Unknown Option Type")),MATCH(1,($AN38=IF($C$2='Data Validation'!$A$2,'Bank Adjustments'!$C$4:$C$103,IF('Adjustment Surface'!$C$2='Data Validation'!$A$3,'Bank Adjustments'!$M$4:$M$103,"Unknown Option Type")))*(BE$26=IF($C$2='Data Validation'!$A$2,'Bank Adjustments'!$E$4:$E$103,IF('Adjustment Surface'!$C$2='Data Validation'!$A$3,'Bank Adjustments'!$O$4:$O$103,"Unknown Option Type"))),0)))</f>
        <v/>
      </c>
      <c r="BF38" s="193" t="str" cm="1">
        <f t="array" ref="BF38">IF(OR(BF$26="",$AN38=""),"",INDEX(IF($C$2='Data Validation'!$A$2,'Bank Adjustments'!$I$4:$I$103,IF('Adjustment Surface'!$C$2='Data Validation'!$A$3,'Bank Adjustments'!$S$4:$S$103,"Unknown Option Type")),MATCH(1,($AN38=IF($C$2='Data Validation'!$A$2,'Bank Adjustments'!$C$4:$C$103,IF('Adjustment Surface'!$C$2='Data Validation'!$A$3,'Bank Adjustments'!$M$4:$M$103,"Unknown Option Type")))*(BF$26=IF($C$2='Data Validation'!$A$2,'Bank Adjustments'!$E$4:$E$103,IF('Adjustment Surface'!$C$2='Data Validation'!$A$3,'Bank Adjustments'!$O$4:$O$103,"Unknown Option Type"))),0)))</f>
        <v/>
      </c>
      <c r="BG38" s="193" t="str" cm="1">
        <f t="array" ref="BG38">IF(OR(BG$26="",$AN38=""),"",INDEX(IF($C$2='Data Validation'!$A$2,'Bank Adjustments'!$I$4:$I$103,IF('Adjustment Surface'!$C$2='Data Validation'!$A$3,'Bank Adjustments'!$S$4:$S$103,"Unknown Option Type")),MATCH(1,($AN38=IF($C$2='Data Validation'!$A$2,'Bank Adjustments'!$C$4:$C$103,IF('Adjustment Surface'!$C$2='Data Validation'!$A$3,'Bank Adjustments'!$M$4:$M$103,"Unknown Option Type")))*(BG$26=IF($C$2='Data Validation'!$A$2,'Bank Adjustments'!$E$4:$E$103,IF('Adjustment Surface'!$C$2='Data Validation'!$A$3,'Bank Adjustments'!$O$4:$O$103,"Unknown Option Type"))),0)))</f>
        <v/>
      </c>
      <c r="BH38" s="194" t="str" cm="1">
        <f t="array" ref="BH38">IF(OR(BH$26="",$AN38=""),"",INDEX(IF($C$2='Data Validation'!$A$2,'Bank Adjustments'!$I$4:$I$103,IF('Adjustment Surface'!$C$2='Data Validation'!$A$3,'Bank Adjustments'!$S$4:$S$103,"Unknown Option Type")),MATCH(1,($AN38=IF($C$2='Data Validation'!$A$2,'Bank Adjustments'!$C$4:$C$103,IF('Adjustment Surface'!$C$2='Data Validation'!$A$3,'Bank Adjustments'!$M$4:$M$103,"Unknown Option Type")))*(BH$26=IF($C$2='Data Validation'!$A$2,'Bank Adjustments'!$E$4:$E$103,IF('Adjustment Surface'!$C$2='Data Validation'!$A$3,'Bank Adjustments'!$O$4:$O$103,"Unknown Option Type"))),0)))</f>
        <v/>
      </c>
    </row>
    <row r="39" spans="2:60" x14ac:dyDescent="0.25">
      <c r="B39" s="75">
        <f>B32</f>
        <v>0.06</v>
      </c>
      <c r="C39" s="16" cm="1">
        <f t="array" ref="C39">IF(AND(COUNT(O4:O23)&lt;2,COUNT(P3:AI3)&lt;2),P27,IF(COUNT(O4:O23)&lt;2,_xlfn.FORECAST.LINEAR(C14,INDEX(P27:AI27,1,MATCH(IF(C14&lt;MIN(P3:AI3),INDEX(P3:AI3,1,MATCH(MIN(P3:AI3),P3:AI3,0)),IF(C14&gt;=MAX(P3:AI3),INDEX(P3:AI3,1,MATCH(MAX(P3:AI3),P3:AI3,0)),INDEX(P3:AI3,1,MATCH(C14,P3:AI3,1)))):IF(C14&lt;MIN(P3:AI3),INDEX(P3:AI3,1,MATCH(MIN(P3:AI3),P3:AI3,0)+1),IF(C14&gt;=MAX(P3:AI3),INDEX(P3:AI3,1,MATCH(MAX(P3:AI3),P3:AI3,0)-1),INDEX(P3:AI3,1,MATCH(C14,P3:AI3,1)+1))),P3:AI3,0)),IF(C14&lt;MIN(P3:AI3),INDEX(P3:AI3,1,MATCH(MIN(P3:AI3),P3:AI3,0)),IF(C14&gt;=MAX(P3:AI3),INDEX(P3:AI3,1,MATCH(MAX(P3:AI3),P3:AI3,0)),INDEX(P3:AI3,1,MATCH(C14,P3:AI3,1)))):IF(C14&lt;MIN(P3:AI3),INDEX(P3:AI3,1,MATCH(MIN(P3:AI3),P3:AI3,0)+1),IF(C14&gt;=MAX(P3:AI3),INDEX(P3:AI3,1,MATCH(MAX(P3:AI3),P3:AI3,0)-1),INDEX(P3:AI3,1,MATCH(C14,P3:AI3,1)+1)))),IF(COUNT(P3:AI3)&lt;2,_xlfn.FORECAST.LINEAR(B18,INDEX(P27:P46,MATCH(IF(B18&lt;MIN(O4:O23),INDEX(O4:O23,MATCH(MIN(O4:O23),O4:O23,0)),IF(B18&gt;=MAX(O4:O23),INDEX(O4:O23,MATCH(MAX(O4:O23),O4:O23,0)),INDEX(O4:O23,MATCH(B18,O4:O23,1)))):IF(B18&lt;MIN(O4:O23),INDEX(O4:O23,MATCH(MIN(O4:O23),O4:O23,0)+1),IF(B18&gt;=MAX(O4:O23),INDEX(O4:O23,MATCH(MAX(O4:O23),O4:O23,0)-1),INDEX(O4:O23,MATCH(B18,O4:O23,1)+1))),O4:O23,0)),IF(B18&lt;MIN(O4:O23),INDEX(O4:O23,MATCH(MIN(O4:O23),O4:O23,0)),IF(B18&gt;=MAX(O4:O23),INDEX(O4:O23,MATCH(MAX(O4:O23),O4:O23,0)),INDEX(O4:O23,MATCH(B18,O4:O23,1)))):IF(B18&lt;MIN(O4:O23),INDEX(O4:O23,MATCH(MIN(O4:O23),O4:O23,0)+1),IF(B18&gt;=MAX(O4:O23),INDEX(O4:O23,MATCH(MAX(O4:O23),O4:O23,0)-1),INDEX(O4:O23,MATCH(B18,O4:O23,1)+1)))),1/((INDEX(_xlfn._xlws.FILTER(H4:H23,(INDEX(H4:H23,MATCH(SMALL(J4:J23,1),J4:J23,0))=H4:H23)=FALSE()),MATCH(SMALL(J4:J23,2),_xlfn._xlws.FILTER(J4:J23,(INDEX(H4:H23,MATCH(SMALL(J4:J23,1),J4:J23,0))=H4:H23)=FALSE()),0))-INDEX(H4:H23,MATCH(SMALL(J4:J23,1),J4:J23,0)))*(INDEX(_xlfn._xlws.FILTER(H27:H46,(INDEX(H27:H46,MATCH(SMALL(M27:M46,1),M27:M46,0))=H27:H46)=FALSE()),MATCH(SMALL(M27:M46,2),_xlfn._xlws.FILTER(M27:M46,(INDEX(H27:H46,MATCH(SMALL(M27:M46,1),M27:M46,0))=H27:H46)=FALSE()),0))-INDEX(H27:H46,MATCH(SMALL(M27:M46,1),M27:M46,0))))*(INDEX(P27:AI46,MATCH(INDEX(H27:H46,MATCH(SMALL(M27:M46,1),M27:M46,0)),O27:O46,0),MATCH(INDEX(H4:H23,MATCH(SMALL(J4:J23,1),J4:J23,0)),P26:AI26,0))*(INDEX(_xlfn._xlws.FILTER(H4:H23,(INDEX(H4:H23,MATCH(SMALL(J4:J23,1),J4:J23,0))=H4:H23)=FALSE()),MATCH(SMALL(J4:J23,2),_xlfn._xlws.FILTER(J4:J23,(INDEX(H4:H23,MATCH(SMALL(J4:J23,1),J4:J23,0))=H4:H23)=FALSE()),0))-C14)*(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27:AI46,MATCH(INDEX(H27:H46,MATCH(SMALL(M27:M46,1),M27:M46,0)),O27:O46,0),MATCH(INDEX(_xlfn._xlws.FILTER(H4:H23,(INDEX(H4:H23,MATCH(SMALL(J4:J23,1),J4:J23,0))=H4:H23)=FALSE()),MATCH(SMALL(J4:J23,2),_xlfn._xlws.FILTER(J4:J23,(INDEX(H4:H23,MATCH(SMALL(J4:J23,1),J4:J23,0))=H4:H23)=FALSE()),0)),P26:AI26,0))*(C14-INDEX(H4:H23,MATCH(SMALL(J4:J23,1),J4:J23,0)))*(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27:AI46,MATCH(INDEX(_xlfn._xlws.FILTER(H27:H46,(INDEX(H27:H46,MATCH(SMALL(M27:M46,1),M27:M46,0))=H27:H46)=FALSE()),MATCH(SMALL(M27:M46,2),_xlfn._xlws.FILTER(M27:M46,(INDEX(H27:H46,MATCH(SMALL(M27:M46,1),M27:M46,0))=H27:H46)=FALSE()),0)),O27:O46,0),MATCH(INDEX(H4:H23,MATCH(SMALL(J4:J23,1),J4:J23,0)),P26:AI26,0))*(INDEX(_xlfn._xlws.FILTER(H4:H23,(INDEX(H4:H23,MATCH(SMALL(J4:J23,1),J4:J23,0))=H4:H23)=FALSE()),MATCH(SMALL(J4:J23,2),_xlfn._xlws.FILTER(J4:J23,(INDEX(H4:H23,MATCH(SMALL(J4:J23,1),J4:J23,0))=H4:H23)=FALSE()),0))-C14)*(IF(OR(C9='Data Validation'!D2,C9='Data Validation'!D3),B18,IF(C9='Data Validation'!D3,SUMPRODUCT('Bachelier Model'!N4:N124,'Bachelier Model'!O4:O124)/SUM('Bachelier Model'!N4:N124),"Strike Type Unknown"))-INDEX(H27:H46,MATCH(SMALL(M27:M46,1),M27:M46,0)))+INDEX(P27:AI46,MATCH(INDEX(_xlfn._xlws.FILTER(H27:H46,(INDEX(H27:H46,MATCH(SMALL(M27:M46,1),M27:M46,0))=H27:H46)=FALSE()),MATCH(SMALL(M27:M46,2),_xlfn._xlws.FILTER(M27:M46,(INDEX(H27:H46,MATCH(SMALL(M27:M46,1),M27:M46,0))=H27:H46)=FALSE()),0)),O27:O46,0),MATCH(INDEX(_xlfn._xlws.FILTER(H4:H23,(INDEX(H4:H23,MATCH(SMALL(J4:J23,1),J4:J23,0))=H4:H23)=FALSE()),MATCH(SMALL(J4:J23,2),_xlfn._xlws.FILTER(J4:J23,(INDEX(H4:H23,MATCH(SMALL(J4:J23,1),J4:J23,0))=H4:H23)=FALSE()),0)),P26:AI26,0))*(C14-INDEX(H4:H23,MATCH(SMALL(J4:J23,1),J4:J23,0)))*(IF(OR(C9='Data Validation'!D2,C9='Data Validation'!D3),B18,IF(C9='Data Validation'!D3,SUMPRODUCT('Bachelier Model'!N4:N124,'Bachelier Model'!O4:O124)/SUM('Bachelier Model'!N4:N124),"Strike Type Unknown"))-INDEX(H27:H46,MATCH(SMALL(M27:M46,1),M27:M46,0)))))))</f>
        <v>79.879195367547823</v>
      </c>
      <c r="D39" s="16" cm="1">
        <f t="array" ref="D39">IF(AND(COUNT(O4:O23)&lt;2,COUNT(P3:AI3)&lt;2),P27,IF(COUNT(O4:O23)&lt;2,_xlfn.FORECAST.LINEAR(D14,INDEX(P27:AI27,1,MATCH(IF(D14&lt;MIN(P3:AI3),INDEX(P3:AI3,1,MATCH(MIN(P3:AI3),P3:AI3,0)),IF(D14&gt;=MAX(P3:AI3),INDEX(P3:AI3,1,MATCH(MAX(P3:AI3),P3:AI3,0)),INDEX(P3:AI3,1,MATCH(D14,P3:AI3,1)))):IF(D14&lt;MIN(P3:AI3),INDEX(P3:AI3,1,MATCH(MIN(P3:AI3),P3:AI3,0)+1),IF(D14&gt;=MAX(P3:AI3),INDEX(P3:AI3,1,MATCH(MAX(P3:AI3),P3:AI3,0)-1),INDEX(P3:AI3,1,MATCH(D14,P3:AI3,1)+1))),P3:AI3,0)),IF(D14&lt;MIN(P3:AI3),INDEX(P3:AI3,1,MATCH(MIN(P3:AI3),P3:AI3,0)),IF(D14&gt;=MAX(P3:AI3),INDEX(P3:AI3,1,MATCH(MAX(P3:AI3),P3:AI3,0)),INDEX(P3:AI3,1,MATCH(D14,P3:AI3,1)))):IF(D14&lt;MIN(P3:AI3),INDEX(P3:AI3,1,MATCH(MIN(P3:AI3),P3:AI3,0)+1),IF(D14&gt;=MAX(P3:AI3),INDEX(P3:AI3,1,MATCH(MAX(P3:AI3),P3:AI3,0)-1),INDEX(P3:AI3,1,MATCH(D14,P3:AI3,1)+1)))),IF(COUNT(P3:AI3)&lt;2,_xlfn.FORECAST.LINEAR(B18,INDEX(P27:P46,MATCH(IF(B18&lt;MIN(O4:O23),INDEX(O4:O23,MATCH(MIN(O4:O23),O4:O23,0)),IF(B18&gt;=MAX(O4:O23),INDEX(O4:O23,MATCH(MAX(O4:O23),O4:O23,0)),INDEX(O4:O23,MATCH(B18,O4:O23,1)))):IF(B18&lt;MIN(O4:O23),INDEX(O4:O23,MATCH(MIN(O4:O23),O4:O23,0)+1),IF(B18&gt;=MAX(O4:O23),INDEX(O4:O23,MATCH(MAX(O4:O23),O4:O23,0)-1),INDEX(O4:O23,MATCH(B18,O4:O23,1)+1))),O4:O23,0)),IF(B18&lt;MIN(O4:O23),INDEX(O4:O23,MATCH(MIN(O4:O23),O4:O23,0)),IF(B18&gt;=MAX(O4:O23),INDEX(O4:O23,MATCH(MAX(O4:O23),O4:O23,0)),INDEX(O4:O23,MATCH(B18,O4:O23,1)))):IF(B18&lt;MIN(O4:O23),INDEX(O4:O23,MATCH(MIN(O4:O23),O4:O23,0)+1),IF(B18&gt;=MAX(O4:O23),INDEX(O4:O23,MATCH(MAX(O4:O23),O4:O23,0)-1),INDEX(O4:O23,MATCH(B18,O4:O23,1)+1)))),1/((INDEX(_xlfn._xlws.FILTER(H4:H23,(INDEX(H4:H23,MATCH(SMALL(K4:K23,1),K4:K23,0))=H4:H23)=FALSE()),MATCH(SMALL(K4:K23,2),_xlfn._xlws.FILTER(K4:K23,(INDEX(H4:H23,MATCH(SMALL(K4:K23,1),K4:K23,0))=H4:H23)=FALSE()),0))-INDEX(H4:H23,MATCH(SMALL(K4:K23,1),K4:K23,0)))*(INDEX(_xlfn._xlws.FILTER(H27:H46,(INDEX(H27:H46,MATCH(SMALL(M27:M46,1),M27:M46,0))=H27:H46)=FALSE()),MATCH(SMALL(M27:M46,2),_xlfn._xlws.FILTER(M27:M46,(INDEX(H27:H46,MATCH(SMALL(M27:M46,1),M27:M46,0))=H27:H46)=FALSE()),0))-INDEX(H27:H46,MATCH(SMALL(M27:M46,1),M27:M46,0))))*(INDEX(P27:AI46,MATCH(INDEX(H27:H46,MATCH(SMALL(M27:M46,1),M27:M46,0)),O27:O46,0),MATCH(INDEX(H4:H23,MATCH(SMALL(K4:K23,1),K4:K23,0)),P26:AI26,0))*(INDEX(_xlfn._xlws.FILTER(H4:H23,(INDEX(H4:H23,MATCH(SMALL(K4:K23,1),K4:K23,0))=H4:H23)=FALSE()),MATCH(SMALL(K4:K23,2),_xlfn._xlws.FILTER(K4:K23,(INDEX(H4:H23,MATCH(SMALL(K4:K23,1),K4:K23,0))=H4:H23)=FALSE()),0))-D14)*(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27:AI46,MATCH(INDEX(H27:H46,MATCH(SMALL(M27:M46,1),M27:M46,0)),O27:O46,0),MATCH(INDEX(_xlfn._xlws.FILTER(H4:H23,(INDEX(H4:H23,MATCH(SMALL(K4:K23,1),K4:K23,0))=H4:H23)=FALSE()),MATCH(SMALL(K4:K23,2),_xlfn._xlws.FILTER(K4:K23,(INDEX(H4:H23,MATCH(SMALL(K4:K23,1),K4:K23,0))=H4:H23)=FALSE()),0)),P26:AI26,0))*(D14-INDEX(H4:H23,MATCH(SMALL(K4:K23,1),K4:K23,0)))*(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27:AI46,MATCH(INDEX(_xlfn._xlws.FILTER(H27:H46,(INDEX(H27:H46,MATCH(SMALL(M27:M46,1),M27:M46,0))=H27:H46)=FALSE()),MATCH(SMALL(M27:M46,2),_xlfn._xlws.FILTER(M27:M46,(INDEX(H27:H46,MATCH(SMALL(M27:M46,1),M27:M46,0))=H27:H46)=FALSE()),0)),O27:O46,0),MATCH(INDEX(H4:H23,MATCH(SMALL(K4:K23,1),K4:K23,0)),P26:AI26,0))*(INDEX(_xlfn._xlws.FILTER(H4:H23,(INDEX(H4:H23,MATCH(SMALL(K4:K23,1),K4:K23,0))=H4:H23)=FALSE()),MATCH(SMALL(K4:K23,2),_xlfn._xlws.FILTER(K4:K23,(INDEX(H4:H23,MATCH(SMALL(K4:K23,1),K4:K23,0))=H4:H23)=FALSE()),0))-D14)*(IF(OR(C9='Data Validation'!D2,C9='Data Validation'!D3),B18,IF(C9='Data Validation'!D3,SUMPRODUCT('Bachelier Model'!N4:N124,'Bachelier Model'!O4:O124)/SUM('Bachelier Model'!N4:N124),"Strike Type Unknown"))-INDEX(H27:H46,MATCH(SMALL(M27:M46,1),M27:M46,0)))+INDEX(P27:AI46,MATCH(INDEX(_xlfn._xlws.FILTER(H27:H46,(INDEX(H27:H46,MATCH(SMALL(M27:M46,1),M27:M46,0))=H27:H46)=FALSE()),MATCH(SMALL(M27:M46,2),_xlfn._xlws.FILTER(M27:M46,(INDEX(H27:H46,MATCH(SMALL(M27:M46,1),M27:M46,0))=H27:H46)=FALSE()),0)),O27:O46,0),MATCH(INDEX(_xlfn._xlws.FILTER(H4:H23,(INDEX(H4:H23,MATCH(SMALL(K4:K23,1),K4:K23,0))=H4:H23)=FALSE()),MATCH(SMALL(K4:K23,2),_xlfn._xlws.FILTER(K4:K23,(INDEX(H4:H23,MATCH(SMALL(K4:K23,1),K4:K23,0))=H4:H23)=FALSE()),0)),P26:AI26,0))*(D14-INDEX(H4:H23,MATCH(SMALL(K4:K23,1),K4:K23,0)))*(IF(OR(C9='Data Validation'!D2,C9='Data Validation'!D3),B18,IF(C9='Data Validation'!D3,SUMPRODUCT('Bachelier Model'!N4:N124,'Bachelier Model'!O4:O124)/SUM('Bachelier Model'!N4:N124),"Strike Type Unknown"))-INDEX(H27:H46,MATCH(SMALL(M27:M46,1),M27:M46,0)))))))</f>
        <v>2.6777238045805349</v>
      </c>
      <c r="E39" s="16" cm="1">
        <f t="array" ref="E39">IF(AND(COUNT(O4:O23)&lt;2,COUNT(P3:AI3)&lt;2),P27,IF(COUNT(O4:O23)&lt;2,_xlfn.FORECAST.LINEAR(E14,INDEX(P27:AI27,1,MATCH(IF(E14&lt;MIN(P3:AI3),INDEX(P3:AI3,1,MATCH(MIN(P3:AI3),P3:AI3,0)),IF(E14&gt;=MAX(P3:AI3),INDEX(P3:AI3,1,MATCH(MAX(P3:AI3),P3:AI3,0)),INDEX(P3:AI3,1,MATCH(E14,P3:AI3,1)))):IF(E14&lt;MIN(P3:AI3),INDEX(P3:AI3,1,MATCH(MIN(P3:AI3),P3:AI3,0)+1),IF(E14&gt;=MAX(P3:AI3),INDEX(P3:AI3,1,MATCH(MAX(P3:AI3),P3:AI3,0)-1),INDEX(P3:AI3,1,MATCH(E14,P3:AI3,1)+1))),P3:AI3,0)),IF(E14&lt;MIN(P3:AI3),INDEX(P3:AI3,1,MATCH(MIN(P3:AI3),P3:AI3,0)),IF(E14&gt;=MAX(P3:AI3),INDEX(P3:AI3,1,MATCH(MAX(P3:AI3),P3:AI3,0)),INDEX(P3:AI3,1,MATCH(E14,P3:AI3,1)))):IF(E14&lt;MIN(P3:AI3),INDEX(P3:AI3,1,MATCH(MIN(P3:AI3),P3:AI3,0)+1),IF(E14&gt;=MAX(P3:AI3),INDEX(P3:AI3,1,MATCH(MAX(P3:AI3),P3:AI3,0)-1),INDEX(P3:AI3,1,MATCH(E14,P3:AI3,1)+1)))),IF(COUNT(P3:AI3)&lt;2,_xlfn.FORECAST.LINEAR(B18,INDEX(P27:P46,MATCH(IF(B18&lt;MIN(O4:O23),INDEX(O4:O23,MATCH(MIN(O4:O23),O4:O23,0)),IF(B18&gt;=MAX(O4:O23),INDEX(O4:O23,MATCH(MAX(O4:O23),O4:O23,0)),INDEX(O4:O23,MATCH(B18,O4:O23,1)))):IF(B18&lt;MIN(O4:O23),INDEX(O4:O23,MATCH(MIN(O4:O23),O4:O23,0)+1),IF(B18&gt;=MAX(O4:O23),INDEX(O4:O23,MATCH(MAX(O4:O23),O4:O23,0)-1),INDEX(O4:O23,MATCH(B18,O4:O23,1)+1))),O4:O23,0)),IF(B18&lt;MIN(O4:O23),INDEX(O4:O23,MATCH(MIN(O4:O23),O4:O23,0)),IF(B18&gt;=MAX(O4:O23),INDEX(O4:O23,MATCH(MAX(O4:O23),O4:O23,0)),INDEX(O4:O23,MATCH(B18,O4:O23,1)))):IF(B18&lt;MIN(O4:O23),INDEX(O4:O23,MATCH(MIN(O4:O23),O4:O23,0)+1),IF(B18&gt;=MAX(O4:O23),INDEX(O4:O23,MATCH(MAX(O4:O23),O4:O23,0)-1),INDEX(O4:O23,MATCH(B18,O4:O23,1)+1)))),1/((INDEX(_xlfn._xlws.FILTER(H4:H23,(INDEX(H4:H23,MATCH(SMALL(L4:L23,1),L4:L23,0))=H4:H23)=FALSE()),MATCH(SMALL(L4:L23,2),_xlfn._xlws.FILTER(L4:L23,(INDEX(H4:H23,MATCH(SMALL(L4:L23,1),L4:L23,0))=H4:H23)=FALSE()),0))-INDEX(H4:H23,MATCH(SMALL(L4:L23,1),L4:L23,0)))*(INDEX(_xlfn._xlws.FILTER(H27:H46,(INDEX(H27:H46,MATCH(SMALL(M27:M46,1),M27:M46,0))=H27:H46)=FALSE()),MATCH(SMALL(M27:M46,2),_xlfn._xlws.FILTER(M27:M46,(INDEX(H27:H46,MATCH(SMALL(M27:M46,1),M27:M46,0))=H27:H46)=FALSE()),0))-INDEX(H27:H46,MATCH(SMALL(M27:M46,1),M27:M46,0))))*(INDEX(P27:AI46,MATCH(INDEX(H27:H46,MATCH(SMALL(M27:M46,1),M27:M46,0)),O27:O46,0),MATCH(INDEX(H4:H23,MATCH(SMALL(L4:L23,1),L4:L23,0)),P26:AI26,0))*(INDEX(_xlfn._xlws.FILTER(H4:H23,(INDEX(H4:H23,MATCH(SMALL(L4:L23,1),L4:L23,0))=H4:H23)=FALSE()),MATCH(SMALL(L4:L23,2),_xlfn._xlws.FILTER(L4:L23,(INDEX(H4:H23,MATCH(SMALL(L4:L23,1),L4:L23,0))=H4:H23)=FALSE()),0))-E14)*(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27:AI46,MATCH(INDEX(H27:H46,MATCH(SMALL(M27:M46,1),M27:M46,0)),O27:O46,0),MATCH(INDEX(_xlfn._xlws.FILTER(H4:H23,(INDEX(H4:H23,MATCH(SMALL(L4:L23,1),L4:L23,0))=H4:H23)=FALSE()),MATCH(SMALL(L4:L23,2),_xlfn._xlws.FILTER(L4:L23,(INDEX(H4:H23,MATCH(SMALL(L4:L23,1),L4:L23,0))=H4:H23)=FALSE()),0)),P26:AI26,0))*(E14-INDEX(H4:H23,MATCH(SMALL(L4:L23,1),L4:L23,0)))*(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27:AI46,MATCH(INDEX(_xlfn._xlws.FILTER(H27:H46,(INDEX(H27:H46,MATCH(SMALL(M27:M46,1),M27:M46,0))=H27:H46)=FALSE()),MATCH(SMALL(M27:M46,2),_xlfn._xlws.FILTER(M27:M46,(INDEX(H27:H46,MATCH(SMALL(M27:M46,1),M27:M46,0))=H27:H46)=FALSE()),0)),O27:O46,0),MATCH(INDEX(H4:H23,MATCH(SMALL(L4:L23,1),L4:L23,0)),P26:AI26,0))*(INDEX(_xlfn._xlws.FILTER(H4:H23,(INDEX(H4:H23,MATCH(SMALL(L4:L23,1),L4:L23,0))=H4:H23)=FALSE()),MATCH(SMALL(L4:L23,2),_xlfn._xlws.FILTER(L4:L23,(INDEX(H4:H23,MATCH(SMALL(L4:L23,1),L4:L23,0))=H4:H23)=FALSE()),0))-E14)*(IF(OR(C9='Data Validation'!D2,C9='Data Validation'!D3),B18,IF(C9='Data Validation'!D3,SUMPRODUCT('Bachelier Model'!N4:N124,'Bachelier Model'!O4:O124)/SUM('Bachelier Model'!N4:N124),"Strike Type Unknown"))-INDEX(H27:H46,MATCH(SMALL(M27:M46,1),M27:M46,0)))+INDEX(P27:AI46,MATCH(INDEX(_xlfn._xlws.FILTER(H27:H46,(INDEX(H27:H46,MATCH(SMALL(M27:M46,1),M27:M46,0))=H27:H46)=FALSE()),MATCH(SMALL(M27:M46,2),_xlfn._xlws.FILTER(M27:M46,(INDEX(H27:H46,MATCH(SMALL(M27:M46,1),M27:M46,0))=H27:H46)=FALSE()),0)),O27:O46,0),MATCH(INDEX(_xlfn._xlws.FILTER(H4:H23,(INDEX(H4:H23,MATCH(SMALL(L4:L23,1),L4:L23,0))=H4:H23)=FALSE()),MATCH(SMALL(L4:L23,2),_xlfn._xlws.FILTER(L4:L23,(INDEX(H4:H23,MATCH(SMALL(L4:L23,1),L4:L23,0))=H4:H23)=FALSE()),0)),P26:AI26,0))*(E14-INDEX(H4:H23,MATCH(SMALL(L4:L23,1),L4:L23,0)))*(IF(OR(C9='Data Validation'!D2,C9='Data Validation'!D3),B18,IF(C9='Data Validation'!D3,SUMPRODUCT('Bachelier Model'!N4:N124,'Bachelier Model'!O4:O124)/SUM('Bachelier Model'!N4:N124),"Strike Type Unknown"))-INDEX(H27:H46,MATCH(SMALL(M27:M46,1),M27:M46,0)))))))</f>
        <v>0.51220518446777774</v>
      </c>
      <c r="F39" s="16" cm="1">
        <f t="array" ref="F39">IF(AND(COUNT(O4:O23)&lt;2,COUNT(P3:AI3)&lt;2),P27,IF(COUNT(O4:O23)&lt;2,_xlfn.FORECAST.LINEAR(F14,INDEX(P27:AI27,1,MATCH(IF(F14&lt;MIN(P3:AI3),INDEX(P3:AI3,1,MATCH(MIN(P3:AI3),P3:AI3,0)),IF(F14&gt;=MAX(P3:AI3),INDEX(P3:AI3,1,MATCH(MAX(P3:AI3),P3:AI3,0)),INDEX(P3:AI3,1,MATCH(F14,P3:AI3,1)))):IF(F14&lt;MIN(P3:AI3),INDEX(P3:AI3,1,MATCH(MIN(P3:AI3),P3:AI3,0)+1),IF(F14&gt;=MAX(P3:AI3),INDEX(P3:AI3,1,MATCH(MAX(P3:AI3),P3:AI3,0)-1),INDEX(P3:AI3,1,MATCH(F14,P3:AI3,1)+1))),P3:AI3,0)),IF(F14&lt;MIN(P3:AI3),INDEX(P3:AI3,1,MATCH(MIN(P3:AI3),P3:AI3,0)),IF(F14&gt;=MAX(P3:AI3),INDEX(P3:AI3,1,MATCH(MAX(P3:AI3),P3:AI3,0)),INDEX(P3:AI3,1,MATCH(F14,P3:AI3,1)))):IF(F14&lt;MIN(P3:AI3),INDEX(P3:AI3,1,MATCH(MIN(P3:AI3),P3:AI3,0)+1),IF(F14&gt;=MAX(P3:AI3),INDEX(P3:AI3,1,MATCH(MAX(P3:AI3),P3:AI3,0)-1),INDEX(P3:AI3,1,MATCH(F14,P3:AI3,1)+1)))),IF(COUNT(P3:AI3)&lt;2,_xlfn.FORECAST.LINEAR(B18,INDEX(P27:P46,MATCH(IF(B18&lt;MIN(O4:O23),INDEX(O4:O23,MATCH(MIN(O4:O23),O4:O23,0)),IF(B18&gt;=MAX(O4:O23),INDEX(O4:O23,MATCH(MAX(O4:O23),O4:O23,0)),INDEX(O4:O23,MATCH(B18,O4:O23,1)))):IF(B18&lt;MIN(O4:O23),INDEX(O4:O23,MATCH(MIN(O4:O23),O4:O23,0)+1),IF(B18&gt;=MAX(O4:O23),INDEX(O4:O23,MATCH(MAX(O4:O23),O4:O23,0)-1),INDEX(O4:O23,MATCH(B18,O4:O23,1)+1))),O4:O23,0)),IF(B18&lt;MIN(O4:O23),INDEX(O4:O23,MATCH(MIN(O4:O23),O4:O23,0)),IF(B18&gt;=MAX(O4:O23),INDEX(O4:O23,MATCH(MAX(O4:O23),O4:O23,0)),INDEX(O4:O23,MATCH(B18,O4:O23,1)))):IF(B18&lt;MIN(O4:O23),INDEX(O4:O23,MATCH(MIN(O4:O23),O4:O23,0)+1),IF(B18&gt;=MAX(O4:O23),INDEX(O4:O23,MATCH(MAX(O4:O23),O4:O23,0)-1),INDEX(O4:O23,MATCH(B18,O4:O23,1)+1)))),1/((INDEX(_xlfn._xlws.FILTER(H4:H23,(INDEX(H4:H23,MATCH(SMALL(M4:M23,1),M4:M23,0))=H4:H23)=FALSE()),MATCH(SMALL(M4:M23,2),_xlfn._xlws.FILTER(M4:M23,(INDEX(H4:H23,MATCH(SMALL(M4:M23,1),M4:M23,0))=H4:H23)=FALSE()),0))-INDEX(H4:H23,MATCH(SMALL(M4:M23,1),M4:M23,0)))*(INDEX(_xlfn._xlws.FILTER(H27:H46,(INDEX(H27:H46,MATCH(SMALL(M27:M46,1),M27:M46,0))=H27:H46)=FALSE()),MATCH(SMALL(M27:M46,2),_xlfn._xlws.FILTER(M27:M46,(INDEX(H27:H46,MATCH(SMALL(M27:M46,1),M27:M46,0))=H27:H46)=FALSE()),0))-INDEX(H27:H46,MATCH(SMALL(M27:M46,1),M27:M46,0))))*(INDEX(P27:AI46,MATCH(INDEX(H27:H46,MATCH(SMALL(M27:M46,1),M27:M46,0)),O27:O46,0),MATCH(INDEX(H4:H23,MATCH(SMALL(M4:M23,1),M4:M23,0)),P26:AI26,0))*(INDEX(_xlfn._xlws.FILTER(H4:H23,(INDEX(H4:H23,MATCH(SMALL(M4:M23,1),M4:M23,0))=H4:H23)=FALSE()),MATCH(SMALL(M4:M23,2),_xlfn._xlws.FILTER(M4:M23,(INDEX(H4:H23,MATCH(SMALL(M4:M23,1),M4:M23,0))=H4:H23)=FALSE()),0))-F14)*(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27:AI46,MATCH(INDEX(H27:H46,MATCH(SMALL(M27:M46,1),M27:M46,0)),O27:O46,0),MATCH(INDEX(_xlfn._xlws.FILTER(H4:H23,(INDEX(H4:H23,MATCH(SMALL(M4:M23,1),M4:M23,0))=H4:H23)=FALSE()),MATCH(SMALL(M4:M23,2),_xlfn._xlws.FILTER(M4:M23,(INDEX(H4:H23,MATCH(SMALL(M4:M23,1),M4:M23,0))=H4:H23)=FALSE()),0)),P26:AI26,0))*(F14-INDEX(H4:H23,MATCH(SMALL(M4:M23,1),M4:M23,0)))*(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27:AI46,MATCH(INDEX(_xlfn._xlws.FILTER(H27:H46,(INDEX(H27:H46,MATCH(SMALL(M27:M46,1),M27:M46,0))=H27:H46)=FALSE()),MATCH(SMALL(M27:M46,2),_xlfn._xlws.FILTER(M27:M46,(INDEX(H27:H46,MATCH(SMALL(M27:M46,1),M27:M46,0))=H27:H46)=FALSE()),0)),O27:O46,0),MATCH(INDEX(H4:H23,MATCH(SMALL(M4:M23,1),M4:M23,0)),P26:AI26,0))*(INDEX(_xlfn._xlws.FILTER(H4:H23,(INDEX(H4:H23,MATCH(SMALL(M4:M23,1),M4:M23,0))=H4:H23)=FALSE()),MATCH(SMALL(M4:M23,2),_xlfn._xlws.FILTER(M4:M23,(INDEX(H4:H23,MATCH(SMALL(M4:M23,1),M4:M23,0))=H4:H23)=FALSE()),0))-F14)*(IF(OR(C9='Data Validation'!D2,C9='Data Validation'!D3),B18,IF(C9='Data Validation'!D3,SUMPRODUCT('Bachelier Model'!N4:N124,'Bachelier Model'!O4:O124)/SUM('Bachelier Model'!N4:N124),"Strike Type Unknown"))-INDEX(H27:H46,MATCH(SMALL(M27:M46,1),M27:M46,0)))+INDEX(P27:AI46,MATCH(INDEX(_xlfn._xlws.FILTER(H27:H46,(INDEX(H27:H46,MATCH(SMALL(M27:M46,1),M27:M46,0))=H27:H46)=FALSE()),MATCH(SMALL(M27:M46,2),_xlfn._xlws.FILTER(M27:M46,(INDEX(H27:H46,MATCH(SMALL(M27:M46,1),M27:M46,0))=H27:H46)=FALSE()),0)),O27:O46,0),MATCH(INDEX(_xlfn._xlws.FILTER(H4:H23,(INDEX(H4:H23,MATCH(SMALL(M4:M23,1),M4:M23,0))=H4:H23)=FALSE()),MATCH(SMALL(M4:M23,2),_xlfn._xlws.FILTER(M4:M23,(INDEX(H4:H23,MATCH(SMALL(M4:M23,1),M4:M23,0))=H4:H23)=FALSE()),0)),P26:AI26,0))*(F14-INDEX(H4:H23,MATCH(SMALL(M4:M23,1),M4:M23,0)))*(IF(OR(C9='Data Validation'!D2,C9='Data Validation'!D3),B18,IF(C9='Data Validation'!D3,SUMPRODUCT('Bachelier Model'!N4:N124,'Bachelier Model'!O4:O124)/SUM('Bachelier Model'!N4:N124),"Strike Type Unknown"))-INDEX(H27:H46,MATCH(SMALL(M27:M46,1),M27:M46,0)))))))</f>
        <v>-1.6473967181036882</v>
      </c>
      <c r="H39" s="176"/>
      <c r="I39" s="54" t="str">
        <f t="shared" si="6"/>
        <v/>
      </c>
      <c r="J39" s="55" t="str">
        <f t="shared" si="6"/>
        <v/>
      </c>
      <c r="K39" s="55" t="str">
        <f t="shared" si="6"/>
        <v/>
      </c>
      <c r="L39" s="55" t="str">
        <f t="shared" si="6"/>
        <v/>
      </c>
      <c r="M39" s="48" t="str">
        <f t="shared" si="6"/>
        <v/>
      </c>
      <c r="O39" s="176"/>
      <c r="P39" s="192" t="str" cm="1">
        <f t="array" ref="P39">IF(OR(P$26="",$O39=""),"",1/((INDEX('Adjustment Surface'!$AN$27:$AN$46,MATCH(('Adjustment Surface'!$O39),'Adjustment Surface'!$AN$27:$AN$46,1)+IF('Adjustment Surface'!$O40="",-1,1))-INDEX('Adjustment Surface'!$AN$27:$AN$46,MATCH(('Adjustment Surface'!$O39),'Adjustment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Surface'!$O39),'Adjustment Surface'!$AN$27:$AN$46,1)),$AN$27:$AN$46,0),MATCH(INDEX('Adjustment Surface'!$AO$26:$BH$26,1,MATCH(('Adjustment Surface'!P$26),'Adjustment Surface'!$AO$26:$BH$26,1)),$AO$26:$BH$26,0))*(INDEX('Adjustment Surface'!$AN$27:$AN$46,MATCH(('Adjustment Surface'!$O39),'Adjustment Surface'!$AN$27:$AN$46,1)+IF('Adjustment Surface'!$O40="",-1,1))-'Adjustment Surface'!$O39)*(INDEX('Adjustment Surface'!$AO$26:$BH$26,1,MATCH(('Adjustment Surface'!P$26),'Adjustment Surface'!$AO$26:$BH$26,1)+IF('Adjustment Surface'!Q$26="",-1,1))-'Adjustment Surface'!P$26)+INDEX($AO$27:$BH$46,MATCH(INDEX('Adjustment Surface'!$AN$27:$AN$46,MATCH(('Adjustment Surface'!$O39),'Adjustment Surface'!$AN$27:$AN$46,1)+IF('Adjustment Surface'!$O40="",-1,1)),$AN$27:$AN$46,0),MATCH(INDEX('Adjustment Surface'!$AO$26:$BH$26,1,MATCH(('Adjustment Surface'!P$26),'Adjustment Surface'!$AO$26:$BH$26,1)),$AO$26:$BH$26,0))*('Adjustment Surface'!$O39-INDEX('Adjustment Surface'!$AN$27:$AN$46,MATCH(('Adjustment Surface'!$O39),'Adjustment Surface'!$AN$27:$AN$46,1)))*(INDEX('Adjustment Surface'!$AO$26:$BH$26,1,MATCH(('Adjustment Surface'!P$26),'Adjustment Surface'!$AO$26:$BH$26,1)+IF('Adjustment Surface'!Q$26="",-1,1))-'Adjustment Surface'!P$26)+INDEX($AO$27:$BH$46,MATCH(INDEX('Adjustment Surface'!$AN$27:$AN$46,MATCH(('Adjustment Surface'!$O39),'Adjustment Surface'!$AN$27:$AN$46,1)),$AN$27:$AN$46,0),MATCH(INDEX('Adjustment Surface'!$AO$26:$BH$26,1,MATCH(('Adjustment Surface'!P$26),'Adjustment Surface'!$AO$26:$BH$26,1)+IF('Adjustment Surface'!Q$26="",-1,1)),$AO$26:$BH$26,0))*(INDEX('Adjustment Surface'!$AN$27:$AN$46,MATCH(('Adjustment Surface'!$O39),'Adjustment Surface'!$AN$27:$AN$46,1)+IF('Adjustment Surface'!$O40="",-1,1))-'Adjustment Surface'!$O39)*('Adjustment Surface'!P$26-INDEX('Adjustment Surface'!$AO$26:$BH$26,1,MATCH(('Adjustment Surface'!P$26),'Adjustment Surface'!$AO$26:$BH$26,1)))+INDEX($AO$27:$BH$46,MATCH(INDEX('Adjustment Surface'!$AN$27:$AN$46,MATCH(('Adjustment Surface'!$O39),'Adjustment Surface'!$AN$27:$AN$46,1)+IF('Adjustment Surface'!$O40="",-1,1)),$AN$27:$AN$46,0),MATCH(INDEX('Adjustment Surface'!$AO$26:$BH$26,1,MATCH(('Adjustment Surface'!P$26),'Adjustment Surface'!$AO$26:$BH$26,1)+IF('Adjustment Surface'!Q$26="",-1,1)),$AO$26:$BH$26,0))*('Adjustment Surface'!$O39-INDEX('Adjustment Surface'!$AN$27:$AN$46,MATCH(('Adjustment Surface'!$O39),'Adjustment Surface'!$AN$27:$AN$46,1)))*('Adjustment Surface'!P$26-INDEX('Adjustment Surface'!$AO$26:$BH$26,1,MATCH(('Adjustment Surface'!P$26),'Adjustment Surface'!$AO$26:$BH$26,1)))))</f>
        <v/>
      </c>
      <c r="Q39" s="193" t="str" cm="1">
        <f t="array" ref="Q39">IF(OR(Q$26="",$O39=""),"",1/((INDEX('Adjustment Surface'!$AN$27:$AN$46,MATCH(('Adjustment Surface'!$O39),'Adjustment Surface'!$AN$27:$AN$46,1)+IF('Adjustment Surface'!$O40="",-1,1))-INDEX('Adjustment Surface'!$AN$27:$AN$46,MATCH(('Adjustment Surface'!$O39),'Adjustment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Surface'!$O39),'Adjustment Surface'!$AN$27:$AN$46,1)),$AN$27:$AN$46,0),MATCH(INDEX('Adjustment Surface'!$AO$26:$BH$26,1,MATCH(('Adjustment Surface'!Q$26),'Adjustment Surface'!$AO$26:$BH$26,1)),$AO$26:$BH$26,0))*(INDEX('Adjustment Surface'!$AN$27:$AN$46,MATCH(('Adjustment Surface'!$O39),'Adjustment Surface'!$AN$27:$AN$46,1)+IF('Adjustment Surface'!$O40="",-1,1))-'Adjustment Surface'!$O39)*(INDEX('Adjustment Surface'!$AO$26:$BH$26,1,MATCH(('Adjustment Surface'!Q$26),'Adjustment Surface'!$AO$26:$BH$26,1)+IF('Adjustment Surface'!R$26="",-1,1))-'Adjustment Surface'!Q$26)+INDEX($AO$27:$BH$46,MATCH(INDEX('Adjustment Surface'!$AN$27:$AN$46,MATCH(('Adjustment Surface'!$O39),'Adjustment Surface'!$AN$27:$AN$46,1)+IF('Adjustment Surface'!$O40="",-1,1)),$AN$27:$AN$46,0),MATCH(INDEX('Adjustment Surface'!$AO$26:$BH$26,1,MATCH(('Adjustment Surface'!Q$26),'Adjustment Surface'!$AO$26:$BH$26,1)),$AO$26:$BH$26,0))*('Adjustment Surface'!$O39-INDEX('Adjustment Surface'!$AN$27:$AN$46,MATCH(('Adjustment Surface'!$O39),'Adjustment Surface'!$AN$27:$AN$46,1)))*(INDEX('Adjustment Surface'!$AO$26:$BH$26,1,MATCH(('Adjustment Surface'!Q$26),'Adjustment Surface'!$AO$26:$BH$26,1)+IF('Adjustment Surface'!R$26="",-1,1))-'Adjustment Surface'!Q$26)+INDEX($AO$27:$BH$46,MATCH(INDEX('Adjustment Surface'!$AN$27:$AN$46,MATCH(('Adjustment Surface'!$O39),'Adjustment Surface'!$AN$27:$AN$46,1)),$AN$27:$AN$46,0),MATCH(INDEX('Adjustment Surface'!$AO$26:$BH$26,1,MATCH(('Adjustment Surface'!Q$26),'Adjustment Surface'!$AO$26:$BH$26,1)+IF('Adjustment Surface'!R$26="",-1,1)),$AO$26:$BH$26,0))*(INDEX('Adjustment Surface'!$AN$27:$AN$46,MATCH(('Adjustment Surface'!$O39),'Adjustment Surface'!$AN$27:$AN$46,1)+IF('Adjustment Surface'!$O40="",-1,1))-'Adjustment Surface'!$O39)*('Adjustment Surface'!Q$26-INDEX('Adjustment Surface'!$AO$26:$BH$26,1,MATCH(('Adjustment Surface'!Q$26),'Adjustment Surface'!$AO$26:$BH$26,1)))+INDEX($AO$27:$BH$46,MATCH(INDEX('Adjustment Surface'!$AN$27:$AN$46,MATCH(('Adjustment Surface'!$O39),'Adjustment Surface'!$AN$27:$AN$46,1)+IF('Adjustment Surface'!$O40="",-1,1)),$AN$27:$AN$46,0),MATCH(INDEX('Adjustment Surface'!$AO$26:$BH$26,1,MATCH(('Adjustment Surface'!Q$26),'Adjustment Surface'!$AO$26:$BH$26,1)+IF('Adjustment Surface'!R$26="",-1,1)),$AO$26:$BH$26,0))*('Adjustment Surface'!$O39-INDEX('Adjustment Surface'!$AN$27:$AN$46,MATCH(('Adjustment Surface'!$O39),'Adjustment Surface'!$AN$27:$AN$46,1)))*('Adjustment Surface'!Q$26-INDEX('Adjustment Surface'!$AO$26:$BH$26,1,MATCH(('Adjustment Surface'!Q$26),'Adjustment Surface'!$AO$26:$BH$26,1)))))</f>
        <v/>
      </c>
      <c r="R39" s="193" t="str" cm="1">
        <f t="array" ref="R39">IF(OR(R$26="",$O39=""),"",1/((INDEX('Adjustment Surface'!$AN$27:$AN$46,MATCH(('Adjustment Surface'!$O39),'Adjustment Surface'!$AN$27:$AN$46,1)+IF('Adjustment Surface'!$O40="",-1,1))-INDEX('Adjustment Surface'!$AN$27:$AN$46,MATCH(('Adjustment Surface'!$O39),'Adjustment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Surface'!$O39),'Adjustment Surface'!$AN$27:$AN$46,1)),$AN$27:$AN$46,0),MATCH(INDEX('Adjustment Surface'!$AO$26:$BH$26,1,MATCH(('Adjustment Surface'!R$26),'Adjustment Surface'!$AO$26:$BH$26,1)),$AO$26:$BH$26,0))*(INDEX('Adjustment Surface'!$AN$27:$AN$46,MATCH(('Adjustment Surface'!$O39),'Adjustment Surface'!$AN$27:$AN$46,1)+IF('Adjustment Surface'!$O40="",-1,1))-'Adjustment Surface'!$O39)*(INDEX('Adjustment Surface'!$AO$26:$BH$26,1,MATCH(('Adjustment Surface'!R$26),'Adjustment Surface'!$AO$26:$BH$26,1)+IF('Adjustment Surface'!S$26="",-1,1))-'Adjustment Surface'!R$26)+INDEX($AO$27:$BH$46,MATCH(INDEX('Adjustment Surface'!$AN$27:$AN$46,MATCH(('Adjustment Surface'!$O39),'Adjustment Surface'!$AN$27:$AN$46,1)+IF('Adjustment Surface'!$O40="",-1,1)),$AN$27:$AN$46,0),MATCH(INDEX('Adjustment Surface'!$AO$26:$BH$26,1,MATCH(('Adjustment Surface'!R$26),'Adjustment Surface'!$AO$26:$BH$26,1)),$AO$26:$BH$26,0))*('Adjustment Surface'!$O39-INDEX('Adjustment Surface'!$AN$27:$AN$46,MATCH(('Adjustment Surface'!$O39),'Adjustment Surface'!$AN$27:$AN$46,1)))*(INDEX('Adjustment Surface'!$AO$26:$BH$26,1,MATCH(('Adjustment Surface'!R$26),'Adjustment Surface'!$AO$26:$BH$26,1)+IF('Adjustment Surface'!S$26="",-1,1))-'Adjustment Surface'!R$26)+INDEX($AO$27:$BH$46,MATCH(INDEX('Adjustment Surface'!$AN$27:$AN$46,MATCH(('Adjustment Surface'!$O39),'Adjustment Surface'!$AN$27:$AN$46,1)),$AN$27:$AN$46,0),MATCH(INDEX('Adjustment Surface'!$AO$26:$BH$26,1,MATCH(('Adjustment Surface'!R$26),'Adjustment Surface'!$AO$26:$BH$26,1)+IF('Adjustment Surface'!S$26="",-1,1)),$AO$26:$BH$26,0))*(INDEX('Adjustment Surface'!$AN$27:$AN$46,MATCH(('Adjustment Surface'!$O39),'Adjustment Surface'!$AN$27:$AN$46,1)+IF('Adjustment Surface'!$O40="",-1,1))-'Adjustment Surface'!$O39)*('Adjustment Surface'!R$26-INDEX('Adjustment Surface'!$AO$26:$BH$26,1,MATCH(('Adjustment Surface'!R$26),'Adjustment Surface'!$AO$26:$BH$26,1)))+INDEX($AO$27:$BH$46,MATCH(INDEX('Adjustment Surface'!$AN$27:$AN$46,MATCH(('Adjustment Surface'!$O39),'Adjustment Surface'!$AN$27:$AN$46,1)+IF('Adjustment Surface'!$O40="",-1,1)),$AN$27:$AN$46,0),MATCH(INDEX('Adjustment Surface'!$AO$26:$BH$26,1,MATCH(('Adjustment Surface'!R$26),'Adjustment Surface'!$AO$26:$BH$26,1)+IF('Adjustment Surface'!S$26="",-1,1)),$AO$26:$BH$26,0))*('Adjustment Surface'!$O39-INDEX('Adjustment Surface'!$AN$27:$AN$46,MATCH(('Adjustment Surface'!$O39),'Adjustment Surface'!$AN$27:$AN$46,1)))*('Adjustment Surface'!R$26-INDEX('Adjustment Surface'!$AO$26:$BH$26,1,MATCH(('Adjustment Surface'!R$26),'Adjustment Surface'!$AO$26:$BH$26,1)))))</f>
        <v/>
      </c>
      <c r="S39" s="193" t="str" cm="1">
        <f t="array" ref="S39">IF(OR(S$26="",$O39=""),"",1/((INDEX('Adjustment Surface'!$AN$27:$AN$46,MATCH(('Adjustment Surface'!$O39),'Adjustment Surface'!$AN$27:$AN$46,1)+IF('Adjustment Surface'!$O40="",-1,1))-INDEX('Adjustment Surface'!$AN$27:$AN$46,MATCH(('Adjustment Surface'!$O39),'Adjustment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Surface'!$O39),'Adjustment Surface'!$AN$27:$AN$46,1)),$AN$27:$AN$46,0),MATCH(INDEX('Adjustment Surface'!$AO$26:$BH$26,1,MATCH(('Adjustment Surface'!S$26),'Adjustment Surface'!$AO$26:$BH$26,1)),$AO$26:$BH$26,0))*(INDEX('Adjustment Surface'!$AN$27:$AN$46,MATCH(('Adjustment Surface'!$O39),'Adjustment Surface'!$AN$27:$AN$46,1)+IF('Adjustment Surface'!$O40="",-1,1))-'Adjustment Surface'!$O39)*(INDEX('Adjustment Surface'!$AO$26:$BH$26,1,MATCH(('Adjustment Surface'!S$26),'Adjustment Surface'!$AO$26:$BH$26,1)+IF('Adjustment Surface'!T$26="",-1,1))-'Adjustment Surface'!S$26)+INDEX($AO$27:$BH$46,MATCH(INDEX('Adjustment Surface'!$AN$27:$AN$46,MATCH(('Adjustment Surface'!$O39),'Adjustment Surface'!$AN$27:$AN$46,1)+IF('Adjustment Surface'!$O40="",-1,1)),$AN$27:$AN$46,0),MATCH(INDEX('Adjustment Surface'!$AO$26:$BH$26,1,MATCH(('Adjustment Surface'!S$26),'Adjustment Surface'!$AO$26:$BH$26,1)),$AO$26:$BH$26,0))*('Adjustment Surface'!$O39-INDEX('Adjustment Surface'!$AN$27:$AN$46,MATCH(('Adjustment Surface'!$O39),'Adjustment Surface'!$AN$27:$AN$46,1)))*(INDEX('Adjustment Surface'!$AO$26:$BH$26,1,MATCH(('Adjustment Surface'!S$26),'Adjustment Surface'!$AO$26:$BH$26,1)+IF('Adjustment Surface'!T$26="",-1,1))-'Adjustment Surface'!S$26)+INDEX($AO$27:$BH$46,MATCH(INDEX('Adjustment Surface'!$AN$27:$AN$46,MATCH(('Adjustment Surface'!$O39),'Adjustment Surface'!$AN$27:$AN$46,1)),$AN$27:$AN$46,0),MATCH(INDEX('Adjustment Surface'!$AO$26:$BH$26,1,MATCH(('Adjustment Surface'!S$26),'Adjustment Surface'!$AO$26:$BH$26,1)+IF('Adjustment Surface'!T$26="",-1,1)),$AO$26:$BH$26,0))*(INDEX('Adjustment Surface'!$AN$27:$AN$46,MATCH(('Adjustment Surface'!$O39),'Adjustment Surface'!$AN$27:$AN$46,1)+IF('Adjustment Surface'!$O40="",-1,1))-'Adjustment Surface'!$O39)*('Adjustment Surface'!S$26-INDEX('Adjustment Surface'!$AO$26:$BH$26,1,MATCH(('Adjustment Surface'!S$26),'Adjustment Surface'!$AO$26:$BH$26,1)))+INDEX($AO$27:$BH$46,MATCH(INDEX('Adjustment Surface'!$AN$27:$AN$46,MATCH(('Adjustment Surface'!$O39),'Adjustment Surface'!$AN$27:$AN$46,1)+IF('Adjustment Surface'!$O40="",-1,1)),$AN$27:$AN$46,0),MATCH(INDEX('Adjustment Surface'!$AO$26:$BH$26,1,MATCH(('Adjustment Surface'!S$26),'Adjustment Surface'!$AO$26:$BH$26,1)+IF('Adjustment Surface'!T$26="",-1,1)),$AO$26:$BH$26,0))*('Adjustment Surface'!$O39-INDEX('Adjustment Surface'!$AN$27:$AN$46,MATCH(('Adjustment Surface'!$O39),'Adjustment Surface'!$AN$27:$AN$46,1)))*('Adjustment Surface'!S$26-INDEX('Adjustment Surface'!$AO$26:$BH$26,1,MATCH(('Adjustment Surface'!S$26),'Adjustment Surface'!$AO$26:$BH$26,1)))))</f>
        <v/>
      </c>
      <c r="T39" s="193" t="str" cm="1">
        <f t="array" ref="T39">IF(OR(T$26="",$O39=""),"",1/((INDEX('Adjustment Surface'!$AN$27:$AN$46,MATCH(('Adjustment Surface'!$O39),'Adjustment Surface'!$AN$27:$AN$46,1)+IF('Adjustment Surface'!$O40="",-1,1))-INDEX('Adjustment Surface'!$AN$27:$AN$46,MATCH(('Adjustment Surface'!$O39),'Adjustment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Surface'!$O39),'Adjustment Surface'!$AN$27:$AN$46,1)),$AN$27:$AN$46,0),MATCH(INDEX('Adjustment Surface'!$AO$26:$BH$26,1,MATCH(('Adjustment Surface'!T$26),'Adjustment Surface'!$AO$26:$BH$26,1)),$AO$26:$BH$26,0))*(INDEX('Adjustment Surface'!$AN$27:$AN$46,MATCH(('Adjustment Surface'!$O39),'Adjustment Surface'!$AN$27:$AN$46,1)+IF('Adjustment Surface'!$O40="",-1,1))-'Adjustment Surface'!$O39)*(INDEX('Adjustment Surface'!$AO$26:$BH$26,1,MATCH(('Adjustment Surface'!T$26),'Adjustment Surface'!$AO$26:$BH$26,1)+IF('Adjustment Surface'!U$26="",-1,1))-'Adjustment Surface'!T$26)+INDEX($AO$27:$BH$46,MATCH(INDEX('Adjustment Surface'!$AN$27:$AN$46,MATCH(('Adjustment Surface'!$O39),'Adjustment Surface'!$AN$27:$AN$46,1)+IF('Adjustment Surface'!$O40="",-1,1)),$AN$27:$AN$46,0),MATCH(INDEX('Adjustment Surface'!$AO$26:$BH$26,1,MATCH(('Adjustment Surface'!T$26),'Adjustment Surface'!$AO$26:$BH$26,1)),$AO$26:$BH$26,0))*('Adjustment Surface'!$O39-INDEX('Adjustment Surface'!$AN$27:$AN$46,MATCH(('Adjustment Surface'!$O39),'Adjustment Surface'!$AN$27:$AN$46,1)))*(INDEX('Adjustment Surface'!$AO$26:$BH$26,1,MATCH(('Adjustment Surface'!T$26),'Adjustment Surface'!$AO$26:$BH$26,1)+IF('Adjustment Surface'!U$26="",-1,1))-'Adjustment Surface'!T$26)+INDEX($AO$27:$BH$46,MATCH(INDEX('Adjustment Surface'!$AN$27:$AN$46,MATCH(('Adjustment Surface'!$O39),'Adjustment Surface'!$AN$27:$AN$46,1)),$AN$27:$AN$46,0),MATCH(INDEX('Adjustment Surface'!$AO$26:$BH$26,1,MATCH(('Adjustment Surface'!T$26),'Adjustment Surface'!$AO$26:$BH$26,1)+IF('Adjustment Surface'!U$26="",-1,1)),$AO$26:$BH$26,0))*(INDEX('Adjustment Surface'!$AN$27:$AN$46,MATCH(('Adjustment Surface'!$O39),'Adjustment Surface'!$AN$27:$AN$46,1)+IF('Adjustment Surface'!$O40="",-1,1))-'Adjustment Surface'!$O39)*('Adjustment Surface'!T$26-INDEX('Adjustment Surface'!$AO$26:$BH$26,1,MATCH(('Adjustment Surface'!T$26),'Adjustment Surface'!$AO$26:$BH$26,1)))+INDEX($AO$27:$BH$46,MATCH(INDEX('Adjustment Surface'!$AN$27:$AN$46,MATCH(('Adjustment Surface'!$O39),'Adjustment Surface'!$AN$27:$AN$46,1)+IF('Adjustment Surface'!$O40="",-1,1)),$AN$27:$AN$46,0),MATCH(INDEX('Adjustment Surface'!$AO$26:$BH$26,1,MATCH(('Adjustment Surface'!T$26),'Adjustment Surface'!$AO$26:$BH$26,1)+IF('Adjustment Surface'!U$26="",-1,1)),$AO$26:$BH$26,0))*('Adjustment Surface'!$O39-INDEX('Adjustment Surface'!$AN$27:$AN$46,MATCH(('Adjustment Surface'!$O39),'Adjustment Surface'!$AN$27:$AN$46,1)))*('Adjustment Surface'!T$26-INDEX('Adjustment Surface'!$AO$26:$BH$26,1,MATCH(('Adjustment Surface'!T$26),'Adjustment Surface'!$AO$26:$BH$26,1)))))</f>
        <v/>
      </c>
      <c r="U39" s="193" t="str" cm="1">
        <f t="array" ref="U39">IF(OR(U$26="",$O39=""),"",1/((INDEX('Adjustment Surface'!$AN$27:$AN$46,MATCH(('Adjustment Surface'!$O39),'Adjustment Surface'!$AN$27:$AN$46,1)+IF('Adjustment Surface'!$O40="",-1,1))-INDEX('Adjustment Surface'!$AN$27:$AN$46,MATCH(('Adjustment Surface'!$O39),'Adjustment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Surface'!$O39),'Adjustment Surface'!$AN$27:$AN$46,1)),$AN$27:$AN$46,0),MATCH(INDEX('Adjustment Surface'!$AO$26:$BH$26,1,MATCH(('Adjustment Surface'!U$26),'Adjustment Surface'!$AO$26:$BH$26,1)),$AO$26:$BH$26,0))*(INDEX('Adjustment Surface'!$AN$27:$AN$46,MATCH(('Adjustment Surface'!$O39),'Adjustment Surface'!$AN$27:$AN$46,1)+IF('Adjustment Surface'!$O40="",-1,1))-'Adjustment Surface'!$O39)*(INDEX('Adjustment Surface'!$AO$26:$BH$26,1,MATCH(('Adjustment Surface'!U$26),'Adjustment Surface'!$AO$26:$BH$26,1)+IF('Adjustment Surface'!V$26="",-1,1))-'Adjustment Surface'!U$26)+INDEX($AO$27:$BH$46,MATCH(INDEX('Adjustment Surface'!$AN$27:$AN$46,MATCH(('Adjustment Surface'!$O39),'Adjustment Surface'!$AN$27:$AN$46,1)+IF('Adjustment Surface'!$O40="",-1,1)),$AN$27:$AN$46,0),MATCH(INDEX('Adjustment Surface'!$AO$26:$BH$26,1,MATCH(('Adjustment Surface'!U$26),'Adjustment Surface'!$AO$26:$BH$26,1)),$AO$26:$BH$26,0))*('Adjustment Surface'!$O39-INDEX('Adjustment Surface'!$AN$27:$AN$46,MATCH(('Adjustment Surface'!$O39),'Adjustment Surface'!$AN$27:$AN$46,1)))*(INDEX('Adjustment Surface'!$AO$26:$BH$26,1,MATCH(('Adjustment Surface'!U$26),'Adjustment Surface'!$AO$26:$BH$26,1)+IF('Adjustment Surface'!V$26="",-1,1))-'Adjustment Surface'!U$26)+INDEX($AO$27:$BH$46,MATCH(INDEX('Adjustment Surface'!$AN$27:$AN$46,MATCH(('Adjustment Surface'!$O39),'Adjustment Surface'!$AN$27:$AN$46,1)),$AN$27:$AN$46,0),MATCH(INDEX('Adjustment Surface'!$AO$26:$BH$26,1,MATCH(('Adjustment Surface'!U$26),'Adjustment Surface'!$AO$26:$BH$26,1)+IF('Adjustment Surface'!V$26="",-1,1)),$AO$26:$BH$26,0))*(INDEX('Adjustment Surface'!$AN$27:$AN$46,MATCH(('Adjustment Surface'!$O39),'Adjustment Surface'!$AN$27:$AN$46,1)+IF('Adjustment Surface'!$O40="",-1,1))-'Adjustment Surface'!$O39)*('Adjustment Surface'!U$26-INDEX('Adjustment Surface'!$AO$26:$BH$26,1,MATCH(('Adjustment Surface'!U$26),'Adjustment Surface'!$AO$26:$BH$26,1)))+INDEX($AO$27:$BH$46,MATCH(INDEX('Adjustment Surface'!$AN$27:$AN$46,MATCH(('Adjustment Surface'!$O39),'Adjustment Surface'!$AN$27:$AN$46,1)+IF('Adjustment Surface'!$O40="",-1,1)),$AN$27:$AN$46,0),MATCH(INDEX('Adjustment Surface'!$AO$26:$BH$26,1,MATCH(('Adjustment Surface'!U$26),'Adjustment Surface'!$AO$26:$BH$26,1)+IF('Adjustment Surface'!V$26="",-1,1)),$AO$26:$BH$26,0))*('Adjustment Surface'!$O39-INDEX('Adjustment Surface'!$AN$27:$AN$46,MATCH(('Adjustment Surface'!$O39),'Adjustment Surface'!$AN$27:$AN$46,1)))*('Adjustment Surface'!U$26-INDEX('Adjustment Surface'!$AO$26:$BH$26,1,MATCH(('Adjustment Surface'!U$26),'Adjustment Surface'!$AO$26:$BH$26,1)))))</f>
        <v/>
      </c>
      <c r="V39" s="193" t="str" cm="1">
        <f t="array" ref="V39">IF(OR(V$26="",$O39=""),"",1/((INDEX('Adjustment Surface'!$AN$27:$AN$46,MATCH(('Adjustment Surface'!$O39),'Adjustment Surface'!$AN$27:$AN$46,1)+IF('Adjustment Surface'!$O40="",-1,1))-INDEX('Adjustment Surface'!$AN$27:$AN$46,MATCH(('Adjustment Surface'!$O39),'Adjustment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Surface'!$O39),'Adjustment Surface'!$AN$27:$AN$46,1)),$AN$27:$AN$46,0),MATCH(INDEX('Adjustment Surface'!$AO$26:$BH$26,1,MATCH(('Adjustment Surface'!V$26),'Adjustment Surface'!$AO$26:$BH$26,1)),$AO$26:$BH$26,0))*(INDEX('Adjustment Surface'!$AN$27:$AN$46,MATCH(('Adjustment Surface'!$O39),'Adjustment Surface'!$AN$27:$AN$46,1)+IF('Adjustment Surface'!$O40="",-1,1))-'Adjustment Surface'!$O39)*(INDEX('Adjustment Surface'!$AO$26:$BH$26,1,MATCH(('Adjustment Surface'!V$26),'Adjustment Surface'!$AO$26:$BH$26,1)+IF('Adjustment Surface'!W$26="",-1,1))-'Adjustment Surface'!V$26)+INDEX($AO$27:$BH$46,MATCH(INDEX('Adjustment Surface'!$AN$27:$AN$46,MATCH(('Adjustment Surface'!$O39),'Adjustment Surface'!$AN$27:$AN$46,1)+IF('Adjustment Surface'!$O40="",-1,1)),$AN$27:$AN$46,0),MATCH(INDEX('Adjustment Surface'!$AO$26:$BH$26,1,MATCH(('Adjustment Surface'!V$26),'Adjustment Surface'!$AO$26:$BH$26,1)),$AO$26:$BH$26,0))*('Adjustment Surface'!$O39-INDEX('Adjustment Surface'!$AN$27:$AN$46,MATCH(('Adjustment Surface'!$O39),'Adjustment Surface'!$AN$27:$AN$46,1)))*(INDEX('Adjustment Surface'!$AO$26:$BH$26,1,MATCH(('Adjustment Surface'!V$26),'Adjustment Surface'!$AO$26:$BH$26,1)+IF('Adjustment Surface'!W$26="",-1,1))-'Adjustment Surface'!V$26)+INDEX($AO$27:$BH$46,MATCH(INDEX('Adjustment Surface'!$AN$27:$AN$46,MATCH(('Adjustment Surface'!$O39),'Adjustment Surface'!$AN$27:$AN$46,1)),$AN$27:$AN$46,0),MATCH(INDEX('Adjustment Surface'!$AO$26:$BH$26,1,MATCH(('Adjustment Surface'!V$26),'Adjustment Surface'!$AO$26:$BH$26,1)+IF('Adjustment Surface'!W$26="",-1,1)),$AO$26:$BH$26,0))*(INDEX('Adjustment Surface'!$AN$27:$AN$46,MATCH(('Adjustment Surface'!$O39),'Adjustment Surface'!$AN$27:$AN$46,1)+IF('Adjustment Surface'!$O40="",-1,1))-'Adjustment Surface'!$O39)*('Adjustment Surface'!V$26-INDEX('Adjustment Surface'!$AO$26:$BH$26,1,MATCH(('Adjustment Surface'!V$26),'Adjustment Surface'!$AO$26:$BH$26,1)))+INDEX($AO$27:$BH$46,MATCH(INDEX('Adjustment Surface'!$AN$27:$AN$46,MATCH(('Adjustment Surface'!$O39),'Adjustment Surface'!$AN$27:$AN$46,1)+IF('Adjustment Surface'!$O40="",-1,1)),$AN$27:$AN$46,0),MATCH(INDEX('Adjustment Surface'!$AO$26:$BH$26,1,MATCH(('Adjustment Surface'!V$26),'Adjustment Surface'!$AO$26:$BH$26,1)+IF('Adjustment Surface'!W$26="",-1,1)),$AO$26:$BH$26,0))*('Adjustment Surface'!$O39-INDEX('Adjustment Surface'!$AN$27:$AN$46,MATCH(('Adjustment Surface'!$O39),'Adjustment Surface'!$AN$27:$AN$46,1)))*('Adjustment Surface'!V$26-INDEX('Adjustment Surface'!$AO$26:$BH$26,1,MATCH(('Adjustment Surface'!V$26),'Adjustment Surface'!$AO$26:$BH$26,1)))))</f>
        <v/>
      </c>
      <c r="W39" s="193" t="str" cm="1">
        <f t="array" ref="W39">IF(OR(W$26="",$O39=""),"",1/((INDEX('Adjustment Surface'!$AN$27:$AN$46,MATCH(('Adjustment Surface'!$O39),'Adjustment Surface'!$AN$27:$AN$46,1)+IF('Adjustment Surface'!$O40="",-1,1))-INDEX('Adjustment Surface'!$AN$27:$AN$46,MATCH(('Adjustment Surface'!$O39),'Adjustment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Surface'!$O39),'Adjustment Surface'!$AN$27:$AN$46,1)),$AN$27:$AN$46,0),MATCH(INDEX('Adjustment Surface'!$AO$26:$BH$26,1,MATCH(('Adjustment Surface'!W$26),'Adjustment Surface'!$AO$26:$BH$26,1)),$AO$26:$BH$26,0))*(INDEX('Adjustment Surface'!$AN$27:$AN$46,MATCH(('Adjustment Surface'!$O39),'Adjustment Surface'!$AN$27:$AN$46,1)+IF('Adjustment Surface'!$O40="",-1,1))-'Adjustment Surface'!$O39)*(INDEX('Adjustment Surface'!$AO$26:$BH$26,1,MATCH(('Adjustment Surface'!W$26),'Adjustment Surface'!$AO$26:$BH$26,1)+IF('Adjustment Surface'!X$26="",-1,1))-'Adjustment Surface'!W$26)+INDEX($AO$27:$BH$46,MATCH(INDEX('Adjustment Surface'!$AN$27:$AN$46,MATCH(('Adjustment Surface'!$O39),'Adjustment Surface'!$AN$27:$AN$46,1)+IF('Adjustment Surface'!$O40="",-1,1)),$AN$27:$AN$46,0),MATCH(INDEX('Adjustment Surface'!$AO$26:$BH$26,1,MATCH(('Adjustment Surface'!W$26),'Adjustment Surface'!$AO$26:$BH$26,1)),$AO$26:$BH$26,0))*('Adjustment Surface'!$O39-INDEX('Adjustment Surface'!$AN$27:$AN$46,MATCH(('Adjustment Surface'!$O39),'Adjustment Surface'!$AN$27:$AN$46,1)))*(INDEX('Adjustment Surface'!$AO$26:$BH$26,1,MATCH(('Adjustment Surface'!W$26),'Adjustment Surface'!$AO$26:$BH$26,1)+IF('Adjustment Surface'!X$26="",-1,1))-'Adjustment Surface'!W$26)+INDEX($AO$27:$BH$46,MATCH(INDEX('Adjustment Surface'!$AN$27:$AN$46,MATCH(('Adjustment Surface'!$O39),'Adjustment Surface'!$AN$27:$AN$46,1)),$AN$27:$AN$46,0),MATCH(INDEX('Adjustment Surface'!$AO$26:$BH$26,1,MATCH(('Adjustment Surface'!W$26),'Adjustment Surface'!$AO$26:$BH$26,1)+IF('Adjustment Surface'!X$26="",-1,1)),$AO$26:$BH$26,0))*(INDEX('Adjustment Surface'!$AN$27:$AN$46,MATCH(('Adjustment Surface'!$O39),'Adjustment Surface'!$AN$27:$AN$46,1)+IF('Adjustment Surface'!$O40="",-1,1))-'Adjustment Surface'!$O39)*('Adjustment Surface'!W$26-INDEX('Adjustment Surface'!$AO$26:$BH$26,1,MATCH(('Adjustment Surface'!W$26),'Adjustment Surface'!$AO$26:$BH$26,1)))+INDEX($AO$27:$BH$46,MATCH(INDEX('Adjustment Surface'!$AN$27:$AN$46,MATCH(('Adjustment Surface'!$O39),'Adjustment Surface'!$AN$27:$AN$46,1)+IF('Adjustment Surface'!$O40="",-1,1)),$AN$27:$AN$46,0),MATCH(INDEX('Adjustment Surface'!$AO$26:$BH$26,1,MATCH(('Adjustment Surface'!W$26),'Adjustment Surface'!$AO$26:$BH$26,1)+IF('Adjustment Surface'!X$26="",-1,1)),$AO$26:$BH$26,0))*('Adjustment Surface'!$O39-INDEX('Adjustment Surface'!$AN$27:$AN$46,MATCH(('Adjustment Surface'!$O39),'Adjustment Surface'!$AN$27:$AN$46,1)))*('Adjustment Surface'!W$26-INDEX('Adjustment Surface'!$AO$26:$BH$26,1,MATCH(('Adjustment Surface'!W$26),'Adjustment Surface'!$AO$26:$BH$26,1)))))</f>
        <v/>
      </c>
      <c r="X39" s="193" t="str" cm="1">
        <f t="array" ref="X39">IF(OR(X$26="",$O39=""),"",1/((INDEX('Adjustment Surface'!$AN$27:$AN$46,MATCH(('Adjustment Surface'!$O39),'Adjustment Surface'!$AN$27:$AN$46,1)+IF('Adjustment Surface'!$O40="",-1,1))-INDEX('Adjustment Surface'!$AN$27:$AN$46,MATCH(('Adjustment Surface'!$O39),'Adjustment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Surface'!$O39),'Adjustment Surface'!$AN$27:$AN$46,1)),$AN$27:$AN$46,0),MATCH(INDEX('Adjustment Surface'!$AO$26:$BH$26,1,MATCH(('Adjustment Surface'!X$26),'Adjustment Surface'!$AO$26:$BH$26,1)),$AO$26:$BH$26,0))*(INDEX('Adjustment Surface'!$AN$27:$AN$46,MATCH(('Adjustment Surface'!$O39),'Adjustment Surface'!$AN$27:$AN$46,1)+IF('Adjustment Surface'!$O40="",-1,1))-'Adjustment Surface'!$O39)*(INDEX('Adjustment Surface'!$AO$26:$BH$26,1,MATCH(('Adjustment Surface'!X$26),'Adjustment Surface'!$AO$26:$BH$26,1)+IF('Adjustment Surface'!Y$26="",-1,1))-'Adjustment Surface'!X$26)+INDEX($AO$27:$BH$46,MATCH(INDEX('Adjustment Surface'!$AN$27:$AN$46,MATCH(('Adjustment Surface'!$O39),'Adjustment Surface'!$AN$27:$AN$46,1)+IF('Adjustment Surface'!$O40="",-1,1)),$AN$27:$AN$46,0),MATCH(INDEX('Adjustment Surface'!$AO$26:$BH$26,1,MATCH(('Adjustment Surface'!X$26),'Adjustment Surface'!$AO$26:$BH$26,1)),$AO$26:$BH$26,0))*('Adjustment Surface'!$O39-INDEX('Adjustment Surface'!$AN$27:$AN$46,MATCH(('Adjustment Surface'!$O39),'Adjustment Surface'!$AN$27:$AN$46,1)))*(INDEX('Adjustment Surface'!$AO$26:$BH$26,1,MATCH(('Adjustment Surface'!X$26),'Adjustment Surface'!$AO$26:$BH$26,1)+IF('Adjustment Surface'!Y$26="",-1,1))-'Adjustment Surface'!X$26)+INDEX($AO$27:$BH$46,MATCH(INDEX('Adjustment Surface'!$AN$27:$AN$46,MATCH(('Adjustment Surface'!$O39),'Adjustment Surface'!$AN$27:$AN$46,1)),$AN$27:$AN$46,0),MATCH(INDEX('Adjustment Surface'!$AO$26:$BH$26,1,MATCH(('Adjustment Surface'!X$26),'Adjustment Surface'!$AO$26:$BH$26,1)+IF('Adjustment Surface'!Y$26="",-1,1)),$AO$26:$BH$26,0))*(INDEX('Adjustment Surface'!$AN$27:$AN$46,MATCH(('Adjustment Surface'!$O39),'Adjustment Surface'!$AN$27:$AN$46,1)+IF('Adjustment Surface'!$O40="",-1,1))-'Adjustment Surface'!$O39)*('Adjustment Surface'!X$26-INDEX('Adjustment Surface'!$AO$26:$BH$26,1,MATCH(('Adjustment Surface'!X$26),'Adjustment Surface'!$AO$26:$BH$26,1)))+INDEX($AO$27:$BH$46,MATCH(INDEX('Adjustment Surface'!$AN$27:$AN$46,MATCH(('Adjustment Surface'!$O39),'Adjustment Surface'!$AN$27:$AN$46,1)+IF('Adjustment Surface'!$O40="",-1,1)),$AN$27:$AN$46,0),MATCH(INDEX('Adjustment Surface'!$AO$26:$BH$26,1,MATCH(('Adjustment Surface'!X$26),'Adjustment Surface'!$AO$26:$BH$26,1)+IF('Adjustment Surface'!Y$26="",-1,1)),$AO$26:$BH$26,0))*('Adjustment Surface'!$O39-INDEX('Adjustment Surface'!$AN$27:$AN$46,MATCH(('Adjustment Surface'!$O39),'Adjustment Surface'!$AN$27:$AN$46,1)))*('Adjustment Surface'!X$26-INDEX('Adjustment Surface'!$AO$26:$BH$26,1,MATCH(('Adjustment Surface'!X$26),'Adjustment Surface'!$AO$26:$BH$26,1)))))</f>
        <v/>
      </c>
      <c r="Y39" s="193" t="str" cm="1">
        <f t="array" ref="Y39">IF(OR(Y$26="",$O39=""),"",1/((INDEX('Adjustment Surface'!$AN$27:$AN$46,MATCH(('Adjustment Surface'!$O39),'Adjustment Surface'!$AN$27:$AN$46,1)+IF('Adjustment Surface'!$O40="",-1,1))-INDEX('Adjustment Surface'!$AN$27:$AN$46,MATCH(('Adjustment Surface'!$O39),'Adjustment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Surface'!$O39),'Adjustment Surface'!$AN$27:$AN$46,1)),$AN$27:$AN$46,0),MATCH(INDEX('Adjustment Surface'!$AO$26:$BH$26,1,MATCH(('Adjustment Surface'!Y$26),'Adjustment Surface'!$AO$26:$BH$26,1)),$AO$26:$BH$26,0))*(INDEX('Adjustment Surface'!$AN$27:$AN$46,MATCH(('Adjustment Surface'!$O39),'Adjustment Surface'!$AN$27:$AN$46,1)+IF('Adjustment Surface'!$O40="",-1,1))-'Adjustment Surface'!$O39)*(INDEX('Adjustment Surface'!$AO$26:$BH$26,1,MATCH(('Adjustment Surface'!Y$26),'Adjustment Surface'!$AO$26:$BH$26,1)+IF('Adjustment Surface'!Z$26="",-1,1))-'Adjustment Surface'!Y$26)+INDEX($AO$27:$BH$46,MATCH(INDEX('Adjustment Surface'!$AN$27:$AN$46,MATCH(('Adjustment Surface'!$O39),'Adjustment Surface'!$AN$27:$AN$46,1)+IF('Adjustment Surface'!$O40="",-1,1)),$AN$27:$AN$46,0),MATCH(INDEX('Adjustment Surface'!$AO$26:$BH$26,1,MATCH(('Adjustment Surface'!Y$26),'Adjustment Surface'!$AO$26:$BH$26,1)),$AO$26:$BH$26,0))*('Adjustment Surface'!$O39-INDEX('Adjustment Surface'!$AN$27:$AN$46,MATCH(('Adjustment Surface'!$O39),'Adjustment Surface'!$AN$27:$AN$46,1)))*(INDEX('Adjustment Surface'!$AO$26:$BH$26,1,MATCH(('Adjustment Surface'!Y$26),'Adjustment Surface'!$AO$26:$BH$26,1)+IF('Adjustment Surface'!Z$26="",-1,1))-'Adjustment Surface'!Y$26)+INDEX($AO$27:$BH$46,MATCH(INDEX('Adjustment Surface'!$AN$27:$AN$46,MATCH(('Adjustment Surface'!$O39),'Adjustment Surface'!$AN$27:$AN$46,1)),$AN$27:$AN$46,0),MATCH(INDEX('Adjustment Surface'!$AO$26:$BH$26,1,MATCH(('Adjustment Surface'!Y$26),'Adjustment Surface'!$AO$26:$BH$26,1)+IF('Adjustment Surface'!Z$26="",-1,1)),$AO$26:$BH$26,0))*(INDEX('Adjustment Surface'!$AN$27:$AN$46,MATCH(('Adjustment Surface'!$O39),'Adjustment Surface'!$AN$27:$AN$46,1)+IF('Adjustment Surface'!$O40="",-1,1))-'Adjustment Surface'!$O39)*('Adjustment Surface'!Y$26-INDEX('Adjustment Surface'!$AO$26:$BH$26,1,MATCH(('Adjustment Surface'!Y$26),'Adjustment Surface'!$AO$26:$BH$26,1)))+INDEX($AO$27:$BH$46,MATCH(INDEX('Adjustment Surface'!$AN$27:$AN$46,MATCH(('Adjustment Surface'!$O39),'Adjustment Surface'!$AN$27:$AN$46,1)+IF('Adjustment Surface'!$O40="",-1,1)),$AN$27:$AN$46,0),MATCH(INDEX('Adjustment Surface'!$AO$26:$BH$26,1,MATCH(('Adjustment Surface'!Y$26),'Adjustment Surface'!$AO$26:$BH$26,1)+IF('Adjustment Surface'!Z$26="",-1,1)),$AO$26:$BH$26,0))*('Adjustment Surface'!$O39-INDEX('Adjustment Surface'!$AN$27:$AN$46,MATCH(('Adjustment Surface'!$O39),'Adjustment Surface'!$AN$27:$AN$46,1)))*('Adjustment Surface'!Y$26-INDEX('Adjustment Surface'!$AO$26:$BH$26,1,MATCH(('Adjustment Surface'!Y$26),'Adjustment Surface'!$AO$26:$BH$26,1)))))</f>
        <v/>
      </c>
      <c r="Z39" s="193" t="str" cm="1">
        <f t="array" ref="Z39">IF(OR(Z$26="",$O39=""),"",1/((INDEX('Adjustment Surface'!$AN$27:$AN$46,MATCH(('Adjustment Surface'!$O39),'Adjustment Surface'!$AN$27:$AN$46,1)+IF('Adjustment Surface'!$O40="",-1,1))-INDEX('Adjustment Surface'!$AN$27:$AN$46,MATCH(('Adjustment Surface'!$O39),'Adjustment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Surface'!$O39),'Adjustment Surface'!$AN$27:$AN$46,1)),$AN$27:$AN$46,0),MATCH(INDEX('Adjustment Surface'!$AO$26:$BH$26,1,MATCH(('Adjustment Surface'!Z$26),'Adjustment Surface'!$AO$26:$BH$26,1)),$AO$26:$BH$26,0))*(INDEX('Adjustment Surface'!$AN$27:$AN$46,MATCH(('Adjustment Surface'!$O39),'Adjustment Surface'!$AN$27:$AN$46,1)+IF('Adjustment Surface'!$O40="",-1,1))-'Adjustment Surface'!$O39)*(INDEX('Adjustment Surface'!$AO$26:$BH$26,1,MATCH(('Adjustment Surface'!Z$26),'Adjustment Surface'!$AO$26:$BH$26,1)+IF('Adjustment Surface'!AA$26="",-1,1))-'Adjustment Surface'!Z$26)+INDEX($AO$27:$BH$46,MATCH(INDEX('Adjustment Surface'!$AN$27:$AN$46,MATCH(('Adjustment Surface'!$O39),'Adjustment Surface'!$AN$27:$AN$46,1)+IF('Adjustment Surface'!$O40="",-1,1)),$AN$27:$AN$46,0),MATCH(INDEX('Adjustment Surface'!$AO$26:$BH$26,1,MATCH(('Adjustment Surface'!Z$26),'Adjustment Surface'!$AO$26:$BH$26,1)),$AO$26:$BH$26,0))*('Adjustment Surface'!$O39-INDEX('Adjustment Surface'!$AN$27:$AN$46,MATCH(('Adjustment Surface'!$O39),'Adjustment Surface'!$AN$27:$AN$46,1)))*(INDEX('Adjustment Surface'!$AO$26:$BH$26,1,MATCH(('Adjustment Surface'!Z$26),'Adjustment Surface'!$AO$26:$BH$26,1)+IF('Adjustment Surface'!AA$26="",-1,1))-'Adjustment Surface'!Z$26)+INDEX($AO$27:$BH$46,MATCH(INDEX('Adjustment Surface'!$AN$27:$AN$46,MATCH(('Adjustment Surface'!$O39),'Adjustment Surface'!$AN$27:$AN$46,1)),$AN$27:$AN$46,0),MATCH(INDEX('Adjustment Surface'!$AO$26:$BH$26,1,MATCH(('Adjustment Surface'!Z$26),'Adjustment Surface'!$AO$26:$BH$26,1)+IF('Adjustment Surface'!AA$26="",-1,1)),$AO$26:$BH$26,0))*(INDEX('Adjustment Surface'!$AN$27:$AN$46,MATCH(('Adjustment Surface'!$O39),'Adjustment Surface'!$AN$27:$AN$46,1)+IF('Adjustment Surface'!$O40="",-1,1))-'Adjustment Surface'!$O39)*('Adjustment Surface'!Z$26-INDEX('Adjustment Surface'!$AO$26:$BH$26,1,MATCH(('Adjustment Surface'!Z$26),'Adjustment Surface'!$AO$26:$BH$26,1)))+INDEX($AO$27:$BH$46,MATCH(INDEX('Adjustment Surface'!$AN$27:$AN$46,MATCH(('Adjustment Surface'!$O39),'Adjustment Surface'!$AN$27:$AN$46,1)+IF('Adjustment Surface'!$O40="",-1,1)),$AN$27:$AN$46,0),MATCH(INDEX('Adjustment Surface'!$AO$26:$BH$26,1,MATCH(('Adjustment Surface'!Z$26),'Adjustment Surface'!$AO$26:$BH$26,1)+IF('Adjustment Surface'!AA$26="",-1,1)),$AO$26:$BH$26,0))*('Adjustment Surface'!$O39-INDEX('Adjustment Surface'!$AN$27:$AN$46,MATCH(('Adjustment Surface'!$O39),'Adjustment Surface'!$AN$27:$AN$46,1)))*('Adjustment Surface'!Z$26-INDEX('Adjustment Surface'!$AO$26:$BH$26,1,MATCH(('Adjustment Surface'!Z$26),'Adjustment Surface'!$AO$26:$BH$26,1)))))</f>
        <v/>
      </c>
      <c r="AA39" s="193" t="str" cm="1">
        <f t="array" ref="AA39">IF(OR(AA$26="",$O39=""),"",1/((INDEX('Adjustment Surface'!$AN$27:$AN$46,MATCH(('Adjustment Surface'!$O39),'Adjustment Surface'!$AN$27:$AN$46,1)+IF('Adjustment Surface'!$O40="",-1,1))-INDEX('Adjustment Surface'!$AN$27:$AN$46,MATCH(('Adjustment Surface'!$O39),'Adjustment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Surface'!$O39),'Adjustment Surface'!$AN$27:$AN$46,1)),$AN$27:$AN$46,0),MATCH(INDEX('Adjustment Surface'!$AO$26:$BH$26,1,MATCH(('Adjustment Surface'!AA$26),'Adjustment Surface'!$AO$26:$BH$26,1)),$AO$26:$BH$26,0))*(INDEX('Adjustment Surface'!$AN$27:$AN$46,MATCH(('Adjustment Surface'!$O39),'Adjustment Surface'!$AN$27:$AN$46,1)+IF('Adjustment Surface'!$O40="",-1,1))-'Adjustment Surface'!$O39)*(INDEX('Adjustment Surface'!$AO$26:$BH$26,1,MATCH(('Adjustment Surface'!AA$26),'Adjustment Surface'!$AO$26:$BH$26,1)+IF('Adjustment Surface'!AB$26="",-1,1))-'Adjustment Surface'!AA$26)+INDEX($AO$27:$BH$46,MATCH(INDEX('Adjustment Surface'!$AN$27:$AN$46,MATCH(('Adjustment Surface'!$O39),'Adjustment Surface'!$AN$27:$AN$46,1)+IF('Adjustment Surface'!$O40="",-1,1)),$AN$27:$AN$46,0),MATCH(INDEX('Adjustment Surface'!$AO$26:$BH$26,1,MATCH(('Adjustment Surface'!AA$26),'Adjustment Surface'!$AO$26:$BH$26,1)),$AO$26:$BH$26,0))*('Adjustment Surface'!$O39-INDEX('Adjustment Surface'!$AN$27:$AN$46,MATCH(('Adjustment Surface'!$O39),'Adjustment Surface'!$AN$27:$AN$46,1)))*(INDEX('Adjustment Surface'!$AO$26:$BH$26,1,MATCH(('Adjustment Surface'!AA$26),'Adjustment Surface'!$AO$26:$BH$26,1)+IF('Adjustment Surface'!AB$26="",-1,1))-'Adjustment Surface'!AA$26)+INDEX($AO$27:$BH$46,MATCH(INDEX('Adjustment Surface'!$AN$27:$AN$46,MATCH(('Adjustment Surface'!$O39),'Adjustment Surface'!$AN$27:$AN$46,1)),$AN$27:$AN$46,0),MATCH(INDEX('Adjustment Surface'!$AO$26:$BH$26,1,MATCH(('Adjustment Surface'!AA$26),'Adjustment Surface'!$AO$26:$BH$26,1)+IF('Adjustment Surface'!AB$26="",-1,1)),$AO$26:$BH$26,0))*(INDEX('Adjustment Surface'!$AN$27:$AN$46,MATCH(('Adjustment Surface'!$O39),'Adjustment Surface'!$AN$27:$AN$46,1)+IF('Adjustment Surface'!$O40="",-1,1))-'Adjustment Surface'!$O39)*('Adjustment Surface'!AA$26-INDEX('Adjustment Surface'!$AO$26:$BH$26,1,MATCH(('Adjustment Surface'!AA$26),'Adjustment Surface'!$AO$26:$BH$26,1)))+INDEX($AO$27:$BH$46,MATCH(INDEX('Adjustment Surface'!$AN$27:$AN$46,MATCH(('Adjustment Surface'!$O39),'Adjustment Surface'!$AN$27:$AN$46,1)+IF('Adjustment Surface'!$O40="",-1,1)),$AN$27:$AN$46,0),MATCH(INDEX('Adjustment Surface'!$AO$26:$BH$26,1,MATCH(('Adjustment Surface'!AA$26),'Adjustment Surface'!$AO$26:$BH$26,1)+IF('Adjustment Surface'!AB$26="",-1,1)),$AO$26:$BH$26,0))*('Adjustment Surface'!$O39-INDEX('Adjustment Surface'!$AN$27:$AN$46,MATCH(('Adjustment Surface'!$O39),'Adjustment Surface'!$AN$27:$AN$46,1)))*('Adjustment Surface'!AA$26-INDEX('Adjustment Surface'!$AO$26:$BH$26,1,MATCH(('Adjustment Surface'!AA$26),'Adjustment Surface'!$AO$26:$BH$26,1)))))</f>
        <v/>
      </c>
      <c r="AB39" s="193" t="str" cm="1">
        <f t="array" ref="AB39">IF(OR(AB$26="",$O39=""),"",1/((INDEX('Adjustment Surface'!$AN$27:$AN$46,MATCH(('Adjustment Surface'!$O39),'Adjustment Surface'!$AN$27:$AN$46,1)+IF('Adjustment Surface'!$O40="",-1,1))-INDEX('Adjustment Surface'!$AN$27:$AN$46,MATCH(('Adjustment Surface'!$O39),'Adjustment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Surface'!$O39),'Adjustment Surface'!$AN$27:$AN$46,1)),$AN$27:$AN$46,0),MATCH(INDEX('Adjustment Surface'!$AO$26:$BH$26,1,MATCH(('Adjustment Surface'!AB$26),'Adjustment Surface'!$AO$26:$BH$26,1)),$AO$26:$BH$26,0))*(INDEX('Adjustment Surface'!$AN$27:$AN$46,MATCH(('Adjustment Surface'!$O39),'Adjustment Surface'!$AN$27:$AN$46,1)+IF('Adjustment Surface'!$O40="",-1,1))-'Adjustment Surface'!$O39)*(INDEX('Adjustment Surface'!$AO$26:$BH$26,1,MATCH(('Adjustment Surface'!AB$26),'Adjustment Surface'!$AO$26:$BH$26,1)+IF('Adjustment Surface'!AC$26="",-1,1))-'Adjustment Surface'!AB$26)+INDEX($AO$27:$BH$46,MATCH(INDEX('Adjustment Surface'!$AN$27:$AN$46,MATCH(('Adjustment Surface'!$O39),'Adjustment Surface'!$AN$27:$AN$46,1)+IF('Adjustment Surface'!$O40="",-1,1)),$AN$27:$AN$46,0),MATCH(INDEX('Adjustment Surface'!$AO$26:$BH$26,1,MATCH(('Adjustment Surface'!AB$26),'Adjustment Surface'!$AO$26:$BH$26,1)),$AO$26:$BH$26,0))*('Adjustment Surface'!$O39-INDEX('Adjustment Surface'!$AN$27:$AN$46,MATCH(('Adjustment Surface'!$O39),'Adjustment Surface'!$AN$27:$AN$46,1)))*(INDEX('Adjustment Surface'!$AO$26:$BH$26,1,MATCH(('Adjustment Surface'!AB$26),'Adjustment Surface'!$AO$26:$BH$26,1)+IF('Adjustment Surface'!AC$26="",-1,1))-'Adjustment Surface'!AB$26)+INDEX($AO$27:$BH$46,MATCH(INDEX('Adjustment Surface'!$AN$27:$AN$46,MATCH(('Adjustment Surface'!$O39),'Adjustment Surface'!$AN$27:$AN$46,1)),$AN$27:$AN$46,0),MATCH(INDEX('Adjustment Surface'!$AO$26:$BH$26,1,MATCH(('Adjustment Surface'!AB$26),'Adjustment Surface'!$AO$26:$BH$26,1)+IF('Adjustment Surface'!AC$26="",-1,1)),$AO$26:$BH$26,0))*(INDEX('Adjustment Surface'!$AN$27:$AN$46,MATCH(('Adjustment Surface'!$O39),'Adjustment Surface'!$AN$27:$AN$46,1)+IF('Adjustment Surface'!$O40="",-1,1))-'Adjustment Surface'!$O39)*('Adjustment Surface'!AB$26-INDEX('Adjustment Surface'!$AO$26:$BH$26,1,MATCH(('Adjustment Surface'!AB$26),'Adjustment Surface'!$AO$26:$BH$26,1)))+INDEX($AO$27:$BH$46,MATCH(INDEX('Adjustment Surface'!$AN$27:$AN$46,MATCH(('Adjustment Surface'!$O39),'Adjustment Surface'!$AN$27:$AN$46,1)+IF('Adjustment Surface'!$O40="",-1,1)),$AN$27:$AN$46,0),MATCH(INDEX('Adjustment Surface'!$AO$26:$BH$26,1,MATCH(('Adjustment Surface'!AB$26),'Adjustment Surface'!$AO$26:$BH$26,1)+IF('Adjustment Surface'!AC$26="",-1,1)),$AO$26:$BH$26,0))*('Adjustment Surface'!$O39-INDEX('Adjustment Surface'!$AN$27:$AN$46,MATCH(('Adjustment Surface'!$O39),'Adjustment Surface'!$AN$27:$AN$46,1)))*('Adjustment Surface'!AB$26-INDEX('Adjustment Surface'!$AO$26:$BH$26,1,MATCH(('Adjustment Surface'!AB$26),'Adjustment Surface'!$AO$26:$BH$26,1)))))</f>
        <v/>
      </c>
      <c r="AC39" s="193" t="str" cm="1">
        <f t="array" ref="AC39">IF(OR(AC$26="",$O39=""),"",1/((INDEX('Adjustment Surface'!$AN$27:$AN$46,MATCH(('Adjustment Surface'!$O39),'Adjustment Surface'!$AN$27:$AN$46,1)+IF('Adjustment Surface'!$O40="",-1,1))-INDEX('Adjustment Surface'!$AN$27:$AN$46,MATCH(('Adjustment Surface'!$O39),'Adjustment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Surface'!$O39),'Adjustment Surface'!$AN$27:$AN$46,1)),$AN$27:$AN$46,0),MATCH(INDEX('Adjustment Surface'!$AO$26:$BH$26,1,MATCH(('Adjustment Surface'!AC$26),'Adjustment Surface'!$AO$26:$BH$26,1)),$AO$26:$BH$26,0))*(INDEX('Adjustment Surface'!$AN$27:$AN$46,MATCH(('Adjustment Surface'!$O39),'Adjustment Surface'!$AN$27:$AN$46,1)+IF('Adjustment Surface'!$O40="",-1,1))-'Adjustment Surface'!$O39)*(INDEX('Adjustment Surface'!$AO$26:$BH$26,1,MATCH(('Adjustment Surface'!AC$26),'Adjustment Surface'!$AO$26:$BH$26,1)+IF('Adjustment Surface'!AD$26="",-1,1))-'Adjustment Surface'!AC$26)+INDEX($AO$27:$BH$46,MATCH(INDEX('Adjustment Surface'!$AN$27:$AN$46,MATCH(('Adjustment Surface'!$O39),'Adjustment Surface'!$AN$27:$AN$46,1)+IF('Adjustment Surface'!$O40="",-1,1)),$AN$27:$AN$46,0),MATCH(INDEX('Adjustment Surface'!$AO$26:$BH$26,1,MATCH(('Adjustment Surface'!AC$26),'Adjustment Surface'!$AO$26:$BH$26,1)),$AO$26:$BH$26,0))*('Adjustment Surface'!$O39-INDEX('Adjustment Surface'!$AN$27:$AN$46,MATCH(('Adjustment Surface'!$O39),'Adjustment Surface'!$AN$27:$AN$46,1)))*(INDEX('Adjustment Surface'!$AO$26:$BH$26,1,MATCH(('Adjustment Surface'!AC$26),'Adjustment Surface'!$AO$26:$BH$26,1)+IF('Adjustment Surface'!AD$26="",-1,1))-'Adjustment Surface'!AC$26)+INDEX($AO$27:$BH$46,MATCH(INDEX('Adjustment Surface'!$AN$27:$AN$46,MATCH(('Adjustment Surface'!$O39),'Adjustment Surface'!$AN$27:$AN$46,1)),$AN$27:$AN$46,0),MATCH(INDEX('Adjustment Surface'!$AO$26:$BH$26,1,MATCH(('Adjustment Surface'!AC$26),'Adjustment Surface'!$AO$26:$BH$26,1)+IF('Adjustment Surface'!AD$26="",-1,1)),$AO$26:$BH$26,0))*(INDEX('Adjustment Surface'!$AN$27:$AN$46,MATCH(('Adjustment Surface'!$O39),'Adjustment Surface'!$AN$27:$AN$46,1)+IF('Adjustment Surface'!$O40="",-1,1))-'Adjustment Surface'!$O39)*('Adjustment Surface'!AC$26-INDEX('Adjustment Surface'!$AO$26:$BH$26,1,MATCH(('Adjustment Surface'!AC$26),'Adjustment Surface'!$AO$26:$BH$26,1)))+INDEX($AO$27:$BH$46,MATCH(INDEX('Adjustment Surface'!$AN$27:$AN$46,MATCH(('Adjustment Surface'!$O39),'Adjustment Surface'!$AN$27:$AN$46,1)+IF('Adjustment Surface'!$O40="",-1,1)),$AN$27:$AN$46,0),MATCH(INDEX('Adjustment Surface'!$AO$26:$BH$26,1,MATCH(('Adjustment Surface'!AC$26),'Adjustment Surface'!$AO$26:$BH$26,1)+IF('Adjustment Surface'!AD$26="",-1,1)),$AO$26:$BH$26,0))*('Adjustment Surface'!$O39-INDEX('Adjustment Surface'!$AN$27:$AN$46,MATCH(('Adjustment Surface'!$O39),'Adjustment Surface'!$AN$27:$AN$46,1)))*('Adjustment Surface'!AC$26-INDEX('Adjustment Surface'!$AO$26:$BH$26,1,MATCH(('Adjustment Surface'!AC$26),'Adjustment Surface'!$AO$26:$BH$26,1)))))</f>
        <v/>
      </c>
      <c r="AD39" s="193" t="str" cm="1">
        <f t="array" ref="AD39">IF(OR(AD$26="",$O39=""),"",1/((INDEX('Adjustment Surface'!$AN$27:$AN$46,MATCH(('Adjustment Surface'!$O39),'Adjustment Surface'!$AN$27:$AN$46,1)+IF('Adjustment Surface'!$O40="",-1,1))-INDEX('Adjustment Surface'!$AN$27:$AN$46,MATCH(('Adjustment Surface'!$O39),'Adjustment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Surface'!$O39),'Adjustment Surface'!$AN$27:$AN$46,1)),$AN$27:$AN$46,0),MATCH(INDEX('Adjustment Surface'!$AO$26:$BH$26,1,MATCH(('Adjustment Surface'!AD$26),'Adjustment Surface'!$AO$26:$BH$26,1)),$AO$26:$BH$26,0))*(INDEX('Adjustment Surface'!$AN$27:$AN$46,MATCH(('Adjustment Surface'!$O39),'Adjustment Surface'!$AN$27:$AN$46,1)+IF('Adjustment Surface'!$O40="",-1,1))-'Adjustment Surface'!$O39)*(INDEX('Adjustment Surface'!$AO$26:$BH$26,1,MATCH(('Adjustment Surface'!AD$26),'Adjustment Surface'!$AO$26:$BH$26,1)+IF('Adjustment Surface'!AE$26="",-1,1))-'Adjustment Surface'!AD$26)+INDEX($AO$27:$BH$46,MATCH(INDEX('Adjustment Surface'!$AN$27:$AN$46,MATCH(('Adjustment Surface'!$O39),'Adjustment Surface'!$AN$27:$AN$46,1)+IF('Adjustment Surface'!$O40="",-1,1)),$AN$27:$AN$46,0),MATCH(INDEX('Adjustment Surface'!$AO$26:$BH$26,1,MATCH(('Adjustment Surface'!AD$26),'Adjustment Surface'!$AO$26:$BH$26,1)),$AO$26:$BH$26,0))*('Adjustment Surface'!$O39-INDEX('Adjustment Surface'!$AN$27:$AN$46,MATCH(('Adjustment Surface'!$O39),'Adjustment Surface'!$AN$27:$AN$46,1)))*(INDEX('Adjustment Surface'!$AO$26:$BH$26,1,MATCH(('Adjustment Surface'!AD$26),'Adjustment Surface'!$AO$26:$BH$26,1)+IF('Adjustment Surface'!AE$26="",-1,1))-'Adjustment Surface'!AD$26)+INDEX($AO$27:$BH$46,MATCH(INDEX('Adjustment Surface'!$AN$27:$AN$46,MATCH(('Adjustment Surface'!$O39),'Adjustment Surface'!$AN$27:$AN$46,1)),$AN$27:$AN$46,0),MATCH(INDEX('Adjustment Surface'!$AO$26:$BH$26,1,MATCH(('Adjustment Surface'!AD$26),'Adjustment Surface'!$AO$26:$BH$26,1)+IF('Adjustment Surface'!AE$26="",-1,1)),$AO$26:$BH$26,0))*(INDEX('Adjustment Surface'!$AN$27:$AN$46,MATCH(('Adjustment Surface'!$O39),'Adjustment Surface'!$AN$27:$AN$46,1)+IF('Adjustment Surface'!$O40="",-1,1))-'Adjustment Surface'!$O39)*('Adjustment Surface'!AD$26-INDEX('Adjustment Surface'!$AO$26:$BH$26,1,MATCH(('Adjustment Surface'!AD$26),'Adjustment Surface'!$AO$26:$BH$26,1)))+INDEX($AO$27:$BH$46,MATCH(INDEX('Adjustment Surface'!$AN$27:$AN$46,MATCH(('Adjustment Surface'!$O39),'Adjustment Surface'!$AN$27:$AN$46,1)+IF('Adjustment Surface'!$O40="",-1,1)),$AN$27:$AN$46,0),MATCH(INDEX('Adjustment Surface'!$AO$26:$BH$26,1,MATCH(('Adjustment Surface'!AD$26),'Adjustment Surface'!$AO$26:$BH$26,1)+IF('Adjustment Surface'!AE$26="",-1,1)),$AO$26:$BH$26,0))*('Adjustment Surface'!$O39-INDEX('Adjustment Surface'!$AN$27:$AN$46,MATCH(('Adjustment Surface'!$O39),'Adjustment Surface'!$AN$27:$AN$46,1)))*('Adjustment Surface'!AD$26-INDEX('Adjustment Surface'!$AO$26:$BH$26,1,MATCH(('Adjustment Surface'!AD$26),'Adjustment Surface'!$AO$26:$BH$26,1)))))</f>
        <v/>
      </c>
      <c r="AE39" s="193" t="str" cm="1">
        <f t="array" ref="AE39">IF(OR(AE$26="",$O39=""),"",1/((INDEX('Adjustment Surface'!$AN$27:$AN$46,MATCH(('Adjustment Surface'!$O39),'Adjustment Surface'!$AN$27:$AN$46,1)+IF('Adjustment Surface'!$O40="",-1,1))-INDEX('Adjustment Surface'!$AN$27:$AN$46,MATCH(('Adjustment Surface'!$O39),'Adjustment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Surface'!$O39),'Adjustment Surface'!$AN$27:$AN$46,1)),$AN$27:$AN$46,0),MATCH(INDEX('Adjustment Surface'!$AO$26:$BH$26,1,MATCH(('Adjustment Surface'!AE$26),'Adjustment Surface'!$AO$26:$BH$26,1)),$AO$26:$BH$26,0))*(INDEX('Adjustment Surface'!$AN$27:$AN$46,MATCH(('Adjustment Surface'!$O39),'Adjustment Surface'!$AN$27:$AN$46,1)+IF('Adjustment Surface'!$O40="",-1,1))-'Adjustment Surface'!$O39)*(INDEX('Adjustment Surface'!$AO$26:$BH$26,1,MATCH(('Adjustment Surface'!AE$26),'Adjustment Surface'!$AO$26:$BH$26,1)+IF('Adjustment Surface'!AF$26="",-1,1))-'Adjustment Surface'!AE$26)+INDEX($AO$27:$BH$46,MATCH(INDEX('Adjustment Surface'!$AN$27:$AN$46,MATCH(('Adjustment Surface'!$O39),'Adjustment Surface'!$AN$27:$AN$46,1)+IF('Adjustment Surface'!$O40="",-1,1)),$AN$27:$AN$46,0),MATCH(INDEX('Adjustment Surface'!$AO$26:$BH$26,1,MATCH(('Adjustment Surface'!AE$26),'Adjustment Surface'!$AO$26:$BH$26,1)),$AO$26:$BH$26,0))*('Adjustment Surface'!$O39-INDEX('Adjustment Surface'!$AN$27:$AN$46,MATCH(('Adjustment Surface'!$O39),'Adjustment Surface'!$AN$27:$AN$46,1)))*(INDEX('Adjustment Surface'!$AO$26:$BH$26,1,MATCH(('Adjustment Surface'!AE$26),'Adjustment Surface'!$AO$26:$BH$26,1)+IF('Adjustment Surface'!AF$26="",-1,1))-'Adjustment Surface'!AE$26)+INDEX($AO$27:$BH$46,MATCH(INDEX('Adjustment Surface'!$AN$27:$AN$46,MATCH(('Adjustment Surface'!$O39),'Adjustment Surface'!$AN$27:$AN$46,1)),$AN$27:$AN$46,0),MATCH(INDEX('Adjustment Surface'!$AO$26:$BH$26,1,MATCH(('Adjustment Surface'!AE$26),'Adjustment Surface'!$AO$26:$BH$26,1)+IF('Adjustment Surface'!AF$26="",-1,1)),$AO$26:$BH$26,0))*(INDEX('Adjustment Surface'!$AN$27:$AN$46,MATCH(('Adjustment Surface'!$O39),'Adjustment Surface'!$AN$27:$AN$46,1)+IF('Adjustment Surface'!$O40="",-1,1))-'Adjustment Surface'!$O39)*('Adjustment Surface'!AE$26-INDEX('Adjustment Surface'!$AO$26:$BH$26,1,MATCH(('Adjustment Surface'!AE$26),'Adjustment Surface'!$AO$26:$BH$26,1)))+INDEX($AO$27:$BH$46,MATCH(INDEX('Adjustment Surface'!$AN$27:$AN$46,MATCH(('Adjustment Surface'!$O39),'Adjustment Surface'!$AN$27:$AN$46,1)+IF('Adjustment Surface'!$O40="",-1,1)),$AN$27:$AN$46,0),MATCH(INDEX('Adjustment Surface'!$AO$26:$BH$26,1,MATCH(('Adjustment Surface'!AE$26),'Adjustment Surface'!$AO$26:$BH$26,1)+IF('Adjustment Surface'!AF$26="",-1,1)),$AO$26:$BH$26,0))*('Adjustment Surface'!$O39-INDEX('Adjustment Surface'!$AN$27:$AN$46,MATCH(('Adjustment Surface'!$O39),'Adjustment Surface'!$AN$27:$AN$46,1)))*('Adjustment Surface'!AE$26-INDEX('Adjustment Surface'!$AO$26:$BH$26,1,MATCH(('Adjustment Surface'!AE$26),'Adjustment Surface'!$AO$26:$BH$26,1)))))</f>
        <v/>
      </c>
      <c r="AF39" s="193" t="str" cm="1">
        <f t="array" ref="AF39">IF(OR(AF$26="",$O39=""),"",1/((INDEX('Adjustment Surface'!$AN$27:$AN$46,MATCH(('Adjustment Surface'!$O39),'Adjustment Surface'!$AN$27:$AN$46,1)+IF('Adjustment Surface'!$O40="",-1,1))-INDEX('Adjustment Surface'!$AN$27:$AN$46,MATCH(('Adjustment Surface'!$O39),'Adjustment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Surface'!$O39),'Adjustment Surface'!$AN$27:$AN$46,1)),$AN$27:$AN$46,0),MATCH(INDEX('Adjustment Surface'!$AO$26:$BH$26,1,MATCH(('Adjustment Surface'!AF$26),'Adjustment Surface'!$AO$26:$BH$26,1)),$AO$26:$BH$26,0))*(INDEX('Adjustment Surface'!$AN$27:$AN$46,MATCH(('Adjustment Surface'!$O39),'Adjustment Surface'!$AN$27:$AN$46,1)+IF('Adjustment Surface'!$O40="",-1,1))-'Adjustment Surface'!$O39)*(INDEX('Adjustment Surface'!$AO$26:$BH$26,1,MATCH(('Adjustment Surface'!AF$26),'Adjustment Surface'!$AO$26:$BH$26,1)+IF('Adjustment Surface'!AG$26="",-1,1))-'Adjustment Surface'!AF$26)+INDEX($AO$27:$BH$46,MATCH(INDEX('Adjustment Surface'!$AN$27:$AN$46,MATCH(('Adjustment Surface'!$O39),'Adjustment Surface'!$AN$27:$AN$46,1)+IF('Adjustment Surface'!$O40="",-1,1)),$AN$27:$AN$46,0),MATCH(INDEX('Adjustment Surface'!$AO$26:$BH$26,1,MATCH(('Adjustment Surface'!AF$26),'Adjustment Surface'!$AO$26:$BH$26,1)),$AO$26:$BH$26,0))*('Adjustment Surface'!$O39-INDEX('Adjustment Surface'!$AN$27:$AN$46,MATCH(('Adjustment Surface'!$O39),'Adjustment Surface'!$AN$27:$AN$46,1)))*(INDEX('Adjustment Surface'!$AO$26:$BH$26,1,MATCH(('Adjustment Surface'!AF$26),'Adjustment Surface'!$AO$26:$BH$26,1)+IF('Adjustment Surface'!AG$26="",-1,1))-'Adjustment Surface'!AF$26)+INDEX($AO$27:$BH$46,MATCH(INDEX('Adjustment Surface'!$AN$27:$AN$46,MATCH(('Adjustment Surface'!$O39),'Adjustment Surface'!$AN$27:$AN$46,1)),$AN$27:$AN$46,0),MATCH(INDEX('Adjustment Surface'!$AO$26:$BH$26,1,MATCH(('Adjustment Surface'!AF$26),'Adjustment Surface'!$AO$26:$BH$26,1)+IF('Adjustment Surface'!AG$26="",-1,1)),$AO$26:$BH$26,0))*(INDEX('Adjustment Surface'!$AN$27:$AN$46,MATCH(('Adjustment Surface'!$O39),'Adjustment Surface'!$AN$27:$AN$46,1)+IF('Adjustment Surface'!$O40="",-1,1))-'Adjustment Surface'!$O39)*('Adjustment Surface'!AF$26-INDEX('Adjustment Surface'!$AO$26:$BH$26,1,MATCH(('Adjustment Surface'!AF$26),'Adjustment Surface'!$AO$26:$BH$26,1)))+INDEX($AO$27:$BH$46,MATCH(INDEX('Adjustment Surface'!$AN$27:$AN$46,MATCH(('Adjustment Surface'!$O39),'Adjustment Surface'!$AN$27:$AN$46,1)+IF('Adjustment Surface'!$O40="",-1,1)),$AN$27:$AN$46,0),MATCH(INDEX('Adjustment Surface'!$AO$26:$BH$26,1,MATCH(('Adjustment Surface'!AF$26),'Adjustment Surface'!$AO$26:$BH$26,1)+IF('Adjustment Surface'!AG$26="",-1,1)),$AO$26:$BH$26,0))*('Adjustment Surface'!$O39-INDEX('Adjustment Surface'!$AN$27:$AN$46,MATCH(('Adjustment Surface'!$O39),'Adjustment Surface'!$AN$27:$AN$46,1)))*('Adjustment Surface'!AF$26-INDEX('Adjustment Surface'!$AO$26:$BH$26,1,MATCH(('Adjustment Surface'!AF$26),'Adjustment Surface'!$AO$26:$BH$26,1)))))</f>
        <v/>
      </c>
      <c r="AG39" s="193" t="str" cm="1">
        <f t="array" ref="AG39">IF(OR(AG$26="",$O39=""),"",1/((INDEX('Adjustment Surface'!$AN$27:$AN$46,MATCH(('Adjustment Surface'!$O39),'Adjustment Surface'!$AN$27:$AN$46,1)+IF('Adjustment Surface'!$O40="",-1,1))-INDEX('Adjustment Surface'!$AN$27:$AN$46,MATCH(('Adjustment Surface'!$O39),'Adjustment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Surface'!$O39),'Adjustment Surface'!$AN$27:$AN$46,1)),$AN$27:$AN$46,0),MATCH(INDEX('Adjustment Surface'!$AO$26:$BH$26,1,MATCH(('Adjustment Surface'!AG$26),'Adjustment Surface'!$AO$26:$BH$26,1)),$AO$26:$BH$26,0))*(INDEX('Adjustment Surface'!$AN$27:$AN$46,MATCH(('Adjustment Surface'!$O39),'Adjustment Surface'!$AN$27:$AN$46,1)+IF('Adjustment Surface'!$O40="",-1,1))-'Adjustment Surface'!$O39)*(INDEX('Adjustment Surface'!$AO$26:$BH$26,1,MATCH(('Adjustment Surface'!AG$26),'Adjustment Surface'!$AO$26:$BH$26,1)+IF('Adjustment Surface'!AH$26="",-1,1))-'Adjustment Surface'!AG$26)+INDEX($AO$27:$BH$46,MATCH(INDEX('Adjustment Surface'!$AN$27:$AN$46,MATCH(('Adjustment Surface'!$O39),'Adjustment Surface'!$AN$27:$AN$46,1)+IF('Adjustment Surface'!$O40="",-1,1)),$AN$27:$AN$46,0),MATCH(INDEX('Adjustment Surface'!$AO$26:$BH$26,1,MATCH(('Adjustment Surface'!AG$26),'Adjustment Surface'!$AO$26:$BH$26,1)),$AO$26:$BH$26,0))*('Adjustment Surface'!$O39-INDEX('Adjustment Surface'!$AN$27:$AN$46,MATCH(('Adjustment Surface'!$O39),'Adjustment Surface'!$AN$27:$AN$46,1)))*(INDEX('Adjustment Surface'!$AO$26:$BH$26,1,MATCH(('Adjustment Surface'!AG$26),'Adjustment Surface'!$AO$26:$BH$26,1)+IF('Adjustment Surface'!AH$26="",-1,1))-'Adjustment Surface'!AG$26)+INDEX($AO$27:$BH$46,MATCH(INDEX('Adjustment Surface'!$AN$27:$AN$46,MATCH(('Adjustment Surface'!$O39),'Adjustment Surface'!$AN$27:$AN$46,1)),$AN$27:$AN$46,0),MATCH(INDEX('Adjustment Surface'!$AO$26:$BH$26,1,MATCH(('Adjustment Surface'!AG$26),'Adjustment Surface'!$AO$26:$BH$26,1)+IF('Adjustment Surface'!AH$26="",-1,1)),$AO$26:$BH$26,0))*(INDEX('Adjustment Surface'!$AN$27:$AN$46,MATCH(('Adjustment Surface'!$O39),'Adjustment Surface'!$AN$27:$AN$46,1)+IF('Adjustment Surface'!$O40="",-1,1))-'Adjustment Surface'!$O39)*('Adjustment Surface'!AG$26-INDEX('Adjustment Surface'!$AO$26:$BH$26,1,MATCH(('Adjustment Surface'!AG$26),'Adjustment Surface'!$AO$26:$BH$26,1)))+INDEX($AO$27:$BH$46,MATCH(INDEX('Adjustment Surface'!$AN$27:$AN$46,MATCH(('Adjustment Surface'!$O39),'Adjustment Surface'!$AN$27:$AN$46,1)+IF('Adjustment Surface'!$O40="",-1,1)),$AN$27:$AN$46,0),MATCH(INDEX('Adjustment Surface'!$AO$26:$BH$26,1,MATCH(('Adjustment Surface'!AG$26),'Adjustment Surface'!$AO$26:$BH$26,1)+IF('Adjustment Surface'!AH$26="",-1,1)),$AO$26:$BH$26,0))*('Adjustment Surface'!$O39-INDEX('Adjustment Surface'!$AN$27:$AN$46,MATCH(('Adjustment Surface'!$O39),'Adjustment Surface'!$AN$27:$AN$46,1)))*('Adjustment Surface'!AG$26-INDEX('Adjustment Surface'!$AO$26:$BH$26,1,MATCH(('Adjustment Surface'!AG$26),'Adjustment Surface'!$AO$26:$BH$26,1)))))</f>
        <v/>
      </c>
      <c r="AH39" s="193" t="str" cm="1">
        <f t="array" ref="AH39">IF(OR(AH$26="",$O39=""),"",1/((INDEX('Adjustment Surface'!$AN$27:$AN$46,MATCH(('Adjustment Surface'!$O39),'Adjustment Surface'!$AN$27:$AN$46,1)+IF('Adjustment Surface'!$O40="",-1,1))-INDEX('Adjustment Surface'!$AN$27:$AN$46,MATCH(('Adjustment Surface'!$O39),'Adjustment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Surface'!$O39),'Adjustment Surface'!$AN$27:$AN$46,1)),$AN$27:$AN$46,0),MATCH(INDEX('Adjustment Surface'!$AO$26:$BH$26,1,MATCH(('Adjustment Surface'!AH$26),'Adjustment Surface'!$AO$26:$BH$26,1)),$AO$26:$BH$26,0))*(INDEX('Adjustment Surface'!$AN$27:$AN$46,MATCH(('Adjustment Surface'!$O39),'Adjustment Surface'!$AN$27:$AN$46,1)+IF('Adjustment Surface'!$O40="",-1,1))-'Adjustment Surface'!$O39)*(INDEX('Adjustment Surface'!$AO$26:$BH$26,1,MATCH(('Adjustment Surface'!AH$26),'Adjustment Surface'!$AO$26:$BH$26,1)+IF('Adjustment Surface'!AI$26="",-1,1))-'Adjustment Surface'!AH$26)+INDEX($AO$27:$BH$46,MATCH(INDEX('Adjustment Surface'!$AN$27:$AN$46,MATCH(('Adjustment Surface'!$O39),'Adjustment Surface'!$AN$27:$AN$46,1)+IF('Adjustment Surface'!$O40="",-1,1)),$AN$27:$AN$46,0),MATCH(INDEX('Adjustment Surface'!$AO$26:$BH$26,1,MATCH(('Adjustment Surface'!AH$26),'Adjustment Surface'!$AO$26:$BH$26,1)),$AO$26:$BH$26,0))*('Adjustment Surface'!$O39-INDEX('Adjustment Surface'!$AN$27:$AN$46,MATCH(('Adjustment Surface'!$O39),'Adjustment Surface'!$AN$27:$AN$46,1)))*(INDEX('Adjustment Surface'!$AO$26:$BH$26,1,MATCH(('Adjustment Surface'!AH$26),'Adjustment Surface'!$AO$26:$BH$26,1)+IF('Adjustment Surface'!AI$26="",-1,1))-'Adjustment Surface'!AH$26)+INDEX($AO$27:$BH$46,MATCH(INDEX('Adjustment Surface'!$AN$27:$AN$46,MATCH(('Adjustment Surface'!$O39),'Adjustment Surface'!$AN$27:$AN$46,1)),$AN$27:$AN$46,0),MATCH(INDEX('Adjustment Surface'!$AO$26:$BH$26,1,MATCH(('Adjustment Surface'!AH$26),'Adjustment Surface'!$AO$26:$BH$26,1)+IF('Adjustment Surface'!AI$26="",-1,1)),$AO$26:$BH$26,0))*(INDEX('Adjustment Surface'!$AN$27:$AN$46,MATCH(('Adjustment Surface'!$O39),'Adjustment Surface'!$AN$27:$AN$46,1)+IF('Adjustment Surface'!$O40="",-1,1))-'Adjustment Surface'!$O39)*('Adjustment Surface'!AH$26-INDEX('Adjustment Surface'!$AO$26:$BH$26,1,MATCH(('Adjustment Surface'!AH$26),'Adjustment Surface'!$AO$26:$BH$26,1)))+INDEX($AO$27:$BH$46,MATCH(INDEX('Adjustment Surface'!$AN$27:$AN$46,MATCH(('Adjustment Surface'!$O39),'Adjustment Surface'!$AN$27:$AN$46,1)+IF('Adjustment Surface'!$O40="",-1,1)),$AN$27:$AN$46,0),MATCH(INDEX('Adjustment Surface'!$AO$26:$BH$26,1,MATCH(('Adjustment Surface'!AH$26),'Adjustment Surface'!$AO$26:$BH$26,1)+IF('Adjustment Surface'!AI$26="",-1,1)),$AO$26:$BH$26,0))*('Adjustment Surface'!$O39-INDEX('Adjustment Surface'!$AN$27:$AN$46,MATCH(('Adjustment Surface'!$O39),'Adjustment Surface'!$AN$27:$AN$46,1)))*('Adjustment Surface'!AH$26-INDEX('Adjustment Surface'!$AO$26:$BH$26,1,MATCH(('Adjustment Surface'!AH$26),'Adjustment Surface'!$AO$26:$BH$26,1)))))</f>
        <v/>
      </c>
      <c r="AI39" s="194" t="str" cm="1">
        <f t="array" ref="AI39">IF(OR(AI$26="",$O39=""),"",1/((INDEX('Adjustment Surface'!$AN$27:$AN$46,MATCH(('Adjustment Surface'!$O39),'Adjustment Surface'!$AN$27:$AN$46,1)+IF('Adjustment Surface'!$O40="",-1,1))-INDEX('Adjustment Surface'!$AN$27:$AN$46,MATCH(('Adjustment Surface'!$O39),'Adjustment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Surface'!$O39),'Adjustment Surface'!$AN$27:$AN$46,1)),$AN$27:$AN$46,0),MATCH(INDEX('Adjustment Surface'!$AO$26:$BH$26,1,MATCH(('Adjustment Surface'!AI$26),'Adjustment Surface'!$AO$26:$BH$26,1)),$AO$26:$BH$26,0))*(INDEX('Adjustment Surface'!$AN$27:$AN$46,MATCH(('Adjustment Surface'!$O39),'Adjustment Surface'!$AN$27:$AN$46,1)+IF('Adjustment Surface'!$O40="",-1,1))-'Adjustment Surface'!$O39)*(INDEX('Adjustment Surface'!$AO$26:$BH$26,1,MATCH(('Adjustment Surface'!AI$26),'Adjustment Surface'!$AO$26:$BH$26,1)+IF('Adjustment Surface'!AJ$26="",-1,1))-'Adjustment Surface'!AI$26)+INDEX($AO$27:$BH$46,MATCH(INDEX('Adjustment Surface'!$AN$27:$AN$46,MATCH(('Adjustment Surface'!$O39),'Adjustment Surface'!$AN$27:$AN$46,1)+IF('Adjustment Surface'!$O40="",-1,1)),$AN$27:$AN$46,0),MATCH(INDEX('Adjustment Surface'!$AO$26:$BH$26,1,MATCH(('Adjustment Surface'!AI$26),'Adjustment Surface'!$AO$26:$BH$26,1)),$AO$26:$BH$26,0))*('Adjustment Surface'!$O39-INDEX('Adjustment Surface'!$AN$27:$AN$46,MATCH(('Adjustment Surface'!$O39),'Adjustment Surface'!$AN$27:$AN$46,1)))*(INDEX('Adjustment Surface'!$AO$26:$BH$26,1,MATCH(('Adjustment Surface'!AI$26),'Adjustment Surface'!$AO$26:$BH$26,1)+IF('Adjustment Surface'!AJ$26="",-1,1))-'Adjustment Surface'!AI$26)+INDEX($AO$27:$BH$46,MATCH(INDEX('Adjustment Surface'!$AN$27:$AN$46,MATCH(('Adjustment Surface'!$O39),'Adjustment Surface'!$AN$27:$AN$46,1)),$AN$27:$AN$46,0),MATCH(INDEX('Adjustment Surface'!$AO$26:$BH$26,1,MATCH(('Adjustment Surface'!AI$26),'Adjustment Surface'!$AO$26:$BH$26,1)+IF('Adjustment Surface'!AJ$26="",-1,1)),$AO$26:$BH$26,0))*(INDEX('Adjustment Surface'!$AN$27:$AN$46,MATCH(('Adjustment Surface'!$O39),'Adjustment Surface'!$AN$27:$AN$46,1)+IF('Adjustment Surface'!$O40="",-1,1))-'Adjustment Surface'!$O39)*('Adjustment Surface'!AI$26-INDEX('Adjustment Surface'!$AO$26:$BH$26,1,MATCH(('Adjustment Surface'!AI$26),'Adjustment Surface'!$AO$26:$BH$26,1)))+INDEX($AO$27:$BH$46,MATCH(INDEX('Adjustment Surface'!$AN$27:$AN$46,MATCH(('Adjustment Surface'!$O39),'Adjustment Surface'!$AN$27:$AN$46,1)+IF('Adjustment Surface'!$O40="",-1,1)),$AN$27:$AN$46,0),MATCH(INDEX('Adjustment Surface'!$AO$26:$BH$26,1,MATCH(('Adjustment Surface'!AI$26),'Adjustment Surface'!$AO$26:$BH$26,1)+IF('Adjustment Surface'!AJ$26="",-1,1)),$AO$26:$BH$26,0))*('Adjustment Surface'!$O39-INDEX('Adjustment Surface'!$AN$27:$AN$46,MATCH(('Adjustment Surface'!$O39),'Adjustment Surface'!$AN$27:$AN$46,1)))*('Adjustment Surface'!AI$26-INDEX('Adjustment Surface'!$AO$26:$BH$26,1,MATCH(('Adjustment Surface'!AI$26),'Adjustment Surface'!$AO$26:$BH$26,1)))))</f>
        <v/>
      </c>
      <c r="AK39" s="203"/>
      <c r="AL39" s="207"/>
      <c r="AN39" s="176"/>
      <c r="AO39" s="192" t="str" cm="1">
        <f t="array" ref="AO39">IF(OR(AO$26="",$AN39=""),"",INDEX(IF($C$2='Data Validation'!$A$2,'Bank Adjustments'!$I$4:$I$103,IF('Adjustment Surface'!$C$2='Data Validation'!$A$3,'Bank Adjustments'!$S$4:$S$103,"Unknown Option Type")),MATCH(1,($AN39=IF($C$2='Data Validation'!$A$2,'Bank Adjustments'!$C$4:$C$103,IF('Adjustment Surface'!$C$2='Data Validation'!$A$3,'Bank Adjustments'!$M$4:$M$103,"Unknown Option Type")))*(AO$26=IF($C$2='Data Validation'!$A$2,'Bank Adjustments'!$E$4:$E$103,IF('Adjustment Surface'!$C$2='Data Validation'!$A$3,'Bank Adjustments'!$O$4:$O$103,"Unknown Option Type"))),0)))</f>
        <v/>
      </c>
      <c r="AP39" s="193" t="str" cm="1">
        <f t="array" ref="AP39">IF(OR(AP$26="",$AN39=""),"",INDEX(IF($C$2='Data Validation'!$A$2,'Bank Adjustments'!$I$4:$I$103,IF('Adjustment Surface'!$C$2='Data Validation'!$A$3,'Bank Adjustments'!$S$4:$S$103,"Unknown Option Type")),MATCH(1,($AN39=IF($C$2='Data Validation'!$A$2,'Bank Adjustments'!$C$4:$C$103,IF('Adjustment Surface'!$C$2='Data Validation'!$A$3,'Bank Adjustments'!$M$4:$M$103,"Unknown Option Type")))*(AP$26=IF($C$2='Data Validation'!$A$2,'Bank Adjustments'!$E$4:$E$103,IF('Adjustment Surface'!$C$2='Data Validation'!$A$3,'Bank Adjustments'!$O$4:$O$103,"Unknown Option Type"))),0)))</f>
        <v/>
      </c>
      <c r="AQ39" s="193" t="str" cm="1">
        <f t="array" ref="AQ39">IF(OR(AQ$26="",$AN39=""),"",INDEX(IF($C$2='Data Validation'!$A$2,'Bank Adjustments'!$I$4:$I$103,IF('Adjustment Surface'!$C$2='Data Validation'!$A$3,'Bank Adjustments'!$S$4:$S$103,"Unknown Option Type")),MATCH(1,($AN39=IF($C$2='Data Validation'!$A$2,'Bank Adjustments'!$C$4:$C$103,IF('Adjustment Surface'!$C$2='Data Validation'!$A$3,'Bank Adjustments'!$M$4:$M$103,"Unknown Option Type")))*(AQ$26=IF($C$2='Data Validation'!$A$2,'Bank Adjustments'!$E$4:$E$103,IF('Adjustment Surface'!$C$2='Data Validation'!$A$3,'Bank Adjustments'!$O$4:$O$103,"Unknown Option Type"))),0)))</f>
        <v/>
      </c>
      <c r="AR39" s="193" t="str" cm="1">
        <f t="array" ref="AR39">IF(OR(AR$26="",$AN39=""),"",INDEX(IF($C$2='Data Validation'!$A$2,'Bank Adjustments'!$I$4:$I$103,IF('Adjustment Surface'!$C$2='Data Validation'!$A$3,'Bank Adjustments'!$S$4:$S$103,"Unknown Option Type")),MATCH(1,($AN39=IF($C$2='Data Validation'!$A$2,'Bank Adjustments'!$C$4:$C$103,IF('Adjustment Surface'!$C$2='Data Validation'!$A$3,'Bank Adjustments'!$M$4:$M$103,"Unknown Option Type")))*(AR$26=IF($C$2='Data Validation'!$A$2,'Bank Adjustments'!$E$4:$E$103,IF('Adjustment Surface'!$C$2='Data Validation'!$A$3,'Bank Adjustments'!$O$4:$O$103,"Unknown Option Type"))),0)))</f>
        <v/>
      </c>
      <c r="AS39" s="193" t="str" cm="1">
        <f t="array" ref="AS39">IF(OR(AS$26="",$AN39=""),"",INDEX(IF($C$2='Data Validation'!$A$2,'Bank Adjustments'!$I$4:$I$103,IF('Adjustment Surface'!$C$2='Data Validation'!$A$3,'Bank Adjustments'!$S$4:$S$103,"Unknown Option Type")),MATCH(1,($AN39=IF($C$2='Data Validation'!$A$2,'Bank Adjustments'!$C$4:$C$103,IF('Adjustment Surface'!$C$2='Data Validation'!$A$3,'Bank Adjustments'!$M$4:$M$103,"Unknown Option Type")))*(AS$26=IF($C$2='Data Validation'!$A$2,'Bank Adjustments'!$E$4:$E$103,IF('Adjustment Surface'!$C$2='Data Validation'!$A$3,'Bank Adjustments'!$O$4:$O$103,"Unknown Option Type"))),0)))</f>
        <v/>
      </c>
      <c r="AT39" s="193" t="str" cm="1">
        <f t="array" ref="AT39">IF(OR(AT$26="",$AN39=""),"",INDEX(IF($C$2='Data Validation'!$A$2,'Bank Adjustments'!$I$4:$I$103,IF('Adjustment Surface'!$C$2='Data Validation'!$A$3,'Bank Adjustments'!$S$4:$S$103,"Unknown Option Type")),MATCH(1,($AN39=IF($C$2='Data Validation'!$A$2,'Bank Adjustments'!$C$4:$C$103,IF('Adjustment Surface'!$C$2='Data Validation'!$A$3,'Bank Adjustments'!$M$4:$M$103,"Unknown Option Type")))*(AT$26=IF($C$2='Data Validation'!$A$2,'Bank Adjustments'!$E$4:$E$103,IF('Adjustment Surface'!$C$2='Data Validation'!$A$3,'Bank Adjustments'!$O$4:$O$103,"Unknown Option Type"))),0)))</f>
        <v/>
      </c>
      <c r="AU39" s="193" t="str" cm="1">
        <f t="array" ref="AU39">IF(OR(AU$26="",$AN39=""),"",INDEX(IF($C$2='Data Validation'!$A$2,'Bank Adjustments'!$I$4:$I$103,IF('Adjustment Surface'!$C$2='Data Validation'!$A$3,'Bank Adjustments'!$S$4:$S$103,"Unknown Option Type")),MATCH(1,($AN39=IF($C$2='Data Validation'!$A$2,'Bank Adjustments'!$C$4:$C$103,IF('Adjustment Surface'!$C$2='Data Validation'!$A$3,'Bank Adjustments'!$M$4:$M$103,"Unknown Option Type")))*(AU$26=IF($C$2='Data Validation'!$A$2,'Bank Adjustments'!$E$4:$E$103,IF('Adjustment Surface'!$C$2='Data Validation'!$A$3,'Bank Adjustments'!$O$4:$O$103,"Unknown Option Type"))),0)))</f>
        <v/>
      </c>
      <c r="AV39" s="193" t="str" cm="1">
        <f t="array" ref="AV39">IF(OR(AV$26="",$AN39=""),"",INDEX(IF($C$2='Data Validation'!$A$2,'Bank Adjustments'!$I$4:$I$103,IF('Adjustment Surface'!$C$2='Data Validation'!$A$3,'Bank Adjustments'!$S$4:$S$103,"Unknown Option Type")),MATCH(1,($AN39=IF($C$2='Data Validation'!$A$2,'Bank Adjustments'!$C$4:$C$103,IF('Adjustment Surface'!$C$2='Data Validation'!$A$3,'Bank Adjustments'!$M$4:$M$103,"Unknown Option Type")))*(AV$26=IF($C$2='Data Validation'!$A$2,'Bank Adjustments'!$E$4:$E$103,IF('Adjustment Surface'!$C$2='Data Validation'!$A$3,'Bank Adjustments'!$O$4:$O$103,"Unknown Option Type"))),0)))</f>
        <v/>
      </c>
      <c r="AW39" s="193" t="str" cm="1">
        <f t="array" ref="AW39">IF(OR(AW$26="",$AN39=""),"",INDEX(IF($C$2='Data Validation'!$A$2,'Bank Adjustments'!$I$4:$I$103,IF('Adjustment Surface'!$C$2='Data Validation'!$A$3,'Bank Adjustments'!$S$4:$S$103,"Unknown Option Type")),MATCH(1,($AN39=IF($C$2='Data Validation'!$A$2,'Bank Adjustments'!$C$4:$C$103,IF('Adjustment Surface'!$C$2='Data Validation'!$A$3,'Bank Adjustments'!$M$4:$M$103,"Unknown Option Type")))*(AW$26=IF($C$2='Data Validation'!$A$2,'Bank Adjustments'!$E$4:$E$103,IF('Adjustment Surface'!$C$2='Data Validation'!$A$3,'Bank Adjustments'!$O$4:$O$103,"Unknown Option Type"))),0)))</f>
        <v/>
      </c>
      <c r="AX39" s="193" t="str" cm="1">
        <f t="array" ref="AX39">IF(OR(AX$26="",$AN39=""),"",INDEX(IF($C$2='Data Validation'!$A$2,'Bank Adjustments'!$I$4:$I$103,IF('Adjustment Surface'!$C$2='Data Validation'!$A$3,'Bank Adjustments'!$S$4:$S$103,"Unknown Option Type")),MATCH(1,($AN39=IF($C$2='Data Validation'!$A$2,'Bank Adjustments'!$C$4:$C$103,IF('Adjustment Surface'!$C$2='Data Validation'!$A$3,'Bank Adjustments'!$M$4:$M$103,"Unknown Option Type")))*(AX$26=IF($C$2='Data Validation'!$A$2,'Bank Adjustments'!$E$4:$E$103,IF('Adjustment Surface'!$C$2='Data Validation'!$A$3,'Bank Adjustments'!$O$4:$O$103,"Unknown Option Type"))),0)))</f>
        <v/>
      </c>
      <c r="AY39" s="193" t="str" cm="1">
        <f t="array" ref="AY39">IF(OR(AY$26="",$AN39=""),"",INDEX(IF($C$2='Data Validation'!$A$2,'Bank Adjustments'!$I$4:$I$103,IF('Adjustment Surface'!$C$2='Data Validation'!$A$3,'Bank Adjustments'!$S$4:$S$103,"Unknown Option Type")),MATCH(1,($AN39=IF($C$2='Data Validation'!$A$2,'Bank Adjustments'!$C$4:$C$103,IF('Adjustment Surface'!$C$2='Data Validation'!$A$3,'Bank Adjustments'!$M$4:$M$103,"Unknown Option Type")))*(AY$26=IF($C$2='Data Validation'!$A$2,'Bank Adjustments'!$E$4:$E$103,IF('Adjustment Surface'!$C$2='Data Validation'!$A$3,'Bank Adjustments'!$O$4:$O$103,"Unknown Option Type"))),0)))</f>
        <v/>
      </c>
      <c r="AZ39" s="193" t="str" cm="1">
        <f t="array" ref="AZ39">IF(OR(AZ$26="",$AN39=""),"",INDEX(IF($C$2='Data Validation'!$A$2,'Bank Adjustments'!$I$4:$I$103,IF('Adjustment Surface'!$C$2='Data Validation'!$A$3,'Bank Adjustments'!$S$4:$S$103,"Unknown Option Type")),MATCH(1,($AN39=IF($C$2='Data Validation'!$A$2,'Bank Adjustments'!$C$4:$C$103,IF('Adjustment Surface'!$C$2='Data Validation'!$A$3,'Bank Adjustments'!$M$4:$M$103,"Unknown Option Type")))*(AZ$26=IF($C$2='Data Validation'!$A$2,'Bank Adjustments'!$E$4:$E$103,IF('Adjustment Surface'!$C$2='Data Validation'!$A$3,'Bank Adjustments'!$O$4:$O$103,"Unknown Option Type"))),0)))</f>
        <v/>
      </c>
      <c r="BA39" s="193" t="str" cm="1">
        <f t="array" ref="BA39">IF(OR(BA$26="",$AN39=""),"",INDEX(IF($C$2='Data Validation'!$A$2,'Bank Adjustments'!$I$4:$I$103,IF('Adjustment Surface'!$C$2='Data Validation'!$A$3,'Bank Adjustments'!$S$4:$S$103,"Unknown Option Type")),MATCH(1,($AN39=IF($C$2='Data Validation'!$A$2,'Bank Adjustments'!$C$4:$C$103,IF('Adjustment Surface'!$C$2='Data Validation'!$A$3,'Bank Adjustments'!$M$4:$M$103,"Unknown Option Type")))*(BA$26=IF($C$2='Data Validation'!$A$2,'Bank Adjustments'!$E$4:$E$103,IF('Adjustment Surface'!$C$2='Data Validation'!$A$3,'Bank Adjustments'!$O$4:$O$103,"Unknown Option Type"))),0)))</f>
        <v/>
      </c>
      <c r="BB39" s="193" t="str" cm="1">
        <f t="array" ref="BB39">IF(OR(BB$26="",$AN39=""),"",INDEX(IF($C$2='Data Validation'!$A$2,'Bank Adjustments'!$I$4:$I$103,IF('Adjustment Surface'!$C$2='Data Validation'!$A$3,'Bank Adjustments'!$S$4:$S$103,"Unknown Option Type")),MATCH(1,($AN39=IF($C$2='Data Validation'!$A$2,'Bank Adjustments'!$C$4:$C$103,IF('Adjustment Surface'!$C$2='Data Validation'!$A$3,'Bank Adjustments'!$M$4:$M$103,"Unknown Option Type")))*(BB$26=IF($C$2='Data Validation'!$A$2,'Bank Adjustments'!$E$4:$E$103,IF('Adjustment Surface'!$C$2='Data Validation'!$A$3,'Bank Adjustments'!$O$4:$O$103,"Unknown Option Type"))),0)))</f>
        <v/>
      </c>
      <c r="BC39" s="193" t="str" cm="1">
        <f t="array" ref="BC39">IF(OR(BC$26="",$AN39=""),"",INDEX(IF($C$2='Data Validation'!$A$2,'Bank Adjustments'!$I$4:$I$103,IF('Adjustment Surface'!$C$2='Data Validation'!$A$3,'Bank Adjustments'!$S$4:$S$103,"Unknown Option Type")),MATCH(1,($AN39=IF($C$2='Data Validation'!$A$2,'Bank Adjustments'!$C$4:$C$103,IF('Adjustment Surface'!$C$2='Data Validation'!$A$3,'Bank Adjustments'!$M$4:$M$103,"Unknown Option Type")))*(BC$26=IF($C$2='Data Validation'!$A$2,'Bank Adjustments'!$E$4:$E$103,IF('Adjustment Surface'!$C$2='Data Validation'!$A$3,'Bank Adjustments'!$O$4:$O$103,"Unknown Option Type"))),0)))</f>
        <v/>
      </c>
      <c r="BD39" s="193" t="str" cm="1">
        <f t="array" ref="BD39">IF(OR(BD$26="",$AN39=""),"",INDEX(IF($C$2='Data Validation'!$A$2,'Bank Adjustments'!$I$4:$I$103,IF('Adjustment Surface'!$C$2='Data Validation'!$A$3,'Bank Adjustments'!$S$4:$S$103,"Unknown Option Type")),MATCH(1,($AN39=IF($C$2='Data Validation'!$A$2,'Bank Adjustments'!$C$4:$C$103,IF('Adjustment Surface'!$C$2='Data Validation'!$A$3,'Bank Adjustments'!$M$4:$M$103,"Unknown Option Type")))*(BD$26=IF($C$2='Data Validation'!$A$2,'Bank Adjustments'!$E$4:$E$103,IF('Adjustment Surface'!$C$2='Data Validation'!$A$3,'Bank Adjustments'!$O$4:$O$103,"Unknown Option Type"))),0)))</f>
        <v/>
      </c>
      <c r="BE39" s="193" t="str" cm="1">
        <f t="array" ref="BE39">IF(OR(BE$26="",$AN39=""),"",INDEX(IF($C$2='Data Validation'!$A$2,'Bank Adjustments'!$I$4:$I$103,IF('Adjustment Surface'!$C$2='Data Validation'!$A$3,'Bank Adjustments'!$S$4:$S$103,"Unknown Option Type")),MATCH(1,($AN39=IF($C$2='Data Validation'!$A$2,'Bank Adjustments'!$C$4:$C$103,IF('Adjustment Surface'!$C$2='Data Validation'!$A$3,'Bank Adjustments'!$M$4:$M$103,"Unknown Option Type")))*(BE$26=IF($C$2='Data Validation'!$A$2,'Bank Adjustments'!$E$4:$E$103,IF('Adjustment Surface'!$C$2='Data Validation'!$A$3,'Bank Adjustments'!$O$4:$O$103,"Unknown Option Type"))),0)))</f>
        <v/>
      </c>
      <c r="BF39" s="193" t="str" cm="1">
        <f t="array" ref="BF39">IF(OR(BF$26="",$AN39=""),"",INDEX(IF($C$2='Data Validation'!$A$2,'Bank Adjustments'!$I$4:$I$103,IF('Adjustment Surface'!$C$2='Data Validation'!$A$3,'Bank Adjustments'!$S$4:$S$103,"Unknown Option Type")),MATCH(1,($AN39=IF($C$2='Data Validation'!$A$2,'Bank Adjustments'!$C$4:$C$103,IF('Adjustment Surface'!$C$2='Data Validation'!$A$3,'Bank Adjustments'!$M$4:$M$103,"Unknown Option Type")))*(BF$26=IF($C$2='Data Validation'!$A$2,'Bank Adjustments'!$E$4:$E$103,IF('Adjustment Surface'!$C$2='Data Validation'!$A$3,'Bank Adjustments'!$O$4:$O$103,"Unknown Option Type"))),0)))</f>
        <v/>
      </c>
      <c r="BG39" s="193" t="str" cm="1">
        <f t="array" ref="BG39">IF(OR(BG$26="",$AN39=""),"",INDEX(IF($C$2='Data Validation'!$A$2,'Bank Adjustments'!$I$4:$I$103,IF('Adjustment Surface'!$C$2='Data Validation'!$A$3,'Bank Adjustments'!$S$4:$S$103,"Unknown Option Type")),MATCH(1,($AN39=IF($C$2='Data Validation'!$A$2,'Bank Adjustments'!$C$4:$C$103,IF('Adjustment Surface'!$C$2='Data Validation'!$A$3,'Bank Adjustments'!$M$4:$M$103,"Unknown Option Type")))*(BG$26=IF($C$2='Data Validation'!$A$2,'Bank Adjustments'!$E$4:$E$103,IF('Adjustment Surface'!$C$2='Data Validation'!$A$3,'Bank Adjustments'!$O$4:$O$103,"Unknown Option Type"))),0)))</f>
        <v/>
      </c>
      <c r="BH39" s="194" t="str" cm="1">
        <f t="array" ref="BH39">IF(OR(BH$26="",$AN39=""),"",INDEX(IF($C$2='Data Validation'!$A$2,'Bank Adjustments'!$I$4:$I$103,IF('Adjustment Surface'!$C$2='Data Validation'!$A$3,'Bank Adjustments'!$S$4:$S$103,"Unknown Option Type")),MATCH(1,($AN39=IF($C$2='Data Validation'!$A$2,'Bank Adjustments'!$C$4:$C$103,IF('Adjustment Surface'!$C$2='Data Validation'!$A$3,'Bank Adjustments'!$M$4:$M$103,"Unknown Option Type")))*(BH$26=IF($C$2='Data Validation'!$A$2,'Bank Adjustments'!$E$4:$E$103,IF('Adjustment Surface'!$C$2='Data Validation'!$A$3,'Bank Adjustments'!$O$4:$O$103,"Unknown Option Type"))),0)))</f>
        <v/>
      </c>
    </row>
    <row r="40" spans="2:60" x14ac:dyDescent="0.25">
      <c r="H40" s="176"/>
      <c r="I40" s="54" t="str">
        <f t="shared" si="6"/>
        <v/>
      </c>
      <c r="J40" s="55" t="str">
        <f t="shared" si="6"/>
        <v/>
      </c>
      <c r="K40" s="55" t="str">
        <f t="shared" si="6"/>
        <v/>
      </c>
      <c r="L40" s="55" t="str">
        <f t="shared" si="6"/>
        <v/>
      </c>
      <c r="M40" s="48" t="str">
        <f t="shared" si="6"/>
        <v/>
      </c>
      <c r="O40" s="176"/>
      <c r="P40" s="192" t="str" cm="1">
        <f t="array" ref="P40">IF(OR(P$26="",$O40=""),"",1/((INDEX('Adjustment Surface'!$AN$27:$AN$46,MATCH(('Adjustment Surface'!$O40),'Adjustment Surface'!$AN$27:$AN$46,1)+IF('Adjustment Surface'!$O41="",-1,1))-INDEX('Adjustment Surface'!$AN$27:$AN$46,MATCH(('Adjustment Surface'!$O40),'Adjustment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Surface'!$O40),'Adjustment Surface'!$AN$27:$AN$46,1)),$AN$27:$AN$46,0),MATCH(INDEX('Adjustment Surface'!$AO$26:$BH$26,1,MATCH(('Adjustment Surface'!P$26),'Adjustment Surface'!$AO$26:$BH$26,1)),$AO$26:$BH$26,0))*(INDEX('Adjustment Surface'!$AN$27:$AN$46,MATCH(('Adjustment Surface'!$O40),'Adjustment Surface'!$AN$27:$AN$46,1)+IF('Adjustment Surface'!$O41="",-1,1))-'Adjustment Surface'!$O40)*(INDEX('Adjustment Surface'!$AO$26:$BH$26,1,MATCH(('Adjustment Surface'!P$26),'Adjustment Surface'!$AO$26:$BH$26,1)+IF('Adjustment Surface'!Q$26="",-1,1))-'Adjustment Surface'!P$26)+INDEX($AO$27:$BH$46,MATCH(INDEX('Adjustment Surface'!$AN$27:$AN$46,MATCH(('Adjustment Surface'!$O40),'Adjustment Surface'!$AN$27:$AN$46,1)+IF('Adjustment Surface'!$O41="",-1,1)),$AN$27:$AN$46,0),MATCH(INDEX('Adjustment Surface'!$AO$26:$BH$26,1,MATCH(('Adjustment Surface'!P$26),'Adjustment Surface'!$AO$26:$BH$26,1)),$AO$26:$BH$26,0))*('Adjustment Surface'!$O40-INDEX('Adjustment Surface'!$AN$27:$AN$46,MATCH(('Adjustment Surface'!$O40),'Adjustment Surface'!$AN$27:$AN$46,1)))*(INDEX('Adjustment Surface'!$AO$26:$BH$26,1,MATCH(('Adjustment Surface'!P$26),'Adjustment Surface'!$AO$26:$BH$26,1)+IF('Adjustment Surface'!Q$26="",-1,1))-'Adjustment Surface'!P$26)+INDEX($AO$27:$BH$46,MATCH(INDEX('Adjustment Surface'!$AN$27:$AN$46,MATCH(('Adjustment Surface'!$O40),'Adjustment Surface'!$AN$27:$AN$46,1)),$AN$27:$AN$46,0),MATCH(INDEX('Adjustment Surface'!$AO$26:$BH$26,1,MATCH(('Adjustment Surface'!P$26),'Adjustment Surface'!$AO$26:$BH$26,1)+IF('Adjustment Surface'!Q$26="",-1,1)),$AO$26:$BH$26,0))*(INDEX('Adjustment Surface'!$AN$27:$AN$46,MATCH(('Adjustment Surface'!$O40),'Adjustment Surface'!$AN$27:$AN$46,1)+IF('Adjustment Surface'!$O41="",-1,1))-'Adjustment Surface'!$O40)*('Adjustment Surface'!P$26-INDEX('Adjustment Surface'!$AO$26:$BH$26,1,MATCH(('Adjustment Surface'!P$26),'Adjustment Surface'!$AO$26:$BH$26,1)))+INDEX($AO$27:$BH$46,MATCH(INDEX('Adjustment Surface'!$AN$27:$AN$46,MATCH(('Adjustment Surface'!$O40),'Adjustment Surface'!$AN$27:$AN$46,1)+IF('Adjustment Surface'!$O41="",-1,1)),$AN$27:$AN$46,0),MATCH(INDEX('Adjustment Surface'!$AO$26:$BH$26,1,MATCH(('Adjustment Surface'!P$26),'Adjustment Surface'!$AO$26:$BH$26,1)+IF('Adjustment Surface'!Q$26="",-1,1)),$AO$26:$BH$26,0))*('Adjustment Surface'!$O40-INDEX('Adjustment Surface'!$AN$27:$AN$46,MATCH(('Adjustment Surface'!$O40),'Adjustment Surface'!$AN$27:$AN$46,1)))*('Adjustment Surface'!P$26-INDEX('Adjustment Surface'!$AO$26:$BH$26,1,MATCH(('Adjustment Surface'!P$26),'Adjustment Surface'!$AO$26:$BH$26,1)))))</f>
        <v/>
      </c>
      <c r="Q40" s="193" t="str" cm="1">
        <f t="array" ref="Q40">IF(OR(Q$26="",$O40=""),"",1/((INDEX('Adjustment Surface'!$AN$27:$AN$46,MATCH(('Adjustment Surface'!$O40),'Adjustment Surface'!$AN$27:$AN$46,1)+IF('Adjustment Surface'!$O41="",-1,1))-INDEX('Adjustment Surface'!$AN$27:$AN$46,MATCH(('Adjustment Surface'!$O40),'Adjustment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Surface'!$O40),'Adjustment Surface'!$AN$27:$AN$46,1)),$AN$27:$AN$46,0),MATCH(INDEX('Adjustment Surface'!$AO$26:$BH$26,1,MATCH(('Adjustment Surface'!Q$26),'Adjustment Surface'!$AO$26:$BH$26,1)),$AO$26:$BH$26,0))*(INDEX('Adjustment Surface'!$AN$27:$AN$46,MATCH(('Adjustment Surface'!$O40),'Adjustment Surface'!$AN$27:$AN$46,1)+IF('Adjustment Surface'!$O41="",-1,1))-'Adjustment Surface'!$O40)*(INDEX('Adjustment Surface'!$AO$26:$BH$26,1,MATCH(('Adjustment Surface'!Q$26),'Adjustment Surface'!$AO$26:$BH$26,1)+IF('Adjustment Surface'!R$26="",-1,1))-'Adjustment Surface'!Q$26)+INDEX($AO$27:$BH$46,MATCH(INDEX('Adjustment Surface'!$AN$27:$AN$46,MATCH(('Adjustment Surface'!$O40),'Adjustment Surface'!$AN$27:$AN$46,1)+IF('Adjustment Surface'!$O41="",-1,1)),$AN$27:$AN$46,0),MATCH(INDEX('Adjustment Surface'!$AO$26:$BH$26,1,MATCH(('Adjustment Surface'!Q$26),'Adjustment Surface'!$AO$26:$BH$26,1)),$AO$26:$BH$26,0))*('Adjustment Surface'!$O40-INDEX('Adjustment Surface'!$AN$27:$AN$46,MATCH(('Adjustment Surface'!$O40),'Adjustment Surface'!$AN$27:$AN$46,1)))*(INDEX('Adjustment Surface'!$AO$26:$BH$26,1,MATCH(('Adjustment Surface'!Q$26),'Adjustment Surface'!$AO$26:$BH$26,1)+IF('Adjustment Surface'!R$26="",-1,1))-'Adjustment Surface'!Q$26)+INDEX($AO$27:$BH$46,MATCH(INDEX('Adjustment Surface'!$AN$27:$AN$46,MATCH(('Adjustment Surface'!$O40),'Adjustment Surface'!$AN$27:$AN$46,1)),$AN$27:$AN$46,0),MATCH(INDEX('Adjustment Surface'!$AO$26:$BH$26,1,MATCH(('Adjustment Surface'!Q$26),'Adjustment Surface'!$AO$26:$BH$26,1)+IF('Adjustment Surface'!R$26="",-1,1)),$AO$26:$BH$26,0))*(INDEX('Adjustment Surface'!$AN$27:$AN$46,MATCH(('Adjustment Surface'!$O40),'Adjustment Surface'!$AN$27:$AN$46,1)+IF('Adjustment Surface'!$O41="",-1,1))-'Adjustment Surface'!$O40)*('Adjustment Surface'!Q$26-INDEX('Adjustment Surface'!$AO$26:$BH$26,1,MATCH(('Adjustment Surface'!Q$26),'Adjustment Surface'!$AO$26:$BH$26,1)))+INDEX($AO$27:$BH$46,MATCH(INDEX('Adjustment Surface'!$AN$27:$AN$46,MATCH(('Adjustment Surface'!$O40),'Adjustment Surface'!$AN$27:$AN$46,1)+IF('Adjustment Surface'!$O41="",-1,1)),$AN$27:$AN$46,0),MATCH(INDEX('Adjustment Surface'!$AO$26:$BH$26,1,MATCH(('Adjustment Surface'!Q$26),'Adjustment Surface'!$AO$26:$BH$26,1)+IF('Adjustment Surface'!R$26="",-1,1)),$AO$26:$BH$26,0))*('Adjustment Surface'!$O40-INDEX('Adjustment Surface'!$AN$27:$AN$46,MATCH(('Adjustment Surface'!$O40),'Adjustment Surface'!$AN$27:$AN$46,1)))*('Adjustment Surface'!Q$26-INDEX('Adjustment Surface'!$AO$26:$BH$26,1,MATCH(('Adjustment Surface'!Q$26),'Adjustment Surface'!$AO$26:$BH$26,1)))))</f>
        <v/>
      </c>
      <c r="R40" s="193" t="str" cm="1">
        <f t="array" ref="R40">IF(OR(R$26="",$O40=""),"",1/((INDEX('Adjustment Surface'!$AN$27:$AN$46,MATCH(('Adjustment Surface'!$O40),'Adjustment Surface'!$AN$27:$AN$46,1)+IF('Adjustment Surface'!$O41="",-1,1))-INDEX('Adjustment Surface'!$AN$27:$AN$46,MATCH(('Adjustment Surface'!$O40),'Adjustment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Surface'!$O40),'Adjustment Surface'!$AN$27:$AN$46,1)),$AN$27:$AN$46,0),MATCH(INDEX('Adjustment Surface'!$AO$26:$BH$26,1,MATCH(('Adjustment Surface'!R$26),'Adjustment Surface'!$AO$26:$BH$26,1)),$AO$26:$BH$26,0))*(INDEX('Adjustment Surface'!$AN$27:$AN$46,MATCH(('Adjustment Surface'!$O40),'Adjustment Surface'!$AN$27:$AN$46,1)+IF('Adjustment Surface'!$O41="",-1,1))-'Adjustment Surface'!$O40)*(INDEX('Adjustment Surface'!$AO$26:$BH$26,1,MATCH(('Adjustment Surface'!R$26),'Adjustment Surface'!$AO$26:$BH$26,1)+IF('Adjustment Surface'!S$26="",-1,1))-'Adjustment Surface'!R$26)+INDEX($AO$27:$BH$46,MATCH(INDEX('Adjustment Surface'!$AN$27:$AN$46,MATCH(('Adjustment Surface'!$O40),'Adjustment Surface'!$AN$27:$AN$46,1)+IF('Adjustment Surface'!$O41="",-1,1)),$AN$27:$AN$46,0),MATCH(INDEX('Adjustment Surface'!$AO$26:$BH$26,1,MATCH(('Adjustment Surface'!R$26),'Adjustment Surface'!$AO$26:$BH$26,1)),$AO$26:$BH$26,0))*('Adjustment Surface'!$O40-INDEX('Adjustment Surface'!$AN$27:$AN$46,MATCH(('Adjustment Surface'!$O40),'Adjustment Surface'!$AN$27:$AN$46,1)))*(INDEX('Adjustment Surface'!$AO$26:$BH$26,1,MATCH(('Adjustment Surface'!R$26),'Adjustment Surface'!$AO$26:$BH$26,1)+IF('Adjustment Surface'!S$26="",-1,1))-'Adjustment Surface'!R$26)+INDEX($AO$27:$BH$46,MATCH(INDEX('Adjustment Surface'!$AN$27:$AN$46,MATCH(('Adjustment Surface'!$O40),'Adjustment Surface'!$AN$27:$AN$46,1)),$AN$27:$AN$46,0),MATCH(INDEX('Adjustment Surface'!$AO$26:$BH$26,1,MATCH(('Adjustment Surface'!R$26),'Adjustment Surface'!$AO$26:$BH$26,1)+IF('Adjustment Surface'!S$26="",-1,1)),$AO$26:$BH$26,0))*(INDEX('Adjustment Surface'!$AN$27:$AN$46,MATCH(('Adjustment Surface'!$O40),'Adjustment Surface'!$AN$27:$AN$46,1)+IF('Adjustment Surface'!$O41="",-1,1))-'Adjustment Surface'!$O40)*('Adjustment Surface'!R$26-INDEX('Adjustment Surface'!$AO$26:$BH$26,1,MATCH(('Adjustment Surface'!R$26),'Adjustment Surface'!$AO$26:$BH$26,1)))+INDEX($AO$27:$BH$46,MATCH(INDEX('Adjustment Surface'!$AN$27:$AN$46,MATCH(('Adjustment Surface'!$O40),'Adjustment Surface'!$AN$27:$AN$46,1)+IF('Adjustment Surface'!$O41="",-1,1)),$AN$27:$AN$46,0),MATCH(INDEX('Adjustment Surface'!$AO$26:$BH$26,1,MATCH(('Adjustment Surface'!R$26),'Adjustment Surface'!$AO$26:$BH$26,1)+IF('Adjustment Surface'!S$26="",-1,1)),$AO$26:$BH$26,0))*('Adjustment Surface'!$O40-INDEX('Adjustment Surface'!$AN$27:$AN$46,MATCH(('Adjustment Surface'!$O40),'Adjustment Surface'!$AN$27:$AN$46,1)))*('Adjustment Surface'!R$26-INDEX('Adjustment Surface'!$AO$26:$BH$26,1,MATCH(('Adjustment Surface'!R$26),'Adjustment Surface'!$AO$26:$BH$26,1)))))</f>
        <v/>
      </c>
      <c r="S40" s="193" t="str" cm="1">
        <f t="array" ref="S40">IF(OR(S$26="",$O40=""),"",1/((INDEX('Adjustment Surface'!$AN$27:$AN$46,MATCH(('Adjustment Surface'!$O40),'Adjustment Surface'!$AN$27:$AN$46,1)+IF('Adjustment Surface'!$O41="",-1,1))-INDEX('Adjustment Surface'!$AN$27:$AN$46,MATCH(('Adjustment Surface'!$O40),'Adjustment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Surface'!$O40),'Adjustment Surface'!$AN$27:$AN$46,1)),$AN$27:$AN$46,0),MATCH(INDEX('Adjustment Surface'!$AO$26:$BH$26,1,MATCH(('Adjustment Surface'!S$26),'Adjustment Surface'!$AO$26:$BH$26,1)),$AO$26:$BH$26,0))*(INDEX('Adjustment Surface'!$AN$27:$AN$46,MATCH(('Adjustment Surface'!$O40),'Adjustment Surface'!$AN$27:$AN$46,1)+IF('Adjustment Surface'!$O41="",-1,1))-'Adjustment Surface'!$O40)*(INDEX('Adjustment Surface'!$AO$26:$BH$26,1,MATCH(('Adjustment Surface'!S$26),'Adjustment Surface'!$AO$26:$BH$26,1)+IF('Adjustment Surface'!T$26="",-1,1))-'Adjustment Surface'!S$26)+INDEX($AO$27:$BH$46,MATCH(INDEX('Adjustment Surface'!$AN$27:$AN$46,MATCH(('Adjustment Surface'!$O40),'Adjustment Surface'!$AN$27:$AN$46,1)+IF('Adjustment Surface'!$O41="",-1,1)),$AN$27:$AN$46,0),MATCH(INDEX('Adjustment Surface'!$AO$26:$BH$26,1,MATCH(('Adjustment Surface'!S$26),'Adjustment Surface'!$AO$26:$BH$26,1)),$AO$26:$BH$26,0))*('Adjustment Surface'!$O40-INDEX('Adjustment Surface'!$AN$27:$AN$46,MATCH(('Adjustment Surface'!$O40),'Adjustment Surface'!$AN$27:$AN$46,1)))*(INDEX('Adjustment Surface'!$AO$26:$BH$26,1,MATCH(('Adjustment Surface'!S$26),'Adjustment Surface'!$AO$26:$BH$26,1)+IF('Adjustment Surface'!T$26="",-1,1))-'Adjustment Surface'!S$26)+INDEX($AO$27:$BH$46,MATCH(INDEX('Adjustment Surface'!$AN$27:$AN$46,MATCH(('Adjustment Surface'!$O40),'Adjustment Surface'!$AN$27:$AN$46,1)),$AN$27:$AN$46,0),MATCH(INDEX('Adjustment Surface'!$AO$26:$BH$26,1,MATCH(('Adjustment Surface'!S$26),'Adjustment Surface'!$AO$26:$BH$26,1)+IF('Adjustment Surface'!T$26="",-1,1)),$AO$26:$BH$26,0))*(INDEX('Adjustment Surface'!$AN$27:$AN$46,MATCH(('Adjustment Surface'!$O40),'Adjustment Surface'!$AN$27:$AN$46,1)+IF('Adjustment Surface'!$O41="",-1,1))-'Adjustment Surface'!$O40)*('Adjustment Surface'!S$26-INDEX('Adjustment Surface'!$AO$26:$BH$26,1,MATCH(('Adjustment Surface'!S$26),'Adjustment Surface'!$AO$26:$BH$26,1)))+INDEX($AO$27:$BH$46,MATCH(INDEX('Adjustment Surface'!$AN$27:$AN$46,MATCH(('Adjustment Surface'!$O40),'Adjustment Surface'!$AN$27:$AN$46,1)+IF('Adjustment Surface'!$O41="",-1,1)),$AN$27:$AN$46,0),MATCH(INDEX('Adjustment Surface'!$AO$26:$BH$26,1,MATCH(('Adjustment Surface'!S$26),'Adjustment Surface'!$AO$26:$BH$26,1)+IF('Adjustment Surface'!T$26="",-1,1)),$AO$26:$BH$26,0))*('Adjustment Surface'!$O40-INDEX('Adjustment Surface'!$AN$27:$AN$46,MATCH(('Adjustment Surface'!$O40),'Adjustment Surface'!$AN$27:$AN$46,1)))*('Adjustment Surface'!S$26-INDEX('Adjustment Surface'!$AO$26:$BH$26,1,MATCH(('Adjustment Surface'!S$26),'Adjustment Surface'!$AO$26:$BH$26,1)))))</f>
        <v/>
      </c>
      <c r="T40" s="193" t="str" cm="1">
        <f t="array" ref="T40">IF(OR(T$26="",$O40=""),"",1/((INDEX('Adjustment Surface'!$AN$27:$AN$46,MATCH(('Adjustment Surface'!$O40),'Adjustment Surface'!$AN$27:$AN$46,1)+IF('Adjustment Surface'!$O41="",-1,1))-INDEX('Adjustment Surface'!$AN$27:$AN$46,MATCH(('Adjustment Surface'!$O40),'Adjustment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Surface'!$O40),'Adjustment Surface'!$AN$27:$AN$46,1)),$AN$27:$AN$46,0),MATCH(INDEX('Adjustment Surface'!$AO$26:$BH$26,1,MATCH(('Adjustment Surface'!T$26),'Adjustment Surface'!$AO$26:$BH$26,1)),$AO$26:$BH$26,0))*(INDEX('Adjustment Surface'!$AN$27:$AN$46,MATCH(('Adjustment Surface'!$O40),'Adjustment Surface'!$AN$27:$AN$46,1)+IF('Adjustment Surface'!$O41="",-1,1))-'Adjustment Surface'!$O40)*(INDEX('Adjustment Surface'!$AO$26:$BH$26,1,MATCH(('Adjustment Surface'!T$26),'Adjustment Surface'!$AO$26:$BH$26,1)+IF('Adjustment Surface'!U$26="",-1,1))-'Adjustment Surface'!T$26)+INDEX($AO$27:$BH$46,MATCH(INDEX('Adjustment Surface'!$AN$27:$AN$46,MATCH(('Adjustment Surface'!$O40),'Adjustment Surface'!$AN$27:$AN$46,1)+IF('Adjustment Surface'!$O41="",-1,1)),$AN$27:$AN$46,0),MATCH(INDEX('Adjustment Surface'!$AO$26:$BH$26,1,MATCH(('Adjustment Surface'!T$26),'Adjustment Surface'!$AO$26:$BH$26,1)),$AO$26:$BH$26,0))*('Adjustment Surface'!$O40-INDEX('Adjustment Surface'!$AN$27:$AN$46,MATCH(('Adjustment Surface'!$O40),'Adjustment Surface'!$AN$27:$AN$46,1)))*(INDEX('Adjustment Surface'!$AO$26:$BH$26,1,MATCH(('Adjustment Surface'!T$26),'Adjustment Surface'!$AO$26:$BH$26,1)+IF('Adjustment Surface'!U$26="",-1,1))-'Adjustment Surface'!T$26)+INDEX($AO$27:$BH$46,MATCH(INDEX('Adjustment Surface'!$AN$27:$AN$46,MATCH(('Adjustment Surface'!$O40),'Adjustment Surface'!$AN$27:$AN$46,1)),$AN$27:$AN$46,0),MATCH(INDEX('Adjustment Surface'!$AO$26:$BH$26,1,MATCH(('Adjustment Surface'!T$26),'Adjustment Surface'!$AO$26:$BH$26,1)+IF('Adjustment Surface'!U$26="",-1,1)),$AO$26:$BH$26,0))*(INDEX('Adjustment Surface'!$AN$27:$AN$46,MATCH(('Adjustment Surface'!$O40),'Adjustment Surface'!$AN$27:$AN$46,1)+IF('Adjustment Surface'!$O41="",-1,1))-'Adjustment Surface'!$O40)*('Adjustment Surface'!T$26-INDEX('Adjustment Surface'!$AO$26:$BH$26,1,MATCH(('Adjustment Surface'!T$26),'Adjustment Surface'!$AO$26:$BH$26,1)))+INDEX($AO$27:$BH$46,MATCH(INDEX('Adjustment Surface'!$AN$27:$AN$46,MATCH(('Adjustment Surface'!$O40),'Adjustment Surface'!$AN$27:$AN$46,1)+IF('Adjustment Surface'!$O41="",-1,1)),$AN$27:$AN$46,0),MATCH(INDEX('Adjustment Surface'!$AO$26:$BH$26,1,MATCH(('Adjustment Surface'!T$26),'Adjustment Surface'!$AO$26:$BH$26,1)+IF('Adjustment Surface'!U$26="",-1,1)),$AO$26:$BH$26,0))*('Adjustment Surface'!$O40-INDEX('Adjustment Surface'!$AN$27:$AN$46,MATCH(('Adjustment Surface'!$O40),'Adjustment Surface'!$AN$27:$AN$46,1)))*('Adjustment Surface'!T$26-INDEX('Adjustment Surface'!$AO$26:$BH$26,1,MATCH(('Adjustment Surface'!T$26),'Adjustment Surface'!$AO$26:$BH$26,1)))))</f>
        <v/>
      </c>
      <c r="U40" s="193" t="str" cm="1">
        <f t="array" ref="U40">IF(OR(U$26="",$O40=""),"",1/((INDEX('Adjustment Surface'!$AN$27:$AN$46,MATCH(('Adjustment Surface'!$O40),'Adjustment Surface'!$AN$27:$AN$46,1)+IF('Adjustment Surface'!$O41="",-1,1))-INDEX('Adjustment Surface'!$AN$27:$AN$46,MATCH(('Adjustment Surface'!$O40),'Adjustment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Surface'!$O40),'Adjustment Surface'!$AN$27:$AN$46,1)),$AN$27:$AN$46,0),MATCH(INDEX('Adjustment Surface'!$AO$26:$BH$26,1,MATCH(('Adjustment Surface'!U$26),'Adjustment Surface'!$AO$26:$BH$26,1)),$AO$26:$BH$26,0))*(INDEX('Adjustment Surface'!$AN$27:$AN$46,MATCH(('Adjustment Surface'!$O40),'Adjustment Surface'!$AN$27:$AN$46,1)+IF('Adjustment Surface'!$O41="",-1,1))-'Adjustment Surface'!$O40)*(INDEX('Adjustment Surface'!$AO$26:$BH$26,1,MATCH(('Adjustment Surface'!U$26),'Adjustment Surface'!$AO$26:$BH$26,1)+IF('Adjustment Surface'!V$26="",-1,1))-'Adjustment Surface'!U$26)+INDEX($AO$27:$BH$46,MATCH(INDEX('Adjustment Surface'!$AN$27:$AN$46,MATCH(('Adjustment Surface'!$O40),'Adjustment Surface'!$AN$27:$AN$46,1)+IF('Adjustment Surface'!$O41="",-1,1)),$AN$27:$AN$46,0),MATCH(INDEX('Adjustment Surface'!$AO$26:$BH$26,1,MATCH(('Adjustment Surface'!U$26),'Adjustment Surface'!$AO$26:$BH$26,1)),$AO$26:$BH$26,0))*('Adjustment Surface'!$O40-INDEX('Adjustment Surface'!$AN$27:$AN$46,MATCH(('Adjustment Surface'!$O40),'Adjustment Surface'!$AN$27:$AN$46,1)))*(INDEX('Adjustment Surface'!$AO$26:$BH$26,1,MATCH(('Adjustment Surface'!U$26),'Adjustment Surface'!$AO$26:$BH$26,1)+IF('Adjustment Surface'!V$26="",-1,1))-'Adjustment Surface'!U$26)+INDEX($AO$27:$BH$46,MATCH(INDEX('Adjustment Surface'!$AN$27:$AN$46,MATCH(('Adjustment Surface'!$O40),'Adjustment Surface'!$AN$27:$AN$46,1)),$AN$27:$AN$46,0),MATCH(INDEX('Adjustment Surface'!$AO$26:$BH$26,1,MATCH(('Adjustment Surface'!U$26),'Adjustment Surface'!$AO$26:$BH$26,1)+IF('Adjustment Surface'!V$26="",-1,1)),$AO$26:$BH$26,0))*(INDEX('Adjustment Surface'!$AN$27:$AN$46,MATCH(('Adjustment Surface'!$O40),'Adjustment Surface'!$AN$27:$AN$46,1)+IF('Adjustment Surface'!$O41="",-1,1))-'Adjustment Surface'!$O40)*('Adjustment Surface'!U$26-INDEX('Adjustment Surface'!$AO$26:$BH$26,1,MATCH(('Adjustment Surface'!U$26),'Adjustment Surface'!$AO$26:$BH$26,1)))+INDEX($AO$27:$BH$46,MATCH(INDEX('Adjustment Surface'!$AN$27:$AN$46,MATCH(('Adjustment Surface'!$O40),'Adjustment Surface'!$AN$27:$AN$46,1)+IF('Adjustment Surface'!$O41="",-1,1)),$AN$27:$AN$46,0),MATCH(INDEX('Adjustment Surface'!$AO$26:$BH$26,1,MATCH(('Adjustment Surface'!U$26),'Adjustment Surface'!$AO$26:$BH$26,1)+IF('Adjustment Surface'!V$26="",-1,1)),$AO$26:$BH$26,0))*('Adjustment Surface'!$O40-INDEX('Adjustment Surface'!$AN$27:$AN$46,MATCH(('Adjustment Surface'!$O40),'Adjustment Surface'!$AN$27:$AN$46,1)))*('Adjustment Surface'!U$26-INDEX('Adjustment Surface'!$AO$26:$BH$26,1,MATCH(('Adjustment Surface'!U$26),'Adjustment Surface'!$AO$26:$BH$26,1)))))</f>
        <v/>
      </c>
      <c r="V40" s="193" t="str" cm="1">
        <f t="array" ref="V40">IF(OR(V$26="",$O40=""),"",1/((INDEX('Adjustment Surface'!$AN$27:$AN$46,MATCH(('Adjustment Surface'!$O40),'Adjustment Surface'!$AN$27:$AN$46,1)+IF('Adjustment Surface'!$O41="",-1,1))-INDEX('Adjustment Surface'!$AN$27:$AN$46,MATCH(('Adjustment Surface'!$O40),'Adjustment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Surface'!$O40),'Adjustment Surface'!$AN$27:$AN$46,1)),$AN$27:$AN$46,0),MATCH(INDEX('Adjustment Surface'!$AO$26:$BH$26,1,MATCH(('Adjustment Surface'!V$26),'Adjustment Surface'!$AO$26:$BH$26,1)),$AO$26:$BH$26,0))*(INDEX('Adjustment Surface'!$AN$27:$AN$46,MATCH(('Adjustment Surface'!$O40),'Adjustment Surface'!$AN$27:$AN$46,1)+IF('Adjustment Surface'!$O41="",-1,1))-'Adjustment Surface'!$O40)*(INDEX('Adjustment Surface'!$AO$26:$BH$26,1,MATCH(('Adjustment Surface'!V$26),'Adjustment Surface'!$AO$26:$BH$26,1)+IF('Adjustment Surface'!W$26="",-1,1))-'Adjustment Surface'!V$26)+INDEX($AO$27:$BH$46,MATCH(INDEX('Adjustment Surface'!$AN$27:$AN$46,MATCH(('Adjustment Surface'!$O40),'Adjustment Surface'!$AN$27:$AN$46,1)+IF('Adjustment Surface'!$O41="",-1,1)),$AN$27:$AN$46,0),MATCH(INDEX('Adjustment Surface'!$AO$26:$BH$26,1,MATCH(('Adjustment Surface'!V$26),'Adjustment Surface'!$AO$26:$BH$26,1)),$AO$26:$BH$26,0))*('Adjustment Surface'!$O40-INDEX('Adjustment Surface'!$AN$27:$AN$46,MATCH(('Adjustment Surface'!$O40),'Adjustment Surface'!$AN$27:$AN$46,1)))*(INDEX('Adjustment Surface'!$AO$26:$BH$26,1,MATCH(('Adjustment Surface'!V$26),'Adjustment Surface'!$AO$26:$BH$26,1)+IF('Adjustment Surface'!W$26="",-1,1))-'Adjustment Surface'!V$26)+INDEX($AO$27:$BH$46,MATCH(INDEX('Adjustment Surface'!$AN$27:$AN$46,MATCH(('Adjustment Surface'!$O40),'Adjustment Surface'!$AN$27:$AN$46,1)),$AN$27:$AN$46,0),MATCH(INDEX('Adjustment Surface'!$AO$26:$BH$26,1,MATCH(('Adjustment Surface'!V$26),'Adjustment Surface'!$AO$26:$BH$26,1)+IF('Adjustment Surface'!W$26="",-1,1)),$AO$26:$BH$26,0))*(INDEX('Adjustment Surface'!$AN$27:$AN$46,MATCH(('Adjustment Surface'!$O40),'Adjustment Surface'!$AN$27:$AN$46,1)+IF('Adjustment Surface'!$O41="",-1,1))-'Adjustment Surface'!$O40)*('Adjustment Surface'!V$26-INDEX('Adjustment Surface'!$AO$26:$BH$26,1,MATCH(('Adjustment Surface'!V$26),'Adjustment Surface'!$AO$26:$BH$26,1)))+INDEX($AO$27:$BH$46,MATCH(INDEX('Adjustment Surface'!$AN$27:$AN$46,MATCH(('Adjustment Surface'!$O40),'Adjustment Surface'!$AN$27:$AN$46,1)+IF('Adjustment Surface'!$O41="",-1,1)),$AN$27:$AN$46,0),MATCH(INDEX('Adjustment Surface'!$AO$26:$BH$26,1,MATCH(('Adjustment Surface'!V$26),'Adjustment Surface'!$AO$26:$BH$26,1)+IF('Adjustment Surface'!W$26="",-1,1)),$AO$26:$BH$26,0))*('Adjustment Surface'!$O40-INDEX('Adjustment Surface'!$AN$27:$AN$46,MATCH(('Adjustment Surface'!$O40),'Adjustment Surface'!$AN$27:$AN$46,1)))*('Adjustment Surface'!V$26-INDEX('Adjustment Surface'!$AO$26:$BH$26,1,MATCH(('Adjustment Surface'!V$26),'Adjustment Surface'!$AO$26:$BH$26,1)))))</f>
        <v/>
      </c>
      <c r="W40" s="193" t="str" cm="1">
        <f t="array" ref="W40">IF(OR(W$26="",$O40=""),"",1/((INDEX('Adjustment Surface'!$AN$27:$AN$46,MATCH(('Adjustment Surface'!$O40),'Adjustment Surface'!$AN$27:$AN$46,1)+IF('Adjustment Surface'!$O41="",-1,1))-INDEX('Adjustment Surface'!$AN$27:$AN$46,MATCH(('Adjustment Surface'!$O40),'Adjustment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Surface'!$O40),'Adjustment Surface'!$AN$27:$AN$46,1)),$AN$27:$AN$46,0),MATCH(INDEX('Adjustment Surface'!$AO$26:$BH$26,1,MATCH(('Adjustment Surface'!W$26),'Adjustment Surface'!$AO$26:$BH$26,1)),$AO$26:$BH$26,0))*(INDEX('Adjustment Surface'!$AN$27:$AN$46,MATCH(('Adjustment Surface'!$O40),'Adjustment Surface'!$AN$27:$AN$46,1)+IF('Adjustment Surface'!$O41="",-1,1))-'Adjustment Surface'!$O40)*(INDEX('Adjustment Surface'!$AO$26:$BH$26,1,MATCH(('Adjustment Surface'!W$26),'Adjustment Surface'!$AO$26:$BH$26,1)+IF('Adjustment Surface'!X$26="",-1,1))-'Adjustment Surface'!W$26)+INDEX($AO$27:$BH$46,MATCH(INDEX('Adjustment Surface'!$AN$27:$AN$46,MATCH(('Adjustment Surface'!$O40),'Adjustment Surface'!$AN$27:$AN$46,1)+IF('Adjustment Surface'!$O41="",-1,1)),$AN$27:$AN$46,0),MATCH(INDEX('Adjustment Surface'!$AO$26:$BH$26,1,MATCH(('Adjustment Surface'!W$26),'Adjustment Surface'!$AO$26:$BH$26,1)),$AO$26:$BH$26,0))*('Adjustment Surface'!$O40-INDEX('Adjustment Surface'!$AN$27:$AN$46,MATCH(('Adjustment Surface'!$O40),'Adjustment Surface'!$AN$27:$AN$46,1)))*(INDEX('Adjustment Surface'!$AO$26:$BH$26,1,MATCH(('Adjustment Surface'!W$26),'Adjustment Surface'!$AO$26:$BH$26,1)+IF('Adjustment Surface'!X$26="",-1,1))-'Adjustment Surface'!W$26)+INDEX($AO$27:$BH$46,MATCH(INDEX('Adjustment Surface'!$AN$27:$AN$46,MATCH(('Adjustment Surface'!$O40),'Adjustment Surface'!$AN$27:$AN$46,1)),$AN$27:$AN$46,0),MATCH(INDEX('Adjustment Surface'!$AO$26:$BH$26,1,MATCH(('Adjustment Surface'!W$26),'Adjustment Surface'!$AO$26:$BH$26,1)+IF('Adjustment Surface'!X$26="",-1,1)),$AO$26:$BH$26,0))*(INDEX('Adjustment Surface'!$AN$27:$AN$46,MATCH(('Adjustment Surface'!$O40),'Adjustment Surface'!$AN$27:$AN$46,1)+IF('Adjustment Surface'!$O41="",-1,1))-'Adjustment Surface'!$O40)*('Adjustment Surface'!W$26-INDEX('Adjustment Surface'!$AO$26:$BH$26,1,MATCH(('Adjustment Surface'!W$26),'Adjustment Surface'!$AO$26:$BH$26,1)))+INDEX($AO$27:$BH$46,MATCH(INDEX('Adjustment Surface'!$AN$27:$AN$46,MATCH(('Adjustment Surface'!$O40),'Adjustment Surface'!$AN$27:$AN$46,1)+IF('Adjustment Surface'!$O41="",-1,1)),$AN$27:$AN$46,0),MATCH(INDEX('Adjustment Surface'!$AO$26:$BH$26,1,MATCH(('Adjustment Surface'!W$26),'Adjustment Surface'!$AO$26:$BH$26,1)+IF('Adjustment Surface'!X$26="",-1,1)),$AO$26:$BH$26,0))*('Adjustment Surface'!$O40-INDEX('Adjustment Surface'!$AN$27:$AN$46,MATCH(('Adjustment Surface'!$O40),'Adjustment Surface'!$AN$27:$AN$46,1)))*('Adjustment Surface'!W$26-INDEX('Adjustment Surface'!$AO$26:$BH$26,1,MATCH(('Adjustment Surface'!W$26),'Adjustment Surface'!$AO$26:$BH$26,1)))))</f>
        <v/>
      </c>
      <c r="X40" s="193" t="str" cm="1">
        <f t="array" ref="X40">IF(OR(X$26="",$O40=""),"",1/((INDEX('Adjustment Surface'!$AN$27:$AN$46,MATCH(('Adjustment Surface'!$O40),'Adjustment Surface'!$AN$27:$AN$46,1)+IF('Adjustment Surface'!$O41="",-1,1))-INDEX('Adjustment Surface'!$AN$27:$AN$46,MATCH(('Adjustment Surface'!$O40),'Adjustment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Surface'!$O40),'Adjustment Surface'!$AN$27:$AN$46,1)),$AN$27:$AN$46,0),MATCH(INDEX('Adjustment Surface'!$AO$26:$BH$26,1,MATCH(('Adjustment Surface'!X$26),'Adjustment Surface'!$AO$26:$BH$26,1)),$AO$26:$BH$26,0))*(INDEX('Adjustment Surface'!$AN$27:$AN$46,MATCH(('Adjustment Surface'!$O40),'Adjustment Surface'!$AN$27:$AN$46,1)+IF('Adjustment Surface'!$O41="",-1,1))-'Adjustment Surface'!$O40)*(INDEX('Adjustment Surface'!$AO$26:$BH$26,1,MATCH(('Adjustment Surface'!X$26),'Adjustment Surface'!$AO$26:$BH$26,1)+IF('Adjustment Surface'!Y$26="",-1,1))-'Adjustment Surface'!X$26)+INDEX($AO$27:$BH$46,MATCH(INDEX('Adjustment Surface'!$AN$27:$AN$46,MATCH(('Adjustment Surface'!$O40),'Adjustment Surface'!$AN$27:$AN$46,1)+IF('Adjustment Surface'!$O41="",-1,1)),$AN$27:$AN$46,0),MATCH(INDEX('Adjustment Surface'!$AO$26:$BH$26,1,MATCH(('Adjustment Surface'!X$26),'Adjustment Surface'!$AO$26:$BH$26,1)),$AO$26:$BH$26,0))*('Adjustment Surface'!$O40-INDEX('Adjustment Surface'!$AN$27:$AN$46,MATCH(('Adjustment Surface'!$O40),'Adjustment Surface'!$AN$27:$AN$46,1)))*(INDEX('Adjustment Surface'!$AO$26:$BH$26,1,MATCH(('Adjustment Surface'!X$26),'Adjustment Surface'!$AO$26:$BH$26,1)+IF('Adjustment Surface'!Y$26="",-1,1))-'Adjustment Surface'!X$26)+INDEX($AO$27:$BH$46,MATCH(INDEX('Adjustment Surface'!$AN$27:$AN$46,MATCH(('Adjustment Surface'!$O40),'Adjustment Surface'!$AN$27:$AN$46,1)),$AN$27:$AN$46,0),MATCH(INDEX('Adjustment Surface'!$AO$26:$BH$26,1,MATCH(('Adjustment Surface'!X$26),'Adjustment Surface'!$AO$26:$BH$26,1)+IF('Adjustment Surface'!Y$26="",-1,1)),$AO$26:$BH$26,0))*(INDEX('Adjustment Surface'!$AN$27:$AN$46,MATCH(('Adjustment Surface'!$O40),'Adjustment Surface'!$AN$27:$AN$46,1)+IF('Adjustment Surface'!$O41="",-1,1))-'Adjustment Surface'!$O40)*('Adjustment Surface'!X$26-INDEX('Adjustment Surface'!$AO$26:$BH$26,1,MATCH(('Adjustment Surface'!X$26),'Adjustment Surface'!$AO$26:$BH$26,1)))+INDEX($AO$27:$BH$46,MATCH(INDEX('Adjustment Surface'!$AN$27:$AN$46,MATCH(('Adjustment Surface'!$O40),'Adjustment Surface'!$AN$27:$AN$46,1)+IF('Adjustment Surface'!$O41="",-1,1)),$AN$27:$AN$46,0),MATCH(INDEX('Adjustment Surface'!$AO$26:$BH$26,1,MATCH(('Adjustment Surface'!X$26),'Adjustment Surface'!$AO$26:$BH$26,1)+IF('Adjustment Surface'!Y$26="",-1,1)),$AO$26:$BH$26,0))*('Adjustment Surface'!$O40-INDEX('Adjustment Surface'!$AN$27:$AN$46,MATCH(('Adjustment Surface'!$O40),'Adjustment Surface'!$AN$27:$AN$46,1)))*('Adjustment Surface'!X$26-INDEX('Adjustment Surface'!$AO$26:$BH$26,1,MATCH(('Adjustment Surface'!X$26),'Adjustment Surface'!$AO$26:$BH$26,1)))))</f>
        <v/>
      </c>
      <c r="Y40" s="193" t="str" cm="1">
        <f t="array" ref="Y40">IF(OR(Y$26="",$O40=""),"",1/((INDEX('Adjustment Surface'!$AN$27:$AN$46,MATCH(('Adjustment Surface'!$O40),'Adjustment Surface'!$AN$27:$AN$46,1)+IF('Adjustment Surface'!$O41="",-1,1))-INDEX('Adjustment Surface'!$AN$27:$AN$46,MATCH(('Adjustment Surface'!$O40),'Adjustment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Surface'!$O40),'Adjustment Surface'!$AN$27:$AN$46,1)),$AN$27:$AN$46,0),MATCH(INDEX('Adjustment Surface'!$AO$26:$BH$26,1,MATCH(('Adjustment Surface'!Y$26),'Adjustment Surface'!$AO$26:$BH$26,1)),$AO$26:$BH$26,0))*(INDEX('Adjustment Surface'!$AN$27:$AN$46,MATCH(('Adjustment Surface'!$O40),'Adjustment Surface'!$AN$27:$AN$46,1)+IF('Adjustment Surface'!$O41="",-1,1))-'Adjustment Surface'!$O40)*(INDEX('Adjustment Surface'!$AO$26:$BH$26,1,MATCH(('Adjustment Surface'!Y$26),'Adjustment Surface'!$AO$26:$BH$26,1)+IF('Adjustment Surface'!Z$26="",-1,1))-'Adjustment Surface'!Y$26)+INDEX($AO$27:$BH$46,MATCH(INDEX('Adjustment Surface'!$AN$27:$AN$46,MATCH(('Adjustment Surface'!$O40),'Adjustment Surface'!$AN$27:$AN$46,1)+IF('Adjustment Surface'!$O41="",-1,1)),$AN$27:$AN$46,0),MATCH(INDEX('Adjustment Surface'!$AO$26:$BH$26,1,MATCH(('Adjustment Surface'!Y$26),'Adjustment Surface'!$AO$26:$BH$26,1)),$AO$26:$BH$26,0))*('Adjustment Surface'!$O40-INDEX('Adjustment Surface'!$AN$27:$AN$46,MATCH(('Adjustment Surface'!$O40),'Adjustment Surface'!$AN$27:$AN$46,1)))*(INDEX('Adjustment Surface'!$AO$26:$BH$26,1,MATCH(('Adjustment Surface'!Y$26),'Adjustment Surface'!$AO$26:$BH$26,1)+IF('Adjustment Surface'!Z$26="",-1,1))-'Adjustment Surface'!Y$26)+INDEX($AO$27:$BH$46,MATCH(INDEX('Adjustment Surface'!$AN$27:$AN$46,MATCH(('Adjustment Surface'!$O40),'Adjustment Surface'!$AN$27:$AN$46,1)),$AN$27:$AN$46,0),MATCH(INDEX('Adjustment Surface'!$AO$26:$BH$26,1,MATCH(('Adjustment Surface'!Y$26),'Adjustment Surface'!$AO$26:$BH$26,1)+IF('Adjustment Surface'!Z$26="",-1,1)),$AO$26:$BH$26,0))*(INDEX('Adjustment Surface'!$AN$27:$AN$46,MATCH(('Adjustment Surface'!$O40),'Adjustment Surface'!$AN$27:$AN$46,1)+IF('Adjustment Surface'!$O41="",-1,1))-'Adjustment Surface'!$O40)*('Adjustment Surface'!Y$26-INDEX('Adjustment Surface'!$AO$26:$BH$26,1,MATCH(('Adjustment Surface'!Y$26),'Adjustment Surface'!$AO$26:$BH$26,1)))+INDEX($AO$27:$BH$46,MATCH(INDEX('Adjustment Surface'!$AN$27:$AN$46,MATCH(('Adjustment Surface'!$O40),'Adjustment Surface'!$AN$27:$AN$46,1)+IF('Adjustment Surface'!$O41="",-1,1)),$AN$27:$AN$46,0),MATCH(INDEX('Adjustment Surface'!$AO$26:$BH$26,1,MATCH(('Adjustment Surface'!Y$26),'Adjustment Surface'!$AO$26:$BH$26,1)+IF('Adjustment Surface'!Z$26="",-1,1)),$AO$26:$BH$26,0))*('Adjustment Surface'!$O40-INDEX('Adjustment Surface'!$AN$27:$AN$46,MATCH(('Adjustment Surface'!$O40),'Adjustment Surface'!$AN$27:$AN$46,1)))*('Adjustment Surface'!Y$26-INDEX('Adjustment Surface'!$AO$26:$BH$26,1,MATCH(('Adjustment Surface'!Y$26),'Adjustment Surface'!$AO$26:$BH$26,1)))))</f>
        <v/>
      </c>
      <c r="Z40" s="193" t="str" cm="1">
        <f t="array" ref="Z40">IF(OR(Z$26="",$O40=""),"",1/((INDEX('Adjustment Surface'!$AN$27:$AN$46,MATCH(('Adjustment Surface'!$O40),'Adjustment Surface'!$AN$27:$AN$46,1)+IF('Adjustment Surface'!$O41="",-1,1))-INDEX('Adjustment Surface'!$AN$27:$AN$46,MATCH(('Adjustment Surface'!$O40),'Adjustment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Surface'!$O40),'Adjustment Surface'!$AN$27:$AN$46,1)),$AN$27:$AN$46,0),MATCH(INDEX('Adjustment Surface'!$AO$26:$BH$26,1,MATCH(('Adjustment Surface'!Z$26),'Adjustment Surface'!$AO$26:$BH$26,1)),$AO$26:$BH$26,0))*(INDEX('Adjustment Surface'!$AN$27:$AN$46,MATCH(('Adjustment Surface'!$O40),'Adjustment Surface'!$AN$27:$AN$46,1)+IF('Adjustment Surface'!$O41="",-1,1))-'Adjustment Surface'!$O40)*(INDEX('Adjustment Surface'!$AO$26:$BH$26,1,MATCH(('Adjustment Surface'!Z$26),'Adjustment Surface'!$AO$26:$BH$26,1)+IF('Adjustment Surface'!AA$26="",-1,1))-'Adjustment Surface'!Z$26)+INDEX($AO$27:$BH$46,MATCH(INDEX('Adjustment Surface'!$AN$27:$AN$46,MATCH(('Adjustment Surface'!$O40),'Adjustment Surface'!$AN$27:$AN$46,1)+IF('Adjustment Surface'!$O41="",-1,1)),$AN$27:$AN$46,0),MATCH(INDEX('Adjustment Surface'!$AO$26:$BH$26,1,MATCH(('Adjustment Surface'!Z$26),'Adjustment Surface'!$AO$26:$BH$26,1)),$AO$26:$BH$26,0))*('Adjustment Surface'!$O40-INDEX('Adjustment Surface'!$AN$27:$AN$46,MATCH(('Adjustment Surface'!$O40),'Adjustment Surface'!$AN$27:$AN$46,1)))*(INDEX('Adjustment Surface'!$AO$26:$BH$26,1,MATCH(('Adjustment Surface'!Z$26),'Adjustment Surface'!$AO$26:$BH$26,1)+IF('Adjustment Surface'!AA$26="",-1,1))-'Adjustment Surface'!Z$26)+INDEX($AO$27:$BH$46,MATCH(INDEX('Adjustment Surface'!$AN$27:$AN$46,MATCH(('Adjustment Surface'!$O40),'Adjustment Surface'!$AN$27:$AN$46,1)),$AN$27:$AN$46,0),MATCH(INDEX('Adjustment Surface'!$AO$26:$BH$26,1,MATCH(('Adjustment Surface'!Z$26),'Adjustment Surface'!$AO$26:$BH$26,1)+IF('Adjustment Surface'!AA$26="",-1,1)),$AO$26:$BH$26,0))*(INDEX('Adjustment Surface'!$AN$27:$AN$46,MATCH(('Adjustment Surface'!$O40),'Adjustment Surface'!$AN$27:$AN$46,1)+IF('Adjustment Surface'!$O41="",-1,1))-'Adjustment Surface'!$O40)*('Adjustment Surface'!Z$26-INDEX('Adjustment Surface'!$AO$26:$BH$26,1,MATCH(('Adjustment Surface'!Z$26),'Adjustment Surface'!$AO$26:$BH$26,1)))+INDEX($AO$27:$BH$46,MATCH(INDEX('Adjustment Surface'!$AN$27:$AN$46,MATCH(('Adjustment Surface'!$O40),'Adjustment Surface'!$AN$27:$AN$46,1)+IF('Adjustment Surface'!$O41="",-1,1)),$AN$27:$AN$46,0),MATCH(INDEX('Adjustment Surface'!$AO$26:$BH$26,1,MATCH(('Adjustment Surface'!Z$26),'Adjustment Surface'!$AO$26:$BH$26,1)+IF('Adjustment Surface'!AA$26="",-1,1)),$AO$26:$BH$26,0))*('Adjustment Surface'!$O40-INDEX('Adjustment Surface'!$AN$27:$AN$46,MATCH(('Adjustment Surface'!$O40),'Adjustment Surface'!$AN$27:$AN$46,1)))*('Adjustment Surface'!Z$26-INDEX('Adjustment Surface'!$AO$26:$BH$26,1,MATCH(('Adjustment Surface'!Z$26),'Adjustment Surface'!$AO$26:$BH$26,1)))))</f>
        <v/>
      </c>
      <c r="AA40" s="193" t="str" cm="1">
        <f t="array" ref="AA40">IF(OR(AA$26="",$O40=""),"",1/((INDEX('Adjustment Surface'!$AN$27:$AN$46,MATCH(('Adjustment Surface'!$O40),'Adjustment Surface'!$AN$27:$AN$46,1)+IF('Adjustment Surface'!$O41="",-1,1))-INDEX('Adjustment Surface'!$AN$27:$AN$46,MATCH(('Adjustment Surface'!$O40),'Adjustment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Surface'!$O40),'Adjustment Surface'!$AN$27:$AN$46,1)),$AN$27:$AN$46,0),MATCH(INDEX('Adjustment Surface'!$AO$26:$BH$26,1,MATCH(('Adjustment Surface'!AA$26),'Adjustment Surface'!$AO$26:$BH$26,1)),$AO$26:$BH$26,0))*(INDEX('Adjustment Surface'!$AN$27:$AN$46,MATCH(('Adjustment Surface'!$O40),'Adjustment Surface'!$AN$27:$AN$46,1)+IF('Adjustment Surface'!$O41="",-1,1))-'Adjustment Surface'!$O40)*(INDEX('Adjustment Surface'!$AO$26:$BH$26,1,MATCH(('Adjustment Surface'!AA$26),'Adjustment Surface'!$AO$26:$BH$26,1)+IF('Adjustment Surface'!AB$26="",-1,1))-'Adjustment Surface'!AA$26)+INDEX($AO$27:$BH$46,MATCH(INDEX('Adjustment Surface'!$AN$27:$AN$46,MATCH(('Adjustment Surface'!$O40),'Adjustment Surface'!$AN$27:$AN$46,1)+IF('Adjustment Surface'!$O41="",-1,1)),$AN$27:$AN$46,0),MATCH(INDEX('Adjustment Surface'!$AO$26:$BH$26,1,MATCH(('Adjustment Surface'!AA$26),'Adjustment Surface'!$AO$26:$BH$26,1)),$AO$26:$BH$26,0))*('Adjustment Surface'!$O40-INDEX('Adjustment Surface'!$AN$27:$AN$46,MATCH(('Adjustment Surface'!$O40),'Adjustment Surface'!$AN$27:$AN$46,1)))*(INDEX('Adjustment Surface'!$AO$26:$BH$26,1,MATCH(('Adjustment Surface'!AA$26),'Adjustment Surface'!$AO$26:$BH$26,1)+IF('Adjustment Surface'!AB$26="",-1,1))-'Adjustment Surface'!AA$26)+INDEX($AO$27:$BH$46,MATCH(INDEX('Adjustment Surface'!$AN$27:$AN$46,MATCH(('Adjustment Surface'!$O40),'Adjustment Surface'!$AN$27:$AN$46,1)),$AN$27:$AN$46,0),MATCH(INDEX('Adjustment Surface'!$AO$26:$BH$26,1,MATCH(('Adjustment Surface'!AA$26),'Adjustment Surface'!$AO$26:$BH$26,1)+IF('Adjustment Surface'!AB$26="",-1,1)),$AO$26:$BH$26,0))*(INDEX('Adjustment Surface'!$AN$27:$AN$46,MATCH(('Adjustment Surface'!$O40),'Adjustment Surface'!$AN$27:$AN$46,1)+IF('Adjustment Surface'!$O41="",-1,1))-'Adjustment Surface'!$O40)*('Adjustment Surface'!AA$26-INDEX('Adjustment Surface'!$AO$26:$BH$26,1,MATCH(('Adjustment Surface'!AA$26),'Adjustment Surface'!$AO$26:$BH$26,1)))+INDEX($AO$27:$BH$46,MATCH(INDEX('Adjustment Surface'!$AN$27:$AN$46,MATCH(('Adjustment Surface'!$O40),'Adjustment Surface'!$AN$27:$AN$46,1)+IF('Adjustment Surface'!$O41="",-1,1)),$AN$27:$AN$46,0),MATCH(INDEX('Adjustment Surface'!$AO$26:$BH$26,1,MATCH(('Adjustment Surface'!AA$26),'Adjustment Surface'!$AO$26:$BH$26,1)+IF('Adjustment Surface'!AB$26="",-1,1)),$AO$26:$BH$26,0))*('Adjustment Surface'!$O40-INDEX('Adjustment Surface'!$AN$27:$AN$46,MATCH(('Adjustment Surface'!$O40),'Adjustment Surface'!$AN$27:$AN$46,1)))*('Adjustment Surface'!AA$26-INDEX('Adjustment Surface'!$AO$26:$BH$26,1,MATCH(('Adjustment Surface'!AA$26),'Adjustment Surface'!$AO$26:$BH$26,1)))))</f>
        <v/>
      </c>
      <c r="AB40" s="193" t="str" cm="1">
        <f t="array" ref="AB40">IF(OR(AB$26="",$O40=""),"",1/((INDEX('Adjustment Surface'!$AN$27:$AN$46,MATCH(('Adjustment Surface'!$O40),'Adjustment Surface'!$AN$27:$AN$46,1)+IF('Adjustment Surface'!$O41="",-1,1))-INDEX('Adjustment Surface'!$AN$27:$AN$46,MATCH(('Adjustment Surface'!$O40),'Adjustment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Surface'!$O40),'Adjustment Surface'!$AN$27:$AN$46,1)),$AN$27:$AN$46,0),MATCH(INDEX('Adjustment Surface'!$AO$26:$BH$26,1,MATCH(('Adjustment Surface'!AB$26),'Adjustment Surface'!$AO$26:$BH$26,1)),$AO$26:$BH$26,0))*(INDEX('Adjustment Surface'!$AN$27:$AN$46,MATCH(('Adjustment Surface'!$O40),'Adjustment Surface'!$AN$27:$AN$46,1)+IF('Adjustment Surface'!$O41="",-1,1))-'Adjustment Surface'!$O40)*(INDEX('Adjustment Surface'!$AO$26:$BH$26,1,MATCH(('Adjustment Surface'!AB$26),'Adjustment Surface'!$AO$26:$BH$26,1)+IF('Adjustment Surface'!AC$26="",-1,1))-'Adjustment Surface'!AB$26)+INDEX($AO$27:$BH$46,MATCH(INDEX('Adjustment Surface'!$AN$27:$AN$46,MATCH(('Adjustment Surface'!$O40),'Adjustment Surface'!$AN$27:$AN$46,1)+IF('Adjustment Surface'!$O41="",-1,1)),$AN$27:$AN$46,0),MATCH(INDEX('Adjustment Surface'!$AO$26:$BH$26,1,MATCH(('Adjustment Surface'!AB$26),'Adjustment Surface'!$AO$26:$BH$26,1)),$AO$26:$BH$26,0))*('Adjustment Surface'!$O40-INDEX('Adjustment Surface'!$AN$27:$AN$46,MATCH(('Adjustment Surface'!$O40),'Adjustment Surface'!$AN$27:$AN$46,1)))*(INDEX('Adjustment Surface'!$AO$26:$BH$26,1,MATCH(('Adjustment Surface'!AB$26),'Adjustment Surface'!$AO$26:$BH$26,1)+IF('Adjustment Surface'!AC$26="",-1,1))-'Adjustment Surface'!AB$26)+INDEX($AO$27:$BH$46,MATCH(INDEX('Adjustment Surface'!$AN$27:$AN$46,MATCH(('Adjustment Surface'!$O40),'Adjustment Surface'!$AN$27:$AN$46,1)),$AN$27:$AN$46,0),MATCH(INDEX('Adjustment Surface'!$AO$26:$BH$26,1,MATCH(('Adjustment Surface'!AB$26),'Adjustment Surface'!$AO$26:$BH$26,1)+IF('Adjustment Surface'!AC$26="",-1,1)),$AO$26:$BH$26,0))*(INDEX('Adjustment Surface'!$AN$27:$AN$46,MATCH(('Adjustment Surface'!$O40),'Adjustment Surface'!$AN$27:$AN$46,1)+IF('Adjustment Surface'!$O41="",-1,1))-'Adjustment Surface'!$O40)*('Adjustment Surface'!AB$26-INDEX('Adjustment Surface'!$AO$26:$BH$26,1,MATCH(('Adjustment Surface'!AB$26),'Adjustment Surface'!$AO$26:$BH$26,1)))+INDEX($AO$27:$BH$46,MATCH(INDEX('Adjustment Surface'!$AN$27:$AN$46,MATCH(('Adjustment Surface'!$O40),'Adjustment Surface'!$AN$27:$AN$46,1)+IF('Adjustment Surface'!$O41="",-1,1)),$AN$27:$AN$46,0),MATCH(INDEX('Adjustment Surface'!$AO$26:$BH$26,1,MATCH(('Adjustment Surface'!AB$26),'Adjustment Surface'!$AO$26:$BH$26,1)+IF('Adjustment Surface'!AC$26="",-1,1)),$AO$26:$BH$26,0))*('Adjustment Surface'!$O40-INDEX('Adjustment Surface'!$AN$27:$AN$46,MATCH(('Adjustment Surface'!$O40),'Adjustment Surface'!$AN$27:$AN$46,1)))*('Adjustment Surface'!AB$26-INDEX('Adjustment Surface'!$AO$26:$BH$26,1,MATCH(('Adjustment Surface'!AB$26),'Adjustment Surface'!$AO$26:$BH$26,1)))))</f>
        <v/>
      </c>
      <c r="AC40" s="193" t="str" cm="1">
        <f t="array" ref="AC40">IF(OR(AC$26="",$O40=""),"",1/((INDEX('Adjustment Surface'!$AN$27:$AN$46,MATCH(('Adjustment Surface'!$O40),'Adjustment Surface'!$AN$27:$AN$46,1)+IF('Adjustment Surface'!$O41="",-1,1))-INDEX('Adjustment Surface'!$AN$27:$AN$46,MATCH(('Adjustment Surface'!$O40),'Adjustment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Surface'!$O40),'Adjustment Surface'!$AN$27:$AN$46,1)),$AN$27:$AN$46,0),MATCH(INDEX('Adjustment Surface'!$AO$26:$BH$26,1,MATCH(('Adjustment Surface'!AC$26),'Adjustment Surface'!$AO$26:$BH$26,1)),$AO$26:$BH$26,0))*(INDEX('Adjustment Surface'!$AN$27:$AN$46,MATCH(('Adjustment Surface'!$O40),'Adjustment Surface'!$AN$27:$AN$46,1)+IF('Adjustment Surface'!$O41="",-1,1))-'Adjustment Surface'!$O40)*(INDEX('Adjustment Surface'!$AO$26:$BH$26,1,MATCH(('Adjustment Surface'!AC$26),'Adjustment Surface'!$AO$26:$BH$26,1)+IF('Adjustment Surface'!AD$26="",-1,1))-'Adjustment Surface'!AC$26)+INDEX($AO$27:$BH$46,MATCH(INDEX('Adjustment Surface'!$AN$27:$AN$46,MATCH(('Adjustment Surface'!$O40),'Adjustment Surface'!$AN$27:$AN$46,1)+IF('Adjustment Surface'!$O41="",-1,1)),$AN$27:$AN$46,0),MATCH(INDEX('Adjustment Surface'!$AO$26:$BH$26,1,MATCH(('Adjustment Surface'!AC$26),'Adjustment Surface'!$AO$26:$BH$26,1)),$AO$26:$BH$26,0))*('Adjustment Surface'!$O40-INDEX('Adjustment Surface'!$AN$27:$AN$46,MATCH(('Adjustment Surface'!$O40),'Adjustment Surface'!$AN$27:$AN$46,1)))*(INDEX('Adjustment Surface'!$AO$26:$BH$26,1,MATCH(('Adjustment Surface'!AC$26),'Adjustment Surface'!$AO$26:$BH$26,1)+IF('Adjustment Surface'!AD$26="",-1,1))-'Adjustment Surface'!AC$26)+INDEX($AO$27:$BH$46,MATCH(INDEX('Adjustment Surface'!$AN$27:$AN$46,MATCH(('Adjustment Surface'!$O40),'Adjustment Surface'!$AN$27:$AN$46,1)),$AN$27:$AN$46,0),MATCH(INDEX('Adjustment Surface'!$AO$26:$BH$26,1,MATCH(('Adjustment Surface'!AC$26),'Adjustment Surface'!$AO$26:$BH$26,1)+IF('Adjustment Surface'!AD$26="",-1,1)),$AO$26:$BH$26,0))*(INDEX('Adjustment Surface'!$AN$27:$AN$46,MATCH(('Adjustment Surface'!$O40),'Adjustment Surface'!$AN$27:$AN$46,1)+IF('Adjustment Surface'!$O41="",-1,1))-'Adjustment Surface'!$O40)*('Adjustment Surface'!AC$26-INDEX('Adjustment Surface'!$AO$26:$BH$26,1,MATCH(('Adjustment Surface'!AC$26),'Adjustment Surface'!$AO$26:$BH$26,1)))+INDEX($AO$27:$BH$46,MATCH(INDEX('Adjustment Surface'!$AN$27:$AN$46,MATCH(('Adjustment Surface'!$O40),'Adjustment Surface'!$AN$27:$AN$46,1)+IF('Adjustment Surface'!$O41="",-1,1)),$AN$27:$AN$46,0),MATCH(INDEX('Adjustment Surface'!$AO$26:$BH$26,1,MATCH(('Adjustment Surface'!AC$26),'Adjustment Surface'!$AO$26:$BH$26,1)+IF('Adjustment Surface'!AD$26="",-1,1)),$AO$26:$BH$26,0))*('Adjustment Surface'!$O40-INDEX('Adjustment Surface'!$AN$27:$AN$46,MATCH(('Adjustment Surface'!$O40),'Adjustment Surface'!$AN$27:$AN$46,1)))*('Adjustment Surface'!AC$26-INDEX('Adjustment Surface'!$AO$26:$BH$26,1,MATCH(('Adjustment Surface'!AC$26),'Adjustment Surface'!$AO$26:$BH$26,1)))))</f>
        <v/>
      </c>
      <c r="AD40" s="193" t="str" cm="1">
        <f t="array" ref="AD40">IF(OR(AD$26="",$O40=""),"",1/((INDEX('Adjustment Surface'!$AN$27:$AN$46,MATCH(('Adjustment Surface'!$O40),'Adjustment Surface'!$AN$27:$AN$46,1)+IF('Adjustment Surface'!$O41="",-1,1))-INDEX('Adjustment Surface'!$AN$27:$AN$46,MATCH(('Adjustment Surface'!$O40),'Adjustment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Surface'!$O40),'Adjustment Surface'!$AN$27:$AN$46,1)),$AN$27:$AN$46,0),MATCH(INDEX('Adjustment Surface'!$AO$26:$BH$26,1,MATCH(('Adjustment Surface'!AD$26),'Adjustment Surface'!$AO$26:$BH$26,1)),$AO$26:$BH$26,0))*(INDEX('Adjustment Surface'!$AN$27:$AN$46,MATCH(('Adjustment Surface'!$O40),'Adjustment Surface'!$AN$27:$AN$46,1)+IF('Adjustment Surface'!$O41="",-1,1))-'Adjustment Surface'!$O40)*(INDEX('Adjustment Surface'!$AO$26:$BH$26,1,MATCH(('Adjustment Surface'!AD$26),'Adjustment Surface'!$AO$26:$BH$26,1)+IF('Adjustment Surface'!AE$26="",-1,1))-'Adjustment Surface'!AD$26)+INDEX($AO$27:$BH$46,MATCH(INDEX('Adjustment Surface'!$AN$27:$AN$46,MATCH(('Adjustment Surface'!$O40),'Adjustment Surface'!$AN$27:$AN$46,1)+IF('Adjustment Surface'!$O41="",-1,1)),$AN$27:$AN$46,0),MATCH(INDEX('Adjustment Surface'!$AO$26:$BH$26,1,MATCH(('Adjustment Surface'!AD$26),'Adjustment Surface'!$AO$26:$BH$26,1)),$AO$26:$BH$26,0))*('Adjustment Surface'!$O40-INDEX('Adjustment Surface'!$AN$27:$AN$46,MATCH(('Adjustment Surface'!$O40),'Adjustment Surface'!$AN$27:$AN$46,1)))*(INDEX('Adjustment Surface'!$AO$26:$BH$26,1,MATCH(('Adjustment Surface'!AD$26),'Adjustment Surface'!$AO$26:$BH$26,1)+IF('Adjustment Surface'!AE$26="",-1,1))-'Adjustment Surface'!AD$26)+INDEX($AO$27:$BH$46,MATCH(INDEX('Adjustment Surface'!$AN$27:$AN$46,MATCH(('Adjustment Surface'!$O40),'Adjustment Surface'!$AN$27:$AN$46,1)),$AN$27:$AN$46,0),MATCH(INDEX('Adjustment Surface'!$AO$26:$BH$26,1,MATCH(('Adjustment Surface'!AD$26),'Adjustment Surface'!$AO$26:$BH$26,1)+IF('Adjustment Surface'!AE$26="",-1,1)),$AO$26:$BH$26,0))*(INDEX('Adjustment Surface'!$AN$27:$AN$46,MATCH(('Adjustment Surface'!$O40),'Adjustment Surface'!$AN$27:$AN$46,1)+IF('Adjustment Surface'!$O41="",-1,1))-'Adjustment Surface'!$O40)*('Adjustment Surface'!AD$26-INDEX('Adjustment Surface'!$AO$26:$BH$26,1,MATCH(('Adjustment Surface'!AD$26),'Adjustment Surface'!$AO$26:$BH$26,1)))+INDEX($AO$27:$BH$46,MATCH(INDEX('Adjustment Surface'!$AN$27:$AN$46,MATCH(('Adjustment Surface'!$O40),'Adjustment Surface'!$AN$27:$AN$46,1)+IF('Adjustment Surface'!$O41="",-1,1)),$AN$27:$AN$46,0),MATCH(INDEX('Adjustment Surface'!$AO$26:$BH$26,1,MATCH(('Adjustment Surface'!AD$26),'Adjustment Surface'!$AO$26:$BH$26,1)+IF('Adjustment Surface'!AE$26="",-1,1)),$AO$26:$BH$26,0))*('Adjustment Surface'!$O40-INDEX('Adjustment Surface'!$AN$27:$AN$46,MATCH(('Adjustment Surface'!$O40),'Adjustment Surface'!$AN$27:$AN$46,1)))*('Adjustment Surface'!AD$26-INDEX('Adjustment Surface'!$AO$26:$BH$26,1,MATCH(('Adjustment Surface'!AD$26),'Adjustment Surface'!$AO$26:$BH$26,1)))))</f>
        <v/>
      </c>
      <c r="AE40" s="193" t="str" cm="1">
        <f t="array" ref="AE40">IF(OR(AE$26="",$O40=""),"",1/((INDEX('Adjustment Surface'!$AN$27:$AN$46,MATCH(('Adjustment Surface'!$O40),'Adjustment Surface'!$AN$27:$AN$46,1)+IF('Adjustment Surface'!$O41="",-1,1))-INDEX('Adjustment Surface'!$AN$27:$AN$46,MATCH(('Adjustment Surface'!$O40),'Adjustment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Surface'!$O40),'Adjustment Surface'!$AN$27:$AN$46,1)),$AN$27:$AN$46,0),MATCH(INDEX('Adjustment Surface'!$AO$26:$BH$26,1,MATCH(('Adjustment Surface'!AE$26),'Adjustment Surface'!$AO$26:$BH$26,1)),$AO$26:$BH$26,0))*(INDEX('Adjustment Surface'!$AN$27:$AN$46,MATCH(('Adjustment Surface'!$O40),'Adjustment Surface'!$AN$27:$AN$46,1)+IF('Adjustment Surface'!$O41="",-1,1))-'Adjustment Surface'!$O40)*(INDEX('Adjustment Surface'!$AO$26:$BH$26,1,MATCH(('Adjustment Surface'!AE$26),'Adjustment Surface'!$AO$26:$BH$26,1)+IF('Adjustment Surface'!AF$26="",-1,1))-'Adjustment Surface'!AE$26)+INDEX($AO$27:$BH$46,MATCH(INDEX('Adjustment Surface'!$AN$27:$AN$46,MATCH(('Adjustment Surface'!$O40),'Adjustment Surface'!$AN$27:$AN$46,1)+IF('Adjustment Surface'!$O41="",-1,1)),$AN$27:$AN$46,0),MATCH(INDEX('Adjustment Surface'!$AO$26:$BH$26,1,MATCH(('Adjustment Surface'!AE$26),'Adjustment Surface'!$AO$26:$BH$26,1)),$AO$26:$BH$26,0))*('Adjustment Surface'!$O40-INDEX('Adjustment Surface'!$AN$27:$AN$46,MATCH(('Adjustment Surface'!$O40),'Adjustment Surface'!$AN$27:$AN$46,1)))*(INDEX('Adjustment Surface'!$AO$26:$BH$26,1,MATCH(('Adjustment Surface'!AE$26),'Adjustment Surface'!$AO$26:$BH$26,1)+IF('Adjustment Surface'!AF$26="",-1,1))-'Adjustment Surface'!AE$26)+INDEX($AO$27:$BH$46,MATCH(INDEX('Adjustment Surface'!$AN$27:$AN$46,MATCH(('Adjustment Surface'!$O40),'Adjustment Surface'!$AN$27:$AN$46,1)),$AN$27:$AN$46,0),MATCH(INDEX('Adjustment Surface'!$AO$26:$BH$26,1,MATCH(('Adjustment Surface'!AE$26),'Adjustment Surface'!$AO$26:$BH$26,1)+IF('Adjustment Surface'!AF$26="",-1,1)),$AO$26:$BH$26,0))*(INDEX('Adjustment Surface'!$AN$27:$AN$46,MATCH(('Adjustment Surface'!$O40),'Adjustment Surface'!$AN$27:$AN$46,1)+IF('Adjustment Surface'!$O41="",-1,1))-'Adjustment Surface'!$O40)*('Adjustment Surface'!AE$26-INDEX('Adjustment Surface'!$AO$26:$BH$26,1,MATCH(('Adjustment Surface'!AE$26),'Adjustment Surface'!$AO$26:$BH$26,1)))+INDEX($AO$27:$BH$46,MATCH(INDEX('Adjustment Surface'!$AN$27:$AN$46,MATCH(('Adjustment Surface'!$O40),'Adjustment Surface'!$AN$27:$AN$46,1)+IF('Adjustment Surface'!$O41="",-1,1)),$AN$27:$AN$46,0),MATCH(INDEX('Adjustment Surface'!$AO$26:$BH$26,1,MATCH(('Adjustment Surface'!AE$26),'Adjustment Surface'!$AO$26:$BH$26,1)+IF('Adjustment Surface'!AF$26="",-1,1)),$AO$26:$BH$26,0))*('Adjustment Surface'!$O40-INDEX('Adjustment Surface'!$AN$27:$AN$46,MATCH(('Adjustment Surface'!$O40),'Adjustment Surface'!$AN$27:$AN$46,1)))*('Adjustment Surface'!AE$26-INDEX('Adjustment Surface'!$AO$26:$BH$26,1,MATCH(('Adjustment Surface'!AE$26),'Adjustment Surface'!$AO$26:$BH$26,1)))))</f>
        <v/>
      </c>
      <c r="AF40" s="193" t="str" cm="1">
        <f t="array" ref="AF40">IF(OR(AF$26="",$O40=""),"",1/((INDEX('Adjustment Surface'!$AN$27:$AN$46,MATCH(('Adjustment Surface'!$O40),'Adjustment Surface'!$AN$27:$AN$46,1)+IF('Adjustment Surface'!$O41="",-1,1))-INDEX('Adjustment Surface'!$AN$27:$AN$46,MATCH(('Adjustment Surface'!$O40),'Adjustment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Surface'!$O40),'Adjustment Surface'!$AN$27:$AN$46,1)),$AN$27:$AN$46,0),MATCH(INDEX('Adjustment Surface'!$AO$26:$BH$26,1,MATCH(('Adjustment Surface'!AF$26),'Adjustment Surface'!$AO$26:$BH$26,1)),$AO$26:$BH$26,0))*(INDEX('Adjustment Surface'!$AN$27:$AN$46,MATCH(('Adjustment Surface'!$O40),'Adjustment Surface'!$AN$27:$AN$46,1)+IF('Adjustment Surface'!$O41="",-1,1))-'Adjustment Surface'!$O40)*(INDEX('Adjustment Surface'!$AO$26:$BH$26,1,MATCH(('Adjustment Surface'!AF$26),'Adjustment Surface'!$AO$26:$BH$26,1)+IF('Adjustment Surface'!AG$26="",-1,1))-'Adjustment Surface'!AF$26)+INDEX($AO$27:$BH$46,MATCH(INDEX('Adjustment Surface'!$AN$27:$AN$46,MATCH(('Adjustment Surface'!$O40),'Adjustment Surface'!$AN$27:$AN$46,1)+IF('Adjustment Surface'!$O41="",-1,1)),$AN$27:$AN$46,0),MATCH(INDEX('Adjustment Surface'!$AO$26:$BH$26,1,MATCH(('Adjustment Surface'!AF$26),'Adjustment Surface'!$AO$26:$BH$26,1)),$AO$26:$BH$26,0))*('Adjustment Surface'!$O40-INDEX('Adjustment Surface'!$AN$27:$AN$46,MATCH(('Adjustment Surface'!$O40),'Adjustment Surface'!$AN$27:$AN$46,1)))*(INDEX('Adjustment Surface'!$AO$26:$BH$26,1,MATCH(('Adjustment Surface'!AF$26),'Adjustment Surface'!$AO$26:$BH$26,1)+IF('Adjustment Surface'!AG$26="",-1,1))-'Adjustment Surface'!AF$26)+INDEX($AO$27:$BH$46,MATCH(INDEX('Adjustment Surface'!$AN$27:$AN$46,MATCH(('Adjustment Surface'!$O40),'Adjustment Surface'!$AN$27:$AN$46,1)),$AN$27:$AN$46,0),MATCH(INDEX('Adjustment Surface'!$AO$26:$BH$26,1,MATCH(('Adjustment Surface'!AF$26),'Adjustment Surface'!$AO$26:$BH$26,1)+IF('Adjustment Surface'!AG$26="",-1,1)),$AO$26:$BH$26,0))*(INDEX('Adjustment Surface'!$AN$27:$AN$46,MATCH(('Adjustment Surface'!$O40),'Adjustment Surface'!$AN$27:$AN$46,1)+IF('Adjustment Surface'!$O41="",-1,1))-'Adjustment Surface'!$O40)*('Adjustment Surface'!AF$26-INDEX('Adjustment Surface'!$AO$26:$BH$26,1,MATCH(('Adjustment Surface'!AF$26),'Adjustment Surface'!$AO$26:$BH$26,1)))+INDEX($AO$27:$BH$46,MATCH(INDEX('Adjustment Surface'!$AN$27:$AN$46,MATCH(('Adjustment Surface'!$O40),'Adjustment Surface'!$AN$27:$AN$46,1)+IF('Adjustment Surface'!$O41="",-1,1)),$AN$27:$AN$46,0),MATCH(INDEX('Adjustment Surface'!$AO$26:$BH$26,1,MATCH(('Adjustment Surface'!AF$26),'Adjustment Surface'!$AO$26:$BH$26,1)+IF('Adjustment Surface'!AG$26="",-1,1)),$AO$26:$BH$26,0))*('Adjustment Surface'!$O40-INDEX('Adjustment Surface'!$AN$27:$AN$46,MATCH(('Adjustment Surface'!$O40),'Adjustment Surface'!$AN$27:$AN$46,1)))*('Adjustment Surface'!AF$26-INDEX('Adjustment Surface'!$AO$26:$BH$26,1,MATCH(('Adjustment Surface'!AF$26),'Adjustment Surface'!$AO$26:$BH$26,1)))))</f>
        <v/>
      </c>
      <c r="AG40" s="193" t="str" cm="1">
        <f t="array" ref="AG40">IF(OR(AG$26="",$O40=""),"",1/((INDEX('Adjustment Surface'!$AN$27:$AN$46,MATCH(('Adjustment Surface'!$O40),'Adjustment Surface'!$AN$27:$AN$46,1)+IF('Adjustment Surface'!$O41="",-1,1))-INDEX('Adjustment Surface'!$AN$27:$AN$46,MATCH(('Adjustment Surface'!$O40),'Adjustment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Surface'!$O40),'Adjustment Surface'!$AN$27:$AN$46,1)),$AN$27:$AN$46,0),MATCH(INDEX('Adjustment Surface'!$AO$26:$BH$26,1,MATCH(('Adjustment Surface'!AG$26),'Adjustment Surface'!$AO$26:$BH$26,1)),$AO$26:$BH$26,0))*(INDEX('Adjustment Surface'!$AN$27:$AN$46,MATCH(('Adjustment Surface'!$O40),'Adjustment Surface'!$AN$27:$AN$46,1)+IF('Adjustment Surface'!$O41="",-1,1))-'Adjustment Surface'!$O40)*(INDEX('Adjustment Surface'!$AO$26:$BH$26,1,MATCH(('Adjustment Surface'!AG$26),'Adjustment Surface'!$AO$26:$BH$26,1)+IF('Adjustment Surface'!AH$26="",-1,1))-'Adjustment Surface'!AG$26)+INDEX($AO$27:$BH$46,MATCH(INDEX('Adjustment Surface'!$AN$27:$AN$46,MATCH(('Adjustment Surface'!$O40),'Adjustment Surface'!$AN$27:$AN$46,1)+IF('Adjustment Surface'!$O41="",-1,1)),$AN$27:$AN$46,0),MATCH(INDEX('Adjustment Surface'!$AO$26:$BH$26,1,MATCH(('Adjustment Surface'!AG$26),'Adjustment Surface'!$AO$26:$BH$26,1)),$AO$26:$BH$26,0))*('Adjustment Surface'!$O40-INDEX('Adjustment Surface'!$AN$27:$AN$46,MATCH(('Adjustment Surface'!$O40),'Adjustment Surface'!$AN$27:$AN$46,1)))*(INDEX('Adjustment Surface'!$AO$26:$BH$26,1,MATCH(('Adjustment Surface'!AG$26),'Adjustment Surface'!$AO$26:$BH$26,1)+IF('Adjustment Surface'!AH$26="",-1,1))-'Adjustment Surface'!AG$26)+INDEX($AO$27:$BH$46,MATCH(INDEX('Adjustment Surface'!$AN$27:$AN$46,MATCH(('Adjustment Surface'!$O40),'Adjustment Surface'!$AN$27:$AN$46,1)),$AN$27:$AN$46,0),MATCH(INDEX('Adjustment Surface'!$AO$26:$BH$26,1,MATCH(('Adjustment Surface'!AG$26),'Adjustment Surface'!$AO$26:$BH$26,1)+IF('Adjustment Surface'!AH$26="",-1,1)),$AO$26:$BH$26,0))*(INDEX('Adjustment Surface'!$AN$27:$AN$46,MATCH(('Adjustment Surface'!$O40),'Adjustment Surface'!$AN$27:$AN$46,1)+IF('Adjustment Surface'!$O41="",-1,1))-'Adjustment Surface'!$O40)*('Adjustment Surface'!AG$26-INDEX('Adjustment Surface'!$AO$26:$BH$26,1,MATCH(('Adjustment Surface'!AG$26),'Adjustment Surface'!$AO$26:$BH$26,1)))+INDEX($AO$27:$BH$46,MATCH(INDEX('Adjustment Surface'!$AN$27:$AN$46,MATCH(('Adjustment Surface'!$O40),'Adjustment Surface'!$AN$27:$AN$46,1)+IF('Adjustment Surface'!$O41="",-1,1)),$AN$27:$AN$46,0),MATCH(INDEX('Adjustment Surface'!$AO$26:$BH$26,1,MATCH(('Adjustment Surface'!AG$26),'Adjustment Surface'!$AO$26:$BH$26,1)+IF('Adjustment Surface'!AH$26="",-1,1)),$AO$26:$BH$26,0))*('Adjustment Surface'!$O40-INDEX('Adjustment Surface'!$AN$27:$AN$46,MATCH(('Adjustment Surface'!$O40),'Adjustment Surface'!$AN$27:$AN$46,1)))*('Adjustment Surface'!AG$26-INDEX('Adjustment Surface'!$AO$26:$BH$26,1,MATCH(('Adjustment Surface'!AG$26),'Adjustment Surface'!$AO$26:$BH$26,1)))))</f>
        <v/>
      </c>
      <c r="AH40" s="193" t="str" cm="1">
        <f t="array" ref="AH40">IF(OR(AH$26="",$O40=""),"",1/((INDEX('Adjustment Surface'!$AN$27:$AN$46,MATCH(('Adjustment Surface'!$O40),'Adjustment Surface'!$AN$27:$AN$46,1)+IF('Adjustment Surface'!$O41="",-1,1))-INDEX('Adjustment Surface'!$AN$27:$AN$46,MATCH(('Adjustment Surface'!$O40),'Adjustment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Surface'!$O40),'Adjustment Surface'!$AN$27:$AN$46,1)),$AN$27:$AN$46,0),MATCH(INDEX('Adjustment Surface'!$AO$26:$BH$26,1,MATCH(('Adjustment Surface'!AH$26),'Adjustment Surface'!$AO$26:$BH$26,1)),$AO$26:$BH$26,0))*(INDEX('Adjustment Surface'!$AN$27:$AN$46,MATCH(('Adjustment Surface'!$O40),'Adjustment Surface'!$AN$27:$AN$46,1)+IF('Adjustment Surface'!$O41="",-1,1))-'Adjustment Surface'!$O40)*(INDEX('Adjustment Surface'!$AO$26:$BH$26,1,MATCH(('Adjustment Surface'!AH$26),'Adjustment Surface'!$AO$26:$BH$26,1)+IF('Adjustment Surface'!AI$26="",-1,1))-'Adjustment Surface'!AH$26)+INDEX($AO$27:$BH$46,MATCH(INDEX('Adjustment Surface'!$AN$27:$AN$46,MATCH(('Adjustment Surface'!$O40),'Adjustment Surface'!$AN$27:$AN$46,1)+IF('Adjustment Surface'!$O41="",-1,1)),$AN$27:$AN$46,0),MATCH(INDEX('Adjustment Surface'!$AO$26:$BH$26,1,MATCH(('Adjustment Surface'!AH$26),'Adjustment Surface'!$AO$26:$BH$26,1)),$AO$26:$BH$26,0))*('Adjustment Surface'!$O40-INDEX('Adjustment Surface'!$AN$27:$AN$46,MATCH(('Adjustment Surface'!$O40),'Adjustment Surface'!$AN$27:$AN$46,1)))*(INDEX('Adjustment Surface'!$AO$26:$BH$26,1,MATCH(('Adjustment Surface'!AH$26),'Adjustment Surface'!$AO$26:$BH$26,1)+IF('Adjustment Surface'!AI$26="",-1,1))-'Adjustment Surface'!AH$26)+INDEX($AO$27:$BH$46,MATCH(INDEX('Adjustment Surface'!$AN$27:$AN$46,MATCH(('Adjustment Surface'!$O40),'Adjustment Surface'!$AN$27:$AN$46,1)),$AN$27:$AN$46,0),MATCH(INDEX('Adjustment Surface'!$AO$26:$BH$26,1,MATCH(('Adjustment Surface'!AH$26),'Adjustment Surface'!$AO$26:$BH$26,1)+IF('Adjustment Surface'!AI$26="",-1,1)),$AO$26:$BH$26,0))*(INDEX('Adjustment Surface'!$AN$27:$AN$46,MATCH(('Adjustment Surface'!$O40),'Adjustment Surface'!$AN$27:$AN$46,1)+IF('Adjustment Surface'!$O41="",-1,1))-'Adjustment Surface'!$O40)*('Adjustment Surface'!AH$26-INDEX('Adjustment Surface'!$AO$26:$BH$26,1,MATCH(('Adjustment Surface'!AH$26),'Adjustment Surface'!$AO$26:$BH$26,1)))+INDEX($AO$27:$BH$46,MATCH(INDEX('Adjustment Surface'!$AN$27:$AN$46,MATCH(('Adjustment Surface'!$O40),'Adjustment Surface'!$AN$27:$AN$46,1)+IF('Adjustment Surface'!$O41="",-1,1)),$AN$27:$AN$46,0),MATCH(INDEX('Adjustment Surface'!$AO$26:$BH$26,1,MATCH(('Adjustment Surface'!AH$26),'Adjustment Surface'!$AO$26:$BH$26,1)+IF('Adjustment Surface'!AI$26="",-1,1)),$AO$26:$BH$26,0))*('Adjustment Surface'!$O40-INDEX('Adjustment Surface'!$AN$27:$AN$46,MATCH(('Adjustment Surface'!$O40),'Adjustment Surface'!$AN$27:$AN$46,1)))*('Adjustment Surface'!AH$26-INDEX('Adjustment Surface'!$AO$26:$BH$26,1,MATCH(('Adjustment Surface'!AH$26),'Adjustment Surface'!$AO$26:$BH$26,1)))))</f>
        <v/>
      </c>
      <c r="AI40" s="194" t="str" cm="1">
        <f t="array" ref="AI40">IF(OR(AI$26="",$O40=""),"",1/((INDEX('Adjustment Surface'!$AN$27:$AN$46,MATCH(('Adjustment Surface'!$O40),'Adjustment Surface'!$AN$27:$AN$46,1)+IF('Adjustment Surface'!$O41="",-1,1))-INDEX('Adjustment Surface'!$AN$27:$AN$46,MATCH(('Adjustment Surface'!$O40),'Adjustment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Surface'!$O40),'Adjustment Surface'!$AN$27:$AN$46,1)),$AN$27:$AN$46,0),MATCH(INDEX('Adjustment Surface'!$AO$26:$BH$26,1,MATCH(('Adjustment Surface'!AI$26),'Adjustment Surface'!$AO$26:$BH$26,1)),$AO$26:$BH$26,0))*(INDEX('Adjustment Surface'!$AN$27:$AN$46,MATCH(('Adjustment Surface'!$O40),'Adjustment Surface'!$AN$27:$AN$46,1)+IF('Adjustment Surface'!$O41="",-1,1))-'Adjustment Surface'!$O40)*(INDEX('Adjustment Surface'!$AO$26:$BH$26,1,MATCH(('Adjustment Surface'!AI$26),'Adjustment Surface'!$AO$26:$BH$26,1)+IF('Adjustment Surface'!AJ$26="",-1,1))-'Adjustment Surface'!AI$26)+INDEX($AO$27:$BH$46,MATCH(INDEX('Adjustment Surface'!$AN$27:$AN$46,MATCH(('Adjustment Surface'!$O40),'Adjustment Surface'!$AN$27:$AN$46,1)+IF('Adjustment Surface'!$O41="",-1,1)),$AN$27:$AN$46,0),MATCH(INDEX('Adjustment Surface'!$AO$26:$BH$26,1,MATCH(('Adjustment Surface'!AI$26),'Adjustment Surface'!$AO$26:$BH$26,1)),$AO$26:$BH$26,0))*('Adjustment Surface'!$O40-INDEX('Adjustment Surface'!$AN$27:$AN$46,MATCH(('Adjustment Surface'!$O40),'Adjustment Surface'!$AN$27:$AN$46,1)))*(INDEX('Adjustment Surface'!$AO$26:$BH$26,1,MATCH(('Adjustment Surface'!AI$26),'Adjustment Surface'!$AO$26:$BH$26,1)+IF('Adjustment Surface'!AJ$26="",-1,1))-'Adjustment Surface'!AI$26)+INDEX($AO$27:$BH$46,MATCH(INDEX('Adjustment Surface'!$AN$27:$AN$46,MATCH(('Adjustment Surface'!$O40),'Adjustment Surface'!$AN$27:$AN$46,1)),$AN$27:$AN$46,0),MATCH(INDEX('Adjustment Surface'!$AO$26:$BH$26,1,MATCH(('Adjustment Surface'!AI$26),'Adjustment Surface'!$AO$26:$BH$26,1)+IF('Adjustment Surface'!AJ$26="",-1,1)),$AO$26:$BH$26,0))*(INDEX('Adjustment Surface'!$AN$27:$AN$46,MATCH(('Adjustment Surface'!$O40),'Adjustment Surface'!$AN$27:$AN$46,1)+IF('Adjustment Surface'!$O41="",-1,1))-'Adjustment Surface'!$O40)*('Adjustment Surface'!AI$26-INDEX('Adjustment Surface'!$AO$26:$BH$26,1,MATCH(('Adjustment Surface'!AI$26),'Adjustment Surface'!$AO$26:$BH$26,1)))+INDEX($AO$27:$BH$46,MATCH(INDEX('Adjustment Surface'!$AN$27:$AN$46,MATCH(('Adjustment Surface'!$O40),'Adjustment Surface'!$AN$27:$AN$46,1)+IF('Adjustment Surface'!$O41="",-1,1)),$AN$27:$AN$46,0),MATCH(INDEX('Adjustment Surface'!$AO$26:$BH$26,1,MATCH(('Adjustment Surface'!AI$26),'Adjustment Surface'!$AO$26:$BH$26,1)+IF('Adjustment Surface'!AJ$26="",-1,1)),$AO$26:$BH$26,0))*('Adjustment Surface'!$O40-INDEX('Adjustment Surface'!$AN$27:$AN$46,MATCH(('Adjustment Surface'!$O40),'Adjustment Surface'!$AN$27:$AN$46,1)))*('Adjustment Surface'!AI$26-INDEX('Adjustment Surface'!$AO$26:$BH$26,1,MATCH(('Adjustment Surface'!AI$26),'Adjustment Surface'!$AO$26:$BH$26,1)))))</f>
        <v/>
      </c>
      <c r="AK40" s="203"/>
      <c r="AL40" s="207"/>
      <c r="AN40" s="176"/>
      <c r="AO40" s="192" t="str" cm="1">
        <f t="array" ref="AO40">IF(OR(AO$26="",$AN40=""),"",INDEX(IF($C$2='Data Validation'!$A$2,'Bank Adjustments'!$I$4:$I$103,IF('Adjustment Surface'!$C$2='Data Validation'!$A$3,'Bank Adjustments'!$S$4:$S$103,"Unknown Option Type")),MATCH(1,($AN40=IF($C$2='Data Validation'!$A$2,'Bank Adjustments'!$C$4:$C$103,IF('Adjustment Surface'!$C$2='Data Validation'!$A$3,'Bank Adjustments'!$M$4:$M$103,"Unknown Option Type")))*(AO$26=IF($C$2='Data Validation'!$A$2,'Bank Adjustments'!$E$4:$E$103,IF('Adjustment Surface'!$C$2='Data Validation'!$A$3,'Bank Adjustments'!$O$4:$O$103,"Unknown Option Type"))),0)))</f>
        <v/>
      </c>
      <c r="AP40" s="193" t="str" cm="1">
        <f t="array" ref="AP40">IF(OR(AP$26="",$AN40=""),"",INDEX(IF($C$2='Data Validation'!$A$2,'Bank Adjustments'!$I$4:$I$103,IF('Adjustment Surface'!$C$2='Data Validation'!$A$3,'Bank Adjustments'!$S$4:$S$103,"Unknown Option Type")),MATCH(1,($AN40=IF($C$2='Data Validation'!$A$2,'Bank Adjustments'!$C$4:$C$103,IF('Adjustment Surface'!$C$2='Data Validation'!$A$3,'Bank Adjustments'!$M$4:$M$103,"Unknown Option Type")))*(AP$26=IF($C$2='Data Validation'!$A$2,'Bank Adjustments'!$E$4:$E$103,IF('Adjustment Surface'!$C$2='Data Validation'!$A$3,'Bank Adjustments'!$O$4:$O$103,"Unknown Option Type"))),0)))</f>
        <v/>
      </c>
      <c r="AQ40" s="193" t="str" cm="1">
        <f t="array" ref="AQ40">IF(OR(AQ$26="",$AN40=""),"",INDEX(IF($C$2='Data Validation'!$A$2,'Bank Adjustments'!$I$4:$I$103,IF('Adjustment Surface'!$C$2='Data Validation'!$A$3,'Bank Adjustments'!$S$4:$S$103,"Unknown Option Type")),MATCH(1,($AN40=IF($C$2='Data Validation'!$A$2,'Bank Adjustments'!$C$4:$C$103,IF('Adjustment Surface'!$C$2='Data Validation'!$A$3,'Bank Adjustments'!$M$4:$M$103,"Unknown Option Type")))*(AQ$26=IF($C$2='Data Validation'!$A$2,'Bank Adjustments'!$E$4:$E$103,IF('Adjustment Surface'!$C$2='Data Validation'!$A$3,'Bank Adjustments'!$O$4:$O$103,"Unknown Option Type"))),0)))</f>
        <v/>
      </c>
      <c r="AR40" s="193" t="str" cm="1">
        <f t="array" ref="AR40">IF(OR(AR$26="",$AN40=""),"",INDEX(IF($C$2='Data Validation'!$A$2,'Bank Adjustments'!$I$4:$I$103,IF('Adjustment Surface'!$C$2='Data Validation'!$A$3,'Bank Adjustments'!$S$4:$S$103,"Unknown Option Type")),MATCH(1,($AN40=IF($C$2='Data Validation'!$A$2,'Bank Adjustments'!$C$4:$C$103,IF('Adjustment Surface'!$C$2='Data Validation'!$A$3,'Bank Adjustments'!$M$4:$M$103,"Unknown Option Type")))*(AR$26=IF($C$2='Data Validation'!$A$2,'Bank Adjustments'!$E$4:$E$103,IF('Adjustment Surface'!$C$2='Data Validation'!$A$3,'Bank Adjustments'!$O$4:$O$103,"Unknown Option Type"))),0)))</f>
        <v/>
      </c>
      <c r="AS40" s="193" t="str" cm="1">
        <f t="array" ref="AS40">IF(OR(AS$26="",$AN40=""),"",INDEX(IF($C$2='Data Validation'!$A$2,'Bank Adjustments'!$I$4:$I$103,IF('Adjustment Surface'!$C$2='Data Validation'!$A$3,'Bank Adjustments'!$S$4:$S$103,"Unknown Option Type")),MATCH(1,($AN40=IF($C$2='Data Validation'!$A$2,'Bank Adjustments'!$C$4:$C$103,IF('Adjustment Surface'!$C$2='Data Validation'!$A$3,'Bank Adjustments'!$M$4:$M$103,"Unknown Option Type")))*(AS$26=IF($C$2='Data Validation'!$A$2,'Bank Adjustments'!$E$4:$E$103,IF('Adjustment Surface'!$C$2='Data Validation'!$A$3,'Bank Adjustments'!$O$4:$O$103,"Unknown Option Type"))),0)))</f>
        <v/>
      </c>
      <c r="AT40" s="193" t="str" cm="1">
        <f t="array" ref="AT40">IF(OR(AT$26="",$AN40=""),"",INDEX(IF($C$2='Data Validation'!$A$2,'Bank Adjustments'!$I$4:$I$103,IF('Adjustment Surface'!$C$2='Data Validation'!$A$3,'Bank Adjustments'!$S$4:$S$103,"Unknown Option Type")),MATCH(1,($AN40=IF($C$2='Data Validation'!$A$2,'Bank Adjustments'!$C$4:$C$103,IF('Adjustment Surface'!$C$2='Data Validation'!$A$3,'Bank Adjustments'!$M$4:$M$103,"Unknown Option Type")))*(AT$26=IF($C$2='Data Validation'!$A$2,'Bank Adjustments'!$E$4:$E$103,IF('Adjustment Surface'!$C$2='Data Validation'!$A$3,'Bank Adjustments'!$O$4:$O$103,"Unknown Option Type"))),0)))</f>
        <v/>
      </c>
      <c r="AU40" s="193" t="str" cm="1">
        <f t="array" ref="AU40">IF(OR(AU$26="",$AN40=""),"",INDEX(IF($C$2='Data Validation'!$A$2,'Bank Adjustments'!$I$4:$I$103,IF('Adjustment Surface'!$C$2='Data Validation'!$A$3,'Bank Adjustments'!$S$4:$S$103,"Unknown Option Type")),MATCH(1,($AN40=IF($C$2='Data Validation'!$A$2,'Bank Adjustments'!$C$4:$C$103,IF('Adjustment Surface'!$C$2='Data Validation'!$A$3,'Bank Adjustments'!$M$4:$M$103,"Unknown Option Type")))*(AU$26=IF($C$2='Data Validation'!$A$2,'Bank Adjustments'!$E$4:$E$103,IF('Adjustment Surface'!$C$2='Data Validation'!$A$3,'Bank Adjustments'!$O$4:$O$103,"Unknown Option Type"))),0)))</f>
        <v/>
      </c>
      <c r="AV40" s="193" t="str" cm="1">
        <f t="array" ref="AV40">IF(OR(AV$26="",$AN40=""),"",INDEX(IF($C$2='Data Validation'!$A$2,'Bank Adjustments'!$I$4:$I$103,IF('Adjustment Surface'!$C$2='Data Validation'!$A$3,'Bank Adjustments'!$S$4:$S$103,"Unknown Option Type")),MATCH(1,($AN40=IF($C$2='Data Validation'!$A$2,'Bank Adjustments'!$C$4:$C$103,IF('Adjustment Surface'!$C$2='Data Validation'!$A$3,'Bank Adjustments'!$M$4:$M$103,"Unknown Option Type")))*(AV$26=IF($C$2='Data Validation'!$A$2,'Bank Adjustments'!$E$4:$E$103,IF('Adjustment Surface'!$C$2='Data Validation'!$A$3,'Bank Adjustments'!$O$4:$O$103,"Unknown Option Type"))),0)))</f>
        <v/>
      </c>
      <c r="AW40" s="193" t="str" cm="1">
        <f t="array" ref="AW40">IF(OR(AW$26="",$AN40=""),"",INDEX(IF($C$2='Data Validation'!$A$2,'Bank Adjustments'!$I$4:$I$103,IF('Adjustment Surface'!$C$2='Data Validation'!$A$3,'Bank Adjustments'!$S$4:$S$103,"Unknown Option Type")),MATCH(1,($AN40=IF($C$2='Data Validation'!$A$2,'Bank Adjustments'!$C$4:$C$103,IF('Adjustment Surface'!$C$2='Data Validation'!$A$3,'Bank Adjustments'!$M$4:$M$103,"Unknown Option Type")))*(AW$26=IF($C$2='Data Validation'!$A$2,'Bank Adjustments'!$E$4:$E$103,IF('Adjustment Surface'!$C$2='Data Validation'!$A$3,'Bank Adjustments'!$O$4:$O$103,"Unknown Option Type"))),0)))</f>
        <v/>
      </c>
      <c r="AX40" s="193" t="str" cm="1">
        <f t="array" ref="AX40">IF(OR(AX$26="",$AN40=""),"",INDEX(IF($C$2='Data Validation'!$A$2,'Bank Adjustments'!$I$4:$I$103,IF('Adjustment Surface'!$C$2='Data Validation'!$A$3,'Bank Adjustments'!$S$4:$S$103,"Unknown Option Type")),MATCH(1,($AN40=IF($C$2='Data Validation'!$A$2,'Bank Adjustments'!$C$4:$C$103,IF('Adjustment Surface'!$C$2='Data Validation'!$A$3,'Bank Adjustments'!$M$4:$M$103,"Unknown Option Type")))*(AX$26=IF($C$2='Data Validation'!$A$2,'Bank Adjustments'!$E$4:$E$103,IF('Adjustment Surface'!$C$2='Data Validation'!$A$3,'Bank Adjustments'!$O$4:$O$103,"Unknown Option Type"))),0)))</f>
        <v/>
      </c>
      <c r="AY40" s="193" t="str" cm="1">
        <f t="array" ref="AY40">IF(OR(AY$26="",$AN40=""),"",INDEX(IF($C$2='Data Validation'!$A$2,'Bank Adjustments'!$I$4:$I$103,IF('Adjustment Surface'!$C$2='Data Validation'!$A$3,'Bank Adjustments'!$S$4:$S$103,"Unknown Option Type")),MATCH(1,($AN40=IF($C$2='Data Validation'!$A$2,'Bank Adjustments'!$C$4:$C$103,IF('Adjustment Surface'!$C$2='Data Validation'!$A$3,'Bank Adjustments'!$M$4:$M$103,"Unknown Option Type")))*(AY$26=IF($C$2='Data Validation'!$A$2,'Bank Adjustments'!$E$4:$E$103,IF('Adjustment Surface'!$C$2='Data Validation'!$A$3,'Bank Adjustments'!$O$4:$O$103,"Unknown Option Type"))),0)))</f>
        <v/>
      </c>
      <c r="AZ40" s="193" t="str" cm="1">
        <f t="array" ref="AZ40">IF(OR(AZ$26="",$AN40=""),"",INDEX(IF($C$2='Data Validation'!$A$2,'Bank Adjustments'!$I$4:$I$103,IF('Adjustment Surface'!$C$2='Data Validation'!$A$3,'Bank Adjustments'!$S$4:$S$103,"Unknown Option Type")),MATCH(1,($AN40=IF($C$2='Data Validation'!$A$2,'Bank Adjustments'!$C$4:$C$103,IF('Adjustment Surface'!$C$2='Data Validation'!$A$3,'Bank Adjustments'!$M$4:$M$103,"Unknown Option Type")))*(AZ$26=IF($C$2='Data Validation'!$A$2,'Bank Adjustments'!$E$4:$E$103,IF('Adjustment Surface'!$C$2='Data Validation'!$A$3,'Bank Adjustments'!$O$4:$O$103,"Unknown Option Type"))),0)))</f>
        <v/>
      </c>
      <c r="BA40" s="193" t="str" cm="1">
        <f t="array" ref="BA40">IF(OR(BA$26="",$AN40=""),"",INDEX(IF($C$2='Data Validation'!$A$2,'Bank Adjustments'!$I$4:$I$103,IF('Adjustment Surface'!$C$2='Data Validation'!$A$3,'Bank Adjustments'!$S$4:$S$103,"Unknown Option Type")),MATCH(1,($AN40=IF($C$2='Data Validation'!$A$2,'Bank Adjustments'!$C$4:$C$103,IF('Adjustment Surface'!$C$2='Data Validation'!$A$3,'Bank Adjustments'!$M$4:$M$103,"Unknown Option Type")))*(BA$26=IF($C$2='Data Validation'!$A$2,'Bank Adjustments'!$E$4:$E$103,IF('Adjustment Surface'!$C$2='Data Validation'!$A$3,'Bank Adjustments'!$O$4:$O$103,"Unknown Option Type"))),0)))</f>
        <v/>
      </c>
      <c r="BB40" s="193" t="str" cm="1">
        <f t="array" ref="BB40">IF(OR(BB$26="",$AN40=""),"",INDEX(IF($C$2='Data Validation'!$A$2,'Bank Adjustments'!$I$4:$I$103,IF('Adjustment Surface'!$C$2='Data Validation'!$A$3,'Bank Adjustments'!$S$4:$S$103,"Unknown Option Type")),MATCH(1,($AN40=IF($C$2='Data Validation'!$A$2,'Bank Adjustments'!$C$4:$C$103,IF('Adjustment Surface'!$C$2='Data Validation'!$A$3,'Bank Adjustments'!$M$4:$M$103,"Unknown Option Type")))*(BB$26=IF($C$2='Data Validation'!$A$2,'Bank Adjustments'!$E$4:$E$103,IF('Adjustment Surface'!$C$2='Data Validation'!$A$3,'Bank Adjustments'!$O$4:$O$103,"Unknown Option Type"))),0)))</f>
        <v/>
      </c>
      <c r="BC40" s="193" t="str" cm="1">
        <f t="array" ref="BC40">IF(OR(BC$26="",$AN40=""),"",INDEX(IF($C$2='Data Validation'!$A$2,'Bank Adjustments'!$I$4:$I$103,IF('Adjustment Surface'!$C$2='Data Validation'!$A$3,'Bank Adjustments'!$S$4:$S$103,"Unknown Option Type")),MATCH(1,($AN40=IF($C$2='Data Validation'!$A$2,'Bank Adjustments'!$C$4:$C$103,IF('Adjustment Surface'!$C$2='Data Validation'!$A$3,'Bank Adjustments'!$M$4:$M$103,"Unknown Option Type")))*(BC$26=IF($C$2='Data Validation'!$A$2,'Bank Adjustments'!$E$4:$E$103,IF('Adjustment Surface'!$C$2='Data Validation'!$A$3,'Bank Adjustments'!$O$4:$O$103,"Unknown Option Type"))),0)))</f>
        <v/>
      </c>
      <c r="BD40" s="193" t="str" cm="1">
        <f t="array" ref="BD40">IF(OR(BD$26="",$AN40=""),"",INDEX(IF($C$2='Data Validation'!$A$2,'Bank Adjustments'!$I$4:$I$103,IF('Adjustment Surface'!$C$2='Data Validation'!$A$3,'Bank Adjustments'!$S$4:$S$103,"Unknown Option Type")),MATCH(1,($AN40=IF($C$2='Data Validation'!$A$2,'Bank Adjustments'!$C$4:$C$103,IF('Adjustment Surface'!$C$2='Data Validation'!$A$3,'Bank Adjustments'!$M$4:$M$103,"Unknown Option Type")))*(BD$26=IF($C$2='Data Validation'!$A$2,'Bank Adjustments'!$E$4:$E$103,IF('Adjustment Surface'!$C$2='Data Validation'!$A$3,'Bank Adjustments'!$O$4:$O$103,"Unknown Option Type"))),0)))</f>
        <v/>
      </c>
      <c r="BE40" s="193" t="str" cm="1">
        <f t="array" ref="BE40">IF(OR(BE$26="",$AN40=""),"",INDEX(IF($C$2='Data Validation'!$A$2,'Bank Adjustments'!$I$4:$I$103,IF('Adjustment Surface'!$C$2='Data Validation'!$A$3,'Bank Adjustments'!$S$4:$S$103,"Unknown Option Type")),MATCH(1,($AN40=IF($C$2='Data Validation'!$A$2,'Bank Adjustments'!$C$4:$C$103,IF('Adjustment Surface'!$C$2='Data Validation'!$A$3,'Bank Adjustments'!$M$4:$M$103,"Unknown Option Type")))*(BE$26=IF($C$2='Data Validation'!$A$2,'Bank Adjustments'!$E$4:$E$103,IF('Adjustment Surface'!$C$2='Data Validation'!$A$3,'Bank Adjustments'!$O$4:$O$103,"Unknown Option Type"))),0)))</f>
        <v/>
      </c>
      <c r="BF40" s="193" t="str" cm="1">
        <f t="array" ref="BF40">IF(OR(BF$26="",$AN40=""),"",INDEX(IF($C$2='Data Validation'!$A$2,'Bank Adjustments'!$I$4:$I$103,IF('Adjustment Surface'!$C$2='Data Validation'!$A$3,'Bank Adjustments'!$S$4:$S$103,"Unknown Option Type")),MATCH(1,($AN40=IF($C$2='Data Validation'!$A$2,'Bank Adjustments'!$C$4:$C$103,IF('Adjustment Surface'!$C$2='Data Validation'!$A$3,'Bank Adjustments'!$M$4:$M$103,"Unknown Option Type")))*(BF$26=IF($C$2='Data Validation'!$A$2,'Bank Adjustments'!$E$4:$E$103,IF('Adjustment Surface'!$C$2='Data Validation'!$A$3,'Bank Adjustments'!$O$4:$O$103,"Unknown Option Type"))),0)))</f>
        <v/>
      </c>
      <c r="BG40" s="193" t="str" cm="1">
        <f t="array" ref="BG40">IF(OR(BG$26="",$AN40=""),"",INDEX(IF($C$2='Data Validation'!$A$2,'Bank Adjustments'!$I$4:$I$103,IF('Adjustment Surface'!$C$2='Data Validation'!$A$3,'Bank Adjustments'!$S$4:$S$103,"Unknown Option Type")),MATCH(1,($AN40=IF($C$2='Data Validation'!$A$2,'Bank Adjustments'!$C$4:$C$103,IF('Adjustment Surface'!$C$2='Data Validation'!$A$3,'Bank Adjustments'!$M$4:$M$103,"Unknown Option Type")))*(BG$26=IF($C$2='Data Validation'!$A$2,'Bank Adjustments'!$E$4:$E$103,IF('Adjustment Surface'!$C$2='Data Validation'!$A$3,'Bank Adjustments'!$O$4:$O$103,"Unknown Option Type"))),0)))</f>
        <v/>
      </c>
      <c r="BH40" s="194" t="str" cm="1">
        <f t="array" ref="BH40">IF(OR(BH$26="",$AN40=""),"",INDEX(IF($C$2='Data Validation'!$A$2,'Bank Adjustments'!$I$4:$I$103,IF('Adjustment Surface'!$C$2='Data Validation'!$A$3,'Bank Adjustments'!$S$4:$S$103,"Unknown Option Type")),MATCH(1,($AN40=IF($C$2='Data Validation'!$A$2,'Bank Adjustments'!$C$4:$C$103,IF('Adjustment Surface'!$C$2='Data Validation'!$A$3,'Bank Adjustments'!$M$4:$M$103,"Unknown Option Type")))*(BH$26=IF($C$2='Data Validation'!$A$2,'Bank Adjustments'!$E$4:$E$103,IF('Adjustment Surface'!$C$2='Data Validation'!$A$3,'Bank Adjustments'!$O$4:$O$103,"Unknown Option Type"))),0)))</f>
        <v/>
      </c>
    </row>
    <row r="41" spans="2:60" x14ac:dyDescent="0.25">
      <c r="B41" s="27" t="s">
        <v>62</v>
      </c>
      <c r="C41" s="11"/>
      <c r="D41" s="11"/>
      <c r="E41" s="11"/>
      <c r="F41" s="11"/>
      <c r="H41" s="176"/>
      <c r="I41" s="54" t="str">
        <f t="shared" si="6"/>
        <v/>
      </c>
      <c r="J41" s="55" t="str">
        <f t="shared" si="6"/>
        <v/>
      </c>
      <c r="K41" s="55" t="str">
        <f t="shared" si="6"/>
        <v/>
      </c>
      <c r="L41" s="55" t="str">
        <f t="shared" si="6"/>
        <v/>
      </c>
      <c r="M41" s="48" t="str">
        <f t="shared" si="6"/>
        <v/>
      </c>
      <c r="O41" s="176"/>
      <c r="P41" s="192" t="str" cm="1">
        <f t="array" ref="P41">IF(OR(P$26="",$O41=""),"",1/((INDEX('Adjustment Surface'!$AN$27:$AN$46,MATCH(('Adjustment Surface'!$O41),'Adjustment Surface'!$AN$27:$AN$46,1)+IF('Adjustment Surface'!$O42="",-1,1))-INDEX('Adjustment Surface'!$AN$27:$AN$46,MATCH(('Adjustment Surface'!$O41),'Adjustment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Surface'!$O41),'Adjustment Surface'!$AN$27:$AN$46,1)),$AN$27:$AN$46,0),MATCH(INDEX('Adjustment Surface'!$AO$26:$BH$26,1,MATCH(('Adjustment Surface'!P$26),'Adjustment Surface'!$AO$26:$BH$26,1)),$AO$26:$BH$26,0))*(INDEX('Adjustment Surface'!$AN$27:$AN$46,MATCH(('Adjustment Surface'!$O41),'Adjustment Surface'!$AN$27:$AN$46,1)+IF('Adjustment Surface'!$O42="",-1,1))-'Adjustment Surface'!$O41)*(INDEX('Adjustment Surface'!$AO$26:$BH$26,1,MATCH(('Adjustment Surface'!P$26),'Adjustment Surface'!$AO$26:$BH$26,1)+IF('Adjustment Surface'!Q$26="",-1,1))-'Adjustment Surface'!P$26)+INDEX($AO$27:$BH$46,MATCH(INDEX('Adjustment Surface'!$AN$27:$AN$46,MATCH(('Adjustment Surface'!$O41),'Adjustment Surface'!$AN$27:$AN$46,1)+IF('Adjustment Surface'!$O42="",-1,1)),$AN$27:$AN$46,0),MATCH(INDEX('Adjustment Surface'!$AO$26:$BH$26,1,MATCH(('Adjustment Surface'!P$26),'Adjustment Surface'!$AO$26:$BH$26,1)),$AO$26:$BH$26,0))*('Adjustment Surface'!$O41-INDEX('Adjustment Surface'!$AN$27:$AN$46,MATCH(('Adjustment Surface'!$O41),'Adjustment Surface'!$AN$27:$AN$46,1)))*(INDEX('Adjustment Surface'!$AO$26:$BH$26,1,MATCH(('Adjustment Surface'!P$26),'Adjustment Surface'!$AO$26:$BH$26,1)+IF('Adjustment Surface'!Q$26="",-1,1))-'Adjustment Surface'!P$26)+INDEX($AO$27:$BH$46,MATCH(INDEX('Adjustment Surface'!$AN$27:$AN$46,MATCH(('Adjustment Surface'!$O41),'Adjustment Surface'!$AN$27:$AN$46,1)),$AN$27:$AN$46,0),MATCH(INDEX('Adjustment Surface'!$AO$26:$BH$26,1,MATCH(('Adjustment Surface'!P$26),'Adjustment Surface'!$AO$26:$BH$26,1)+IF('Adjustment Surface'!Q$26="",-1,1)),$AO$26:$BH$26,0))*(INDEX('Adjustment Surface'!$AN$27:$AN$46,MATCH(('Adjustment Surface'!$O41),'Adjustment Surface'!$AN$27:$AN$46,1)+IF('Adjustment Surface'!$O42="",-1,1))-'Adjustment Surface'!$O41)*('Adjustment Surface'!P$26-INDEX('Adjustment Surface'!$AO$26:$BH$26,1,MATCH(('Adjustment Surface'!P$26),'Adjustment Surface'!$AO$26:$BH$26,1)))+INDEX($AO$27:$BH$46,MATCH(INDEX('Adjustment Surface'!$AN$27:$AN$46,MATCH(('Adjustment Surface'!$O41),'Adjustment Surface'!$AN$27:$AN$46,1)+IF('Adjustment Surface'!$O42="",-1,1)),$AN$27:$AN$46,0),MATCH(INDEX('Adjustment Surface'!$AO$26:$BH$26,1,MATCH(('Adjustment Surface'!P$26),'Adjustment Surface'!$AO$26:$BH$26,1)+IF('Adjustment Surface'!Q$26="",-1,1)),$AO$26:$BH$26,0))*('Adjustment Surface'!$O41-INDEX('Adjustment Surface'!$AN$27:$AN$46,MATCH(('Adjustment Surface'!$O41),'Adjustment Surface'!$AN$27:$AN$46,1)))*('Adjustment Surface'!P$26-INDEX('Adjustment Surface'!$AO$26:$BH$26,1,MATCH(('Adjustment Surface'!P$26),'Adjustment Surface'!$AO$26:$BH$26,1)))))</f>
        <v/>
      </c>
      <c r="Q41" s="193" t="str" cm="1">
        <f t="array" ref="Q41">IF(OR(Q$26="",$O41=""),"",1/((INDEX('Adjustment Surface'!$AN$27:$AN$46,MATCH(('Adjustment Surface'!$O41),'Adjustment Surface'!$AN$27:$AN$46,1)+IF('Adjustment Surface'!$O42="",-1,1))-INDEX('Adjustment Surface'!$AN$27:$AN$46,MATCH(('Adjustment Surface'!$O41),'Adjustment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Surface'!$O41),'Adjustment Surface'!$AN$27:$AN$46,1)),$AN$27:$AN$46,0),MATCH(INDEX('Adjustment Surface'!$AO$26:$BH$26,1,MATCH(('Adjustment Surface'!Q$26),'Adjustment Surface'!$AO$26:$BH$26,1)),$AO$26:$BH$26,0))*(INDEX('Adjustment Surface'!$AN$27:$AN$46,MATCH(('Adjustment Surface'!$O41),'Adjustment Surface'!$AN$27:$AN$46,1)+IF('Adjustment Surface'!$O42="",-1,1))-'Adjustment Surface'!$O41)*(INDEX('Adjustment Surface'!$AO$26:$BH$26,1,MATCH(('Adjustment Surface'!Q$26),'Adjustment Surface'!$AO$26:$BH$26,1)+IF('Adjustment Surface'!R$26="",-1,1))-'Adjustment Surface'!Q$26)+INDEX($AO$27:$BH$46,MATCH(INDEX('Adjustment Surface'!$AN$27:$AN$46,MATCH(('Adjustment Surface'!$O41),'Adjustment Surface'!$AN$27:$AN$46,1)+IF('Adjustment Surface'!$O42="",-1,1)),$AN$27:$AN$46,0),MATCH(INDEX('Adjustment Surface'!$AO$26:$BH$26,1,MATCH(('Adjustment Surface'!Q$26),'Adjustment Surface'!$AO$26:$BH$26,1)),$AO$26:$BH$26,0))*('Adjustment Surface'!$O41-INDEX('Adjustment Surface'!$AN$27:$AN$46,MATCH(('Adjustment Surface'!$O41),'Adjustment Surface'!$AN$27:$AN$46,1)))*(INDEX('Adjustment Surface'!$AO$26:$BH$26,1,MATCH(('Adjustment Surface'!Q$26),'Adjustment Surface'!$AO$26:$BH$26,1)+IF('Adjustment Surface'!R$26="",-1,1))-'Adjustment Surface'!Q$26)+INDEX($AO$27:$BH$46,MATCH(INDEX('Adjustment Surface'!$AN$27:$AN$46,MATCH(('Adjustment Surface'!$O41),'Adjustment Surface'!$AN$27:$AN$46,1)),$AN$27:$AN$46,0),MATCH(INDEX('Adjustment Surface'!$AO$26:$BH$26,1,MATCH(('Adjustment Surface'!Q$26),'Adjustment Surface'!$AO$26:$BH$26,1)+IF('Adjustment Surface'!R$26="",-1,1)),$AO$26:$BH$26,0))*(INDEX('Adjustment Surface'!$AN$27:$AN$46,MATCH(('Adjustment Surface'!$O41),'Adjustment Surface'!$AN$27:$AN$46,1)+IF('Adjustment Surface'!$O42="",-1,1))-'Adjustment Surface'!$O41)*('Adjustment Surface'!Q$26-INDEX('Adjustment Surface'!$AO$26:$BH$26,1,MATCH(('Adjustment Surface'!Q$26),'Adjustment Surface'!$AO$26:$BH$26,1)))+INDEX($AO$27:$BH$46,MATCH(INDEX('Adjustment Surface'!$AN$27:$AN$46,MATCH(('Adjustment Surface'!$O41),'Adjustment Surface'!$AN$27:$AN$46,1)+IF('Adjustment Surface'!$O42="",-1,1)),$AN$27:$AN$46,0),MATCH(INDEX('Adjustment Surface'!$AO$26:$BH$26,1,MATCH(('Adjustment Surface'!Q$26),'Adjustment Surface'!$AO$26:$BH$26,1)+IF('Adjustment Surface'!R$26="",-1,1)),$AO$26:$BH$26,0))*('Adjustment Surface'!$O41-INDEX('Adjustment Surface'!$AN$27:$AN$46,MATCH(('Adjustment Surface'!$O41),'Adjustment Surface'!$AN$27:$AN$46,1)))*('Adjustment Surface'!Q$26-INDEX('Adjustment Surface'!$AO$26:$BH$26,1,MATCH(('Adjustment Surface'!Q$26),'Adjustment Surface'!$AO$26:$BH$26,1)))))</f>
        <v/>
      </c>
      <c r="R41" s="193" t="str" cm="1">
        <f t="array" ref="R41">IF(OR(R$26="",$O41=""),"",1/((INDEX('Adjustment Surface'!$AN$27:$AN$46,MATCH(('Adjustment Surface'!$O41),'Adjustment Surface'!$AN$27:$AN$46,1)+IF('Adjustment Surface'!$O42="",-1,1))-INDEX('Adjustment Surface'!$AN$27:$AN$46,MATCH(('Adjustment Surface'!$O41),'Adjustment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Surface'!$O41),'Adjustment Surface'!$AN$27:$AN$46,1)),$AN$27:$AN$46,0),MATCH(INDEX('Adjustment Surface'!$AO$26:$BH$26,1,MATCH(('Adjustment Surface'!R$26),'Adjustment Surface'!$AO$26:$BH$26,1)),$AO$26:$BH$26,0))*(INDEX('Adjustment Surface'!$AN$27:$AN$46,MATCH(('Adjustment Surface'!$O41),'Adjustment Surface'!$AN$27:$AN$46,1)+IF('Adjustment Surface'!$O42="",-1,1))-'Adjustment Surface'!$O41)*(INDEX('Adjustment Surface'!$AO$26:$BH$26,1,MATCH(('Adjustment Surface'!R$26),'Adjustment Surface'!$AO$26:$BH$26,1)+IF('Adjustment Surface'!S$26="",-1,1))-'Adjustment Surface'!R$26)+INDEX($AO$27:$BH$46,MATCH(INDEX('Adjustment Surface'!$AN$27:$AN$46,MATCH(('Adjustment Surface'!$O41),'Adjustment Surface'!$AN$27:$AN$46,1)+IF('Adjustment Surface'!$O42="",-1,1)),$AN$27:$AN$46,0),MATCH(INDEX('Adjustment Surface'!$AO$26:$BH$26,1,MATCH(('Adjustment Surface'!R$26),'Adjustment Surface'!$AO$26:$BH$26,1)),$AO$26:$BH$26,0))*('Adjustment Surface'!$O41-INDEX('Adjustment Surface'!$AN$27:$AN$46,MATCH(('Adjustment Surface'!$O41),'Adjustment Surface'!$AN$27:$AN$46,1)))*(INDEX('Adjustment Surface'!$AO$26:$BH$26,1,MATCH(('Adjustment Surface'!R$26),'Adjustment Surface'!$AO$26:$BH$26,1)+IF('Adjustment Surface'!S$26="",-1,1))-'Adjustment Surface'!R$26)+INDEX($AO$27:$BH$46,MATCH(INDEX('Adjustment Surface'!$AN$27:$AN$46,MATCH(('Adjustment Surface'!$O41),'Adjustment Surface'!$AN$27:$AN$46,1)),$AN$27:$AN$46,0),MATCH(INDEX('Adjustment Surface'!$AO$26:$BH$26,1,MATCH(('Adjustment Surface'!R$26),'Adjustment Surface'!$AO$26:$BH$26,1)+IF('Adjustment Surface'!S$26="",-1,1)),$AO$26:$BH$26,0))*(INDEX('Adjustment Surface'!$AN$27:$AN$46,MATCH(('Adjustment Surface'!$O41),'Adjustment Surface'!$AN$27:$AN$46,1)+IF('Adjustment Surface'!$O42="",-1,1))-'Adjustment Surface'!$O41)*('Adjustment Surface'!R$26-INDEX('Adjustment Surface'!$AO$26:$BH$26,1,MATCH(('Adjustment Surface'!R$26),'Adjustment Surface'!$AO$26:$BH$26,1)))+INDEX($AO$27:$BH$46,MATCH(INDEX('Adjustment Surface'!$AN$27:$AN$46,MATCH(('Adjustment Surface'!$O41),'Adjustment Surface'!$AN$27:$AN$46,1)+IF('Adjustment Surface'!$O42="",-1,1)),$AN$27:$AN$46,0),MATCH(INDEX('Adjustment Surface'!$AO$26:$BH$26,1,MATCH(('Adjustment Surface'!R$26),'Adjustment Surface'!$AO$26:$BH$26,1)+IF('Adjustment Surface'!S$26="",-1,1)),$AO$26:$BH$26,0))*('Adjustment Surface'!$O41-INDEX('Adjustment Surface'!$AN$27:$AN$46,MATCH(('Adjustment Surface'!$O41),'Adjustment Surface'!$AN$27:$AN$46,1)))*('Adjustment Surface'!R$26-INDEX('Adjustment Surface'!$AO$26:$BH$26,1,MATCH(('Adjustment Surface'!R$26),'Adjustment Surface'!$AO$26:$BH$26,1)))))</f>
        <v/>
      </c>
      <c r="S41" s="193" t="str" cm="1">
        <f t="array" ref="S41">IF(OR(S$26="",$O41=""),"",1/((INDEX('Adjustment Surface'!$AN$27:$AN$46,MATCH(('Adjustment Surface'!$O41),'Adjustment Surface'!$AN$27:$AN$46,1)+IF('Adjustment Surface'!$O42="",-1,1))-INDEX('Adjustment Surface'!$AN$27:$AN$46,MATCH(('Adjustment Surface'!$O41),'Adjustment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Surface'!$O41),'Adjustment Surface'!$AN$27:$AN$46,1)),$AN$27:$AN$46,0),MATCH(INDEX('Adjustment Surface'!$AO$26:$BH$26,1,MATCH(('Adjustment Surface'!S$26),'Adjustment Surface'!$AO$26:$BH$26,1)),$AO$26:$BH$26,0))*(INDEX('Adjustment Surface'!$AN$27:$AN$46,MATCH(('Adjustment Surface'!$O41),'Adjustment Surface'!$AN$27:$AN$46,1)+IF('Adjustment Surface'!$O42="",-1,1))-'Adjustment Surface'!$O41)*(INDEX('Adjustment Surface'!$AO$26:$BH$26,1,MATCH(('Adjustment Surface'!S$26),'Adjustment Surface'!$AO$26:$BH$26,1)+IF('Adjustment Surface'!T$26="",-1,1))-'Adjustment Surface'!S$26)+INDEX($AO$27:$BH$46,MATCH(INDEX('Adjustment Surface'!$AN$27:$AN$46,MATCH(('Adjustment Surface'!$O41),'Adjustment Surface'!$AN$27:$AN$46,1)+IF('Adjustment Surface'!$O42="",-1,1)),$AN$27:$AN$46,0),MATCH(INDEX('Adjustment Surface'!$AO$26:$BH$26,1,MATCH(('Adjustment Surface'!S$26),'Adjustment Surface'!$AO$26:$BH$26,1)),$AO$26:$BH$26,0))*('Adjustment Surface'!$O41-INDEX('Adjustment Surface'!$AN$27:$AN$46,MATCH(('Adjustment Surface'!$O41),'Adjustment Surface'!$AN$27:$AN$46,1)))*(INDEX('Adjustment Surface'!$AO$26:$BH$26,1,MATCH(('Adjustment Surface'!S$26),'Adjustment Surface'!$AO$26:$BH$26,1)+IF('Adjustment Surface'!T$26="",-1,1))-'Adjustment Surface'!S$26)+INDEX($AO$27:$BH$46,MATCH(INDEX('Adjustment Surface'!$AN$27:$AN$46,MATCH(('Adjustment Surface'!$O41),'Adjustment Surface'!$AN$27:$AN$46,1)),$AN$27:$AN$46,0),MATCH(INDEX('Adjustment Surface'!$AO$26:$BH$26,1,MATCH(('Adjustment Surface'!S$26),'Adjustment Surface'!$AO$26:$BH$26,1)+IF('Adjustment Surface'!T$26="",-1,1)),$AO$26:$BH$26,0))*(INDEX('Adjustment Surface'!$AN$27:$AN$46,MATCH(('Adjustment Surface'!$O41),'Adjustment Surface'!$AN$27:$AN$46,1)+IF('Adjustment Surface'!$O42="",-1,1))-'Adjustment Surface'!$O41)*('Adjustment Surface'!S$26-INDEX('Adjustment Surface'!$AO$26:$BH$26,1,MATCH(('Adjustment Surface'!S$26),'Adjustment Surface'!$AO$26:$BH$26,1)))+INDEX($AO$27:$BH$46,MATCH(INDEX('Adjustment Surface'!$AN$27:$AN$46,MATCH(('Adjustment Surface'!$O41),'Adjustment Surface'!$AN$27:$AN$46,1)+IF('Adjustment Surface'!$O42="",-1,1)),$AN$27:$AN$46,0),MATCH(INDEX('Adjustment Surface'!$AO$26:$BH$26,1,MATCH(('Adjustment Surface'!S$26),'Adjustment Surface'!$AO$26:$BH$26,1)+IF('Adjustment Surface'!T$26="",-1,1)),$AO$26:$BH$26,0))*('Adjustment Surface'!$O41-INDEX('Adjustment Surface'!$AN$27:$AN$46,MATCH(('Adjustment Surface'!$O41),'Adjustment Surface'!$AN$27:$AN$46,1)))*('Adjustment Surface'!S$26-INDEX('Adjustment Surface'!$AO$26:$BH$26,1,MATCH(('Adjustment Surface'!S$26),'Adjustment Surface'!$AO$26:$BH$26,1)))))</f>
        <v/>
      </c>
      <c r="T41" s="193" t="str" cm="1">
        <f t="array" ref="T41">IF(OR(T$26="",$O41=""),"",1/((INDEX('Adjustment Surface'!$AN$27:$AN$46,MATCH(('Adjustment Surface'!$O41),'Adjustment Surface'!$AN$27:$AN$46,1)+IF('Adjustment Surface'!$O42="",-1,1))-INDEX('Adjustment Surface'!$AN$27:$AN$46,MATCH(('Adjustment Surface'!$O41),'Adjustment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Surface'!$O41),'Adjustment Surface'!$AN$27:$AN$46,1)),$AN$27:$AN$46,0),MATCH(INDEX('Adjustment Surface'!$AO$26:$BH$26,1,MATCH(('Adjustment Surface'!T$26),'Adjustment Surface'!$AO$26:$BH$26,1)),$AO$26:$BH$26,0))*(INDEX('Adjustment Surface'!$AN$27:$AN$46,MATCH(('Adjustment Surface'!$O41),'Adjustment Surface'!$AN$27:$AN$46,1)+IF('Adjustment Surface'!$O42="",-1,1))-'Adjustment Surface'!$O41)*(INDEX('Adjustment Surface'!$AO$26:$BH$26,1,MATCH(('Adjustment Surface'!T$26),'Adjustment Surface'!$AO$26:$BH$26,1)+IF('Adjustment Surface'!U$26="",-1,1))-'Adjustment Surface'!T$26)+INDEX($AO$27:$BH$46,MATCH(INDEX('Adjustment Surface'!$AN$27:$AN$46,MATCH(('Adjustment Surface'!$O41),'Adjustment Surface'!$AN$27:$AN$46,1)+IF('Adjustment Surface'!$O42="",-1,1)),$AN$27:$AN$46,0),MATCH(INDEX('Adjustment Surface'!$AO$26:$BH$26,1,MATCH(('Adjustment Surface'!T$26),'Adjustment Surface'!$AO$26:$BH$26,1)),$AO$26:$BH$26,0))*('Adjustment Surface'!$O41-INDEX('Adjustment Surface'!$AN$27:$AN$46,MATCH(('Adjustment Surface'!$O41),'Adjustment Surface'!$AN$27:$AN$46,1)))*(INDEX('Adjustment Surface'!$AO$26:$BH$26,1,MATCH(('Adjustment Surface'!T$26),'Adjustment Surface'!$AO$26:$BH$26,1)+IF('Adjustment Surface'!U$26="",-1,1))-'Adjustment Surface'!T$26)+INDEX($AO$27:$BH$46,MATCH(INDEX('Adjustment Surface'!$AN$27:$AN$46,MATCH(('Adjustment Surface'!$O41),'Adjustment Surface'!$AN$27:$AN$46,1)),$AN$27:$AN$46,0),MATCH(INDEX('Adjustment Surface'!$AO$26:$BH$26,1,MATCH(('Adjustment Surface'!T$26),'Adjustment Surface'!$AO$26:$BH$26,1)+IF('Adjustment Surface'!U$26="",-1,1)),$AO$26:$BH$26,0))*(INDEX('Adjustment Surface'!$AN$27:$AN$46,MATCH(('Adjustment Surface'!$O41),'Adjustment Surface'!$AN$27:$AN$46,1)+IF('Adjustment Surface'!$O42="",-1,1))-'Adjustment Surface'!$O41)*('Adjustment Surface'!T$26-INDEX('Adjustment Surface'!$AO$26:$BH$26,1,MATCH(('Adjustment Surface'!T$26),'Adjustment Surface'!$AO$26:$BH$26,1)))+INDEX($AO$27:$BH$46,MATCH(INDEX('Adjustment Surface'!$AN$27:$AN$46,MATCH(('Adjustment Surface'!$O41),'Adjustment Surface'!$AN$27:$AN$46,1)+IF('Adjustment Surface'!$O42="",-1,1)),$AN$27:$AN$46,0),MATCH(INDEX('Adjustment Surface'!$AO$26:$BH$26,1,MATCH(('Adjustment Surface'!T$26),'Adjustment Surface'!$AO$26:$BH$26,1)+IF('Adjustment Surface'!U$26="",-1,1)),$AO$26:$BH$26,0))*('Adjustment Surface'!$O41-INDEX('Adjustment Surface'!$AN$27:$AN$46,MATCH(('Adjustment Surface'!$O41),'Adjustment Surface'!$AN$27:$AN$46,1)))*('Adjustment Surface'!T$26-INDEX('Adjustment Surface'!$AO$26:$BH$26,1,MATCH(('Adjustment Surface'!T$26),'Adjustment Surface'!$AO$26:$BH$26,1)))))</f>
        <v/>
      </c>
      <c r="U41" s="193" t="str" cm="1">
        <f t="array" ref="U41">IF(OR(U$26="",$O41=""),"",1/((INDEX('Adjustment Surface'!$AN$27:$AN$46,MATCH(('Adjustment Surface'!$O41),'Adjustment Surface'!$AN$27:$AN$46,1)+IF('Adjustment Surface'!$O42="",-1,1))-INDEX('Adjustment Surface'!$AN$27:$AN$46,MATCH(('Adjustment Surface'!$O41),'Adjustment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Surface'!$O41),'Adjustment Surface'!$AN$27:$AN$46,1)),$AN$27:$AN$46,0),MATCH(INDEX('Adjustment Surface'!$AO$26:$BH$26,1,MATCH(('Adjustment Surface'!U$26),'Adjustment Surface'!$AO$26:$BH$26,1)),$AO$26:$BH$26,0))*(INDEX('Adjustment Surface'!$AN$27:$AN$46,MATCH(('Adjustment Surface'!$O41),'Adjustment Surface'!$AN$27:$AN$46,1)+IF('Adjustment Surface'!$O42="",-1,1))-'Adjustment Surface'!$O41)*(INDEX('Adjustment Surface'!$AO$26:$BH$26,1,MATCH(('Adjustment Surface'!U$26),'Adjustment Surface'!$AO$26:$BH$26,1)+IF('Adjustment Surface'!V$26="",-1,1))-'Adjustment Surface'!U$26)+INDEX($AO$27:$BH$46,MATCH(INDEX('Adjustment Surface'!$AN$27:$AN$46,MATCH(('Adjustment Surface'!$O41),'Adjustment Surface'!$AN$27:$AN$46,1)+IF('Adjustment Surface'!$O42="",-1,1)),$AN$27:$AN$46,0),MATCH(INDEX('Adjustment Surface'!$AO$26:$BH$26,1,MATCH(('Adjustment Surface'!U$26),'Adjustment Surface'!$AO$26:$BH$26,1)),$AO$26:$BH$26,0))*('Adjustment Surface'!$O41-INDEX('Adjustment Surface'!$AN$27:$AN$46,MATCH(('Adjustment Surface'!$O41),'Adjustment Surface'!$AN$27:$AN$46,1)))*(INDEX('Adjustment Surface'!$AO$26:$BH$26,1,MATCH(('Adjustment Surface'!U$26),'Adjustment Surface'!$AO$26:$BH$26,1)+IF('Adjustment Surface'!V$26="",-1,1))-'Adjustment Surface'!U$26)+INDEX($AO$27:$BH$46,MATCH(INDEX('Adjustment Surface'!$AN$27:$AN$46,MATCH(('Adjustment Surface'!$O41),'Adjustment Surface'!$AN$27:$AN$46,1)),$AN$27:$AN$46,0),MATCH(INDEX('Adjustment Surface'!$AO$26:$BH$26,1,MATCH(('Adjustment Surface'!U$26),'Adjustment Surface'!$AO$26:$BH$26,1)+IF('Adjustment Surface'!V$26="",-1,1)),$AO$26:$BH$26,0))*(INDEX('Adjustment Surface'!$AN$27:$AN$46,MATCH(('Adjustment Surface'!$O41),'Adjustment Surface'!$AN$27:$AN$46,1)+IF('Adjustment Surface'!$O42="",-1,1))-'Adjustment Surface'!$O41)*('Adjustment Surface'!U$26-INDEX('Adjustment Surface'!$AO$26:$BH$26,1,MATCH(('Adjustment Surface'!U$26),'Adjustment Surface'!$AO$26:$BH$26,1)))+INDEX($AO$27:$BH$46,MATCH(INDEX('Adjustment Surface'!$AN$27:$AN$46,MATCH(('Adjustment Surface'!$O41),'Adjustment Surface'!$AN$27:$AN$46,1)+IF('Adjustment Surface'!$O42="",-1,1)),$AN$27:$AN$46,0),MATCH(INDEX('Adjustment Surface'!$AO$26:$BH$26,1,MATCH(('Adjustment Surface'!U$26),'Adjustment Surface'!$AO$26:$BH$26,1)+IF('Adjustment Surface'!V$26="",-1,1)),$AO$26:$BH$26,0))*('Adjustment Surface'!$O41-INDEX('Adjustment Surface'!$AN$27:$AN$46,MATCH(('Adjustment Surface'!$O41),'Adjustment Surface'!$AN$27:$AN$46,1)))*('Adjustment Surface'!U$26-INDEX('Adjustment Surface'!$AO$26:$BH$26,1,MATCH(('Adjustment Surface'!U$26),'Adjustment Surface'!$AO$26:$BH$26,1)))))</f>
        <v/>
      </c>
      <c r="V41" s="193" t="str" cm="1">
        <f t="array" ref="V41">IF(OR(V$26="",$O41=""),"",1/((INDEX('Adjustment Surface'!$AN$27:$AN$46,MATCH(('Adjustment Surface'!$O41),'Adjustment Surface'!$AN$27:$AN$46,1)+IF('Adjustment Surface'!$O42="",-1,1))-INDEX('Adjustment Surface'!$AN$27:$AN$46,MATCH(('Adjustment Surface'!$O41),'Adjustment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Surface'!$O41),'Adjustment Surface'!$AN$27:$AN$46,1)),$AN$27:$AN$46,0),MATCH(INDEX('Adjustment Surface'!$AO$26:$BH$26,1,MATCH(('Adjustment Surface'!V$26),'Adjustment Surface'!$AO$26:$BH$26,1)),$AO$26:$BH$26,0))*(INDEX('Adjustment Surface'!$AN$27:$AN$46,MATCH(('Adjustment Surface'!$O41),'Adjustment Surface'!$AN$27:$AN$46,1)+IF('Adjustment Surface'!$O42="",-1,1))-'Adjustment Surface'!$O41)*(INDEX('Adjustment Surface'!$AO$26:$BH$26,1,MATCH(('Adjustment Surface'!V$26),'Adjustment Surface'!$AO$26:$BH$26,1)+IF('Adjustment Surface'!W$26="",-1,1))-'Adjustment Surface'!V$26)+INDEX($AO$27:$BH$46,MATCH(INDEX('Adjustment Surface'!$AN$27:$AN$46,MATCH(('Adjustment Surface'!$O41),'Adjustment Surface'!$AN$27:$AN$46,1)+IF('Adjustment Surface'!$O42="",-1,1)),$AN$27:$AN$46,0),MATCH(INDEX('Adjustment Surface'!$AO$26:$BH$26,1,MATCH(('Adjustment Surface'!V$26),'Adjustment Surface'!$AO$26:$BH$26,1)),$AO$26:$BH$26,0))*('Adjustment Surface'!$O41-INDEX('Adjustment Surface'!$AN$27:$AN$46,MATCH(('Adjustment Surface'!$O41),'Adjustment Surface'!$AN$27:$AN$46,1)))*(INDEX('Adjustment Surface'!$AO$26:$BH$26,1,MATCH(('Adjustment Surface'!V$26),'Adjustment Surface'!$AO$26:$BH$26,1)+IF('Adjustment Surface'!W$26="",-1,1))-'Adjustment Surface'!V$26)+INDEX($AO$27:$BH$46,MATCH(INDEX('Adjustment Surface'!$AN$27:$AN$46,MATCH(('Adjustment Surface'!$O41),'Adjustment Surface'!$AN$27:$AN$46,1)),$AN$27:$AN$46,0),MATCH(INDEX('Adjustment Surface'!$AO$26:$BH$26,1,MATCH(('Adjustment Surface'!V$26),'Adjustment Surface'!$AO$26:$BH$26,1)+IF('Adjustment Surface'!W$26="",-1,1)),$AO$26:$BH$26,0))*(INDEX('Adjustment Surface'!$AN$27:$AN$46,MATCH(('Adjustment Surface'!$O41),'Adjustment Surface'!$AN$27:$AN$46,1)+IF('Adjustment Surface'!$O42="",-1,1))-'Adjustment Surface'!$O41)*('Adjustment Surface'!V$26-INDEX('Adjustment Surface'!$AO$26:$BH$26,1,MATCH(('Adjustment Surface'!V$26),'Adjustment Surface'!$AO$26:$BH$26,1)))+INDEX($AO$27:$BH$46,MATCH(INDEX('Adjustment Surface'!$AN$27:$AN$46,MATCH(('Adjustment Surface'!$O41),'Adjustment Surface'!$AN$27:$AN$46,1)+IF('Adjustment Surface'!$O42="",-1,1)),$AN$27:$AN$46,0),MATCH(INDEX('Adjustment Surface'!$AO$26:$BH$26,1,MATCH(('Adjustment Surface'!V$26),'Adjustment Surface'!$AO$26:$BH$26,1)+IF('Adjustment Surface'!W$26="",-1,1)),$AO$26:$BH$26,0))*('Adjustment Surface'!$O41-INDEX('Adjustment Surface'!$AN$27:$AN$46,MATCH(('Adjustment Surface'!$O41),'Adjustment Surface'!$AN$27:$AN$46,1)))*('Adjustment Surface'!V$26-INDEX('Adjustment Surface'!$AO$26:$BH$26,1,MATCH(('Adjustment Surface'!V$26),'Adjustment Surface'!$AO$26:$BH$26,1)))))</f>
        <v/>
      </c>
      <c r="W41" s="193" t="str" cm="1">
        <f t="array" ref="W41">IF(OR(W$26="",$O41=""),"",1/((INDEX('Adjustment Surface'!$AN$27:$AN$46,MATCH(('Adjustment Surface'!$O41),'Adjustment Surface'!$AN$27:$AN$46,1)+IF('Adjustment Surface'!$O42="",-1,1))-INDEX('Adjustment Surface'!$AN$27:$AN$46,MATCH(('Adjustment Surface'!$O41),'Adjustment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Surface'!$O41),'Adjustment Surface'!$AN$27:$AN$46,1)),$AN$27:$AN$46,0),MATCH(INDEX('Adjustment Surface'!$AO$26:$BH$26,1,MATCH(('Adjustment Surface'!W$26),'Adjustment Surface'!$AO$26:$BH$26,1)),$AO$26:$BH$26,0))*(INDEX('Adjustment Surface'!$AN$27:$AN$46,MATCH(('Adjustment Surface'!$O41),'Adjustment Surface'!$AN$27:$AN$46,1)+IF('Adjustment Surface'!$O42="",-1,1))-'Adjustment Surface'!$O41)*(INDEX('Adjustment Surface'!$AO$26:$BH$26,1,MATCH(('Adjustment Surface'!W$26),'Adjustment Surface'!$AO$26:$BH$26,1)+IF('Adjustment Surface'!X$26="",-1,1))-'Adjustment Surface'!W$26)+INDEX($AO$27:$BH$46,MATCH(INDEX('Adjustment Surface'!$AN$27:$AN$46,MATCH(('Adjustment Surface'!$O41),'Adjustment Surface'!$AN$27:$AN$46,1)+IF('Adjustment Surface'!$O42="",-1,1)),$AN$27:$AN$46,0),MATCH(INDEX('Adjustment Surface'!$AO$26:$BH$26,1,MATCH(('Adjustment Surface'!W$26),'Adjustment Surface'!$AO$26:$BH$26,1)),$AO$26:$BH$26,0))*('Adjustment Surface'!$O41-INDEX('Adjustment Surface'!$AN$27:$AN$46,MATCH(('Adjustment Surface'!$O41),'Adjustment Surface'!$AN$27:$AN$46,1)))*(INDEX('Adjustment Surface'!$AO$26:$BH$26,1,MATCH(('Adjustment Surface'!W$26),'Adjustment Surface'!$AO$26:$BH$26,1)+IF('Adjustment Surface'!X$26="",-1,1))-'Adjustment Surface'!W$26)+INDEX($AO$27:$BH$46,MATCH(INDEX('Adjustment Surface'!$AN$27:$AN$46,MATCH(('Adjustment Surface'!$O41),'Adjustment Surface'!$AN$27:$AN$46,1)),$AN$27:$AN$46,0),MATCH(INDEX('Adjustment Surface'!$AO$26:$BH$26,1,MATCH(('Adjustment Surface'!W$26),'Adjustment Surface'!$AO$26:$BH$26,1)+IF('Adjustment Surface'!X$26="",-1,1)),$AO$26:$BH$26,0))*(INDEX('Adjustment Surface'!$AN$27:$AN$46,MATCH(('Adjustment Surface'!$O41),'Adjustment Surface'!$AN$27:$AN$46,1)+IF('Adjustment Surface'!$O42="",-1,1))-'Adjustment Surface'!$O41)*('Adjustment Surface'!W$26-INDEX('Adjustment Surface'!$AO$26:$BH$26,1,MATCH(('Adjustment Surface'!W$26),'Adjustment Surface'!$AO$26:$BH$26,1)))+INDEX($AO$27:$BH$46,MATCH(INDEX('Adjustment Surface'!$AN$27:$AN$46,MATCH(('Adjustment Surface'!$O41),'Adjustment Surface'!$AN$27:$AN$46,1)+IF('Adjustment Surface'!$O42="",-1,1)),$AN$27:$AN$46,0),MATCH(INDEX('Adjustment Surface'!$AO$26:$BH$26,1,MATCH(('Adjustment Surface'!W$26),'Adjustment Surface'!$AO$26:$BH$26,1)+IF('Adjustment Surface'!X$26="",-1,1)),$AO$26:$BH$26,0))*('Adjustment Surface'!$O41-INDEX('Adjustment Surface'!$AN$27:$AN$46,MATCH(('Adjustment Surface'!$O41),'Adjustment Surface'!$AN$27:$AN$46,1)))*('Adjustment Surface'!W$26-INDEX('Adjustment Surface'!$AO$26:$BH$26,1,MATCH(('Adjustment Surface'!W$26),'Adjustment Surface'!$AO$26:$BH$26,1)))))</f>
        <v/>
      </c>
      <c r="X41" s="193" t="str" cm="1">
        <f t="array" ref="X41">IF(OR(X$26="",$O41=""),"",1/((INDEX('Adjustment Surface'!$AN$27:$AN$46,MATCH(('Adjustment Surface'!$O41),'Adjustment Surface'!$AN$27:$AN$46,1)+IF('Adjustment Surface'!$O42="",-1,1))-INDEX('Adjustment Surface'!$AN$27:$AN$46,MATCH(('Adjustment Surface'!$O41),'Adjustment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Surface'!$O41),'Adjustment Surface'!$AN$27:$AN$46,1)),$AN$27:$AN$46,0),MATCH(INDEX('Adjustment Surface'!$AO$26:$BH$26,1,MATCH(('Adjustment Surface'!X$26),'Adjustment Surface'!$AO$26:$BH$26,1)),$AO$26:$BH$26,0))*(INDEX('Adjustment Surface'!$AN$27:$AN$46,MATCH(('Adjustment Surface'!$O41),'Adjustment Surface'!$AN$27:$AN$46,1)+IF('Adjustment Surface'!$O42="",-1,1))-'Adjustment Surface'!$O41)*(INDEX('Adjustment Surface'!$AO$26:$BH$26,1,MATCH(('Adjustment Surface'!X$26),'Adjustment Surface'!$AO$26:$BH$26,1)+IF('Adjustment Surface'!Y$26="",-1,1))-'Adjustment Surface'!X$26)+INDEX($AO$27:$BH$46,MATCH(INDEX('Adjustment Surface'!$AN$27:$AN$46,MATCH(('Adjustment Surface'!$O41),'Adjustment Surface'!$AN$27:$AN$46,1)+IF('Adjustment Surface'!$O42="",-1,1)),$AN$27:$AN$46,0),MATCH(INDEX('Adjustment Surface'!$AO$26:$BH$26,1,MATCH(('Adjustment Surface'!X$26),'Adjustment Surface'!$AO$26:$BH$26,1)),$AO$26:$BH$26,0))*('Adjustment Surface'!$O41-INDEX('Adjustment Surface'!$AN$27:$AN$46,MATCH(('Adjustment Surface'!$O41),'Adjustment Surface'!$AN$27:$AN$46,1)))*(INDEX('Adjustment Surface'!$AO$26:$BH$26,1,MATCH(('Adjustment Surface'!X$26),'Adjustment Surface'!$AO$26:$BH$26,1)+IF('Adjustment Surface'!Y$26="",-1,1))-'Adjustment Surface'!X$26)+INDEX($AO$27:$BH$46,MATCH(INDEX('Adjustment Surface'!$AN$27:$AN$46,MATCH(('Adjustment Surface'!$O41),'Adjustment Surface'!$AN$27:$AN$46,1)),$AN$27:$AN$46,0),MATCH(INDEX('Adjustment Surface'!$AO$26:$BH$26,1,MATCH(('Adjustment Surface'!X$26),'Adjustment Surface'!$AO$26:$BH$26,1)+IF('Adjustment Surface'!Y$26="",-1,1)),$AO$26:$BH$26,0))*(INDEX('Adjustment Surface'!$AN$27:$AN$46,MATCH(('Adjustment Surface'!$O41),'Adjustment Surface'!$AN$27:$AN$46,1)+IF('Adjustment Surface'!$O42="",-1,1))-'Adjustment Surface'!$O41)*('Adjustment Surface'!X$26-INDEX('Adjustment Surface'!$AO$26:$BH$26,1,MATCH(('Adjustment Surface'!X$26),'Adjustment Surface'!$AO$26:$BH$26,1)))+INDEX($AO$27:$BH$46,MATCH(INDEX('Adjustment Surface'!$AN$27:$AN$46,MATCH(('Adjustment Surface'!$O41),'Adjustment Surface'!$AN$27:$AN$46,1)+IF('Adjustment Surface'!$O42="",-1,1)),$AN$27:$AN$46,0),MATCH(INDEX('Adjustment Surface'!$AO$26:$BH$26,1,MATCH(('Adjustment Surface'!X$26),'Adjustment Surface'!$AO$26:$BH$26,1)+IF('Adjustment Surface'!Y$26="",-1,1)),$AO$26:$BH$26,0))*('Adjustment Surface'!$O41-INDEX('Adjustment Surface'!$AN$27:$AN$46,MATCH(('Adjustment Surface'!$O41),'Adjustment Surface'!$AN$27:$AN$46,1)))*('Adjustment Surface'!X$26-INDEX('Adjustment Surface'!$AO$26:$BH$26,1,MATCH(('Adjustment Surface'!X$26),'Adjustment Surface'!$AO$26:$BH$26,1)))))</f>
        <v/>
      </c>
      <c r="Y41" s="193" t="str" cm="1">
        <f t="array" ref="Y41">IF(OR(Y$26="",$O41=""),"",1/((INDEX('Adjustment Surface'!$AN$27:$AN$46,MATCH(('Adjustment Surface'!$O41),'Adjustment Surface'!$AN$27:$AN$46,1)+IF('Adjustment Surface'!$O42="",-1,1))-INDEX('Adjustment Surface'!$AN$27:$AN$46,MATCH(('Adjustment Surface'!$O41),'Adjustment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Surface'!$O41),'Adjustment Surface'!$AN$27:$AN$46,1)),$AN$27:$AN$46,0),MATCH(INDEX('Adjustment Surface'!$AO$26:$BH$26,1,MATCH(('Adjustment Surface'!Y$26),'Adjustment Surface'!$AO$26:$BH$26,1)),$AO$26:$BH$26,0))*(INDEX('Adjustment Surface'!$AN$27:$AN$46,MATCH(('Adjustment Surface'!$O41),'Adjustment Surface'!$AN$27:$AN$46,1)+IF('Adjustment Surface'!$O42="",-1,1))-'Adjustment Surface'!$O41)*(INDEX('Adjustment Surface'!$AO$26:$BH$26,1,MATCH(('Adjustment Surface'!Y$26),'Adjustment Surface'!$AO$26:$BH$26,1)+IF('Adjustment Surface'!Z$26="",-1,1))-'Adjustment Surface'!Y$26)+INDEX($AO$27:$BH$46,MATCH(INDEX('Adjustment Surface'!$AN$27:$AN$46,MATCH(('Adjustment Surface'!$O41),'Adjustment Surface'!$AN$27:$AN$46,1)+IF('Adjustment Surface'!$O42="",-1,1)),$AN$27:$AN$46,0),MATCH(INDEX('Adjustment Surface'!$AO$26:$BH$26,1,MATCH(('Adjustment Surface'!Y$26),'Adjustment Surface'!$AO$26:$BH$26,1)),$AO$26:$BH$26,0))*('Adjustment Surface'!$O41-INDEX('Adjustment Surface'!$AN$27:$AN$46,MATCH(('Adjustment Surface'!$O41),'Adjustment Surface'!$AN$27:$AN$46,1)))*(INDEX('Adjustment Surface'!$AO$26:$BH$26,1,MATCH(('Adjustment Surface'!Y$26),'Adjustment Surface'!$AO$26:$BH$26,1)+IF('Adjustment Surface'!Z$26="",-1,1))-'Adjustment Surface'!Y$26)+INDEX($AO$27:$BH$46,MATCH(INDEX('Adjustment Surface'!$AN$27:$AN$46,MATCH(('Adjustment Surface'!$O41),'Adjustment Surface'!$AN$27:$AN$46,1)),$AN$27:$AN$46,0),MATCH(INDEX('Adjustment Surface'!$AO$26:$BH$26,1,MATCH(('Adjustment Surface'!Y$26),'Adjustment Surface'!$AO$26:$BH$26,1)+IF('Adjustment Surface'!Z$26="",-1,1)),$AO$26:$BH$26,0))*(INDEX('Adjustment Surface'!$AN$27:$AN$46,MATCH(('Adjustment Surface'!$O41),'Adjustment Surface'!$AN$27:$AN$46,1)+IF('Adjustment Surface'!$O42="",-1,1))-'Adjustment Surface'!$O41)*('Adjustment Surface'!Y$26-INDEX('Adjustment Surface'!$AO$26:$BH$26,1,MATCH(('Adjustment Surface'!Y$26),'Adjustment Surface'!$AO$26:$BH$26,1)))+INDEX($AO$27:$BH$46,MATCH(INDEX('Adjustment Surface'!$AN$27:$AN$46,MATCH(('Adjustment Surface'!$O41),'Adjustment Surface'!$AN$27:$AN$46,1)+IF('Adjustment Surface'!$O42="",-1,1)),$AN$27:$AN$46,0),MATCH(INDEX('Adjustment Surface'!$AO$26:$BH$26,1,MATCH(('Adjustment Surface'!Y$26),'Adjustment Surface'!$AO$26:$BH$26,1)+IF('Adjustment Surface'!Z$26="",-1,1)),$AO$26:$BH$26,0))*('Adjustment Surface'!$O41-INDEX('Adjustment Surface'!$AN$27:$AN$46,MATCH(('Adjustment Surface'!$O41),'Adjustment Surface'!$AN$27:$AN$46,1)))*('Adjustment Surface'!Y$26-INDEX('Adjustment Surface'!$AO$26:$BH$26,1,MATCH(('Adjustment Surface'!Y$26),'Adjustment Surface'!$AO$26:$BH$26,1)))))</f>
        <v/>
      </c>
      <c r="Z41" s="193" t="str" cm="1">
        <f t="array" ref="Z41">IF(OR(Z$26="",$O41=""),"",1/((INDEX('Adjustment Surface'!$AN$27:$AN$46,MATCH(('Adjustment Surface'!$O41),'Adjustment Surface'!$AN$27:$AN$46,1)+IF('Adjustment Surface'!$O42="",-1,1))-INDEX('Adjustment Surface'!$AN$27:$AN$46,MATCH(('Adjustment Surface'!$O41),'Adjustment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Surface'!$O41),'Adjustment Surface'!$AN$27:$AN$46,1)),$AN$27:$AN$46,0),MATCH(INDEX('Adjustment Surface'!$AO$26:$BH$26,1,MATCH(('Adjustment Surface'!Z$26),'Adjustment Surface'!$AO$26:$BH$26,1)),$AO$26:$BH$26,0))*(INDEX('Adjustment Surface'!$AN$27:$AN$46,MATCH(('Adjustment Surface'!$O41),'Adjustment Surface'!$AN$27:$AN$46,1)+IF('Adjustment Surface'!$O42="",-1,1))-'Adjustment Surface'!$O41)*(INDEX('Adjustment Surface'!$AO$26:$BH$26,1,MATCH(('Adjustment Surface'!Z$26),'Adjustment Surface'!$AO$26:$BH$26,1)+IF('Adjustment Surface'!AA$26="",-1,1))-'Adjustment Surface'!Z$26)+INDEX($AO$27:$BH$46,MATCH(INDEX('Adjustment Surface'!$AN$27:$AN$46,MATCH(('Adjustment Surface'!$O41),'Adjustment Surface'!$AN$27:$AN$46,1)+IF('Adjustment Surface'!$O42="",-1,1)),$AN$27:$AN$46,0),MATCH(INDEX('Adjustment Surface'!$AO$26:$BH$26,1,MATCH(('Adjustment Surface'!Z$26),'Adjustment Surface'!$AO$26:$BH$26,1)),$AO$26:$BH$26,0))*('Adjustment Surface'!$O41-INDEX('Adjustment Surface'!$AN$27:$AN$46,MATCH(('Adjustment Surface'!$O41),'Adjustment Surface'!$AN$27:$AN$46,1)))*(INDEX('Adjustment Surface'!$AO$26:$BH$26,1,MATCH(('Adjustment Surface'!Z$26),'Adjustment Surface'!$AO$26:$BH$26,1)+IF('Adjustment Surface'!AA$26="",-1,1))-'Adjustment Surface'!Z$26)+INDEX($AO$27:$BH$46,MATCH(INDEX('Adjustment Surface'!$AN$27:$AN$46,MATCH(('Adjustment Surface'!$O41),'Adjustment Surface'!$AN$27:$AN$46,1)),$AN$27:$AN$46,0),MATCH(INDEX('Adjustment Surface'!$AO$26:$BH$26,1,MATCH(('Adjustment Surface'!Z$26),'Adjustment Surface'!$AO$26:$BH$26,1)+IF('Adjustment Surface'!AA$26="",-1,1)),$AO$26:$BH$26,0))*(INDEX('Adjustment Surface'!$AN$27:$AN$46,MATCH(('Adjustment Surface'!$O41),'Adjustment Surface'!$AN$27:$AN$46,1)+IF('Adjustment Surface'!$O42="",-1,1))-'Adjustment Surface'!$O41)*('Adjustment Surface'!Z$26-INDEX('Adjustment Surface'!$AO$26:$BH$26,1,MATCH(('Adjustment Surface'!Z$26),'Adjustment Surface'!$AO$26:$BH$26,1)))+INDEX($AO$27:$BH$46,MATCH(INDEX('Adjustment Surface'!$AN$27:$AN$46,MATCH(('Adjustment Surface'!$O41),'Adjustment Surface'!$AN$27:$AN$46,1)+IF('Adjustment Surface'!$O42="",-1,1)),$AN$27:$AN$46,0),MATCH(INDEX('Adjustment Surface'!$AO$26:$BH$26,1,MATCH(('Adjustment Surface'!Z$26),'Adjustment Surface'!$AO$26:$BH$26,1)+IF('Adjustment Surface'!AA$26="",-1,1)),$AO$26:$BH$26,0))*('Adjustment Surface'!$O41-INDEX('Adjustment Surface'!$AN$27:$AN$46,MATCH(('Adjustment Surface'!$O41),'Adjustment Surface'!$AN$27:$AN$46,1)))*('Adjustment Surface'!Z$26-INDEX('Adjustment Surface'!$AO$26:$BH$26,1,MATCH(('Adjustment Surface'!Z$26),'Adjustment Surface'!$AO$26:$BH$26,1)))))</f>
        <v/>
      </c>
      <c r="AA41" s="193" t="str" cm="1">
        <f t="array" ref="AA41">IF(OR(AA$26="",$O41=""),"",1/((INDEX('Adjustment Surface'!$AN$27:$AN$46,MATCH(('Adjustment Surface'!$O41),'Adjustment Surface'!$AN$27:$AN$46,1)+IF('Adjustment Surface'!$O42="",-1,1))-INDEX('Adjustment Surface'!$AN$27:$AN$46,MATCH(('Adjustment Surface'!$O41),'Adjustment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Surface'!$O41),'Adjustment Surface'!$AN$27:$AN$46,1)),$AN$27:$AN$46,0),MATCH(INDEX('Adjustment Surface'!$AO$26:$BH$26,1,MATCH(('Adjustment Surface'!AA$26),'Adjustment Surface'!$AO$26:$BH$26,1)),$AO$26:$BH$26,0))*(INDEX('Adjustment Surface'!$AN$27:$AN$46,MATCH(('Adjustment Surface'!$O41),'Adjustment Surface'!$AN$27:$AN$46,1)+IF('Adjustment Surface'!$O42="",-1,1))-'Adjustment Surface'!$O41)*(INDEX('Adjustment Surface'!$AO$26:$BH$26,1,MATCH(('Adjustment Surface'!AA$26),'Adjustment Surface'!$AO$26:$BH$26,1)+IF('Adjustment Surface'!AB$26="",-1,1))-'Adjustment Surface'!AA$26)+INDEX($AO$27:$BH$46,MATCH(INDEX('Adjustment Surface'!$AN$27:$AN$46,MATCH(('Adjustment Surface'!$O41),'Adjustment Surface'!$AN$27:$AN$46,1)+IF('Adjustment Surface'!$O42="",-1,1)),$AN$27:$AN$46,0),MATCH(INDEX('Adjustment Surface'!$AO$26:$BH$26,1,MATCH(('Adjustment Surface'!AA$26),'Adjustment Surface'!$AO$26:$BH$26,1)),$AO$26:$BH$26,0))*('Adjustment Surface'!$O41-INDEX('Adjustment Surface'!$AN$27:$AN$46,MATCH(('Adjustment Surface'!$O41),'Adjustment Surface'!$AN$27:$AN$46,1)))*(INDEX('Adjustment Surface'!$AO$26:$BH$26,1,MATCH(('Adjustment Surface'!AA$26),'Adjustment Surface'!$AO$26:$BH$26,1)+IF('Adjustment Surface'!AB$26="",-1,1))-'Adjustment Surface'!AA$26)+INDEX($AO$27:$BH$46,MATCH(INDEX('Adjustment Surface'!$AN$27:$AN$46,MATCH(('Adjustment Surface'!$O41),'Adjustment Surface'!$AN$27:$AN$46,1)),$AN$27:$AN$46,0),MATCH(INDEX('Adjustment Surface'!$AO$26:$BH$26,1,MATCH(('Adjustment Surface'!AA$26),'Adjustment Surface'!$AO$26:$BH$26,1)+IF('Adjustment Surface'!AB$26="",-1,1)),$AO$26:$BH$26,0))*(INDEX('Adjustment Surface'!$AN$27:$AN$46,MATCH(('Adjustment Surface'!$O41),'Adjustment Surface'!$AN$27:$AN$46,1)+IF('Adjustment Surface'!$O42="",-1,1))-'Adjustment Surface'!$O41)*('Adjustment Surface'!AA$26-INDEX('Adjustment Surface'!$AO$26:$BH$26,1,MATCH(('Adjustment Surface'!AA$26),'Adjustment Surface'!$AO$26:$BH$26,1)))+INDEX($AO$27:$BH$46,MATCH(INDEX('Adjustment Surface'!$AN$27:$AN$46,MATCH(('Adjustment Surface'!$O41),'Adjustment Surface'!$AN$27:$AN$46,1)+IF('Adjustment Surface'!$O42="",-1,1)),$AN$27:$AN$46,0),MATCH(INDEX('Adjustment Surface'!$AO$26:$BH$26,1,MATCH(('Adjustment Surface'!AA$26),'Adjustment Surface'!$AO$26:$BH$26,1)+IF('Adjustment Surface'!AB$26="",-1,1)),$AO$26:$BH$26,0))*('Adjustment Surface'!$O41-INDEX('Adjustment Surface'!$AN$27:$AN$46,MATCH(('Adjustment Surface'!$O41),'Adjustment Surface'!$AN$27:$AN$46,1)))*('Adjustment Surface'!AA$26-INDEX('Adjustment Surface'!$AO$26:$BH$26,1,MATCH(('Adjustment Surface'!AA$26),'Adjustment Surface'!$AO$26:$BH$26,1)))))</f>
        <v/>
      </c>
      <c r="AB41" s="193" t="str" cm="1">
        <f t="array" ref="AB41">IF(OR(AB$26="",$O41=""),"",1/((INDEX('Adjustment Surface'!$AN$27:$AN$46,MATCH(('Adjustment Surface'!$O41),'Adjustment Surface'!$AN$27:$AN$46,1)+IF('Adjustment Surface'!$O42="",-1,1))-INDEX('Adjustment Surface'!$AN$27:$AN$46,MATCH(('Adjustment Surface'!$O41),'Adjustment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Surface'!$O41),'Adjustment Surface'!$AN$27:$AN$46,1)),$AN$27:$AN$46,0),MATCH(INDEX('Adjustment Surface'!$AO$26:$BH$26,1,MATCH(('Adjustment Surface'!AB$26),'Adjustment Surface'!$AO$26:$BH$26,1)),$AO$26:$BH$26,0))*(INDEX('Adjustment Surface'!$AN$27:$AN$46,MATCH(('Adjustment Surface'!$O41),'Adjustment Surface'!$AN$27:$AN$46,1)+IF('Adjustment Surface'!$O42="",-1,1))-'Adjustment Surface'!$O41)*(INDEX('Adjustment Surface'!$AO$26:$BH$26,1,MATCH(('Adjustment Surface'!AB$26),'Adjustment Surface'!$AO$26:$BH$26,1)+IF('Adjustment Surface'!AC$26="",-1,1))-'Adjustment Surface'!AB$26)+INDEX($AO$27:$BH$46,MATCH(INDEX('Adjustment Surface'!$AN$27:$AN$46,MATCH(('Adjustment Surface'!$O41),'Adjustment Surface'!$AN$27:$AN$46,1)+IF('Adjustment Surface'!$O42="",-1,1)),$AN$27:$AN$46,0),MATCH(INDEX('Adjustment Surface'!$AO$26:$BH$26,1,MATCH(('Adjustment Surface'!AB$26),'Adjustment Surface'!$AO$26:$BH$26,1)),$AO$26:$BH$26,0))*('Adjustment Surface'!$O41-INDEX('Adjustment Surface'!$AN$27:$AN$46,MATCH(('Adjustment Surface'!$O41),'Adjustment Surface'!$AN$27:$AN$46,1)))*(INDEX('Adjustment Surface'!$AO$26:$BH$26,1,MATCH(('Adjustment Surface'!AB$26),'Adjustment Surface'!$AO$26:$BH$26,1)+IF('Adjustment Surface'!AC$26="",-1,1))-'Adjustment Surface'!AB$26)+INDEX($AO$27:$BH$46,MATCH(INDEX('Adjustment Surface'!$AN$27:$AN$46,MATCH(('Adjustment Surface'!$O41),'Adjustment Surface'!$AN$27:$AN$46,1)),$AN$27:$AN$46,0),MATCH(INDEX('Adjustment Surface'!$AO$26:$BH$26,1,MATCH(('Adjustment Surface'!AB$26),'Adjustment Surface'!$AO$26:$BH$26,1)+IF('Adjustment Surface'!AC$26="",-1,1)),$AO$26:$BH$26,0))*(INDEX('Adjustment Surface'!$AN$27:$AN$46,MATCH(('Adjustment Surface'!$O41),'Adjustment Surface'!$AN$27:$AN$46,1)+IF('Adjustment Surface'!$O42="",-1,1))-'Adjustment Surface'!$O41)*('Adjustment Surface'!AB$26-INDEX('Adjustment Surface'!$AO$26:$BH$26,1,MATCH(('Adjustment Surface'!AB$26),'Adjustment Surface'!$AO$26:$BH$26,1)))+INDEX($AO$27:$BH$46,MATCH(INDEX('Adjustment Surface'!$AN$27:$AN$46,MATCH(('Adjustment Surface'!$O41),'Adjustment Surface'!$AN$27:$AN$46,1)+IF('Adjustment Surface'!$O42="",-1,1)),$AN$27:$AN$46,0),MATCH(INDEX('Adjustment Surface'!$AO$26:$BH$26,1,MATCH(('Adjustment Surface'!AB$26),'Adjustment Surface'!$AO$26:$BH$26,1)+IF('Adjustment Surface'!AC$26="",-1,1)),$AO$26:$BH$26,0))*('Adjustment Surface'!$O41-INDEX('Adjustment Surface'!$AN$27:$AN$46,MATCH(('Adjustment Surface'!$O41),'Adjustment Surface'!$AN$27:$AN$46,1)))*('Adjustment Surface'!AB$26-INDEX('Adjustment Surface'!$AO$26:$BH$26,1,MATCH(('Adjustment Surface'!AB$26),'Adjustment Surface'!$AO$26:$BH$26,1)))))</f>
        <v/>
      </c>
      <c r="AC41" s="193" t="str" cm="1">
        <f t="array" ref="AC41">IF(OR(AC$26="",$O41=""),"",1/((INDEX('Adjustment Surface'!$AN$27:$AN$46,MATCH(('Adjustment Surface'!$O41),'Adjustment Surface'!$AN$27:$AN$46,1)+IF('Adjustment Surface'!$O42="",-1,1))-INDEX('Adjustment Surface'!$AN$27:$AN$46,MATCH(('Adjustment Surface'!$O41),'Adjustment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Surface'!$O41),'Adjustment Surface'!$AN$27:$AN$46,1)),$AN$27:$AN$46,0),MATCH(INDEX('Adjustment Surface'!$AO$26:$BH$26,1,MATCH(('Adjustment Surface'!AC$26),'Adjustment Surface'!$AO$26:$BH$26,1)),$AO$26:$BH$26,0))*(INDEX('Adjustment Surface'!$AN$27:$AN$46,MATCH(('Adjustment Surface'!$O41),'Adjustment Surface'!$AN$27:$AN$46,1)+IF('Adjustment Surface'!$O42="",-1,1))-'Adjustment Surface'!$O41)*(INDEX('Adjustment Surface'!$AO$26:$BH$26,1,MATCH(('Adjustment Surface'!AC$26),'Adjustment Surface'!$AO$26:$BH$26,1)+IF('Adjustment Surface'!AD$26="",-1,1))-'Adjustment Surface'!AC$26)+INDEX($AO$27:$BH$46,MATCH(INDEX('Adjustment Surface'!$AN$27:$AN$46,MATCH(('Adjustment Surface'!$O41),'Adjustment Surface'!$AN$27:$AN$46,1)+IF('Adjustment Surface'!$O42="",-1,1)),$AN$27:$AN$46,0),MATCH(INDEX('Adjustment Surface'!$AO$26:$BH$26,1,MATCH(('Adjustment Surface'!AC$26),'Adjustment Surface'!$AO$26:$BH$26,1)),$AO$26:$BH$26,0))*('Adjustment Surface'!$O41-INDEX('Adjustment Surface'!$AN$27:$AN$46,MATCH(('Adjustment Surface'!$O41),'Adjustment Surface'!$AN$27:$AN$46,1)))*(INDEX('Adjustment Surface'!$AO$26:$BH$26,1,MATCH(('Adjustment Surface'!AC$26),'Adjustment Surface'!$AO$26:$BH$26,1)+IF('Adjustment Surface'!AD$26="",-1,1))-'Adjustment Surface'!AC$26)+INDEX($AO$27:$BH$46,MATCH(INDEX('Adjustment Surface'!$AN$27:$AN$46,MATCH(('Adjustment Surface'!$O41),'Adjustment Surface'!$AN$27:$AN$46,1)),$AN$27:$AN$46,0),MATCH(INDEX('Adjustment Surface'!$AO$26:$BH$26,1,MATCH(('Adjustment Surface'!AC$26),'Adjustment Surface'!$AO$26:$BH$26,1)+IF('Adjustment Surface'!AD$26="",-1,1)),$AO$26:$BH$26,0))*(INDEX('Adjustment Surface'!$AN$27:$AN$46,MATCH(('Adjustment Surface'!$O41),'Adjustment Surface'!$AN$27:$AN$46,1)+IF('Adjustment Surface'!$O42="",-1,1))-'Adjustment Surface'!$O41)*('Adjustment Surface'!AC$26-INDEX('Adjustment Surface'!$AO$26:$BH$26,1,MATCH(('Adjustment Surface'!AC$26),'Adjustment Surface'!$AO$26:$BH$26,1)))+INDEX($AO$27:$BH$46,MATCH(INDEX('Adjustment Surface'!$AN$27:$AN$46,MATCH(('Adjustment Surface'!$O41),'Adjustment Surface'!$AN$27:$AN$46,1)+IF('Adjustment Surface'!$O42="",-1,1)),$AN$27:$AN$46,0),MATCH(INDEX('Adjustment Surface'!$AO$26:$BH$26,1,MATCH(('Adjustment Surface'!AC$26),'Adjustment Surface'!$AO$26:$BH$26,1)+IF('Adjustment Surface'!AD$26="",-1,1)),$AO$26:$BH$26,0))*('Adjustment Surface'!$O41-INDEX('Adjustment Surface'!$AN$27:$AN$46,MATCH(('Adjustment Surface'!$O41),'Adjustment Surface'!$AN$27:$AN$46,1)))*('Adjustment Surface'!AC$26-INDEX('Adjustment Surface'!$AO$26:$BH$26,1,MATCH(('Adjustment Surface'!AC$26),'Adjustment Surface'!$AO$26:$BH$26,1)))))</f>
        <v/>
      </c>
      <c r="AD41" s="193" t="str" cm="1">
        <f t="array" ref="AD41">IF(OR(AD$26="",$O41=""),"",1/((INDEX('Adjustment Surface'!$AN$27:$AN$46,MATCH(('Adjustment Surface'!$O41),'Adjustment Surface'!$AN$27:$AN$46,1)+IF('Adjustment Surface'!$O42="",-1,1))-INDEX('Adjustment Surface'!$AN$27:$AN$46,MATCH(('Adjustment Surface'!$O41),'Adjustment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Surface'!$O41),'Adjustment Surface'!$AN$27:$AN$46,1)),$AN$27:$AN$46,0),MATCH(INDEX('Adjustment Surface'!$AO$26:$BH$26,1,MATCH(('Adjustment Surface'!AD$26),'Adjustment Surface'!$AO$26:$BH$26,1)),$AO$26:$BH$26,0))*(INDEX('Adjustment Surface'!$AN$27:$AN$46,MATCH(('Adjustment Surface'!$O41),'Adjustment Surface'!$AN$27:$AN$46,1)+IF('Adjustment Surface'!$O42="",-1,1))-'Adjustment Surface'!$O41)*(INDEX('Adjustment Surface'!$AO$26:$BH$26,1,MATCH(('Adjustment Surface'!AD$26),'Adjustment Surface'!$AO$26:$BH$26,1)+IF('Adjustment Surface'!AE$26="",-1,1))-'Adjustment Surface'!AD$26)+INDEX($AO$27:$BH$46,MATCH(INDEX('Adjustment Surface'!$AN$27:$AN$46,MATCH(('Adjustment Surface'!$O41),'Adjustment Surface'!$AN$27:$AN$46,1)+IF('Adjustment Surface'!$O42="",-1,1)),$AN$27:$AN$46,0),MATCH(INDEX('Adjustment Surface'!$AO$26:$BH$26,1,MATCH(('Adjustment Surface'!AD$26),'Adjustment Surface'!$AO$26:$BH$26,1)),$AO$26:$BH$26,0))*('Adjustment Surface'!$O41-INDEX('Adjustment Surface'!$AN$27:$AN$46,MATCH(('Adjustment Surface'!$O41),'Adjustment Surface'!$AN$27:$AN$46,1)))*(INDEX('Adjustment Surface'!$AO$26:$BH$26,1,MATCH(('Adjustment Surface'!AD$26),'Adjustment Surface'!$AO$26:$BH$26,1)+IF('Adjustment Surface'!AE$26="",-1,1))-'Adjustment Surface'!AD$26)+INDEX($AO$27:$BH$46,MATCH(INDEX('Adjustment Surface'!$AN$27:$AN$46,MATCH(('Adjustment Surface'!$O41),'Adjustment Surface'!$AN$27:$AN$46,1)),$AN$27:$AN$46,0),MATCH(INDEX('Adjustment Surface'!$AO$26:$BH$26,1,MATCH(('Adjustment Surface'!AD$26),'Adjustment Surface'!$AO$26:$BH$26,1)+IF('Adjustment Surface'!AE$26="",-1,1)),$AO$26:$BH$26,0))*(INDEX('Adjustment Surface'!$AN$27:$AN$46,MATCH(('Adjustment Surface'!$O41),'Adjustment Surface'!$AN$27:$AN$46,1)+IF('Adjustment Surface'!$O42="",-1,1))-'Adjustment Surface'!$O41)*('Adjustment Surface'!AD$26-INDEX('Adjustment Surface'!$AO$26:$BH$26,1,MATCH(('Adjustment Surface'!AD$26),'Adjustment Surface'!$AO$26:$BH$26,1)))+INDEX($AO$27:$BH$46,MATCH(INDEX('Adjustment Surface'!$AN$27:$AN$46,MATCH(('Adjustment Surface'!$O41),'Adjustment Surface'!$AN$27:$AN$46,1)+IF('Adjustment Surface'!$O42="",-1,1)),$AN$27:$AN$46,0),MATCH(INDEX('Adjustment Surface'!$AO$26:$BH$26,1,MATCH(('Adjustment Surface'!AD$26),'Adjustment Surface'!$AO$26:$BH$26,1)+IF('Adjustment Surface'!AE$26="",-1,1)),$AO$26:$BH$26,0))*('Adjustment Surface'!$O41-INDEX('Adjustment Surface'!$AN$27:$AN$46,MATCH(('Adjustment Surface'!$O41),'Adjustment Surface'!$AN$27:$AN$46,1)))*('Adjustment Surface'!AD$26-INDEX('Adjustment Surface'!$AO$26:$BH$26,1,MATCH(('Adjustment Surface'!AD$26),'Adjustment Surface'!$AO$26:$BH$26,1)))))</f>
        <v/>
      </c>
      <c r="AE41" s="193" t="str" cm="1">
        <f t="array" ref="AE41">IF(OR(AE$26="",$O41=""),"",1/((INDEX('Adjustment Surface'!$AN$27:$AN$46,MATCH(('Adjustment Surface'!$O41),'Adjustment Surface'!$AN$27:$AN$46,1)+IF('Adjustment Surface'!$O42="",-1,1))-INDEX('Adjustment Surface'!$AN$27:$AN$46,MATCH(('Adjustment Surface'!$O41),'Adjustment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Surface'!$O41),'Adjustment Surface'!$AN$27:$AN$46,1)),$AN$27:$AN$46,0),MATCH(INDEX('Adjustment Surface'!$AO$26:$BH$26,1,MATCH(('Adjustment Surface'!AE$26),'Adjustment Surface'!$AO$26:$BH$26,1)),$AO$26:$BH$26,0))*(INDEX('Adjustment Surface'!$AN$27:$AN$46,MATCH(('Adjustment Surface'!$O41),'Adjustment Surface'!$AN$27:$AN$46,1)+IF('Adjustment Surface'!$O42="",-1,1))-'Adjustment Surface'!$O41)*(INDEX('Adjustment Surface'!$AO$26:$BH$26,1,MATCH(('Adjustment Surface'!AE$26),'Adjustment Surface'!$AO$26:$BH$26,1)+IF('Adjustment Surface'!AF$26="",-1,1))-'Adjustment Surface'!AE$26)+INDEX($AO$27:$BH$46,MATCH(INDEX('Adjustment Surface'!$AN$27:$AN$46,MATCH(('Adjustment Surface'!$O41),'Adjustment Surface'!$AN$27:$AN$46,1)+IF('Adjustment Surface'!$O42="",-1,1)),$AN$27:$AN$46,0),MATCH(INDEX('Adjustment Surface'!$AO$26:$BH$26,1,MATCH(('Adjustment Surface'!AE$26),'Adjustment Surface'!$AO$26:$BH$26,1)),$AO$26:$BH$26,0))*('Adjustment Surface'!$O41-INDEX('Adjustment Surface'!$AN$27:$AN$46,MATCH(('Adjustment Surface'!$O41),'Adjustment Surface'!$AN$27:$AN$46,1)))*(INDEX('Adjustment Surface'!$AO$26:$BH$26,1,MATCH(('Adjustment Surface'!AE$26),'Adjustment Surface'!$AO$26:$BH$26,1)+IF('Adjustment Surface'!AF$26="",-1,1))-'Adjustment Surface'!AE$26)+INDEX($AO$27:$BH$46,MATCH(INDEX('Adjustment Surface'!$AN$27:$AN$46,MATCH(('Adjustment Surface'!$O41),'Adjustment Surface'!$AN$27:$AN$46,1)),$AN$27:$AN$46,0),MATCH(INDEX('Adjustment Surface'!$AO$26:$BH$26,1,MATCH(('Adjustment Surface'!AE$26),'Adjustment Surface'!$AO$26:$BH$26,1)+IF('Adjustment Surface'!AF$26="",-1,1)),$AO$26:$BH$26,0))*(INDEX('Adjustment Surface'!$AN$27:$AN$46,MATCH(('Adjustment Surface'!$O41),'Adjustment Surface'!$AN$27:$AN$46,1)+IF('Adjustment Surface'!$O42="",-1,1))-'Adjustment Surface'!$O41)*('Adjustment Surface'!AE$26-INDEX('Adjustment Surface'!$AO$26:$BH$26,1,MATCH(('Adjustment Surface'!AE$26),'Adjustment Surface'!$AO$26:$BH$26,1)))+INDEX($AO$27:$BH$46,MATCH(INDEX('Adjustment Surface'!$AN$27:$AN$46,MATCH(('Adjustment Surface'!$O41),'Adjustment Surface'!$AN$27:$AN$46,1)+IF('Adjustment Surface'!$O42="",-1,1)),$AN$27:$AN$46,0),MATCH(INDEX('Adjustment Surface'!$AO$26:$BH$26,1,MATCH(('Adjustment Surface'!AE$26),'Adjustment Surface'!$AO$26:$BH$26,1)+IF('Adjustment Surface'!AF$26="",-1,1)),$AO$26:$BH$26,0))*('Adjustment Surface'!$O41-INDEX('Adjustment Surface'!$AN$27:$AN$46,MATCH(('Adjustment Surface'!$O41),'Adjustment Surface'!$AN$27:$AN$46,1)))*('Adjustment Surface'!AE$26-INDEX('Adjustment Surface'!$AO$26:$BH$26,1,MATCH(('Adjustment Surface'!AE$26),'Adjustment Surface'!$AO$26:$BH$26,1)))))</f>
        <v/>
      </c>
      <c r="AF41" s="193" t="str" cm="1">
        <f t="array" ref="AF41">IF(OR(AF$26="",$O41=""),"",1/((INDEX('Adjustment Surface'!$AN$27:$AN$46,MATCH(('Adjustment Surface'!$O41),'Adjustment Surface'!$AN$27:$AN$46,1)+IF('Adjustment Surface'!$O42="",-1,1))-INDEX('Adjustment Surface'!$AN$27:$AN$46,MATCH(('Adjustment Surface'!$O41),'Adjustment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Surface'!$O41),'Adjustment Surface'!$AN$27:$AN$46,1)),$AN$27:$AN$46,0),MATCH(INDEX('Adjustment Surface'!$AO$26:$BH$26,1,MATCH(('Adjustment Surface'!AF$26),'Adjustment Surface'!$AO$26:$BH$26,1)),$AO$26:$BH$26,0))*(INDEX('Adjustment Surface'!$AN$27:$AN$46,MATCH(('Adjustment Surface'!$O41),'Adjustment Surface'!$AN$27:$AN$46,1)+IF('Adjustment Surface'!$O42="",-1,1))-'Adjustment Surface'!$O41)*(INDEX('Adjustment Surface'!$AO$26:$BH$26,1,MATCH(('Adjustment Surface'!AF$26),'Adjustment Surface'!$AO$26:$BH$26,1)+IF('Adjustment Surface'!AG$26="",-1,1))-'Adjustment Surface'!AF$26)+INDEX($AO$27:$BH$46,MATCH(INDEX('Adjustment Surface'!$AN$27:$AN$46,MATCH(('Adjustment Surface'!$O41),'Adjustment Surface'!$AN$27:$AN$46,1)+IF('Adjustment Surface'!$O42="",-1,1)),$AN$27:$AN$46,0),MATCH(INDEX('Adjustment Surface'!$AO$26:$BH$26,1,MATCH(('Adjustment Surface'!AF$26),'Adjustment Surface'!$AO$26:$BH$26,1)),$AO$26:$BH$26,0))*('Adjustment Surface'!$O41-INDEX('Adjustment Surface'!$AN$27:$AN$46,MATCH(('Adjustment Surface'!$O41),'Adjustment Surface'!$AN$27:$AN$46,1)))*(INDEX('Adjustment Surface'!$AO$26:$BH$26,1,MATCH(('Adjustment Surface'!AF$26),'Adjustment Surface'!$AO$26:$BH$26,1)+IF('Adjustment Surface'!AG$26="",-1,1))-'Adjustment Surface'!AF$26)+INDEX($AO$27:$BH$46,MATCH(INDEX('Adjustment Surface'!$AN$27:$AN$46,MATCH(('Adjustment Surface'!$O41),'Adjustment Surface'!$AN$27:$AN$46,1)),$AN$27:$AN$46,0),MATCH(INDEX('Adjustment Surface'!$AO$26:$BH$26,1,MATCH(('Adjustment Surface'!AF$26),'Adjustment Surface'!$AO$26:$BH$26,1)+IF('Adjustment Surface'!AG$26="",-1,1)),$AO$26:$BH$26,0))*(INDEX('Adjustment Surface'!$AN$27:$AN$46,MATCH(('Adjustment Surface'!$O41),'Adjustment Surface'!$AN$27:$AN$46,1)+IF('Adjustment Surface'!$O42="",-1,1))-'Adjustment Surface'!$O41)*('Adjustment Surface'!AF$26-INDEX('Adjustment Surface'!$AO$26:$BH$26,1,MATCH(('Adjustment Surface'!AF$26),'Adjustment Surface'!$AO$26:$BH$26,1)))+INDEX($AO$27:$BH$46,MATCH(INDEX('Adjustment Surface'!$AN$27:$AN$46,MATCH(('Adjustment Surface'!$O41),'Adjustment Surface'!$AN$27:$AN$46,1)+IF('Adjustment Surface'!$O42="",-1,1)),$AN$27:$AN$46,0),MATCH(INDEX('Adjustment Surface'!$AO$26:$BH$26,1,MATCH(('Adjustment Surface'!AF$26),'Adjustment Surface'!$AO$26:$BH$26,1)+IF('Adjustment Surface'!AG$26="",-1,1)),$AO$26:$BH$26,0))*('Adjustment Surface'!$O41-INDEX('Adjustment Surface'!$AN$27:$AN$46,MATCH(('Adjustment Surface'!$O41),'Adjustment Surface'!$AN$27:$AN$46,1)))*('Adjustment Surface'!AF$26-INDEX('Adjustment Surface'!$AO$26:$BH$26,1,MATCH(('Adjustment Surface'!AF$26),'Adjustment Surface'!$AO$26:$BH$26,1)))))</f>
        <v/>
      </c>
      <c r="AG41" s="193" t="str" cm="1">
        <f t="array" ref="AG41">IF(OR(AG$26="",$O41=""),"",1/((INDEX('Adjustment Surface'!$AN$27:$AN$46,MATCH(('Adjustment Surface'!$O41),'Adjustment Surface'!$AN$27:$AN$46,1)+IF('Adjustment Surface'!$O42="",-1,1))-INDEX('Adjustment Surface'!$AN$27:$AN$46,MATCH(('Adjustment Surface'!$O41),'Adjustment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Surface'!$O41),'Adjustment Surface'!$AN$27:$AN$46,1)),$AN$27:$AN$46,0),MATCH(INDEX('Adjustment Surface'!$AO$26:$BH$26,1,MATCH(('Adjustment Surface'!AG$26),'Adjustment Surface'!$AO$26:$BH$26,1)),$AO$26:$BH$26,0))*(INDEX('Adjustment Surface'!$AN$27:$AN$46,MATCH(('Adjustment Surface'!$O41),'Adjustment Surface'!$AN$27:$AN$46,1)+IF('Adjustment Surface'!$O42="",-1,1))-'Adjustment Surface'!$O41)*(INDEX('Adjustment Surface'!$AO$26:$BH$26,1,MATCH(('Adjustment Surface'!AG$26),'Adjustment Surface'!$AO$26:$BH$26,1)+IF('Adjustment Surface'!AH$26="",-1,1))-'Adjustment Surface'!AG$26)+INDEX($AO$27:$BH$46,MATCH(INDEX('Adjustment Surface'!$AN$27:$AN$46,MATCH(('Adjustment Surface'!$O41),'Adjustment Surface'!$AN$27:$AN$46,1)+IF('Adjustment Surface'!$O42="",-1,1)),$AN$27:$AN$46,0),MATCH(INDEX('Adjustment Surface'!$AO$26:$BH$26,1,MATCH(('Adjustment Surface'!AG$26),'Adjustment Surface'!$AO$26:$BH$26,1)),$AO$26:$BH$26,0))*('Adjustment Surface'!$O41-INDEX('Adjustment Surface'!$AN$27:$AN$46,MATCH(('Adjustment Surface'!$O41),'Adjustment Surface'!$AN$27:$AN$46,1)))*(INDEX('Adjustment Surface'!$AO$26:$BH$26,1,MATCH(('Adjustment Surface'!AG$26),'Adjustment Surface'!$AO$26:$BH$26,1)+IF('Adjustment Surface'!AH$26="",-1,1))-'Adjustment Surface'!AG$26)+INDEX($AO$27:$BH$46,MATCH(INDEX('Adjustment Surface'!$AN$27:$AN$46,MATCH(('Adjustment Surface'!$O41),'Adjustment Surface'!$AN$27:$AN$46,1)),$AN$27:$AN$46,0),MATCH(INDEX('Adjustment Surface'!$AO$26:$BH$26,1,MATCH(('Adjustment Surface'!AG$26),'Adjustment Surface'!$AO$26:$BH$26,1)+IF('Adjustment Surface'!AH$26="",-1,1)),$AO$26:$BH$26,0))*(INDEX('Adjustment Surface'!$AN$27:$AN$46,MATCH(('Adjustment Surface'!$O41),'Adjustment Surface'!$AN$27:$AN$46,1)+IF('Adjustment Surface'!$O42="",-1,1))-'Adjustment Surface'!$O41)*('Adjustment Surface'!AG$26-INDEX('Adjustment Surface'!$AO$26:$BH$26,1,MATCH(('Adjustment Surface'!AG$26),'Adjustment Surface'!$AO$26:$BH$26,1)))+INDEX($AO$27:$BH$46,MATCH(INDEX('Adjustment Surface'!$AN$27:$AN$46,MATCH(('Adjustment Surface'!$O41),'Adjustment Surface'!$AN$27:$AN$46,1)+IF('Adjustment Surface'!$O42="",-1,1)),$AN$27:$AN$46,0),MATCH(INDEX('Adjustment Surface'!$AO$26:$BH$26,1,MATCH(('Adjustment Surface'!AG$26),'Adjustment Surface'!$AO$26:$BH$26,1)+IF('Adjustment Surface'!AH$26="",-1,1)),$AO$26:$BH$26,0))*('Adjustment Surface'!$O41-INDEX('Adjustment Surface'!$AN$27:$AN$46,MATCH(('Adjustment Surface'!$O41),'Adjustment Surface'!$AN$27:$AN$46,1)))*('Adjustment Surface'!AG$26-INDEX('Adjustment Surface'!$AO$26:$BH$26,1,MATCH(('Adjustment Surface'!AG$26),'Adjustment Surface'!$AO$26:$BH$26,1)))))</f>
        <v/>
      </c>
      <c r="AH41" s="193" t="str" cm="1">
        <f t="array" ref="AH41">IF(OR(AH$26="",$O41=""),"",1/((INDEX('Adjustment Surface'!$AN$27:$AN$46,MATCH(('Adjustment Surface'!$O41),'Adjustment Surface'!$AN$27:$AN$46,1)+IF('Adjustment Surface'!$O42="",-1,1))-INDEX('Adjustment Surface'!$AN$27:$AN$46,MATCH(('Adjustment Surface'!$O41),'Adjustment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Surface'!$O41),'Adjustment Surface'!$AN$27:$AN$46,1)),$AN$27:$AN$46,0),MATCH(INDEX('Adjustment Surface'!$AO$26:$BH$26,1,MATCH(('Adjustment Surface'!AH$26),'Adjustment Surface'!$AO$26:$BH$26,1)),$AO$26:$BH$26,0))*(INDEX('Adjustment Surface'!$AN$27:$AN$46,MATCH(('Adjustment Surface'!$O41),'Adjustment Surface'!$AN$27:$AN$46,1)+IF('Adjustment Surface'!$O42="",-1,1))-'Adjustment Surface'!$O41)*(INDEX('Adjustment Surface'!$AO$26:$BH$26,1,MATCH(('Adjustment Surface'!AH$26),'Adjustment Surface'!$AO$26:$BH$26,1)+IF('Adjustment Surface'!AI$26="",-1,1))-'Adjustment Surface'!AH$26)+INDEX($AO$27:$BH$46,MATCH(INDEX('Adjustment Surface'!$AN$27:$AN$46,MATCH(('Adjustment Surface'!$O41),'Adjustment Surface'!$AN$27:$AN$46,1)+IF('Adjustment Surface'!$O42="",-1,1)),$AN$27:$AN$46,0),MATCH(INDEX('Adjustment Surface'!$AO$26:$BH$26,1,MATCH(('Adjustment Surface'!AH$26),'Adjustment Surface'!$AO$26:$BH$26,1)),$AO$26:$BH$26,0))*('Adjustment Surface'!$O41-INDEX('Adjustment Surface'!$AN$27:$AN$46,MATCH(('Adjustment Surface'!$O41),'Adjustment Surface'!$AN$27:$AN$46,1)))*(INDEX('Adjustment Surface'!$AO$26:$BH$26,1,MATCH(('Adjustment Surface'!AH$26),'Adjustment Surface'!$AO$26:$BH$26,1)+IF('Adjustment Surface'!AI$26="",-1,1))-'Adjustment Surface'!AH$26)+INDEX($AO$27:$BH$46,MATCH(INDEX('Adjustment Surface'!$AN$27:$AN$46,MATCH(('Adjustment Surface'!$O41),'Adjustment Surface'!$AN$27:$AN$46,1)),$AN$27:$AN$46,0),MATCH(INDEX('Adjustment Surface'!$AO$26:$BH$26,1,MATCH(('Adjustment Surface'!AH$26),'Adjustment Surface'!$AO$26:$BH$26,1)+IF('Adjustment Surface'!AI$26="",-1,1)),$AO$26:$BH$26,0))*(INDEX('Adjustment Surface'!$AN$27:$AN$46,MATCH(('Adjustment Surface'!$O41),'Adjustment Surface'!$AN$27:$AN$46,1)+IF('Adjustment Surface'!$O42="",-1,1))-'Adjustment Surface'!$O41)*('Adjustment Surface'!AH$26-INDEX('Adjustment Surface'!$AO$26:$BH$26,1,MATCH(('Adjustment Surface'!AH$26),'Adjustment Surface'!$AO$26:$BH$26,1)))+INDEX($AO$27:$BH$46,MATCH(INDEX('Adjustment Surface'!$AN$27:$AN$46,MATCH(('Adjustment Surface'!$O41),'Adjustment Surface'!$AN$27:$AN$46,1)+IF('Adjustment Surface'!$O42="",-1,1)),$AN$27:$AN$46,0),MATCH(INDEX('Adjustment Surface'!$AO$26:$BH$26,1,MATCH(('Adjustment Surface'!AH$26),'Adjustment Surface'!$AO$26:$BH$26,1)+IF('Adjustment Surface'!AI$26="",-1,1)),$AO$26:$BH$26,0))*('Adjustment Surface'!$O41-INDEX('Adjustment Surface'!$AN$27:$AN$46,MATCH(('Adjustment Surface'!$O41),'Adjustment Surface'!$AN$27:$AN$46,1)))*('Adjustment Surface'!AH$26-INDEX('Adjustment Surface'!$AO$26:$BH$26,1,MATCH(('Adjustment Surface'!AH$26),'Adjustment Surface'!$AO$26:$BH$26,1)))))</f>
        <v/>
      </c>
      <c r="AI41" s="194" t="str" cm="1">
        <f t="array" ref="AI41">IF(OR(AI$26="",$O41=""),"",1/((INDEX('Adjustment Surface'!$AN$27:$AN$46,MATCH(('Adjustment Surface'!$O41),'Adjustment Surface'!$AN$27:$AN$46,1)+IF('Adjustment Surface'!$O42="",-1,1))-INDEX('Adjustment Surface'!$AN$27:$AN$46,MATCH(('Adjustment Surface'!$O41),'Adjustment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Surface'!$O41),'Adjustment Surface'!$AN$27:$AN$46,1)),$AN$27:$AN$46,0),MATCH(INDEX('Adjustment Surface'!$AO$26:$BH$26,1,MATCH(('Adjustment Surface'!AI$26),'Adjustment Surface'!$AO$26:$BH$26,1)),$AO$26:$BH$26,0))*(INDEX('Adjustment Surface'!$AN$27:$AN$46,MATCH(('Adjustment Surface'!$O41),'Adjustment Surface'!$AN$27:$AN$46,1)+IF('Adjustment Surface'!$O42="",-1,1))-'Adjustment Surface'!$O41)*(INDEX('Adjustment Surface'!$AO$26:$BH$26,1,MATCH(('Adjustment Surface'!AI$26),'Adjustment Surface'!$AO$26:$BH$26,1)+IF('Adjustment Surface'!AJ$26="",-1,1))-'Adjustment Surface'!AI$26)+INDEX($AO$27:$BH$46,MATCH(INDEX('Adjustment Surface'!$AN$27:$AN$46,MATCH(('Adjustment Surface'!$O41),'Adjustment Surface'!$AN$27:$AN$46,1)+IF('Adjustment Surface'!$O42="",-1,1)),$AN$27:$AN$46,0),MATCH(INDEX('Adjustment Surface'!$AO$26:$BH$26,1,MATCH(('Adjustment Surface'!AI$26),'Adjustment Surface'!$AO$26:$BH$26,1)),$AO$26:$BH$26,0))*('Adjustment Surface'!$O41-INDEX('Adjustment Surface'!$AN$27:$AN$46,MATCH(('Adjustment Surface'!$O41),'Adjustment Surface'!$AN$27:$AN$46,1)))*(INDEX('Adjustment Surface'!$AO$26:$BH$26,1,MATCH(('Adjustment Surface'!AI$26),'Adjustment Surface'!$AO$26:$BH$26,1)+IF('Adjustment Surface'!AJ$26="",-1,1))-'Adjustment Surface'!AI$26)+INDEX($AO$27:$BH$46,MATCH(INDEX('Adjustment Surface'!$AN$27:$AN$46,MATCH(('Adjustment Surface'!$O41),'Adjustment Surface'!$AN$27:$AN$46,1)),$AN$27:$AN$46,0),MATCH(INDEX('Adjustment Surface'!$AO$26:$BH$26,1,MATCH(('Adjustment Surface'!AI$26),'Adjustment Surface'!$AO$26:$BH$26,1)+IF('Adjustment Surface'!AJ$26="",-1,1)),$AO$26:$BH$26,0))*(INDEX('Adjustment Surface'!$AN$27:$AN$46,MATCH(('Adjustment Surface'!$O41),'Adjustment Surface'!$AN$27:$AN$46,1)+IF('Adjustment Surface'!$O42="",-1,1))-'Adjustment Surface'!$O41)*('Adjustment Surface'!AI$26-INDEX('Adjustment Surface'!$AO$26:$BH$26,1,MATCH(('Adjustment Surface'!AI$26),'Adjustment Surface'!$AO$26:$BH$26,1)))+INDEX($AO$27:$BH$46,MATCH(INDEX('Adjustment Surface'!$AN$27:$AN$46,MATCH(('Adjustment Surface'!$O41),'Adjustment Surface'!$AN$27:$AN$46,1)+IF('Adjustment Surface'!$O42="",-1,1)),$AN$27:$AN$46,0),MATCH(INDEX('Adjustment Surface'!$AO$26:$BH$26,1,MATCH(('Adjustment Surface'!AI$26),'Adjustment Surface'!$AO$26:$BH$26,1)+IF('Adjustment Surface'!AJ$26="",-1,1)),$AO$26:$BH$26,0))*('Adjustment Surface'!$O41-INDEX('Adjustment Surface'!$AN$27:$AN$46,MATCH(('Adjustment Surface'!$O41),'Adjustment Surface'!$AN$27:$AN$46,1)))*('Adjustment Surface'!AI$26-INDEX('Adjustment Surface'!$AO$26:$BH$26,1,MATCH(('Adjustment Surface'!AI$26),'Adjustment Surface'!$AO$26:$BH$26,1)))))</f>
        <v/>
      </c>
      <c r="AK41" s="203"/>
      <c r="AL41" s="207"/>
      <c r="AN41" s="176"/>
      <c r="AO41" s="192" t="str" cm="1">
        <f t="array" ref="AO41">IF(OR(AO$26="",$AN41=""),"",INDEX(IF($C$2='Data Validation'!$A$2,'Bank Adjustments'!$I$4:$I$103,IF('Adjustment Surface'!$C$2='Data Validation'!$A$3,'Bank Adjustments'!$S$4:$S$103,"Unknown Option Type")),MATCH(1,($AN41=IF($C$2='Data Validation'!$A$2,'Bank Adjustments'!$C$4:$C$103,IF('Adjustment Surface'!$C$2='Data Validation'!$A$3,'Bank Adjustments'!$M$4:$M$103,"Unknown Option Type")))*(AO$26=IF($C$2='Data Validation'!$A$2,'Bank Adjustments'!$E$4:$E$103,IF('Adjustment Surface'!$C$2='Data Validation'!$A$3,'Bank Adjustments'!$O$4:$O$103,"Unknown Option Type"))),0)))</f>
        <v/>
      </c>
      <c r="AP41" s="193" t="str" cm="1">
        <f t="array" ref="AP41">IF(OR(AP$26="",$AN41=""),"",INDEX(IF($C$2='Data Validation'!$A$2,'Bank Adjustments'!$I$4:$I$103,IF('Adjustment Surface'!$C$2='Data Validation'!$A$3,'Bank Adjustments'!$S$4:$S$103,"Unknown Option Type")),MATCH(1,($AN41=IF($C$2='Data Validation'!$A$2,'Bank Adjustments'!$C$4:$C$103,IF('Adjustment Surface'!$C$2='Data Validation'!$A$3,'Bank Adjustments'!$M$4:$M$103,"Unknown Option Type")))*(AP$26=IF($C$2='Data Validation'!$A$2,'Bank Adjustments'!$E$4:$E$103,IF('Adjustment Surface'!$C$2='Data Validation'!$A$3,'Bank Adjustments'!$O$4:$O$103,"Unknown Option Type"))),0)))</f>
        <v/>
      </c>
      <c r="AQ41" s="193" t="str" cm="1">
        <f t="array" ref="AQ41">IF(OR(AQ$26="",$AN41=""),"",INDEX(IF($C$2='Data Validation'!$A$2,'Bank Adjustments'!$I$4:$I$103,IF('Adjustment Surface'!$C$2='Data Validation'!$A$3,'Bank Adjustments'!$S$4:$S$103,"Unknown Option Type")),MATCH(1,($AN41=IF($C$2='Data Validation'!$A$2,'Bank Adjustments'!$C$4:$C$103,IF('Adjustment Surface'!$C$2='Data Validation'!$A$3,'Bank Adjustments'!$M$4:$M$103,"Unknown Option Type")))*(AQ$26=IF($C$2='Data Validation'!$A$2,'Bank Adjustments'!$E$4:$E$103,IF('Adjustment Surface'!$C$2='Data Validation'!$A$3,'Bank Adjustments'!$O$4:$O$103,"Unknown Option Type"))),0)))</f>
        <v/>
      </c>
      <c r="AR41" s="193" t="str" cm="1">
        <f t="array" ref="AR41">IF(OR(AR$26="",$AN41=""),"",INDEX(IF($C$2='Data Validation'!$A$2,'Bank Adjustments'!$I$4:$I$103,IF('Adjustment Surface'!$C$2='Data Validation'!$A$3,'Bank Adjustments'!$S$4:$S$103,"Unknown Option Type")),MATCH(1,($AN41=IF($C$2='Data Validation'!$A$2,'Bank Adjustments'!$C$4:$C$103,IF('Adjustment Surface'!$C$2='Data Validation'!$A$3,'Bank Adjustments'!$M$4:$M$103,"Unknown Option Type")))*(AR$26=IF($C$2='Data Validation'!$A$2,'Bank Adjustments'!$E$4:$E$103,IF('Adjustment Surface'!$C$2='Data Validation'!$A$3,'Bank Adjustments'!$O$4:$O$103,"Unknown Option Type"))),0)))</f>
        <v/>
      </c>
      <c r="AS41" s="193" t="str" cm="1">
        <f t="array" ref="AS41">IF(OR(AS$26="",$AN41=""),"",INDEX(IF($C$2='Data Validation'!$A$2,'Bank Adjustments'!$I$4:$I$103,IF('Adjustment Surface'!$C$2='Data Validation'!$A$3,'Bank Adjustments'!$S$4:$S$103,"Unknown Option Type")),MATCH(1,($AN41=IF($C$2='Data Validation'!$A$2,'Bank Adjustments'!$C$4:$C$103,IF('Adjustment Surface'!$C$2='Data Validation'!$A$3,'Bank Adjustments'!$M$4:$M$103,"Unknown Option Type")))*(AS$26=IF($C$2='Data Validation'!$A$2,'Bank Adjustments'!$E$4:$E$103,IF('Adjustment Surface'!$C$2='Data Validation'!$A$3,'Bank Adjustments'!$O$4:$O$103,"Unknown Option Type"))),0)))</f>
        <v/>
      </c>
      <c r="AT41" s="193" t="str" cm="1">
        <f t="array" ref="AT41">IF(OR(AT$26="",$AN41=""),"",INDEX(IF($C$2='Data Validation'!$A$2,'Bank Adjustments'!$I$4:$I$103,IF('Adjustment Surface'!$C$2='Data Validation'!$A$3,'Bank Adjustments'!$S$4:$S$103,"Unknown Option Type")),MATCH(1,($AN41=IF($C$2='Data Validation'!$A$2,'Bank Adjustments'!$C$4:$C$103,IF('Adjustment Surface'!$C$2='Data Validation'!$A$3,'Bank Adjustments'!$M$4:$M$103,"Unknown Option Type")))*(AT$26=IF($C$2='Data Validation'!$A$2,'Bank Adjustments'!$E$4:$E$103,IF('Adjustment Surface'!$C$2='Data Validation'!$A$3,'Bank Adjustments'!$O$4:$O$103,"Unknown Option Type"))),0)))</f>
        <v/>
      </c>
      <c r="AU41" s="193" t="str" cm="1">
        <f t="array" ref="AU41">IF(OR(AU$26="",$AN41=""),"",INDEX(IF($C$2='Data Validation'!$A$2,'Bank Adjustments'!$I$4:$I$103,IF('Adjustment Surface'!$C$2='Data Validation'!$A$3,'Bank Adjustments'!$S$4:$S$103,"Unknown Option Type")),MATCH(1,($AN41=IF($C$2='Data Validation'!$A$2,'Bank Adjustments'!$C$4:$C$103,IF('Adjustment Surface'!$C$2='Data Validation'!$A$3,'Bank Adjustments'!$M$4:$M$103,"Unknown Option Type")))*(AU$26=IF($C$2='Data Validation'!$A$2,'Bank Adjustments'!$E$4:$E$103,IF('Adjustment Surface'!$C$2='Data Validation'!$A$3,'Bank Adjustments'!$O$4:$O$103,"Unknown Option Type"))),0)))</f>
        <v/>
      </c>
      <c r="AV41" s="193" t="str" cm="1">
        <f t="array" ref="AV41">IF(OR(AV$26="",$AN41=""),"",INDEX(IF($C$2='Data Validation'!$A$2,'Bank Adjustments'!$I$4:$I$103,IF('Adjustment Surface'!$C$2='Data Validation'!$A$3,'Bank Adjustments'!$S$4:$S$103,"Unknown Option Type")),MATCH(1,($AN41=IF($C$2='Data Validation'!$A$2,'Bank Adjustments'!$C$4:$C$103,IF('Adjustment Surface'!$C$2='Data Validation'!$A$3,'Bank Adjustments'!$M$4:$M$103,"Unknown Option Type")))*(AV$26=IF($C$2='Data Validation'!$A$2,'Bank Adjustments'!$E$4:$E$103,IF('Adjustment Surface'!$C$2='Data Validation'!$A$3,'Bank Adjustments'!$O$4:$O$103,"Unknown Option Type"))),0)))</f>
        <v/>
      </c>
      <c r="AW41" s="193" t="str" cm="1">
        <f t="array" ref="AW41">IF(OR(AW$26="",$AN41=""),"",INDEX(IF($C$2='Data Validation'!$A$2,'Bank Adjustments'!$I$4:$I$103,IF('Adjustment Surface'!$C$2='Data Validation'!$A$3,'Bank Adjustments'!$S$4:$S$103,"Unknown Option Type")),MATCH(1,($AN41=IF($C$2='Data Validation'!$A$2,'Bank Adjustments'!$C$4:$C$103,IF('Adjustment Surface'!$C$2='Data Validation'!$A$3,'Bank Adjustments'!$M$4:$M$103,"Unknown Option Type")))*(AW$26=IF($C$2='Data Validation'!$A$2,'Bank Adjustments'!$E$4:$E$103,IF('Adjustment Surface'!$C$2='Data Validation'!$A$3,'Bank Adjustments'!$O$4:$O$103,"Unknown Option Type"))),0)))</f>
        <v/>
      </c>
      <c r="AX41" s="193" t="str" cm="1">
        <f t="array" ref="AX41">IF(OR(AX$26="",$AN41=""),"",INDEX(IF($C$2='Data Validation'!$A$2,'Bank Adjustments'!$I$4:$I$103,IF('Adjustment Surface'!$C$2='Data Validation'!$A$3,'Bank Adjustments'!$S$4:$S$103,"Unknown Option Type")),MATCH(1,($AN41=IF($C$2='Data Validation'!$A$2,'Bank Adjustments'!$C$4:$C$103,IF('Adjustment Surface'!$C$2='Data Validation'!$A$3,'Bank Adjustments'!$M$4:$M$103,"Unknown Option Type")))*(AX$26=IF($C$2='Data Validation'!$A$2,'Bank Adjustments'!$E$4:$E$103,IF('Adjustment Surface'!$C$2='Data Validation'!$A$3,'Bank Adjustments'!$O$4:$O$103,"Unknown Option Type"))),0)))</f>
        <v/>
      </c>
      <c r="AY41" s="193" t="str" cm="1">
        <f t="array" ref="AY41">IF(OR(AY$26="",$AN41=""),"",INDEX(IF($C$2='Data Validation'!$A$2,'Bank Adjustments'!$I$4:$I$103,IF('Adjustment Surface'!$C$2='Data Validation'!$A$3,'Bank Adjustments'!$S$4:$S$103,"Unknown Option Type")),MATCH(1,($AN41=IF($C$2='Data Validation'!$A$2,'Bank Adjustments'!$C$4:$C$103,IF('Adjustment Surface'!$C$2='Data Validation'!$A$3,'Bank Adjustments'!$M$4:$M$103,"Unknown Option Type")))*(AY$26=IF($C$2='Data Validation'!$A$2,'Bank Adjustments'!$E$4:$E$103,IF('Adjustment Surface'!$C$2='Data Validation'!$A$3,'Bank Adjustments'!$O$4:$O$103,"Unknown Option Type"))),0)))</f>
        <v/>
      </c>
      <c r="AZ41" s="193" t="str" cm="1">
        <f t="array" ref="AZ41">IF(OR(AZ$26="",$AN41=""),"",INDEX(IF($C$2='Data Validation'!$A$2,'Bank Adjustments'!$I$4:$I$103,IF('Adjustment Surface'!$C$2='Data Validation'!$A$3,'Bank Adjustments'!$S$4:$S$103,"Unknown Option Type")),MATCH(1,($AN41=IF($C$2='Data Validation'!$A$2,'Bank Adjustments'!$C$4:$C$103,IF('Adjustment Surface'!$C$2='Data Validation'!$A$3,'Bank Adjustments'!$M$4:$M$103,"Unknown Option Type")))*(AZ$26=IF($C$2='Data Validation'!$A$2,'Bank Adjustments'!$E$4:$E$103,IF('Adjustment Surface'!$C$2='Data Validation'!$A$3,'Bank Adjustments'!$O$4:$O$103,"Unknown Option Type"))),0)))</f>
        <v/>
      </c>
      <c r="BA41" s="193" t="str" cm="1">
        <f t="array" ref="BA41">IF(OR(BA$26="",$AN41=""),"",INDEX(IF($C$2='Data Validation'!$A$2,'Bank Adjustments'!$I$4:$I$103,IF('Adjustment Surface'!$C$2='Data Validation'!$A$3,'Bank Adjustments'!$S$4:$S$103,"Unknown Option Type")),MATCH(1,($AN41=IF($C$2='Data Validation'!$A$2,'Bank Adjustments'!$C$4:$C$103,IF('Adjustment Surface'!$C$2='Data Validation'!$A$3,'Bank Adjustments'!$M$4:$M$103,"Unknown Option Type")))*(BA$26=IF($C$2='Data Validation'!$A$2,'Bank Adjustments'!$E$4:$E$103,IF('Adjustment Surface'!$C$2='Data Validation'!$A$3,'Bank Adjustments'!$O$4:$O$103,"Unknown Option Type"))),0)))</f>
        <v/>
      </c>
      <c r="BB41" s="193" t="str" cm="1">
        <f t="array" ref="BB41">IF(OR(BB$26="",$AN41=""),"",INDEX(IF($C$2='Data Validation'!$A$2,'Bank Adjustments'!$I$4:$I$103,IF('Adjustment Surface'!$C$2='Data Validation'!$A$3,'Bank Adjustments'!$S$4:$S$103,"Unknown Option Type")),MATCH(1,($AN41=IF($C$2='Data Validation'!$A$2,'Bank Adjustments'!$C$4:$C$103,IF('Adjustment Surface'!$C$2='Data Validation'!$A$3,'Bank Adjustments'!$M$4:$M$103,"Unknown Option Type")))*(BB$26=IF($C$2='Data Validation'!$A$2,'Bank Adjustments'!$E$4:$E$103,IF('Adjustment Surface'!$C$2='Data Validation'!$A$3,'Bank Adjustments'!$O$4:$O$103,"Unknown Option Type"))),0)))</f>
        <v/>
      </c>
      <c r="BC41" s="193" t="str" cm="1">
        <f t="array" ref="BC41">IF(OR(BC$26="",$AN41=""),"",INDEX(IF($C$2='Data Validation'!$A$2,'Bank Adjustments'!$I$4:$I$103,IF('Adjustment Surface'!$C$2='Data Validation'!$A$3,'Bank Adjustments'!$S$4:$S$103,"Unknown Option Type")),MATCH(1,($AN41=IF($C$2='Data Validation'!$A$2,'Bank Adjustments'!$C$4:$C$103,IF('Adjustment Surface'!$C$2='Data Validation'!$A$3,'Bank Adjustments'!$M$4:$M$103,"Unknown Option Type")))*(BC$26=IF($C$2='Data Validation'!$A$2,'Bank Adjustments'!$E$4:$E$103,IF('Adjustment Surface'!$C$2='Data Validation'!$A$3,'Bank Adjustments'!$O$4:$O$103,"Unknown Option Type"))),0)))</f>
        <v/>
      </c>
      <c r="BD41" s="193" t="str" cm="1">
        <f t="array" ref="BD41">IF(OR(BD$26="",$AN41=""),"",INDEX(IF($C$2='Data Validation'!$A$2,'Bank Adjustments'!$I$4:$I$103,IF('Adjustment Surface'!$C$2='Data Validation'!$A$3,'Bank Adjustments'!$S$4:$S$103,"Unknown Option Type")),MATCH(1,($AN41=IF($C$2='Data Validation'!$A$2,'Bank Adjustments'!$C$4:$C$103,IF('Adjustment Surface'!$C$2='Data Validation'!$A$3,'Bank Adjustments'!$M$4:$M$103,"Unknown Option Type")))*(BD$26=IF($C$2='Data Validation'!$A$2,'Bank Adjustments'!$E$4:$E$103,IF('Adjustment Surface'!$C$2='Data Validation'!$A$3,'Bank Adjustments'!$O$4:$O$103,"Unknown Option Type"))),0)))</f>
        <v/>
      </c>
      <c r="BE41" s="193" t="str" cm="1">
        <f t="array" ref="BE41">IF(OR(BE$26="",$AN41=""),"",INDEX(IF($C$2='Data Validation'!$A$2,'Bank Adjustments'!$I$4:$I$103,IF('Adjustment Surface'!$C$2='Data Validation'!$A$3,'Bank Adjustments'!$S$4:$S$103,"Unknown Option Type")),MATCH(1,($AN41=IF($C$2='Data Validation'!$A$2,'Bank Adjustments'!$C$4:$C$103,IF('Adjustment Surface'!$C$2='Data Validation'!$A$3,'Bank Adjustments'!$M$4:$M$103,"Unknown Option Type")))*(BE$26=IF($C$2='Data Validation'!$A$2,'Bank Adjustments'!$E$4:$E$103,IF('Adjustment Surface'!$C$2='Data Validation'!$A$3,'Bank Adjustments'!$O$4:$O$103,"Unknown Option Type"))),0)))</f>
        <v/>
      </c>
      <c r="BF41" s="193" t="str" cm="1">
        <f t="array" ref="BF41">IF(OR(BF$26="",$AN41=""),"",INDEX(IF($C$2='Data Validation'!$A$2,'Bank Adjustments'!$I$4:$I$103,IF('Adjustment Surface'!$C$2='Data Validation'!$A$3,'Bank Adjustments'!$S$4:$S$103,"Unknown Option Type")),MATCH(1,($AN41=IF($C$2='Data Validation'!$A$2,'Bank Adjustments'!$C$4:$C$103,IF('Adjustment Surface'!$C$2='Data Validation'!$A$3,'Bank Adjustments'!$M$4:$M$103,"Unknown Option Type")))*(BF$26=IF($C$2='Data Validation'!$A$2,'Bank Adjustments'!$E$4:$E$103,IF('Adjustment Surface'!$C$2='Data Validation'!$A$3,'Bank Adjustments'!$O$4:$O$103,"Unknown Option Type"))),0)))</f>
        <v/>
      </c>
      <c r="BG41" s="193" t="str" cm="1">
        <f t="array" ref="BG41">IF(OR(BG$26="",$AN41=""),"",INDEX(IF($C$2='Data Validation'!$A$2,'Bank Adjustments'!$I$4:$I$103,IF('Adjustment Surface'!$C$2='Data Validation'!$A$3,'Bank Adjustments'!$S$4:$S$103,"Unknown Option Type")),MATCH(1,($AN41=IF($C$2='Data Validation'!$A$2,'Bank Adjustments'!$C$4:$C$103,IF('Adjustment Surface'!$C$2='Data Validation'!$A$3,'Bank Adjustments'!$M$4:$M$103,"Unknown Option Type")))*(BG$26=IF($C$2='Data Validation'!$A$2,'Bank Adjustments'!$E$4:$E$103,IF('Adjustment Surface'!$C$2='Data Validation'!$A$3,'Bank Adjustments'!$O$4:$O$103,"Unknown Option Type"))),0)))</f>
        <v/>
      </c>
      <c r="BH41" s="194" t="str" cm="1">
        <f t="array" ref="BH41">IF(OR(BH$26="",$AN41=""),"",INDEX(IF($C$2='Data Validation'!$A$2,'Bank Adjustments'!$I$4:$I$103,IF('Adjustment Surface'!$C$2='Data Validation'!$A$3,'Bank Adjustments'!$S$4:$S$103,"Unknown Option Type")),MATCH(1,($AN41=IF($C$2='Data Validation'!$A$2,'Bank Adjustments'!$C$4:$C$103,IF('Adjustment Surface'!$C$2='Data Validation'!$A$3,'Bank Adjustments'!$M$4:$M$103,"Unknown Option Type")))*(BH$26=IF($C$2='Data Validation'!$A$2,'Bank Adjustments'!$E$4:$E$103,IF('Adjustment Surface'!$C$2='Data Validation'!$A$3,'Bank Adjustments'!$O$4:$O$103,"Unknown Option Type"))),0)))</f>
        <v/>
      </c>
    </row>
    <row r="42" spans="2:60" x14ac:dyDescent="0.25">
      <c r="B42" s="12" t="s">
        <v>6</v>
      </c>
      <c r="C42" s="74">
        <f>C35</f>
        <v>46429</v>
      </c>
      <c r="D42" s="74">
        <f t="shared" ref="D42:F42" si="10">D35</f>
        <v>46794</v>
      </c>
      <c r="E42" s="74">
        <f t="shared" si="10"/>
        <v>47160</v>
      </c>
      <c r="F42" s="74">
        <f t="shared" si="10"/>
        <v>47525</v>
      </c>
      <c r="H42" s="176"/>
      <c r="I42" s="54" t="str">
        <f t="shared" si="6"/>
        <v/>
      </c>
      <c r="J42" s="55" t="str">
        <f t="shared" si="6"/>
        <v/>
      </c>
      <c r="K42" s="55" t="str">
        <f t="shared" si="6"/>
        <v/>
      </c>
      <c r="L42" s="55" t="str">
        <f t="shared" si="6"/>
        <v/>
      </c>
      <c r="M42" s="48" t="str">
        <f t="shared" si="6"/>
        <v/>
      </c>
      <c r="O42" s="176"/>
      <c r="P42" s="192" t="str" cm="1">
        <f t="array" ref="P42">IF(OR(P$26="",$O42=""),"",1/((INDEX('Adjustment Surface'!$AN$27:$AN$46,MATCH(('Adjustment Surface'!$O42),'Adjustment Surface'!$AN$27:$AN$46,1)+IF('Adjustment Surface'!$O43="",-1,1))-INDEX('Adjustment Surface'!$AN$27:$AN$46,MATCH(('Adjustment Surface'!$O42),'Adjustment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Surface'!$O42),'Adjustment Surface'!$AN$27:$AN$46,1)),$AN$27:$AN$46,0),MATCH(INDEX('Adjustment Surface'!$AO$26:$BH$26,1,MATCH(('Adjustment Surface'!P$26),'Adjustment Surface'!$AO$26:$BH$26,1)),$AO$26:$BH$26,0))*(INDEX('Adjustment Surface'!$AN$27:$AN$46,MATCH(('Adjustment Surface'!$O42),'Adjustment Surface'!$AN$27:$AN$46,1)+IF('Adjustment Surface'!$O43="",-1,1))-'Adjustment Surface'!$O42)*(INDEX('Adjustment Surface'!$AO$26:$BH$26,1,MATCH(('Adjustment Surface'!P$26),'Adjustment Surface'!$AO$26:$BH$26,1)+IF('Adjustment Surface'!Q$26="",-1,1))-'Adjustment Surface'!P$26)+INDEX($AO$27:$BH$46,MATCH(INDEX('Adjustment Surface'!$AN$27:$AN$46,MATCH(('Adjustment Surface'!$O42),'Adjustment Surface'!$AN$27:$AN$46,1)+IF('Adjustment Surface'!$O43="",-1,1)),$AN$27:$AN$46,0),MATCH(INDEX('Adjustment Surface'!$AO$26:$BH$26,1,MATCH(('Adjustment Surface'!P$26),'Adjustment Surface'!$AO$26:$BH$26,1)),$AO$26:$BH$26,0))*('Adjustment Surface'!$O42-INDEX('Adjustment Surface'!$AN$27:$AN$46,MATCH(('Adjustment Surface'!$O42),'Adjustment Surface'!$AN$27:$AN$46,1)))*(INDEX('Adjustment Surface'!$AO$26:$BH$26,1,MATCH(('Adjustment Surface'!P$26),'Adjustment Surface'!$AO$26:$BH$26,1)+IF('Adjustment Surface'!Q$26="",-1,1))-'Adjustment Surface'!P$26)+INDEX($AO$27:$BH$46,MATCH(INDEX('Adjustment Surface'!$AN$27:$AN$46,MATCH(('Adjustment Surface'!$O42),'Adjustment Surface'!$AN$27:$AN$46,1)),$AN$27:$AN$46,0),MATCH(INDEX('Adjustment Surface'!$AO$26:$BH$26,1,MATCH(('Adjustment Surface'!P$26),'Adjustment Surface'!$AO$26:$BH$26,1)+IF('Adjustment Surface'!Q$26="",-1,1)),$AO$26:$BH$26,0))*(INDEX('Adjustment Surface'!$AN$27:$AN$46,MATCH(('Adjustment Surface'!$O42),'Adjustment Surface'!$AN$27:$AN$46,1)+IF('Adjustment Surface'!$O43="",-1,1))-'Adjustment Surface'!$O42)*('Adjustment Surface'!P$26-INDEX('Adjustment Surface'!$AO$26:$BH$26,1,MATCH(('Adjustment Surface'!P$26),'Adjustment Surface'!$AO$26:$BH$26,1)))+INDEX($AO$27:$BH$46,MATCH(INDEX('Adjustment Surface'!$AN$27:$AN$46,MATCH(('Adjustment Surface'!$O42),'Adjustment Surface'!$AN$27:$AN$46,1)+IF('Adjustment Surface'!$O43="",-1,1)),$AN$27:$AN$46,0),MATCH(INDEX('Adjustment Surface'!$AO$26:$BH$26,1,MATCH(('Adjustment Surface'!P$26),'Adjustment Surface'!$AO$26:$BH$26,1)+IF('Adjustment Surface'!Q$26="",-1,1)),$AO$26:$BH$26,0))*('Adjustment Surface'!$O42-INDEX('Adjustment Surface'!$AN$27:$AN$46,MATCH(('Adjustment Surface'!$O42),'Adjustment Surface'!$AN$27:$AN$46,1)))*('Adjustment Surface'!P$26-INDEX('Adjustment Surface'!$AO$26:$BH$26,1,MATCH(('Adjustment Surface'!P$26),'Adjustment Surface'!$AO$26:$BH$26,1)))))</f>
        <v/>
      </c>
      <c r="Q42" s="193" t="str" cm="1">
        <f t="array" ref="Q42">IF(OR(Q$26="",$O42=""),"",1/((INDEX('Adjustment Surface'!$AN$27:$AN$46,MATCH(('Adjustment Surface'!$O42),'Adjustment Surface'!$AN$27:$AN$46,1)+IF('Adjustment Surface'!$O43="",-1,1))-INDEX('Adjustment Surface'!$AN$27:$AN$46,MATCH(('Adjustment Surface'!$O42),'Adjustment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Surface'!$O42),'Adjustment Surface'!$AN$27:$AN$46,1)),$AN$27:$AN$46,0),MATCH(INDEX('Adjustment Surface'!$AO$26:$BH$26,1,MATCH(('Adjustment Surface'!Q$26),'Adjustment Surface'!$AO$26:$BH$26,1)),$AO$26:$BH$26,0))*(INDEX('Adjustment Surface'!$AN$27:$AN$46,MATCH(('Adjustment Surface'!$O42),'Adjustment Surface'!$AN$27:$AN$46,1)+IF('Adjustment Surface'!$O43="",-1,1))-'Adjustment Surface'!$O42)*(INDEX('Adjustment Surface'!$AO$26:$BH$26,1,MATCH(('Adjustment Surface'!Q$26),'Adjustment Surface'!$AO$26:$BH$26,1)+IF('Adjustment Surface'!R$26="",-1,1))-'Adjustment Surface'!Q$26)+INDEX($AO$27:$BH$46,MATCH(INDEX('Adjustment Surface'!$AN$27:$AN$46,MATCH(('Adjustment Surface'!$O42),'Adjustment Surface'!$AN$27:$AN$46,1)+IF('Adjustment Surface'!$O43="",-1,1)),$AN$27:$AN$46,0),MATCH(INDEX('Adjustment Surface'!$AO$26:$BH$26,1,MATCH(('Adjustment Surface'!Q$26),'Adjustment Surface'!$AO$26:$BH$26,1)),$AO$26:$BH$26,0))*('Adjustment Surface'!$O42-INDEX('Adjustment Surface'!$AN$27:$AN$46,MATCH(('Adjustment Surface'!$O42),'Adjustment Surface'!$AN$27:$AN$46,1)))*(INDEX('Adjustment Surface'!$AO$26:$BH$26,1,MATCH(('Adjustment Surface'!Q$26),'Adjustment Surface'!$AO$26:$BH$26,1)+IF('Adjustment Surface'!R$26="",-1,1))-'Adjustment Surface'!Q$26)+INDEX($AO$27:$BH$46,MATCH(INDEX('Adjustment Surface'!$AN$27:$AN$46,MATCH(('Adjustment Surface'!$O42),'Adjustment Surface'!$AN$27:$AN$46,1)),$AN$27:$AN$46,0),MATCH(INDEX('Adjustment Surface'!$AO$26:$BH$26,1,MATCH(('Adjustment Surface'!Q$26),'Adjustment Surface'!$AO$26:$BH$26,1)+IF('Adjustment Surface'!R$26="",-1,1)),$AO$26:$BH$26,0))*(INDEX('Adjustment Surface'!$AN$27:$AN$46,MATCH(('Adjustment Surface'!$O42),'Adjustment Surface'!$AN$27:$AN$46,1)+IF('Adjustment Surface'!$O43="",-1,1))-'Adjustment Surface'!$O42)*('Adjustment Surface'!Q$26-INDEX('Adjustment Surface'!$AO$26:$BH$26,1,MATCH(('Adjustment Surface'!Q$26),'Adjustment Surface'!$AO$26:$BH$26,1)))+INDEX($AO$27:$BH$46,MATCH(INDEX('Adjustment Surface'!$AN$27:$AN$46,MATCH(('Adjustment Surface'!$O42),'Adjustment Surface'!$AN$27:$AN$46,1)+IF('Adjustment Surface'!$O43="",-1,1)),$AN$27:$AN$46,0),MATCH(INDEX('Adjustment Surface'!$AO$26:$BH$26,1,MATCH(('Adjustment Surface'!Q$26),'Adjustment Surface'!$AO$26:$BH$26,1)+IF('Adjustment Surface'!R$26="",-1,1)),$AO$26:$BH$26,0))*('Adjustment Surface'!$O42-INDEX('Adjustment Surface'!$AN$27:$AN$46,MATCH(('Adjustment Surface'!$O42),'Adjustment Surface'!$AN$27:$AN$46,1)))*('Adjustment Surface'!Q$26-INDEX('Adjustment Surface'!$AO$26:$BH$26,1,MATCH(('Adjustment Surface'!Q$26),'Adjustment Surface'!$AO$26:$BH$26,1)))))</f>
        <v/>
      </c>
      <c r="R42" s="193" t="str" cm="1">
        <f t="array" ref="R42">IF(OR(R$26="",$O42=""),"",1/((INDEX('Adjustment Surface'!$AN$27:$AN$46,MATCH(('Adjustment Surface'!$O42),'Adjustment Surface'!$AN$27:$AN$46,1)+IF('Adjustment Surface'!$O43="",-1,1))-INDEX('Adjustment Surface'!$AN$27:$AN$46,MATCH(('Adjustment Surface'!$O42),'Adjustment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Surface'!$O42),'Adjustment Surface'!$AN$27:$AN$46,1)),$AN$27:$AN$46,0),MATCH(INDEX('Adjustment Surface'!$AO$26:$BH$26,1,MATCH(('Adjustment Surface'!R$26),'Adjustment Surface'!$AO$26:$BH$26,1)),$AO$26:$BH$26,0))*(INDEX('Adjustment Surface'!$AN$27:$AN$46,MATCH(('Adjustment Surface'!$O42),'Adjustment Surface'!$AN$27:$AN$46,1)+IF('Adjustment Surface'!$O43="",-1,1))-'Adjustment Surface'!$O42)*(INDEX('Adjustment Surface'!$AO$26:$BH$26,1,MATCH(('Adjustment Surface'!R$26),'Adjustment Surface'!$AO$26:$BH$26,1)+IF('Adjustment Surface'!S$26="",-1,1))-'Adjustment Surface'!R$26)+INDEX($AO$27:$BH$46,MATCH(INDEX('Adjustment Surface'!$AN$27:$AN$46,MATCH(('Adjustment Surface'!$O42),'Adjustment Surface'!$AN$27:$AN$46,1)+IF('Adjustment Surface'!$O43="",-1,1)),$AN$27:$AN$46,0),MATCH(INDEX('Adjustment Surface'!$AO$26:$BH$26,1,MATCH(('Adjustment Surface'!R$26),'Adjustment Surface'!$AO$26:$BH$26,1)),$AO$26:$BH$26,0))*('Adjustment Surface'!$O42-INDEX('Adjustment Surface'!$AN$27:$AN$46,MATCH(('Adjustment Surface'!$O42),'Adjustment Surface'!$AN$27:$AN$46,1)))*(INDEX('Adjustment Surface'!$AO$26:$BH$26,1,MATCH(('Adjustment Surface'!R$26),'Adjustment Surface'!$AO$26:$BH$26,1)+IF('Adjustment Surface'!S$26="",-1,1))-'Adjustment Surface'!R$26)+INDEX($AO$27:$BH$46,MATCH(INDEX('Adjustment Surface'!$AN$27:$AN$46,MATCH(('Adjustment Surface'!$O42),'Adjustment Surface'!$AN$27:$AN$46,1)),$AN$27:$AN$46,0),MATCH(INDEX('Adjustment Surface'!$AO$26:$BH$26,1,MATCH(('Adjustment Surface'!R$26),'Adjustment Surface'!$AO$26:$BH$26,1)+IF('Adjustment Surface'!S$26="",-1,1)),$AO$26:$BH$26,0))*(INDEX('Adjustment Surface'!$AN$27:$AN$46,MATCH(('Adjustment Surface'!$O42),'Adjustment Surface'!$AN$27:$AN$46,1)+IF('Adjustment Surface'!$O43="",-1,1))-'Adjustment Surface'!$O42)*('Adjustment Surface'!R$26-INDEX('Adjustment Surface'!$AO$26:$BH$26,1,MATCH(('Adjustment Surface'!R$26),'Adjustment Surface'!$AO$26:$BH$26,1)))+INDEX($AO$27:$BH$46,MATCH(INDEX('Adjustment Surface'!$AN$27:$AN$46,MATCH(('Adjustment Surface'!$O42),'Adjustment Surface'!$AN$27:$AN$46,1)+IF('Adjustment Surface'!$O43="",-1,1)),$AN$27:$AN$46,0),MATCH(INDEX('Adjustment Surface'!$AO$26:$BH$26,1,MATCH(('Adjustment Surface'!R$26),'Adjustment Surface'!$AO$26:$BH$26,1)+IF('Adjustment Surface'!S$26="",-1,1)),$AO$26:$BH$26,0))*('Adjustment Surface'!$O42-INDEX('Adjustment Surface'!$AN$27:$AN$46,MATCH(('Adjustment Surface'!$O42),'Adjustment Surface'!$AN$27:$AN$46,1)))*('Adjustment Surface'!R$26-INDEX('Adjustment Surface'!$AO$26:$BH$26,1,MATCH(('Adjustment Surface'!R$26),'Adjustment Surface'!$AO$26:$BH$26,1)))))</f>
        <v/>
      </c>
      <c r="S42" s="193" t="str" cm="1">
        <f t="array" ref="S42">IF(OR(S$26="",$O42=""),"",1/((INDEX('Adjustment Surface'!$AN$27:$AN$46,MATCH(('Adjustment Surface'!$O42),'Adjustment Surface'!$AN$27:$AN$46,1)+IF('Adjustment Surface'!$O43="",-1,1))-INDEX('Adjustment Surface'!$AN$27:$AN$46,MATCH(('Adjustment Surface'!$O42),'Adjustment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Surface'!$O42),'Adjustment Surface'!$AN$27:$AN$46,1)),$AN$27:$AN$46,0),MATCH(INDEX('Adjustment Surface'!$AO$26:$BH$26,1,MATCH(('Adjustment Surface'!S$26),'Adjustment Surface'!$AO$26:$BH$26,1)),$AO$26:$BH$26,0))*(INDEX('Adjustment Surface'!$AN$27:$AN$46,MATCH(('Adjustment Surface'!$O42),'Adjustment Surface'!$AN$27:$AN$46,1)+IF('Adjustment Surface'!$O43="",-1,1))-'Adjustment Surface'!$O42)*(INDEX('Adjustment Surface'!$AO$26:$BH$26,1,MATCH(('Adjustment Surface'!S$26),'Adjustment Surface'!$AO$26:$BH$26,1)+IF('Adjustment Surface'!T$26="",-1,1))-'Adjustment Surface'!S$26)+INDEX($AO$27:$BH$46,MATCH(INDEX('Adjustment Surface'!$AN$27:$AN$46,MATCH(('Adjustment Surface'!$O42),'Adjustment Surface'!$AN$27:$AN$46,1)+IF('Adjustment Surface'!$O43="",-1,1)),$AN$27:$AN$46,0),MATCH(INDEX('Adjustment Surface'!$AO$26:$BH$26,1,MATCH(('Adjustment Surface'!S$26),'Adjustment Surface'!$AO$26:$BH$26,1)),$AO$26:$BH$26,0))*('Adjustment Surface'!$O42-INDEX('Adjustment Surface'!$AN$27:$AN$46,MATCH(('Adjustment Surface'!$O42),'Adjustment Surface'!$AN$27:$AN$46,1)))*(INDEX('Adjustment Surface'!$AO$26:$BH$26,1,MATCH(('Adjustment Surface'!S$26),'Adjustment Surface'!$AO$26:$BH$26,1)+IF('Adjustment Surface'!T$26="",-1,1))-'Adjustment Surface'!S$26)+INDEX($AO$27:$BH$46,MATCH(INDEX('Adjustment Surface'!$AN$27:$AN$46,MATCH(('Adjustment Surface'!$O42),'Adjustment Surface'!$AN$27:$AN$46,1)),$AN$27:$AN$46,0),MATCH(INDEX('Adjustment Surface'!$AO$26:$BH$26,1,MATCH(('Adjustment Surface'!S$26),'Adjustment Surface'!$AO$26:$BH$26,1)+IF('Adjustment Surface'!T$26="",-1,1)),$AO$26:$BH$26,0))*(INDEX('Adjustment Surface'!$AN$27:$AN$46,MATCH(('Adjustment Surface'!$O42),'Adjustment Surface'!$AN$27:$AN$46,1)+IF('Adjustment Surface'!$O43="",-1,1))-'Adjustment Surface'!$O42)*('Adjustment Surface'!S$26-INDEX('Adjustment Surface'!$AO$26:$BH$26,1,MATCH(('Adjustment Surface'!S$26),'Adjustment Surface'!$AO$26:$BH$26,1)))+INDEX($AO$27:$BH$46,MATCH(INDEX('Adjustment Surface'!$AN$27:$AN$46,MATCH(('Adjustment Surface'!$O42),'Adjustment Surface'!$AN$27:$AN$46,1)+IF('Adjustment Surface'!$O43="",-1,1)),$AN$27:$AN$46,0),MATCH(INDEX('Adjustment Surface'!$AO$26:$BH$26,1,MATCH(('Adjustment Surface'!S$26),'Adjustment Surface'!$AO$26:$BH$26,1)+IF('Adjustment Surface'!T$26="",-1,1)),$AO$26:$BH$26,0))*('Adjustment Surface'!$O42-INDEX('Adjustment Surface'!$AN$27:$AN$46,MATCH(('Adjustment Surface'!$O42),'Adjustment Surface'!$AN$27:$AN$46,1)))*('Adjustment Surface'!S$26-INDEX('Adjustment Surface'!$AO$26:$BH$26,1,MATCH(('Adjustment Surface'!S$26),'Adjustment Surface'!$AO$26:$BH$26,1)))))</f>
        <v/>
      </c>
      <c r="T42" s="193" t="str" cm="1">
        <f t="array" ref="T42">IF(OR(T$26="",$O42=""),"",1/((INDEX('Adjustment Surface'!$AN$27:$AN$46,MATCH(('Adjustment Surface'!$O42),'Adjustment Surface'!$AN$27:$AN$46,1)+IF('Adjustment Surface'!$O43="",-1,1))-INDEX('Adjustment Surface'!$AN$27:$AN$46,MATCH(('Adjustment Surface'!$O42),'Adjustment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Surface'!$O42),'Adjustment Surface'!$AN$27:$AN$46,1)),$AN$27:$AN$46,0),MATCH(INDEX('Adjustment Surface'!$AO$26:$BH$26,1,MATCH(('Adjustment Surface'!T$26),'Adjustment Surface'!$AO$26:$BH$26,1)),$AO$26:$BH$26,0))*(INDEX('Adjustment Surface'!$AN$27:$AN$46,MATCH(('Adjustment Surface'!$O42),'Adjustment Surface'!$AN$27:$AN$46,1)+IF('Adjustment Surface'!$O43="",-1,1))-'Adjustment Surface'!$O42)*(INDEX('Adjustment Surface'!$AO$26:$BH$26,1,MATCH(('Adjustment Surface'!T$26),'Adjustment Surface'!$AO$26:$BH$26,1)+IF('Adjustment Surface'!U$26="",-1,1))-'Adjustment Surface'!T$26)+INDEX($AO$27:$BH$46,MATCH(INDEX('Adjustment Surface'!$AN$27:$AN$46,MATCH(('Adjustment Surface'!$O42),'Adjustment Surface'!$AN$27:$AN$46,1)+IF('Adjustment Surface'!$O43="",-1,1)),$AN$27:$AN$46,0),MATCH(INDEX('Adjustment Surface'!$AO$26:$BH$26,1,MATCH(('Adjustment Surface'!T$26),'Adjustment Surface'!$AO$26:$BH$26,1)),$AO$26:$BH$26,0))*('Adjustment Surface'!$O42-INDEX('Adjustment Surface'!$AN$27:$AN$46,MATCH(('Adjustment Surface'!$O42),'Adjustment Surface'!$AN$27:$AN$46,1)))*(INDEX('Adjustment Surface'!$AO$26:$BH$26,1,MATCH(('Adjustment Surface'!T$26),'Adjustment Surface'!$AO$26:$BH$26,1)+IF('Adjustment Surface'!U$26="",-1,1))-'Adjustment Surface'!T$26)+INDEX($AO$27:$BH$46,MATCH(INDEX('Adjustment Surface'!$AN$27:$AN$46,MATCH(('Adjustment Surface'!$O42),'Adjustment Surface'!$AN$27:$AN$46,1)),$AN$27:$AN$46,0),MATCH(INDEX('Adjustment Surface'!$AO$26:$BH$26,1,MATCH(('Adjustment Surface'!T$26),'Adjustment Surface'!$AO$26:$BH$26,1)+IF('Adjustment Surface'!U$26="",-1,1)),$AO$26:$BH$26,0))*(INDEX('Adjustment Surface'!$AN$27:$AN$46,MATCH(('Adjustment Surface'!$O42),'Adjustment Surface'!$AN$27:$AN$46,1)+IF('Adjustment Surface'!$O43="",-1,1))-'Adjustment Surface'!$O42)*('Adjustment Surface'!T$26-INDEX('Adjustment Surface'!$AO$26:$BH$26,1,MATCH(('Adjustment Surface'!T$26),'Adjustment Surface'!$AO$26:$BH$26,1)))+INDEX($AO$27:$BH$46,MATCH(INDEX('Adjustment Surface'!$AN$27:$AN$46,MATCH(('Adjustment Surface'!$O42),'Adjustment Surface'!$AN$27:$AN$46,1)+IF('Adjustment Surface'!$O43="",-1,1)),$AN$27:$AN$46,0),MATCH(INDEX('Adjustment Surface'!$AO$26:$BH$26,1,MATCH(('Adjustment Surface'!T$26),'Adjustment Surface'!$AO$26:$BH$26,1)+IF('Adjustment Surface'!U$26="",-1,1)),$AO$26:$BH$26,0))*('Adjustment Surface'!$O42-INDEX('Adjustment Surface'!$AN$27:$AN$46,MATCH(('Adjustment Surface'!$O42),'Adjustment Surface'!$AN$27:$AN$46,1)))*('Adjustment Surface'!T$26-INDEX('Adjustment Surface'!$AO$26:$BH$26,1,MATCH(('Adjustment Surface'!T$26),'Adjustment Surface'!$AO$26:$BH$26,1)))))</f>
        <v/>
      </c>
      <c r="U42" s="193" t="str" cm="1">
        <f t="array" ref="U42">IF(OR(U$26="",$O42=""),"",1/((INDEX('Adjustment Surface'!$AN$27:$AN$46,MATCH(('Adjustment Surface'!$O42),'Adjustment Surface'!$AN$27:$AN$46,1)+IF('Adjustment Surface'!$O43="",-1,1))-INDEX('Adjustment Surface'!$AN$27:$AN$46,MATCH(('Adjustment Surface'!$O42),'Adjustment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Surface'!$O42),'Adjustment Surface'!$AN$27:$AN$46,1)),$AN$27:$AN$46,0),MATCH(INDEX('Adjustment Surface'!$AO$26:$BH$26,1,MATCH(('Adjustment Surface'!U$26),'Adjustment Surface'!$AO$26:$BH$26,1)),$AO$26:$BH$26,0))*(INDEX('Adjustment Surface'!$AN$27:$AN$46,MATCH(('Adjustment Surface'!$O42),'Adjustment Surface'!$AN$27:$AN$46,1)+IF('Adjustment Surface'!$O43="",-1,1))-'Adjustment Surface'!$O42)*(INDEX('Adjustment Surface'!$AO$26:$BH$26,1,MATCH(('Adjustment Surface'!U$26),'Adjustment Surface'!$AO$26:$BH$26,1)+IF('Adjustment Surface'!V$26="",-1,1))-'Adjustment Surface'!U$26)+INDEX($AO$27:$BH$46,MATCH(INDEX('Adjustment Surface'!$AN$27:$AN$46,MATCH(('Adjustment Surface'!$O42),'Adjustment Surface'!$AN$27:$AN$46,1)+IF('Adjustment Surface'!$O43="",-1,1)),$AN$27:$AN$46,0),MATCH(INDEX('Adjustment Surface'!$AO$26:$BH$26,1,MATCH(('Adjustment Surface'!U$26),'Adjustment Surface'!$AO$26:$BH$26,1)),$AO$26:$BH$26,0))*('Adjustment Surface'!$O42-INDEX('Adjustment Surface'!$AN$27:$AN$46,MATCH(('Adjustment Surface'!$O42),'Adjustment Surface'!$AN$27:$AN$46,1)))*(INDEX('Adjustment Surface'!$AO$26:$BH$26,1,MATCH(('Adjustment Surface'!U$26),'Adjustment Surface'!$AO$26:$BH$26,1)+IF('Adjustment Surface'!V$26="",-1,1))-'Adjustment Surface'!U$26)+INDEX($AO$27:$BH$46,MATCH(INDEX('Adjustment Surface'!$AN$27:$AN$46,MATCH(('Adjustment Surface'!$O42),'Adjustment Surface'!$AN$27:$AN$46,1)),$AN$27:$AN$46,0),MATCH(INDEX('Adjustment Surface'!$AO$26:$BH$26,1,MATCH(('Adjustment Surface'!U$26),'Adjustment Surface'!$AO$26:$BH$26,1)+IF('Adjustment Surface'!V$26="",-1,1)),$AO$26:$BH$26,0))*(INDEX('Adjustment Surface'!$AN$27:$AN$46,MATCH(('Adjustment Surface'!$O42),'Adjustment Surface'!$AN$27:$AN$46,1)+IF('Adjustment Surface'!$O43="",-1,1))-'Adjustment Surface'!$O42)*('Adjustment Surface'!U$26-INDEX('Adjustment Surface'!$AO$26:$BH$26,1,MATCH(('Adjustment Surface'!U$26),'Adjustment Surface'!$AO$26:$BH$26,1)))+INDEX($AO$27:$BH$46,MATCH(INDEX('Adjustment Surface'!$AN$27:$AN$46,MATCH(('Adjustment Surface'!$O42),'Adjustment Surface'!$AN$27:$AN$46,1)+IF('Adjustment Surface'!$O43="",-1,1)),$AN$27:$AN$46,0),MATCH(INDEX('Adjustment Surface'!$AO$26:$BH$26,1,MATCH(('Adjustment Surface'!U$26),'Adjustment Surface'!$AO$26:$BH$26,1)+IF('Adjustment Surface'!V$26="",-1,1)),$AO$26:$BH$26,0))*('Adjustment Surface'!$O42-INDEX('Adjustment Surface'!$AN$27:$AN$46,MATCH(('Adjustment Surface'!$O42),'Adjustment Surface'!$AN$27:$AN$46,1)))*('Adjustment Surface'!U$26-INDEX('Adjustment Surface'!$AO$26:$BH$26,1,MATCH(('Adjustment Surface'!U$26),'Adjustment Surface'!$AO$26:$BH$26,1)))))</f>
        <v/>
      </c>
      <c r="V42" s="193" t="str" cm="1">
        <f t="array" ref="V42">IF(OR(V$26="",$O42=""),"",1/((INDEX('Adjustment Surface'!$AN$27:$AN$46,MATCH(('Adjustment Surface'!$O42),'Adjustment Surface'!$AN$27:$AN$46,1)+IF('Adjustment Surface'!$O43="",-1,1))-INDEX('Adjustment Surface'!$AN$27:$AN$46,MATCH(('Adjustment Surface'!$O42),'Adjustment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Surface'!$O42),'Adjustment Surface'!$AN$27:$AN$46,1)),$AN$27:$AN$46,0),MATCH(INDEX('Adjustment Surface'!$AO$26:$BH$26,1,MATCH(('Adjustment Surface'!V$26),'Adjustment Surface'!$AO$26:$BH$26,1)),$AO$26:$BH$26,0))*(INDEX('Adjustment Surface'!$AN$27:$AN$46,MATCH(('Adjustment Surface'!$O42),'Adjustment Surface'!$AN$27:$AN$46,1)+IF('Adjustment Surface'!$O43="",-1,1))-'Adjustment Surface'!$O42)*(INDEX('Adjustment Surface'!$AO$26:$BH$26,1,MATCH(('Adjustment Surface'!V$26),'Adjustment Surface'!$AO$26:$BH$26,1)+IF('Adjustment Surface'!W$26="",-1,1))-'Adjustment Surface'!V$26)+INDEX($AO$27:$BH$46,MATCH(INDEX('Adjustment Surface'!$AN$27:$AN$46,MATCH(('Adjustment Surface'!$O42),'Adjustment Surface'!$AN$27:$AN$46,1)+IF('Adjustment Surface'!$O43="",-1,1)),$AN$27:$AN$46,0),MATCH(INDEX('Adjustment Surface'!$AO$26:$BH$26,1,MATCH(('Adjustment Surface'!V$26),'Adjustment Surface'!$AO$26:$BH$26,1)),$AO$26:$BH$26,0))*('Adjustment Surface'!$O42-INDEX('Adjustment Surface'!$AN$27:$AN$46,MATCH(('Adjustment Surface'!$O42),'Adjustment Surface'!$AN$27:$AN$46,1)))*(INDEX('Adjustment Surface'!$AO$26:$BH$26,1,MATCH(('Adjustment Surface'!V$26),'Adjustment Surface'!$AO$26:$BH$26,1)+IF('Adjustment Surface'!W$26="",-1,1))-'Adjustment Surface'!V$26)+INDEX($AO$27:$BH$46,MATCH(INDEX('Adjustment Surface'!$AN$27:$AN$46,MATCH(('Adjustment Surface'!$O42),'Adjustment Surface'!$AN$27:$AN$46,1)),$AN$27:$AN$46,0),MATCH(INDEX('Adjustment Surface'!$AO$26:$BH$26,1,MATCH(('Adjustment Surface'!V$26),'Adjustment Surface'!$AO$26:$BH$26,1)+IF('Adjustment Surface'!W$26="",-1,1)),$AO$26:$BH$26,0))*(INDEX('Adjustment Surface'!$AN$27:$AN$46,MATCH(('Adjustment Surface'!$O42),'Adjustment Surface'!$AN$27:$AN$46,1)+IF('Adjustment Surface'!$O43="",-1,1))-'Adjustment Surface'!$O42)*('Adjustment Surface'!V$26-INDEX('Adjustment Surface'!$AO$26:$BH$26,1,MATCH(('Adjustment Surface'!V$26),'Adjustment Surface'!$AO$26:$BH$26,1)))+INDEX($AO$27:$BH$46,MATCH(INDEX('Adjustment Surface'!$AN$27:$AN$46,MATCH(('Adjustment Surface'!$O42),'Adjustment Surface'!$AN$27:$AN$46,1)+IF('Adjustment Surface'!$O43="",-1,1)),$AN$27:$AN$46,0),MATCH(INDEX('Adjustment Surface'!$AO$26:$BH$26,1,MATCH(('Adjustment Surface'!V$26),'Adjustment Surface'!$AO$26:$BH$26,1)+IF('Adjustment Surface'!W$26="",-1,1)),$AO$26:$BH$26,0))*('Adjustment Surface'!$O42-INDEX('Adjustment Surface'!$AN$27:$AN$46,MATCH(('Adjustment Surface'!$O42),'Adjustment Surface'!$AN$27:$AN$46,1)))*('Adjustment Surface'!V$26-INDEX('Adjustment Surface'!$AO$26:$BH$26,1,MATCH(('Adjustment Surface'!V$26),'Adjustment Surface'!$AO$26:$BH$26,1)))))</f>
        <v/>
      </c>
      <c r="W42" s="193" t="str" cm="1">
        <f t="array" ref="W42">IF(OR(W$26="",$O42=""),"",1/((INDEX('Adjustment Surface'!$AN$27:$AN$46,MATCH(('Adjustment Surface'!$O42),'Adjustment Surface'!$AN$27:$AN$46,1)+IF('Adjustment Surface'!$O43="",-1,1))-INDEX('Adjustment Surface'!$AN$27:$AN$46,MATCH(('Adjustment Surface'!$O42),'Adjustment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Surface'!$O42),'Adjustment Surface'!$AN$27:$AN$46,1)),$AN$27:$AN$46,0),MATCH(INDEX('Adjustment Surface'!$AO$26:$BH$26,1,MATCH(('Adjustment Surface'!W$26),'Adjustment Surface'!$AO$26:$BH$26,1)),$AO$26:$BH$26,0))*(INDEX('Adjustment Surface'!$AN$27:$AN$46,MATCH(('Adjustment Surface'!$O42),'Adjustment Surface'!$AN$27:$AN$46,1)+IF('Adjustment Surface'!$O43="",-1,1))-'Adjustment Surface'!$O42)*(INDEX('Adjustment Surface'!$AO$26:$BH$26,1,MATCH(('Adjustment Surface'!W$26),'Adjustment Surface'!$AO$26:$BH$26,1)+IF('Adjustment Surface'!X$26="",-1,1))-'Adjustment Surface'!W$26)+INDEX($AO$27:$BH$46,MATCH(INDEX('Adjustment Surface'!$AN$27:$AN$46,MATCH(('Adjustment Surface'!$O42),'Adjustment Surface'!$AN$27:$AN$46,1)+IF('Adjustment Surface'!$O43="",-1,1)),$AN$27:$AN$46,0),MATCH(INDEX('Adjustment Surface'!$AO$26:$BH$26,1,MATCH(('Adjustment Surface'!W$26),'Adjustment Surface'!$AO$26:$BH$26,1)),$AO$26:$BH$26,0))*('Adjustment Surface'!$O42-INDEX('Adjustment Surface'!$AN$27:$AN$46,MATCH(('Adjustment Surface'!$O42),'Adjustment Surface'!$AN$27:$AN$46,1)))*(INDEX('Adjustment Surface'!$AO$26:$BH$26,1,MATCH(('Adjustment Surface'!W$26),'Adjustment Surface'!$AO$26:$BH$26,1)+IF('Adjustment Surface'!X$26="",-1,1))-'Adjustment Surface'!W$26)+INDEX($AO$27:$BH$46,MATCH(INDEX('Adjustment Surface'!$AN$27:$AN$46,MATCH(('Adjustment Surface'!$O42),'Adjustment Surface'!$AN$27:$AN$46,1)),$AN$27:$AN$46,0),MATCH(INDEX('Adjustment Surface'!$AO$26:$BH$26,1,MATCH(('Adjustment Surface'!W$26),'Adjustment Surface'!$AO$26:$BH$26,1)+IF('Adjustment Surface'!X$26="",-1,1)),$AO$26:$BH$26,0))*(INDEX('Adjustment Surface'!$AN$27:$AN$46,MATCH(('Adjustment Surface'!$O42),'Adjustment Surface'!$AN$27:$AN$46,1)+IF('Adjustment Surface'!$O43="",-1,1))-'Adjustment Surface'!$O42)*('Adjustment Surface'!W$26-INDEX('Adjustment Surface'!$AO$26:$BH$26,1,MATCH(('Adjustment Surface'!W$26),'Adjustment Surface'!$AO$26:$BH$26,1)))+INDEX($AO$27:$BH$46,MATCH(INDEX('Adjustment Surface'!$AN$27:$AN$46,MATCH(('Adjustment Surface'!$O42),'Adjustment Surface'!$AN$27:$AN$46,1)+IF('Adjustment Surface'!$O43="",-1,1)),$AN$27:$AN$46,0),MATCH(INDEX('Adjustment Surface'!$AO$26:$BH$26,1,MATCH(('Adjustment Surface'!W$26),'Adjustment Surface'!$AO$26:$BH$26,1)+IF('Adjustment Surface'!X$26="",-1,1)),$AO$26:$BH$26,0))*('Adjustment Surface'!$O42-INDEX('Adjustment Surface'!$AN$27:$AN$46,MATCH(('Adjustment Surface'!$O42),'Adjustment Surface'!$AN$27:$AN$46,1)))*('Adjustment Surface'!W$26-INDEX('Adjustment Surface'!$AO$26:$BH$26,1,MATCH(('Adjustment Surface'!W$26),'Adjustment Surface'!$AO$26:$BH$26,1)))))</f>
        <v/>
      </c>
      <c r="X42" s="193" t="str" cm="1">
        <f t="array" ref="X42">IF(OR(X$26="",$O42=""),"",1/((INDEX('Adjustment Surface'!$AN$27:$AN$46,MATCH(('Adjustment Surface'!$O42),'Adjustment Surface'!$AN$27:$AN$46,1)+IF('Adjustment Surface'!$O43="",-1,1))-INDEX('Adjustment Surface'!$AN$27:$AN$46,MATCH(('Adjustment Surface'!$O42),'Adjustment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Surface'!$O42),'Adjustment Surface'!$AN$27:$AN$46,1)),$AN$27:$AN$46,0),MATCH(INDEX('Adjustment Surface'!$AO$26:$BH$26,1,MATCH(('Adjustment Surface'!X$26),'Adjustment Surface'!$AO$26:$BH$26,1)),$AO$26:$BH$26,0))*(INDEX('Adjustment Surface'!$AN$27:$AN$46,MATCH(('Adjustment Surface'!$O42),'Adjustment Surface'!$AN$27:$AN$46,1)+IF('Adjustment Surface'!$O43="",-1,1))-'Adjustment Surface'!$O42)*(INDEX('Adjustment Surface'!$AO$26:$BH$26,1,MATCH(('Adjustment Surface'!X$26),'Adjustment Surface'!$AO$26:$BH$26,1)+IF('Adjustment Surface'!Y$26="",-1,1))-'Adjustment Surface'!X$26)+INDEX($AO$27:$BH$46,MATCH(INDEX('Adjustment Surface'!$AN$27:$AN$46,MATCH(('Adjustment Surface'!$O42),'Adjustment Surface'!$AN$27:$AN$46,1)+IF('Adjustment Surface'!$O43="",-1,1)),$AN$27:$AN$46,0),MATCH(INDEX('Adjustment Surface'!$AO$26:$BH$26,1,MATCH(('Adjustment Surface'!X$26),'Adjustment Surface'!$AO$26:$BH$26,1)),$AO$26:$BH$26,0))*('Adjustment Surface'!$O42-INDEX('Adjustment Surface'!$AN$27:$AN$46,MATCH(('Adjustment Surface'!$O42),'Adjustment Surface'!$AN$27:$AN$46,1)))*(INDEX('Adjustment Surface'!$AO$26:$BH$26,1,MATCH(('Adjustment Surface'!X$26),'Adjustment Surface'!$AO$26:$BH$26,1)+IF('Adjustment Surface'!Y$26="",-1,1))-'Adjustment Surface'!X$26)+INDEX($AO$27:$BH$46,MATCH(INDEX('Adjustment Surface'!$AN$27:$AN$46,MATCH(('Adjustment Surface'!$O42),'Adjustment Surface'!$AN$27:$AN$46,1)),$AN$27:$AN$46,0),MATCH(INDEX('Adjustment Surface'!$AO$26:$BH$26,1,MATCH(('Adjustment Surface'!X$26),'Adjustment Surface'!$AO$26:$BH$26,1)+IF('Adjustment Surface'!Y$26="",-1,1)),$AO$26:$BH$26,0))*(INDEX('Adjustment Surface'!$AN$27:$AN$46,MATCH(('Adjustment Surface'!$O42),'Adjustment Surface'!$AN$27:$AN$46,1)+IF('Adjustment Surface'!$O43="",-1,1))-'Adjustment Surface'!$O42)*('Adjustment Surface'!X$26-INDEX('Adjustment Surface'!$AO$26:$BH$26,1,MATCH(('Adjustment Surface'!X$26),'Adjustment Surface'!$AO$26:$BH$26,1)))+INDEX($AO$27:$BH$46,MATCH(INDEX('Adjustment Surface'!$AN$27:$AN$46,MATCH(('Adjustment Surface'!$O42),'Adjustment Surface'!$AN$27:$AN$46,1)+IF('Adjustment Surface'!$O43="",-1,1)),$AN$27:$AN$46,0),MATCH(INDEX('Adjustment Surface'!$AO$26:$BH$26,1,MATCH(('Adjustment Surface'!X$26),'Adjustment Surface'!$AO$26:$BH$26,1)+IF('Adjustment Surface'!Y$26="",-1,1)),$AO$26:$BH$26,0))*('Adjustment Surface'!$O42-INDEX('Adjustment Surface'!$AN$27:$AN$46,MATCH(('Adjustment Surface'!$O42),'Adjustment Surface'!$AN$27:$AN$46,1)))*('Adjustment Surface'!X$26-INDEX('Adjustment Surface'!$AO$26:$BH$26,1,MATCH(('Adjustment Surface'!X$26),'Adjustment Surface'!$AO$26:$BH$26,1)))))</f>
        <v/>
      </c>
      <c r="Y42" s="193" t="str" cm="1">
        <f t="array" ref="Y42">IF(OR(Y$26="",$O42=""),"",1/((INDEX('Adjustment Surface'!$AN$27:$AN$46,MATCH(('Adjustment Surface'!$O42),'Adjustment Surface'!$AN$27:$AN$46,1)+IF('Adjustment Surface'!$O43="",-1,1))-INDEX('Adjustment Surface'!$AN$27:$AN$46,MATCH(('Adjustment Surface'!$O42),'Adjustment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Surface'!$O42),'Adjustment Surface'!$AN$27:$AN$46,1)),$AN$27:$AN$46,0),MATCH(INDEX('Adjustment Surface'!$AO$26:$BH$26,1,MATCH(('Adjustment Surface'!Y$26),'Adjustment Surface'!$AO$26:$BH$26,1)),$AO$26:$BH$26,0))*(INDEX('Adjustment Surface'!$AN$27:$AN$46,MATCH(('Adjustment Surface'!$O42),'Adjustment Surface'!$AN$27:$AN$46,1)+IF('Adjustment Surface'!$O43="",-1,1))-'Adjustment Surface'!$O42)*(INDEX('Adjustment Surface'!$AO$26:$BH$26,1,MATCH(('Adjustment Surface'!Y$26),'Adjustment Surface'!$AO$26:$BH$26,1)+IF('Adjustment Surface'!Z$26="",-1,1))-'Adjustment Surface'!Y$26)+INDEX($AO$27:$BH$46,MATCH(INDEX('Adjustment Surface'!$AN$27:$AN$46,MATCH(('Adjustment Surface'!$O42),'Adjustment Surface'!$AN$27:$AN$46,1)+IF('Adjustment Surface'!$O43="",-1,1)),$AN$27:$AN$46,0),MATCH(INDEX('Adjustment Surface'!$AO$26:$BH$26,1,MATCH(('Adjustment Surface'!Y$26),'Adjustment Surface'!$AO$26:$BH$26,1)),$AO$26:$BH$26,0))*('Adjustment Surface'!$O42-INDEX('Adjustment Surface'!$AN$27:$AN$46,MATCH(('Adjustment Surface'!$O42),'Adjustment Surface'!$AN$27:$AN$46,1)))*(INDEX('Adjustment Surface'!$AO$26:$BH$26,1,MATCH(('Adjustment Surface'!Y$26),'Adjustment Surface'!$AO$26:$BH$26,1)+IF('Adjustment Surface'!Z$26="",-1,1))-'Adjustment Surface'!Y$26)+INDEX($AO$27:$BH$46,MATCH(INDEX('Adjustment Surface'!$AN$27:$AN$46,MATCH(('Adjustment Surface'!$O42),'Adjustment Surface'!$AN$27:$AN$46,1)),$AN$27:$AN$46,0),MATCH(INDEX('Adjustment Surface'!$AO$26:$BH$26,1,MATCH(('Adjustment Surface'!Y$26),'Adjustment Surface'!$AO$26:$BH$26,1)+IF('Adjustment Surface'!Z$26="",-1,1)),$AO$26:$BH$26,0))*(INDEX('Adjustment Surface'!$AN$27:$AN$46,MATCH(('Adjustment Surface'!$O42),'Adjustment Surface'!$AN$27:$AN$46,1)+IF('Adjustment Surface'!$O43="",-1,1))-'Adjustment Surface'!$O42)*('Adjustment Surface'!Y$26-INDEX('Adjustment Surface'!$AO$26:$BH$26,1,MATCH(('Adjustment Surface'!Y$26),'Adjustment Surface'!$AO$26:$BH$26,1)))+INDEX($AO$27:$BH$46,MATCH(INDEX('Adjustment Surface'!$AN$27:$AN$46,MATCH(('Adjustment Surface'!$O42),'Adjustment Surface'!$AN$27:$AN$46,1)+IF('Adjustment Surface'!$O43="",-1,1)),$AN$27:$AN$46,0),MATCH(INDEX('Adjustment Surface'!$AO$26:$BH$26,1,MATCH(('Adjustment Surface'!Y$26),'Adjustment Surface'!$AO$26:$BH$26,1)+IF('Adjustment Surface'!Z$26="",-1,1)),$AO$26:$BH$26,0))*('Adjustment Surface'!$O42-INDEX('Adjustment Surface'!$AN$27:$AN$46,MATCH(('Adjustment Surface'!$O42),'Adjustment Surface'!$AN$27:$AN$46,1)))*('Adjustment Surface'!Y$26-INDEX('Adjustment Surface'!$AO$26:$BH$26,1,MATCH(('Adjustment Surface'!Y$26),'Adjustment Surface'!$AO$26:$BH$26,1)))))</f>
        <v/>
      </c>
      <c r="Z42" s="193" t="str" cm="1">
        <f t="array" ref="Z42">IF(OR(Z$26="",$O42=""),"",1/((INDEX('Adjustment Surface'!$AN$27:$AN$46,MATCH(('Adjustment Surface'!$O42),'Adjustment Surface'!$AN$27:$AN$46,1)+IF('Adjustment Surface'!$O43="",-1,1))-INDEX('Adjustment Surface'!$AN$27:$AN$46,MATCH(('Adjustment Surface'!$O42),'Adjustment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Surface'!$O42),'Adjustment Surface'!$AN$27:$AN$46,1)),$AN$27:$AN$46,0),MATCH(INDEX('Adjustment Surface'!$AO$26:$BH$26,1,MATCH(('Adjustment Surface'!Z$26),'Adjustment Surface'!$AO$26:$BH$26,1)),$AO$26:$BH$26,0))*(INDEX('Adjustment Surface'!$AN$27:$AN$46,MATCH(('Adjustment Surface'!$O42),'Adjustment Surface'!$AN$27:$AN$46,1)+IF('Adjustment Surface'!$O43="",-1,1))-'Adjustment Surface'!$O42)*(INDEX('Adjustment Surface'!$AO$26:$BH$26,1,MATCH(('Adjustment Surface'!Z$26),'Adjustment Surface'!$AO$26:$BH$26,1)+IF('Adjustment Surface'!AA$26="",-1,1))-'Adjustment Surface'!Z$26)+INDEX($AO$27:$BH$46,MATCH(INDEX('Adjustment Surface'!$AN$27:$AN$46,MATCH(('Adjustment Surface'!$O42),'Adjustment Surface'!$AN$27:$AN$46,1)+IF('Adjustment Surface'!$O43="",-1,1)),$AN$27:$AN$46,0),MATCH(INDEX('Adjustment Surface'!$AO$26:$BH$26,1,MATCH(('Adjustment Surface'!Z$26),'Adjustment Surface'!$AO$26:$BH$26,1)),$AO$26:$BH$26,0))*('Adjustment Surface'!$O42-INDEX('Adjustment Surface'!$AN$27:$AN$46,MATCH(('Adjustment Surface'!$O42),'Adjustment Surface'!$AN$27:$AN$46,1)))*(INDEX('Adjustment Surface'!$AO$26:$BH$26,1,MATCH(('Adjustment Surface'!Z$26),'Adjustment Surface'!$AO$26:$BH$26,1)+IF('Adjustment Surface'!AA$26="",-1,1))-'Adjustment Surface'!Z$26)+INDEX($AO$27:$BH$46,MATCH(INDEX('Adjustment Surface'!$AN$27:$AN$46,MATCH(('Adjustment Surface'!$O42),'Adjustment Surface'!$AN$27:$AN$46,1)),$AN$27:$AN$46,0),MATCH(INDEX('Adjustment Surface'!$AO$26:$BH$26,1,MATCH(('Adjustment Surface'!Z$26),'Adjustment Surface'!$AO$26:$BH$26,1)+IF('Adjustment Surface'!AA$26="",-1,1)),$AO$26:$BH$26,0))*(INDEX('Adjustment Surface'!$AN$27:$AN$46,MATCH(('Adjustment Surface'!$O42),'Adjustment Surface'!$AN$27:$AN$46,1)+IF('Adjustment Surface'!$O43="",-1,1))-'Adjustment Surface'!$O42)*('Adjustment Surface'!Z$26-INDEX('Adjustment Surface'!$AO$26:$BH$26,1,MATCH(('Adjustment Surface'!Z$26),'Adjustment Surface'!$AO$26:$BH$26,1)))+INDEX($AO$27:$BH$46,MATCH(INDEX('Adjustment Surface'!$AN$27:$AN$46,MATCH(('Adjustment Surface'!$O42),'Adjustment Surface'!$AN$27:$AN$46,1)+IF('Adjustment Surface'!$O43="",-1,1)),$AN$27:$AN$46,0),MATCH(INDEX('Adjustment Surface'!$AO$26:$BH$26,1,MATCH(('Adjustment Surface'!Z$26),'Adjustment Surface'!$AO$26:$BH$26,1)+IF('Adjustment Surface'!AA$26="",-1,1)),$AO$26:$BH$26,0))*('Adjustment Surface'!$O42-INDEX('Adjustment Surface'!$AN$27:$AN$46,MATCH(('Adjustment Surface'!$O42),'Adjustment Surface'!$AN$27:$AN$46,1)))*('Adjustment Surface'!Z$26-INDEX('Adjustment Surface'!$AO$26:$BH$26,1,MATCH(('Adjustment Surface'!Z$26),'Adjustment Surface'!$AO$26:$BH$26,1)))))</f>
        <v/>
      </c>
      <c r="AA42" s="193" t="str" cm="1">
        <f t="array" ref="AA42">IF(OR(AA$26="",$O42=""),"",1/((INDEX('Adjustment Surface'!$AN$27:$AN$46,MATCH(('Adjustment Surface'!$O42),'Adjustment Surface'!$AN$27:$AN$46,1)+IF('Adjustment Surface'!$O43="",-1,1))-INDEX('Adjustment Surface'!$AN$27:$AN$46,MATCH(('Adjustment Surface'!$O42),'Adjustment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Surface'!$O42),'Adjustment Surface'!$AN$27:$AN$46,1)),$AN$27:$AN$46,0),MATCH(INDEX('Adjustment Surface'!$AO$26:$BH$26,1,MATCH(('Adjustment Surface'!AA$26),'Adjustment Surface'!$AO$26:$BH$26,1)),$AO$26:$BH$26,0))*(INDEX('Adjustment Surface'!$AN$27:$AN$46,MATCH(('Adjustment Surface'!$O42),'Adjustment Surface'!$AN$27:$AN$46,1)+IF('Adjustment Surface'!$O43="",-1,1))-'Adjustment Surface'!$O42)*(INDEX('Adjustment Surface'!$AO$26:$BH$26,1,MATCH(('Adjustment Surface'!AA$26),'Adjustment Surface'!$AO$26:$BH$26,1)+IF('Adjustment Surface'!AB$26="",-1,1))-'Adjustment Surface'!AA$26)+INDEX($AO$27:$BH$46,MATCH(INDEX('Adjustment Surface'!$AN$27:$AN$46,MATCH(('Adjustment Surface'!$O42),'Adjustment Surface'!$AN$27:$AN$46,1)+IF('Adjustment Surface'!$O43="",-1,1)),$AN$27:$AN$46,0),MATCH(INDEX('Adjustment Surface'!$AO$26:$BH$26,1,MATCH(('Adjustment Surface'!AA$26),'Adjustment Surface'!$AO$26:$BH$26,1)),$AO$26:$BH$26,0))*('Adjustment Surface'!$O42-INDEX('Adjustment Surface'!$AN$27:$AN$46,MATCH(('Adjustment Surface'!$O42),'Adjustment Surface'!$AN$27:$AN$46,1)))*(INDEX('Adjustment Surface'!$AO$26:$BH$26,1,MATCH(('Adjustment Surface'!AA$26),'Adjustment Surface'!$AO$26:$BH$26,1)+IF('Adjustment Surface'!AB$26="",-1,1))-'Adjustment Surface'!AA$26)+INDEX($AO$27:$BH$46,MATCH(INDEX('Adjustment Surface'!$AN$27:$AN$46,MATCH(('Adjustment Surface'!$O42),'Adjustment Surface'!$AN$27:$AN$46,1)),$AN$27:$AN$46,0),MATCH(INDEX('Adjustment Surface'!$AO$26:$BH$26,1,MATCH(('Adjustment Surface'!AA$26),'Adjustment Surface'!$AO$26:$BH$26,1)+IF('Adjustment Surface'!AB$26="",-1,1)),$AO$26:$BH$26,0))*(INDEX('Adjustment Surface'!$AN$27:$AN$46,MATCH(('Adjustment Surface'!$O42),'Adjustment Surface'!$AN$27:$AN$46,1)+IF('Adjustment Surface'!$O43="",-1,1))-'Adjustment Surface'!$O42)*('Adjustment Surface'!AA$26-INDEX('Adjustment Surface'!$AO$26:$BH$26,1,MATCH(('Adjustment Surface'!AA$26),'Adjustment Surface'!$AO$26:$BH$26,1)))+INDEX($AO$27:$BH$46,MATCH(INDEX('Adjustment Surface'!$AN$27:$AN$46,MATCH(('Adjustment Surface'!$O42),'Adjustment Surface'!$AN$27:$AN$46,1)+IF('Adjustment Surface'!$O43="",-1,1)),$AN$27:$AN$46,0),MATCH(INDEX('Adjustment Surface'!$AO$26:$BH$26,1,MATCH(('Adjustment Surface'!AA$26),'Adjustment Surface'!$AO$26:$BH$26,1)+IF('Adjustment Surface'!AB$26="",-1,1)),$AO$26:$BH$26,0))*('Adjustment Surface'!$O42-INDEX('Adjustment Surface'!$AN$27:$AN$46,MATCH(('Adjustment Surface'!$O42),'Adjustment Surface'!$AN$27:$AN$46,1)))*('Adjustment Surface'!AA$26-INDEX('Adjustment Surface'!$AO$26:$BH$26,1,MATCH(('Adjustment Surface'!AA$26),'Adjustment Surface'!$AO$26:$BH$26,1)))))</f>
        <v/>
      </c>
      <c r="AB42" s="193" t="str" cm="1">
        <f t="array" ref="AB42">IF(OR(AB$26="",$O42=""),"",1/((INDEX('Adjustment Surface'!$AN$27:$AN$46,MATCH(('Adjustment Surface'!$O42),'Adjustment Surface'!$AN$27:$AN$46,1)+IF('Adjustment Surface'!$O43="",-1,1))-INDEX('Adjustment Surface'!$AN$27:$AN$46,MATCH(('Adjustment Surface'!$O42),'Adjustment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Surface'!$O42),'Adjustment Surface'!$AN$27:$AN$46,1)),$AN$27:$AN$46,0),MATCH(INDEX('Adjustment Surface'!$AO$26:$BH$26,1,MATCH(('Adjustment Surface'!AB$26),'Adjustment Surface'!$AO$26:$BH$26,1)),$AO$26:$BH$26,0))*(INDEX('Adjustment Surface'!$AN$27:$AN$46,MATCH(('Adjustment Surface'!$O42),'Adjustment Surface'!$AN$27:$AN$46,1)+IF('Adjustment Surface'!$O43="",-1,1))-'Adjustment Surface'!$O42)*(INDEX('Adjustment Surface'!$AO$26:$BH$26,1,MATCH(('Adjustment Surface'!AB$26),'Adjustment Surface'!$AO$26:$BH$26,1)+IF('Adjustment Surface'!AC$26="",-1,1))-'Adjustment Surface'!AB$26)+INDEX($AO$27:$BH$46,MATCH(INDEX('Adjustment Surface'!$AN$27:$AN$46,MATCH(('Adjustment Surface'!$O42),'Adjustment Surface'!$AN$27:$AN$46,1)+IF('Adjustment Surface'!$O43="",-1,1)),$AN$27:$AN$46,0),MATCH(INDEX('Adjustment Surface'!$AO$26:$BH$26,1,MATCH(('Adjustment Surface'!AB$26),'Adjustment Surface'!$AO$26:$BH$26,1)),$AO$26:$BH$26,0))*('Adjustment Surface'!$O42-INDEX('Adjustment Surface'!$AN$27:$AN$46,MATCH(('Adjustment Surface'!$O42),'Adjustment Surface'!$AN$27:$AN$46,1)))*(INDEX('Adjustment Surface'!$AO$26:$BH$26,1,MATCH(('Adjustment Surface'!AB$26),'Adjustment Surface'!$AO$26:$BH$26,1)+IF('Adjustment Surface'!AC$26="",-1,1))-'Adjustment Surface'!AB$26)+INDEX($AO$27:$BH$46,MATCH(INDEX('Adjustment Surface'!$AN$27:$AN$46,MATCH(('Adjustment Surface'!$O42),'Adjustment Surface'!$AN$27:$AN$46,1)),$AN$27:$AN$46,0),MATCH(INDEX('Adjustment Surface'!$AO$26:$BH$26,1,MATCH(('Adjustment Surface'!AB$26),'Adjustment Surface'!$AO$26:$BH$26,1)+IF('Adjustment Surface'!AC$26="",-1,1)),$AO$26:$BH$26,0))*(INDEX('Adjustment Surface'!$AN$27:$AN$46,MATCH(('Adjustment Surface'!$O42),'Adjustment Surface'!$AN$27:$AN$46,1)+IF('Adjustment Surface'!$O43="",-1,1))-'Adjustment Surface'!$O42)*('Adjustment Surface'!AB$26-INDEX('Adjustment Surface'!$AO$26:$BH$26,1,MATCH(('Adjustment Surface'!AB$26),'Adjustment Surface'!$AO$26:$BH$26,1)))+INDEX($AO$27:$BH$46,MATCH(INDEX('Adjustment Surface'!$AN$27:$AN$46,MATCH(('Adjustment Surface'!$O42),'Adjustment Surface'!$AN$27:$AN$46,1)+IF('Adjustment Surface'!$O43="",-1,1)),$AN$27:$AN$46,0),MATCH(INDEX('Adjustment Surface'!$AO$26:$BH$26,1,MATCH(('Adjustment Surface'!AB$26),'Adjustment Surface'!$AO$26:$BH$26,1)+IF('Adjustment Surface'!AC$26="",-1,1)),$AO$26:$BH$26,0))*('Adjustment Surface'!$O42-INDEX('Adjustment Surface'!$AN$27:$AN$46,MATCH(('Adjustment Surface'!$O42),'Adjustment Surface'!$AN$27:$AN$46,1)))*('Adjustment Surface'!AB$26-INDEX('Adjustment Surface'!$AO$26:$BH$26,1,MATCH(('Adjustment Surface'!AB$26),'Adjustment Surface'!$AO$26:$BH$26,1)))))</f>
        <v/>
      </c>
      <c r="AC42" s="193" t="str" cm="1">
        <f t="array" ref="AC42">IF(OR(AC$26="",$O42=""),"",1/((INDEX('Adjustment Surface'!$AN$27:$AN$46,MATCH(('Adjustment Surface'!$O42),'Adjustment Surface'!$AN$27:$AN$46,1)+IF('Adjustment Surface'!$O43="",-1,1))-INDEX('Adjustment Surface'!$AN$27:$AN$46,MATCH(('Adjustment Surface'!$O42),'Adjustment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Surface'!$O42),'Adjustment Surface'!$AN$27:$AN$46,1)),$AN$27:$AN$46,0),MATCH(INDEX('Adjustment Surface'!$AO$26:$BH$26,1,MATCH(('Adjustment Surface'!AC$26),'Adjustment Surface'!$AO$26:$BH$26,1)),$AO$26:$BH$26,0))*(INDEX('Adjustment Surface'!$AN$27:$AN$46,MATCH(('Adjustment Surface'!$O42),'Adjustment Surface'!$AN$27:$AN$46,1)+IF('Adjustment Surface'!$O43="",-1,1))-'Adjustment Surface'!$O42)*(INDEX('Adjustment Surface'!$AO$26:$BH$26,1,MATCH(('Adjustment Surface'!AC$26),'Adjustment Surface'!$AO$26:$BH$26,1)+IF('Adjustment Surface'!AD$26="",-1,1))-'Adjustment Surface'!AC$26)+INDEX($AO$27:$BH$46,MATCH(INDEX('Adjustment Surface'!$AN$27:$AN$46,MATCH(('Adjustment Surface'!$O42),'Adjustment Surface'!$AN$27:$AN$46,1)+IF('Adjustment Surface'!$O43="",-1,1)),$AN$27:$AN$46,0),MATCH(INDEX('Adjustment Surface'!$AO$26:$BH$26,1,MATCH(('Adjustment Surface'!AC$26),'Adjustment Surface'!$AO$26:$BH$26,1)),$AO$26:$BH$26,0))*('Adjustment Surface'!$O42-INDEX('Adjustment Surface'!$AN$27:$AN$46,MATCH(('Adjustment Surface'!$O42),'Adjustment Surface'!$AN$27:$AN$46,1)))*(INDEX('Adjustment Surface'!$AO$26:$BH$26,1,MATCH(('Adjustment Surface'!AC$26),'Adjustment Surface'!$AO$26:$BH$26,1)+IF('Adjustment Surface'!AD$26="",-1,1))-'Adjustment Surface'!AC$26)+INDEX($AO$27:$BH$46,MATCH(INDEX('Adjustment Surface'!$AN$27:$AN$46,MATCH(('Adjustment Surface'!$O42),'Adjustment Surface'!$AN$27:$AN$46,1)),$AN$27:$AN$46,0),MATCH(INDEX('Adjustment Surface'!$AO$26:$BH$26,1,MATCH(('Adjustment Surface'!AC$26),'Adjustment Surface'!$AO$26:$BH$26,1)+IF('Adjustment Surface'!AD$26="",-1,1)),$AO$26:$BH$26,0))*(INDEX('Adjustment Surface'!$AN$27:$AN$46,MATCH(('Adjustment Surface'!$O42),'Adjustment Surface'!$AN$27:$AN$46,1)+IF('Adjustment Surface'!$O43="",-1,1))-'Adjustment Surface'!$O42)*('Adjustment Surface'!AC$26-INDEX('Adjustment Surface'!$AO$26:$BH$26,1,MATCH(('Adjustment Surface'!AC$26),'Adjustment Surface'!$AO$26:$BH$26,1)))+INDEX($AO$27:$BH$46,MATCH(INDEX('Adjustment Surface'!$AN$27:$AN$46,MATCH(('Adjustment Surface'!$O42),'Adjustment Surface'!$AN$27:$AN$46,1)+IF('Adjustment Surface'!$O43="",-1,1)),$AN$27:$AN$46,0),MATCH(INDEX('Adjustment Surface'!$AO$26:$BH$26,1,MATCH(('Adjustment Surface'!AC$26),'Adjustment Surface'!$AO$26:$BH$26,1)+IF('Adjustment Surface'!AD$26="",-1,1)),$AO$26:$BH$26,0))*('Adjustment Surface'!$O42-INDEX('Adjustment Surface'!$AN$27:$AN$46,MATCH(('Adjustment Surface'!$O42),'Adjustment Surface'!$AN$27:$AN$46,1)))*('Adjustment Surface'!AC$26-INDEX('Adjustment Surface'!$AO$26:$BH$26,1,MATCH(('Adjustment Surface'!AC$26),'Adjustment Surface'!$AO$26:$BH$26,1)))))</f>
        <v/>
      </c>
      <c r="AD42" s="193" t="str" cm="1">
        <f t="array" ref="AD42">IF(OR(AD$26="",$O42=""),"",1/((INDEX('Adjustment Surface'!$AN$27:$AN$46,MATCH(('Adjustment Surface'!$O42),'Adjustment Surface'!$AN$27:$AN$46,1)+IF('Adjustment Surface'!$O43="",-1,1))-INDEX('Adjustment Surface'!$AN$27:$AN$46,MATCH(('Adjustment Surface'!$O42),'Adjustment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Surface'!$O42),'Adjustment Surface'!$AN$27:$AN$46,1)),$AN$27:$AN$46,0),MATCH(INDEX('Adjustment Surface'!$AO$26:$BH$26,1,MATCH(('Adjustment Surface'!AD$26),'Adjustment Surface'!$AO$26:$BH$26,1)),$AO$26:$BH$26,0))*(INDEX('Adjustment Surface'!$AN$27:$AN$46,MATCH(('Adjustment Surface'!$O42),'Adjustment Surface'!$AN$27:$AN$46,1)+IF('Adjustment Surface'!$O43="",-1,1))-'Adjustment Surface'!$O42)*(INDEX('Adjustment Surface'!$AO$26:$BH$26,1,MATCH(('Adjustment Surface'!AD$26),'Adjustment Surface'!$AO$26:$BH$26,1)+IF('Adjustment Surface'!AE$26="",-1,1))-'Adjustment Surface'!AD$26)+INDEX($AO$27:$BH$46,MATCH(INDEX('Adjustment Surface'!$AN$27:$AN$46,MATCH(('Adjustment Surface'!$O42),'Adjustment Surface'!$AN$27:$AN$46,1)+IF('Adjustment Surface'!$O43="",-1,1)),$AN$27:$AN$46,0),MATCH(INDEX('Adjustment Surface'!$AO$26:$BH$26,1,MATCH(('Adjustment Surface'!AD$26),'Adjustment Surface'!$AO$26:$BH$26,1)),$AO$26:$BH$26,0))*('Adjustment Surface'!$O42-INDEX('Adjustment Surface'!$AN$27:$AN$46,MATCH(('Adjustment Surface'!$O42),'Adjustment Surface'!$AN$27:$AN$46,1)))*(INDEX('Adjustment Surface'!$AO$26:$BH$26,1,MATCH(('Adjustment Surface'!AD$26),'Adjustment Surface'!$AO$26:$BH$26,1)+IF('Adjustment Surface'!AE$26="",-1,1))-'Adjustment Surface'!AD$26)+INDEX($AO$27:$BH$46,MATCH(INDEX('Adjustment Surface'!$AN$27:$AN$46,MATCH(('Adjustment Surface'!$O42),'Adjustment Surface'!$AN$27:$AN$46,1)),$AN$27:$AN$46,0),MATCH(INDEX('Adjustment Surface'!$AO$26:$BH$26,1,MATCH(('Adjustment Surface'!AD$26),'Adjustment Surface'!$AO$26:$BH$26,1)+IF('Adjustment Surface'!AE$26="",-1,1)),$AO$26:$BH$26,0))*(INDEX('Adjustment Surface'!$AN$27:$AN$46,MATCH(('Adjustment Surface'!$O42),'Adjustment Surface'!$AN$27:$AN$46,1)+IF('Adjustment Surface'!$O43="",-1,1))-'Adjustment Surface'!$O42)*('Adjustment Surface'!AD$26-INDEX('Adjustment Surface'!$AO$26:$BH$26,1,MATCH(('Adjustment Surface'!AD$26),'Adjustment Surface'!$AO$26:$BH$26,1)))+INDEX($AO$27:$BH$46,MATCH(INDEX('Adjustment Surface'!$AN$27:$AN$46,MATCH(('Adjustment Surface'!$O42),'Adjustment Surface'!$AN$27:$AN$46,1)+IF('Adjustment Surface'!$O43="",-1,1)),$AN$27:$AN$46,0),MATCH(INDEX('Adjustment Surface'!$AO$26:$BH$26,1,MATCH(('Adjustment Surface'!AD$26),'Adjustment Surface'!$AO$26:$BH$26,1)+IF('Adjustment Surface'!AE$26="",-1,1)),$AO$26:$BH$26,0))*('Adjustment Surface'!$O42-INDEX('Adjustment Surface'!$AN$27:$AN$46,MATCH(('Adjustment Surface'!$O42),'Adjustment Surface'!$AN$27:$AN$46,1)))*('Adjustment Surface'!AD$26-INDEX('Adjustment Surface'!$AO$26:$BH$26,1,MATCH(('Adjustment Surface'!AD$26),'Adjustment Surface'!$AO$26:$BH$26,1)))))</f>
        <v/>
      </c>
      <c r="AE42" s="193" t="str" cm="1">
        <f t="array" ref="AE42">IF(OR(AE$26="",$O42=""),"",1/((INDEX('Adjustment Surface'!$AN$27:$AN$46,MATCH(('Adjustment Surface'!$O42),'Adjustment Surface'!$AN$27:$AN$46,1)+IF('Adjustment Surface'!$O43="",-1,1))-INDEX('Adjustment Surface'!$AN$27:$AN$46,MATCH(('Adjustment Surface'!$O42),'Adjustment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Surface'!$O42),'Adjustment Surface'!$AN$27:$AN$46,1)),$AN$27:$AN$46,0),MATCH(INDEX('Adjustment Surface'!$AO$26:$BH$26,1,MATCH(('Adjustment Surface'!AE$26),'Adjustment Surface'!$AO$26:$BH$26,1)),$AO$26:$BH$26,0))*(INDEX('Adjustment Surface'!$AN$27:$AN$46,MATCH(('Adjustment Surface'!$O42),'Adjustment Surface'!$AN$27:$AN$46,1)+IF('Adjustment Surface'!$O43="",-1,1))-'Adjustment Surface'!$O42)*(INDEX('Adjustment Surface'!$AO$26:$BH$26,1,MATCH(('Adjustment Surface'!AE$26),'Adjustment Surface'!$AO$26:$BH$26,1)+IF('Adjustment Surface'!AF$26="",-1,1))-'Adjustment Surface'!AE$26)+INDEX($AO$27:$BH$46,MATCH(INDEX('Adjustment Surface'!$AN$27:$AN$46,MATCH(('Adjustment Surface'!$O42),'Adjustment Surface'!$AN$27:$AN$46,1)+IF('Adjustment Surface'!$O43="",-1,1)),$AN$27:$AN$46,0),MATCH(INDEX('Adjustment Surface'!$AO$26:$BH$26,1,MATCH(('Adjustment Surface'!AE$26),'Adjustment Surface'!$AO$26:$BH$26,1)),$AO$26:$BH$26,0))*('Adjustment Surface'!$O42-INDEX('Adjustment Surface'!$AN$27:$AN$46,MATCH(('Adjustment Surface'!$O42),'Adjustment Surface'!$AN$27:$AN$46,1)))*(INDEX('Adjustment Surface'!$AO$26:$BH$26,1,MATCH(('Adjustment Surface'!AE$26),'Adjustment Surface'!$AO$26:$BH$26,1)+IF('Adjustment Surface'!AF$26="",-1,1))-'Adjustment Surface'!AE$26)+INDEX($AO$27:$BH$46,MATCH(INDEX('Adjustment Surface'!$AN$27:$AN$46,MATCH(('Adjustment Surface'!$O42),'Adjustment Surface'!$AN$27:$AN$46,1)),$AN$27:$AN$46,0),MATCH(INDEX('Adjustment Surface'!$AO$26:$BH$26,1,MATCH(('Adjustment Surface'!AE$26),'Adjustment Surface'!$AO$26:$BH$26,1)+IF('Adjustment Surface'!AF$26="",-1,1)),$AO$26:$BH$26,0))*(INDEX('Adjustment Surface'!$AN$27:$AN$46,MATCH(('Adjustment Surface'!$O42),'Adjustment Surface'!$AN$27:$AN$46,1)+IF('Adjustment Surface'!$O43="",-1,1))-'Adjustment Surface'!$O42)*('Adjustment Surface'!AE$26-INDEX('Adjustment Surface'!$AO$26:$BH$26,1,MATCH(('Adjustment Surface'!AE$26),'Adjustment Surface'!$AO$26:$BH$26,1)))+INDEX($AO$27:$BH$46,MATCH(INDEX('Adjustment Surface'!$AN$27:$AN$46,MATCH(('Adjustment Surface'!$O42),'Adjustment Surface'!$AN$27:$AN$46,1)+IF('Adjustment Surface'!$O43="",-1,1)),$AN$27:$AN$46,0),MATCH(INDEX('Adjustment Surface'!$AO$26:$BH$26,1,MATCH(('Adjustment Surface'!AE$26),'Adjustment Surface'!$AO$26:$BH$26,1)+IF('Adjustment Surface'!AF$26="",-1,1)),$AO$26:$BH$26,0))*('Adjustment Surface'!$O42-INDEX('Adjustment Surface'!$AN$27:$AN$46,MATCH(('Adjustment Surface'!$O42),'Adjustment Surface'!$AN$27:$AN$46,1)))*('Adjustment Surface'!AE$26-INDEX('Adjustment Surface'!$AO$26:$BH$26,1,MATCH(('Adjustment Surface'!AE$26),'Adjustment Surface'!$AO$26:$BH$26,1)))))</f>
        <v/>
      </c>
      <c r="AF42" s="193" t="str" cm="1">
        <f t="array" ref="AF42">IF(OR(AF$26="",$O42=""),"",1/((INDEX('Adjustment Surface'!$AN$27:$AN$46,MATCH(('Adjustment Surface'!$O42),'Adjustment Surface'!$AN$27:$AN$46,1)+IF('Adjustment Surface'!$O43="",-1,1))-INDEX('Adjustment Surface'!$AN$27:$AN$46,MATCH(('Adjustment Surface'!$O42),'Adjustment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Surface'!$O42),'Adjustment Surface'!$AN$27:$AN$46,1)),$AN$27:$AN$46,0),MATCH(INDEX('Adjustment Surface'!$AO$26:$BH$26,1,MATCH(('Adjustment Surface'!AF$26),'Adjustment Surface'!$AO$26:$BH$26,1)),$AO$26:$BH$26,0))*(INDEX('Adjustment Surface'!$AN$27:$AN$46,MATCH(('Adjustment Surface'!$O42),'Adjustment Surface'!$AN$27:$AN$46,1)+IF('Adjustment Surface'!$O43="",-1,1))-'Adjustment Surface'!$O42)*(INDEX('Adjustment Surface'!$AO$26:$BH$26,1,MATCH(('Adjustment Surface'!AF$26),'Adjustment Surface'!$AO$26:$BH$26,1)+IF('Adjustment Surface'!AG$26="",-1,1))-'Adjustment Surface'!AF$26)+INDEX($AO$27:$BH$46,MATCH(INDEX('Adjustment Surface'!$AN$27:$AN$46,MATCH(('Adjustment Surface'!$O42),'Adjustment Surface'!$AN$27:$AN$46,1)+IF('Adjustment Surface'!$O43="",-1,1)),$AN$27:$AN$46,0),MATCH(INDEX('Adjustment Surface'!$AO$26:$BH$26,1,MATCH(('Adjustment Surface'!AF$26),'Adjustment Surface'!$AO$26:$BH$26,1)),$AO$26:$BH$26,0))*('Adjustment Surface'!$O42-INDEX('Adjustment Surface'!$AN$27:$AN$46,MATCH(('Adjustment Surface'!$O42),'Adjustment Surface'!$AN$27:$AN$46,1)))*(INDEX('Adjustment Surface'!$AO$26:$BH$26,1,MATCH(('Adjustment Surface'!AF$26),'Adjustment Surface'!$AO$26:$BH$26,1)+IF('Adjustment Surface'!AG$26="",-1,1))-'Adjustment Surface'!AF$26)+INDEX($AO$27:$BH$46,MATCH(INDEX('Adjustment Surface'!$AN$27:$AN$46,MATCH(('Adjustment Surface'!$O42),'Adjustment Surface'!$AN$27:$AN$46,1)),$AN$27:$AN$46,0),MATCH(INDEX('Adjustment Surface'!$AO$26:$BH$26,1,MATCH(('Adjustment Surface'!AF$26),'Adjustment Surface'!$AO$26:$BH$26,1)+IF('Adjustment Surface'!AG$26="",-1,1)),$AO$26:$BH$26,0))*(INDEX('Adjustment Surface'!$AN$27:$AN$46,MATCH(('Adjustment Surface'!$O42),'Adjustment Surface'!$AN$27:$AN$46,1)+IF('Adjustment Surface'!$O43="",-1,1))-'Adjustment Surface'!$O42)*('Adjustment Surface'!AF$26-INDEX('Adjustment Surface'!$AO$26:$BH$26,1,MATCH(('Adjustment Surface'!AF$26),'Adjustment Surface'!$AO$26:$BH$26,1)))+INDEX($AO$27:$BH$46,MATCH(INDEX('Adjustment Surface'!$AN$27:$AN$46,MATCH(('Adjustment Surface'!$O42),'Adjustment Surface'!$AN$27:$AN$46,1)+IF('Adjustment Surface'!$O43="",-1,1)),$AN$27:$AN$46,0),MATCH(INDEX('Adjustment Surface'!$AO$26:$BH$26,1,MATCH(('Adjustment Surface'!AF$26),'Adjustment Surface'!$AO$26:$BH$26,1)+IF('Adjustment Surface'!AG$26="",-1,1)),$AO$26:$BH$26,0))*('Adjustment Surface'!$O42-INDEX('Adjustment Surface'!$AN$27:$AN$46,MATCH(('Adjustment Surface'!$O42),'Adjustment Surface'!$AN$27:$AN$46,1)))*('Adjustment Surface'!AF$26-INDEX('Adjustment Surface'!$AO$26:$BH$26,1,MATCH(('Adjustment Surface'!AF$26),'Adjustment Surface'!$AO$26:$BH$26,1)))))</f>
        <v/>
      </c>
      <c r="AG42" s="193" t="str" cm="1">
        <f t="array" ref="AG42">IF(OR(AG$26="",$O42=""),"",1/((INDEX('Adjustment Surface'!$AN$27:$AN$46,MATCH(('Adjustment Surface'!$O42),'Adjustment Surface'!$AN$27:$AN$46,1)+IF('Adjustment Surface'!$O43="",-1,1))-INDEX('Adjustment Surface'!$AN$27:$AN$46,MATCH(('Adjustment Surface'!$O42),'Adjustment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Surface'!$O42),'Adjustment Surface'!$AN$27:$AN$46,1)),$AN$27:$AN$46,0),MATCH(INDEX('Adjustment Surface'!$AO$26:$BH$26,1,MATCH(('Adjustment Surface'!AG$26),'Adjustment Surface'!$AO$26:$BH$26,1)),$AO$26:$BH$26,0))*(INDEX('Adjustment Surface'!$AN$27:$AN$46,MATCH(('Adjustment Surface'!$O42),'Adjustment Surface'!$AN$27:$AN$46,1)+IF('Adjustment Surface'!$O43="",-1,1))-'Adjustment Surface'!$O42)*(INDEX('Adjustment Surface'!$AO$26:$BH$26,1,MATCH(('Adjustment Surface'!AG$26),'Adjustment Surface'!$AO$26:$BH$26,1)+IF('Adjustment Surface'!AH$26="",-1,1))-'Adjustment Surface'!AG$26)+INDEX($AO$27:$BH$46,MATCH(INDEX('Adjustment Surface'!$AN$27:$AN$46,MATCH(('Adjustment Surface'!$O42),'Adjustment Surface'!$AN$27:$AN$46,1)+IF('Adjustment Surface'!$O43="",-1,1)),$AN$27:$AN$46,0),MATCH(INDEX('Adjustment Surface'!$AO$26:$BH$26,1,MATCH(('Adjustment Surface'!AG$26),'Adjustment Surface'!$AO$26:$BH$26,1)),$AO$26:$BH$26,0))*('Adjustment Surface'!$O42-INDEX('Adjustment Surface'!$AN$27:$AN$46,MATCH(('Adjustment Surface'!$O42),'Adjustment Surface'!$AN$27:$AN$46,1)))*(INDEX('Adjustment Surface'!$AO$26:$BH$26,1,MATCH(('Adjustment Surface'!AG$26),'Adjustment Surface'!$AO$26:$BH$26,1)+IF('Adjustment Surface'!AH$26="",-1,1))-'Adjustment Surface'!AG$26)+INDEX($AO$27:$BH$46,MATCH(INDEX('Adjustment Surface'!$AN$27:$AN$46,MATCH(('Adjustment Surface'!$O42),'Adjustment Surface'!$AN$27:$AN$46,1)),$AN$27:$AN$46,0),MATCH(INDEX('Adjustment Surface'!$AO$26:$BH$26,1,MATCH(('Adjustment Surface'!AG$26),'Adjustment Surface'!$AO$26:$BH$26,1)+IF('Adjustment Surface'!AH$26="",-1,1)),$AO$26:$BH$26,0))*(INDEX('Adjustment Surface'!$AN$27:$AN$46,MATCH(('Adjustment Surface'!$O42),'Adjustment Surface'!$AN$27:$AN$46,1)+IF('Adjustment Surface'!$O43="",-1,1))-'Adjustment Surface'!$O42)*('Adjustment Surface'!AG$26-INDEX('Adjustment Surface'!$AO$26:$BH$26,1,MATCH(('Adjustment Surface'!AG$26),'Adjustment Surface'!$AO$26:$BH$26,1)))+INDEX($AO$27:$BH$46,MATCH(INDEX('Adjustment Surface'!$AN$27:$AN$46,MATCH(('Adjustment Surface'!$O42),'Adjustment Surface'!$AN$27:$AN$46,1)+IF('Adjustment Surface'!$O43="",-1,1)),$AN$27:$AN$46,0),MATCH(INDEX('Adjustment Surface'!$AO$26:$BH$26,1,MATCH(('Adjustment Surface'!AG$26),'Adjustment Surface'!$AO$26:$BH$26,1)+IF('Adjustment Surface'!AH$26="",-1,1)),$AO$26:$BH$26,0))*('Adjustment Surface'!$O42-INDEX('Adjustment Surface'!$AN$27:$AN$46,MATCH(('Adjustment Surface'!$O42),'Adjustment Surface'!$AN$27:$AN$46,1)))*('Adjustment Surface'!AG$26-INDEX('Adjustment Surface'!$AO$26:$BH$26,1,MATCH(('Adjustment Surface'!AG$26),'Adjustment Surface'!$AO$26:$BH$26,1)))))</f>
        <v/>
      </c>
      <c r="AH42" s="193" t="str" cm="1">
        <f t="array" ref="AH42">IF(OR(AH$26="",$O42=""),"",1/((INDEX('Adjustment Surface'!$AN$27:$AN$46,MATCH(('Adjustment Surface'!$O42),'Adjustment Surface'!$AN$27:$AN$46,1)+IF('Adjustment Surface'!$O43="",-1,1))-INDEX('Adjustment Surface'!$AN$27:$AN$46,MATCH(('Adjustment Surface'!$O42),'Adjustment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Surface'!$O42),'Adjustment Surface'!$AN$27:$AN$46,1)),$AN$27:$AN$46,0),MATCH(INDEX('Adjustment Surface'!$AO$26:$BH$26,1,MATCH(('Adjustment Surface'!AH$26),'Adjustment Surface'!$AO$26:$BH$26,1)),$AO$26:$BH$26,0))*(INDEX('Adjustment Surface'!$AN$27:$AN$46,MATCH(('Adjustment Surface'!$O42),'Adjustment Surface'!$AN$27:$AN$46,1)+IF('Adjustment Surface'!$O43="",-1,1))-'Adjustment Surface'!$O42)*(INDEX('Adjustment Surface'!$AO$26:$BH$26,1,MATCH(('Adjustment Surface'!AH$26),'Adjustment Surface'!$AO$26:$BH$26,1)+IF('Adjustment Surface'!AI$26="",-1,1))-'Adjustment Surface'!AH$26)+INDEX($AO$27:$BH$46,MATCH(INDEX('Adjustment Surface'!$AN$27:$AN$46,MATCH(('Adjustment Surface'!$O42),'Adjustment Surface'!$AN$27:$AN$46,1)+IF('Adjustment Surface'!$O43="",-1,1)),$AN$27:$AN$46,0),MATCH(INDEX('Adjustment Surface'!$AO$26:$BH$26,1,MATCH(('Adjustment Surface'!AH$26),'Adjustment Surface'!$AO$26:$BH$26,1)),$AO$26:$BH$26,0))*('Adjustment Surface'!$O42-INDEX('Adjustment Surface'!$AN$27:$AN$46,MATCH(('Adjustment Surface'!$O42),'Adjustment Surface'!$AN$27:$AN$46,1)))*(INDEX('Adjustment Surface'!$AO$26:$BH$26,1,MATCH(('Adjustment Surface'!AH$26),'Adjustment Surface'!$AO$26:$BH$26,1)+IF('Adjustment Surface'!AI$26="",-1,1))-'Adjustment Surface'!AH$26)+INDEX($AO$27:$BH$46,MATCH(INDEX('Adjustment Surface'!$AN$27:$AN$46,MATCH(('Adjustment Surface'!$O42),'Adjustment Surface'!$AN$27:$AN$46,1)),$AN$27:$AN$46,0),MATCH(INDEX('Adjustment Surface'!$AO$26:$BH$26,1,MATCH(('Adjustment Surface'!AH$26),'Adjustment Surface'!$AO$26:$BH$26,1)+IF('Adjustment Surface'!AI$26="",-1,1)),$AO$26:$BH$26,0))*(INDEX('Adjustment Surface'!$AN$27:$AN$46,MATCH(('Adjustment Surface'!$O42),'Adjustment Surface'!$AN$27:$AN$46,1)+IF('Adjustment Surface'!$O43="",-1,1))-'Adjustment Surface'!$O42)*('Adjustment Surface'!AH$26-INDEX('Adjustment Surface'!$AO$26:$BH$26,1,MATCH(('Adjustment Surface'!AH$26),'Adjustment Surface'!$AO$26:$BH$26,1)))+INDEX($AO$27:$BH$46,MATCH(INDEX('Adjustment Surface'!$AN$27:$AN$46,MATCH(('Adjustment Surface'!$O42),'Adjustment Surface'!$AN$27:$AN$46,1)+IF('Adjustment Surface'!$O43="",-1,1)),$AN$27:$AN$46,0),MATCH(INDEX('Adjustment Surface'!$AO$26:$BH$26,1,MATCH(('Adjustment Surface'!AH$26),'Adjustment Surface'!$AO$26:$BH$26,1)+IF('Adjustment Surface'!AI$26="",-1,1)),$AO$26:$BH$26,0))*('Adjustment Surface'!$O42-INDEX('Adjustment Surface'!$AN$27:$AN$46,MATCH(('Adjustment Surface'!$O42),'Adjustment Surface'!$AN$27:$AN$46,1)))*('Adjustment Surface'!AH$26-INDEX('Adjustment Surface'!$AO$26:$BH$26,1,MATCH(('Adjustment Surface'!AH$26),'Adjustment Surface'!$AO$26:$BH$26,1)))))</f>
        <v/>
      </c>
      <c r="AI42" s="194" t="str" cm="1">
        <f t="array" ref="AI42">IF(OR(AI$26="",$O42=""),"",1/((INDEX('Adjustment Surface'!$AN$27:$AN$46,MATCH(('Adjustment Surface'!$O42),'Adjustment Surface'!$AN$27:$AN$46,1)+IF('Adjustment Surface'!$O43="",-1,1))-INDEX('Adjustment Surface'!$AN$27:$AN$46,MATCH(('Adjustment Surface'!$O42),'Adjustment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Surface'!$O42),'Adjustment Surface'!$AN$27:$AN$46,1)),$AN$27:$AN$46,0),MATCH(INDEX('Adjustment Surface'!$AO$26:$BH$26,1,MATCH(('Adjustment Surface'!AI$26),'Adjustment Surface'!$AO$26:$BH$26,1)),$AO$26:$BH$26,0))*(INDEX('Adjustment Surface'!$AN$27:$AN$46,MATCH(('Adjustment Surface'!$O42),'Adjustment Surface'!$AN$27:$AN$46,1)+IF('Adjustment Surface'!$O43="",-1,1))-'Adjustment Surface'!$O42)*(INDEX('Adjustment Surface'!$AO$26:$BH$26,1,MATCH(('Adjustment Surface'!AI$26),'Adjustment Surface'!$AO$26:$BH$26,1)+IF('Adjustment Surface'!AJ$26="",-1,1))-'Adjustment Surface'!AI$26)+INDEX($AO$27:$BH$46,MATCH(INDEX('Adjustment Surface'!$AN$27:$AN$46,MATCH(('Adjustment Surface'!$O42),'Adjustment Surface'!$AN$27:$AN$46,1)+IF('Adjustment Surface'!$O43="",-1,1)),$AN$27:$AN$46,0),MATCH(INDEX('Adjustment Surface'!$AO$26:$BH$26,1,MATCH(('Adjustment Surface'!AI$26),'Adjustment Surface'!$AO$26:$BH$26,1)),$AO$26:$BH$26,0))*('Adjustment Surface'!$O42-INDEX('Adjustment Surface'!$AN$27:$AN$46,MATCH(('Adjustment Surface'!$O42),'Adjustment Surface'!$AN$27:$AN$46,1)))*(INDEX('Adjustment Surface'!$AO$26:$BH$26,1,MATCH(('Adjustment Surface'!AI$26),'Adjustment Surface'!$AO$26:$BH$26,1)+IF('Adjustment Surface'!AJ$26="",-1,1))-'Adjustment Surface'!AI$26)+INDEX($AO$27:$BH$46,MATCH(INDEX('Adjustment Surface'!$AN$27:$AN$46,MATCH(('Adjustment Surface'!$O42),'Adjustment Surface'!$AN$27:$AN$46,1)),$AN$27:$AN$46,0),MATCH(INDEX('Adjustment Surface'!$AO$26:$BH$26,1,MATCH(('Adjustment Surface'!AI$26),'Adjustment Surface'!$AO$26:$BH$26,1)+IF('Adjustment Surface'!AJ$26="",-1,1)),$AO$26:$BH$26,0))*(INDEX('Adjustment Surface'!$AN$27:$AN$46,MATCH(('Adjustment Surface'!$O42),'Adjustment Surface'!$AN$27:$AN$46,1)+IF('Adjustment Surface'!$O43="",-1,1))-'Adjustment Surface'!$O42)*('Adjustment Surface'!AI$26-INDEX('Adjustment Surface'!$AO$26:$BH$26,1,MATCH(('Adjustment Surface'!AI$26),'Adjustment Surface'!$AO$26:$BH$26,1)))+INDEX($AO$27:$BH$46,MATCH(INDEX('Adjustment Surface'!$AN$27:$AN$46,MATCH(('Adjustment Surface'!$O42),'Adjustment Surface'!$AN$27:$AN$46,1)+IF('Adjustment Surface'!$O43="",-1,1)),$AN$27:$AN$46,0),MATCH(INDEX('Adjustment Surface'!$AO$26:$BH$26,1,MATCH(('Adjustment Surface'!AI$26),'Adjustment Surface'!$AO$26:$BH$26,1)+IF('Adjustment Surface'!AJ$26="",-1,1)),$AO$26:$BH$26,0))*('Adjustment Surface'!$O42-INDEX('Adjustment Surface'!$AN$27:$AN$46,MATCH(('Adjustment Surface'!$O42),'Adjustment Surface'!$AN$27:$AN$46,1)))*('Adjustment Surface'!AI$26-INDEX('Adjustment Surface'!$AO$26:$BH$26,1,MATCH(('Adjustment Surface'!AI$26),'Adjustment Surface'!$AO$26:$BH$26,1)))))</f>
        <v/>
      </c>
      <c r="AK42" s="203"/>
      <c r="AL42" s="207"/>
      <c r="AN42" s="176"/>
      <c r="AO42" s="192" t="str" cm="1">
        <f t="array" ref="AO42">IF(OR(AO$26="",$AN42=""),"",INDEX(IF($C$2='Data Validation'!$A$2,'Bank Adjustments'!$I$4:$I$103,IF('Adjustment Surface'!$C$2='Data Validation'!$A$3,'Bank Adjustments'!$S$4:$S$103,"Unknown Option Type")),MATCH(1,($AN42=IF($C$2='Data Validation'!$A$2,'Bank Adjustments'!$C$4:$C$103,IF('Adjustment Surface'!$C$2='Data Validation'!$A$3,'Bank Adjustments'!$M$4:$M$103,"Unknown Option Type")))*(AO$26=IF($C$2='Data Validation'!$A$2,'Bank Adjustments'!$E$4:$E$103,IF('Adjustment Surface'!$C$2='Data Validation'!$A$3,'Bank Adjustments'!$O$4:$O$103,"Unknown Option Type"))),0)))</f>
        <v/>
      </c>
      <c r="AP42" s="193" t="str" cm="1">
        <f t="array" ref="AP42">IF(OR(AP$26="",$AN42=""),"",INDEX(IF($C$2='Data Validation'!$A$2,'Bank Adjustments'!$I$4:$I$103,IF('Adjustment Surface'!$C$2='Data Validation'!$A$3,'Bank Adjustments'!$S$4:$S$103,"Unknown Option Type")),MATCH(1,($AN42=IF($C$2='Data Validation'!$A$2,'Bank Adjustments'!$C$4:$C$103,IF('Adjustment Surface'!$C$2='Data Validation'!$A$3,'Bank Adjustments'!$M$4:$M$103,"Unknown Option Type")))*(AP$26=IF($C$2='Data Validation'!$A$2,'Bank Adjustments'!$E$4:$E$103,IF('Adjustment Surface'!$C$2='Data Validation'!$A$3,'Bank Adjustments'!$O$4:$O$103,"Unknown Option Type"))),0)))</f>
        <v/>
      </c>
      <c r="AQ42" s="193" t="str" cm="1">
        <f t="array" ref="AQ42">IF(OR(AQ$26="",$AN42=""),"",INDEX(IF($C$2='Data Validation'!$A$2,'Bank Adjustments'!$I$4:$I$103,IF('Adjustment Surface'!$C$2='Data Validation'!$A$3,'Bank Adjustments'!$S$4:$S$103,"Unknown Option Type")),MATCH(1,($AN42=IF($C$2='Data Validation'!$A$2,'Bank Adjustments'!$C$4:$C$103,IF('Adjustment Surface'!$C$2='Data Validation'!$A$3,'Bank Adjustments'!$M$4:$M$103,"Unknown Option Type")))*(AQ$26=IF($C$2='Data Validation'!$A$2,'Bank Adjustments'!$E$4:$E$103,IF('Adjustment Surface'!$C$2='Data Validation'!$A$3,'Bank Adjustments'!$O$4:$O$103,"Unknown Option Type"))),0)))</f>
        <v/>
      </c>
      <c r="AR42" s="193" t="str" cm="1">
        <f t="array" ref="AR42">IF(OR(AR$26="",$AN42=""),"",INDEX(IF($C$2='Data Validation'!$A$2,'Bank Adjustments'!$I$4:$I$103,IF('Adjustment Surface'!$C$2='Data Validation'!$A$3,'Bank Adjustments'!$S$4:$S$103,"Unknown Option Type")),MATCH(1,($AN42=IF($C$2='Data Validation'!$A$2,'Bank Adjustments'!$C$4:$C$103,IF('Adjustment Surface'!$C$2='Data Validation'!$A$3,'Bank Adjustments'!$M$4:$M$103,"Unknown Option Type")))*(AR$26=IF($C$2='Data Validation'!$A$2,'Bank Adjustments'!$E$4:$E$103,IF('Adjustment Surface'!$C$2='Data Validation'!$A$3,'Bank Adjustments'!$O$4:$O$103,"Unknown Option Type"))),0)))</f>
        <v/>
      </c>
      <c r="AS42" s="193" t="str" cm="1">
        <f t="array" ref="AS42">IF(OR(AS$26="",$AN42=""),"",INDEX(IF($C$2='Data Validation'!$A$2,'Bank Adjustments'!$I$4:$I$103,IF('Adjustment Surface'!$C$2='Data Validation'!$A$3,'Bank Adjustments'!$S$4:$S$103,"Unknown Option Type")),MATCH(1,($AN42=IF($C$2='Data Validation'!$A$2,'Bank Adjustments'!$C$4:$C$103,IF('Adjustment Surface'!$C$2='Data Validation'!$A$3,'Bank Adjustments'!$M$4:$M$103,"Unknown Option Type")))*(AS$26=IF($C$2='Data Validation'!$A$2,'Bank Adjustments'!$E$4:$E$103,IF('Adjustment Surface'!$C$2='Data Validation'!$A$3,'Bank Adjustments'!$O$4:$O$103,"Unknown Option Type"))),0)))</f>
        <v/>
      </c>
      <c r="AT42" s="193" t="str" cm="1">
        <f t="array" ref="AT42">IF(OR(AT$26="",$AN42=""),"",INDEX(IF($C$2='Data Validation'!$A$2,'Bank Adjustments'!$I$4:$I$103,IF('Adjustment Surface'!$C$2='Data Validation'!$A$3,'Bank Adjustments'!$S$4:$S$103,"Unknown Option Type")),MATCH(1,($AN42=IF($C$2='Data Validation'!$A$2,'Bank Adjustments'!$C$4:$C$103,IF('Adjustment Surface'!$C$2='Data Validation'!$A$3,'Bank Adjustments'!$M$4:$M$103,"Unknown Option Type")))*(AT$26=IF($C$2='Data Validation'!$A$2,'Bank Adjustments'!$E$4:$E$103,IF('Adjustment Surface'!$C$2='Data Validation'!$A$3,'Bank Adjustments'!$O$4:$O$103,"Unknown Option Type"))),0)))</f>
        <v/>
      </c>
      <c r="AU42" s="193" t="str" cm="1">
        <f t="array" ref="AU42">IF(OR(AU$26="",$AN42=""),"",INDEX(IF($C$2='Data Validation'!$A$2,'Bank Adjustments'!$I$4:$I$103,IF('Adjustment Surface'!$C$2='Data Validation'!$A$3,'Bank Adjustments'!$S$4:$S$103,"Unknown Option Type")),MATCH(1,($AN42=IF($C$2='Data Validation'!$A$2,'Bank Adjustments'!$C$4:$C$103,IF('Adjustment Surface'!$C$2='Data Validation'!$A$3,'Bank Adjustments'!$M$4:$M$103,"Unknown Option Type")))*(AU$26=IF($C$2='Data Validation'!$A$2,'Bank Adjustments'!$E$4:$E$103,IF('Adjustment Surface'!$C$2='Data Validation'!$A$3,'Bank Adjustments'!$O$4:$O$103,"Unknown Option Type"))),0)))</f>
        <v/>
      </c>
      <c r="AV42" s="193" t="str" cm="1">
        <f t="array" ref="AV42">IF(OR(AV$26="",$AN42=""),"",INDEX(IF($C$2='Data Validation'!$A$2,'Bank Adjustments'!$I$4:$I$103,IF('Adjustment Surface'!$C$2='Data Validation'!$A$3,'Bank Adjustments'!$S$4:$S$103,"Unknown Option Type")),MATCH(1,($AN42=IF($C$2='Data Validation'!$A$2,'Bank Adjustments'!$C$4:$C$103,IF('Adjustment Surface'!$C$2='Data Validation'!$A$3,'Bank Adjustments'!$M$4:$M$103,"Unknown Option Type")))*(AV$26=IF($C$2='Data Validation'!$A$2,'Bank Adjustments'!$E$4:$E$103,IF('Adjustment Surface'!$C$2='Data Validation'!$A$3,'Bank Adjustments'!$O$4:$O$103,"Unknown Option Type"))),0)))</f>
        <v/>
      </c>
      <c r="AW42" s="193" t="str" cm="1">
        <f t="array" ref="AW42">IF(OR(AW$26="",$AN42=""),"",INDEX(IF($C$2='Data Validation'!$A$2,'Bank Adjustments'!$I$4:$I$103,IF('Adjustment Surface'!$C$2='Data Validation'!$A$3,'Bank Adjustments'!$S$4:$S$103,"Unknown Option Type")),MATCH(1,($AN42=IF($C$2='Data Validation'!$A$2,'Bank Adjustments'!$C$4:$C$103,IF('Adjustment Surface'!$C$2='Data Validation'!$A$3,'Bank Adjustments'!$M$4:$M$103,"Unknown Option Type")))*(AW$26=IF($C$2='Data Validation'!$A$2,'Bank Adjustments'!$E$4:$E$103,IF('Adjustment Surface'!$C$2='Data Validation'!$A$3,'Bank Adjustments'!$O$4:$O$103,"Unknown Option Type"))),0)))</f>
        <v/>
      </c>
      <c r="AX42" s="193" t="str" cm="1">
        <f t="array" ref="AX42">IF(OR(AX$26="",$AN42=""),"",INDEX(IF($C$2='Data Validation'!$A$2,'Bank Adjustments'!$I$4:$I$103,IF('Adjustment Surface'!$C$2='Data Validation'!$A$3,'Bank Adjustments'!$S$4:$S$103,"Unknown Option Type")),MATCH(1,($AN42=IF($C$2='Data Validation'!$A$2,'Bank Adjustments'!$C$4:$C$103,IF('Adjustment Surface'!$C$2='Data Validation'!$A$3,'Bank Adjustments'!$M$4:$M$103,"Unknown Option Type")))*(AX$26=IF($C$2='Data Validation'!$A$2,'Bank Adjustments'!$E$4:$E$103,IF('Adjustment Surface'!$C$2='Data Validation'!$A$3,'Bank Adjustments'!$O$4:$O$103,"Unknown Option Type"))),0)))</f>
        <v/>
      </c>
      <c r="AY42" s="193" t="str" cm="1">
        <f t="array" ref="AY42">IF(OR(AY$26="",$AN42=""),"",INDEX(IF($C$2='Data Validation'!$A$2,'Bank Adjustments'!$I$4:$I$103,IF('Adjustment Surface'!$C$2='Data Validation'!$A$3,'Bank Adjustments'!$S$4:$S$103,"Unknown Option Type")),MATCH(1,($AN42=IF($C$2='Data Validation'!$A$2,'Bank Adjustments'!$C$4:$C$103,IF('Adjustment Surface'!$C$2='Data Validation'!$A$3,'Bank Adjustments'!$M$4:$M$103,"Unknown Option Type")))*(AY$26=IF($C$2='Data Validation'!$A$2,'Bank Adjustments'!$E$4:$E$103,IF('Adjustment Surface'!$C$2='Data Validation'!$A$3,'Bank Adjustments'!$O$4:$O$103,"Unknown Option Type"))),0)))</f>
        <v/>
      </c>
      <c r="AZ42" s="193" t="str" cm="1">
        <f t="array" ref="AZ42">IF(OR(AZ$26="",$AN42=""),"",INDEX(IF($C$2='Data Validation'!$A$2,'Bank Adjustments'!$I$4:$I$103,IF('Adjustment Surface'!$C$2='Data Validation'!$A$3,'Bank Adjustments'!$S$4:$S$103,"Unknown Option Type")),MATCH(1,($AN42=IF($C$2='Data Validation'!$A$2,'Bank Adjustments'!$C$4:$C$103,IF('Adjustment Surface'!$C$2='Data Validation'!$A$3,'Bank Adjustments'!$M$4:$M$103,"Unknown Option Type")))*(AZ$26=IF($C$2='Data Validation'!$A$2,'Bank Adjustments'!$E$4:$E$103,IF('Adjustment Surface'!$C$2='Data Validation'!$A$3,'Bank Adjustments'!$O$4:$O$103,"Unknown Option Type"))),0)))</f>
        <v/>
      </c>
      <c r="BA42" s="193" t="str" cm="1">
        <f t="array" ref="BA42">IF(OR(BA$26="",$AN42=""),"",INDEX(IF($C$2='Data Validation'!$A$2,'Bank Adjustments'!$I$4:$I$103,IF('Adjustment Surface'!$C$2='Data Validation'!$A$3,'Bank Adjustments'!$S$4:$S$103,"Unknown Option Type")),MATCH(1,($AN42=IF($C$2='Data Validation'!$A$2,'Bank Adjustments'!$C$4:$C$103,IF('Adjustment Surface'!$C$2='Data Validation'!$A$3,'Bank Adjustments'!$M$4:$M$103,"Unknown Option Type")))*(BA$26=IF($C$2='Data Validation'!$A$2,'Bank Adjustments'!$E$4:$E$103,IF('Adjustment Surface'!$C$2='Data Validation'!$A$3,'Bank Adjustments'!$O$4:$O$103,"Unknown Option Type"))),0)))</f>
        <v/>
      </c>
      <c r="BB42" s="193" t="str" cm="1">
        <f t="array" ref="BB42">IF(OR(BB$26="",$AN42=""),"",INDEX(IF($C$2='Data Validation'!$A$2,'Bank Adjustments'!$I$4:$I$103,IF('Adjustment Surface'!$C$2='Data Validation'!$A$3,'Bank Adjustments'!$S$4:$S$103,"Unknown Option Type")),MATCH(1,($AN42=IF($C$2='Data Validation'!$A$2,'Bank Adjustments'!$C$4:$C$103,IF('Adjustment Surface'!$C$2='Data Validation'!$A$3,'Bank Adjustments'!$M$4:$M$103,"Unknown Option Type")))*(BB$26=IF($C$2='Data Validation'!$A$2,'Bank Adjustments'!$E$4:$E$103,IF('Adjustment Surface'!$C$2='Data Validation'!$A$3,'Bank Adjustments'!$O$4:$O$103,"Unknown Option Type"))),0)))</f>
        <v/>
      </c>
      <c r="BC42" s="193" t="str" cm="1">
        <f t="array" ref="BC42">IF(OR(BC$26="",$AN42=""),"",INDEX(IF($C$2='Data Validation'!$A$2,'Bank Adjustments'!$I$4:$I$103,IF('Adjustment Surface'!$C$2='Data Validation'!$A$3,'Bank Adjustments'!$S$4:$S$103,"Unknown Option Type")),MATCH(1,($AN42=IF($C$2='Data Validation'!$A$2,'Bank Adjustments'!$C$4:$C$103,IF('Adjustment Surface'!$C$2='Data Validation'!$A$3,'Bank Adjustments'!$M$4:$M$103,"Unknown Option Type")))*(BC$26=IF($C$2='Data Validation'!$A$2,'Bank Adjustments'!$E$4:$E$103,IF('Adjustment Surface'!$C$2='Data Validation'!$A$3,'Bank Adjustments'!$O$4:$O$103,"Unknown Option Type"))),0)))</f>
        <v/>
      </c>
      <c r="BD42" s="193" t="str" cm="1">
        <f t="array" ref="BD42">IF(OR(BD$26="",$AN42=""),"",INDEX(IF($C$2='Data Validation'!$A$2,'Bank Adjustments'!$I$4:$I$103,IF('Adjustment Surface'!$C$2='Data Validation'!$A$3,'Bank Adjustments'!$S$4:$S$103,"Unknown Option Type")),MATCH(1,($AN42=IF($C$2='Data Validation'!$A$2,'Bank Adjustments'!$C$4:$C$103,IF('Adjustment Surface'!$C$2='Data Validation'!$A$3,'Bank Adjustments'!$M$4:$M$103,"Unknown Option Type")))*(BD$26=IF($C$2='Data Validation'!$A$2,'Bank Adjustments'!$E$4:$E$103,IF('Adjustment Surface'!$C$2='Data Validation'!$A$3,'Bank Adjustments'!$O$4:$O$103,"Unknown Option Type"))),0)))</f>
        <v/>
      </c>
      <c r="BE42" s="193" t="str" cm="1">
        <f t="array" ref="BE42">IF(OR(BE$26="",$AN42=""),"",INDEX(IF($C$2='Data Validation'!$A$2,'Bank Adjustments'!$I$4:$I$103,IF('Adjustment Surface'!$C$2='Data Validation'!$A$3,'Bank Adjustments'!$S$4:$S$103,"Unknown Option Type")),MATCH(1,($AN42=IF($C$2='Data Validation'!$A$2,'Bank Adjustments'!$C$4:$C$103,IF('Adjustment Surface'!$C$2='Data Validation'!$A$3,'Bank Adjustments'!$M$4:$M$103,"Unknown Option Type")))*(BE$26=IF($C$2='Data Validation'!$A$2,'Bank Adjustments'!$E$4:$E$103,IF('Adjustment Surface'!$C$2='Data Validation'!$A$3,'Bank Adjustments'!$O$4:$O$103,"Unknown Option Type"))),0)))</f>
        <v/>
      </c>
      <c r="BF42" s="193" t="str" cm="1">
        <f t="array" ref="BF42">IF(OR(BF$26="",$AN42=""),"",INDEX(IF($C$2='Data Validation'!$A$2,'Bank Adjustments'!$I$4:$I$103,IF('Adjustment Surface'!$C$2='Data Validation'!$A$3,'Bank Adjustments'!$S$4:$S$103,"Unknown Option Type")),MATCH(1,($AN42=IF($C$2='Data Validation'!$A$2,'Bank Adjustments'!$C$4:$C$103,IF('Adjustment Surface'!$C$2='Data Validation'!$A$3,'Bank Adjustments'!$M$4:$M$103,"Unknown Option Type")))*(BF$26=IF($C$2='Data Validation'!$A$2,'Bank Adjustments'!$E$4:$E$103,IF('Adjustment Surface'!$C$2='Data Validation'!$A$3,'Bank Adjustments'!$O$4:$O$103,"Unknown Option Type"))),0)))</f>
        <v/>
      </c>
      <c r="BG42" s="193" t="str" cm="1">
        <f t="array" ref="BG42">IF(OR(BG$26="",$AN42=""),"",INDEX(IF($C$2='Data Validation'!$A$2,'Bank Adjustments'!$I$4:$I$103,IF('Adjustment Surface'!$C$2='Data Validation'!$A$3,'Bank Adjustments'!$S$4:$S$103,"Unknown Option Type")),MATCH(1,($AN42=IF($C$2='Data Validation'!$A$2,'Bank Adjustments'!$C$4:$C$103,IF('Adjustment Surface'!$C$2='Data Validation'!$A$3,'Bank Adjustments'!$M$4:$M$103,"Unknown Option Type")))*(BG$26=IF($C$2='Data Validation'!$A$2,'Bank Adjustments'!$E$4:$E$103,IF('Adjustment Surface'!$C$2='Data Validation'!$A$3,'Bank Adjustments'!$O$4:$O$103,"Unknown Option Type"))),0)))</f>
        <v/>
      </c>
      <c r="BH42" s="194" t="str" cm="1">
        <f t="array" ref="BH42">IF(OR(BH$26="",$AN42=""),"",INDEX(IF($C$2='Data Validation'!$A$2,'Bank Adjustments'!$I$4:$I$103,IF('Adjustment Surface'!$C$2='Data Validation'!$A$3,'Bank Adjustments'!$S$4:$S$103,"Unknown Option Type")),MATCH(1,($AN42=IF($C$2='Data Validation'!$A$2,'Bank Adjustments'!$C$4:$C$103,IF('Adjustment Surface'!$C$2='Data Validation'!$A$3,'Bank Adjustments'!$M$4:$M$103,"Unknown Option Type")))*(BH$26=IF($C$2='Data Validation'!$A$2,'Bank Adjustments'!$E$4:$E$103,IF('Adjustment Surface'!$C$2='Data Validation'!$A$3,'Bank Adjustments'!$O$4:$O$103,"Unknown Option Type"))),0)))</f>
        <v/>
      </c>
    </row>
    <row r="43" spans="2:60" x14ac:dyDescent="0.25">
      <c r="B43" s="75">
        <f>B36</f>
        <v>0.03</v>
      </c>
      <c r="C43" s="15">
        <f>ROUNDUP(MAX('Control Panel'!C11,C15+IF($F$9='Data Validation'!$F$2,MIN($F$11,MAX($F$10,C29*C22)),IF($F$9='Data Validation'!$F$3,MIN($F$11,MAX($F$10,C36*C15)),"Unknown Adjustment Type"))),-3)</f>
        <v>139000</v>
      </c>
      <c r="D43" s="15">
        <f>ROUNDUP(MAX('Control Panel'!C11,D15+IF($F$9='Data Validation'!$F$2,MIN($F$11,MAX($F$10,D29*D22)),IF($F$9='Data Validation'!$F$3,MIN($F$11,MAX($F$10,D36*D15)),"Unknown Adjustment Type"))),-3)</f>
        <v>280000</v>
      </c>
      <c r="E43" s="15">
        <f>ROUNDUP(MAX('Control Panel'!C11,E15+IF($F$9='Data Validation'!$F$2,MIN($F$11,MAX($F$10,E29*E22)),IF($F$9='Data Validation'!$F$3,MIN($F$11,MAX($F$10,E36*E15)),"Unknown Adjustment Type"))),-3)</f>
        <v>436000</v>
      </c>
      <c r="F43" s="15">
        <f>ROUNDUP(MAX('Control Panel'!C11,F15+IF($F$9='Data Validation'!$F$2,MIN($F$11,MAX($F$10,F29*F22)),IF($F$9='Data Validation'!$F$3,MIN($F$11,MAX($F$10,F36*F15)),"Unknown Adjustment Type"))),-3)</f>
        <v>590000</v>
      </c>
      <c r="H43" s="176"/>
      <c r="I43" s="54" t="str">
        <f t="shared" si="6"/>
        <v/>
      </c>
      <c r="J43" s="55" t="str">
        <f t="shared" si="6"/>
        <v/>
      </c>
      <c r="K43" s="55" t="str">
        <f t="shared" si="6"/>
        <v/>
      </c>
      <c r="L43" s="55" t="str">
        <f t="shared" si="6"/>
        <v/>
      </c>
      <c r="M43" s="48" t="str">
        <f t="shared" si="6"/>
        <v/>
      </c>
      <c r="O43" s="176"/>
      <c r="P43" s="192" t="str" cm="1">
        <f t="array" ref="P43">IF(OR(P$26="",$O43=""),"",1/((INDEX('Adjustment Surface'!$AN$27:$AN$46,MATCH(('Adjustment Surface'!$O43),'Adjustment Surface'!$AN$27:$AN$46,1)+IF('Adjustment Surface'!$O44="",-1,1))-INDEX('Adjustment Surface'!$AN$27:$AN$46,MATCH(('Adjustment Surface'!$O43),'Adjustment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Surface'!$O43),'Adjustment Surface'!$AN$27:$AN$46,1)),$AN$27:$AN$46,0),MATCH(INDEX('Adjustment Surface'!$AO$26:$BH$26,1,MATCH(('Adjustment Surface'!P$26),'Adjustment Surface'!$AO$26:$BH$26,1)),$AO$26:$BH$26,0))*(INDEX('Adjustment Surface'!$AN$27:$AN$46,MATCH(('Adjustment Surface'!$O43),'Adjustment Surface'!$AN$27:$AN$46,1)+IF('Adjustment Surface'!$O44="",-1,1))-'Adjustment Surface'!$O43)*(INDEX('Adjustment Surface'!$AO$26:$BH$26,1,MATCH(('Adjustment Surface'!P$26),'Adjustment Surface'!$AO$26:$BH$26,1)+IF('Adjustment Surface'!Q$26="",-1,1))-'Adjustment Surface'!P$26)+INDEX($AO$27:$BH$46,MATCH(INDEX('Adjustment Surface'!$AN$27:$AN$46,MATCH(('Adjustment Surface'!$O43),'Adjustment Surface'!$AN$27:$AN$46,1)+IF('Adjustment Surface'!$O44="",-1,1)),$AN$27:$AN$46,0),MATCH(INDEX('Adjustment Surface'!$AO$26:$BH$26,1,MATCH(('Adjustment Surface'!P$26),'Adjustment Surface'!$AO$26:$BH$26,1)),$AO$26:$BH$26,0))*('Adjustment Surface'!$O43-INDEX('Adjustment Surface'!$AN$27:$AN$46,MATCH(('Adjustment Surface'!$O43),'Adjustment Surface'!$AN$27:$AN$46,1)))*(INDEX('Adjustment Surface'!$AO$26:$BH$26,1,MATCH(('Adjustment Surface'!P$26),'Adjustment Surface'!$AO$26:$BH$26,1)+IF('Adjustment Surface'!Q$26="",-1,1))-'Adjustment Surface'!P$26)+INDEX($AO$27:$BH$46,MATCH(INDEX('Adjustment Surface'!$AN$27:$AN$46,MATCH(('Adjustment Surface'!$O43),'Adjustment Surface'!$AN$27:$AN$46,1)),$AN$27:$AN$46,0),MATCH(INDEX('Adjustment Surface'!$AO$26:$BH$26,1,MATCH(('Adjustment Surface'!P$26),'Adjustment Surface'!$AO$26:$BH$26,1)+IF('Adjustment Surface'!Q$26="",-1,1)),$AO$26:$BH$26,0))*(INDEX('Adjustment Surface'!$AN$27:$AN$46,MATCH(('Adjustment Surface'!$O43),'Adjustment Surface'!$AN$27:$AN$46,1)+IF('Adjustment Surface'!$O44="",-1,1))-'Adjustment Surface'!$O43)*('Adjustment Surface'!P$26-INDEX('Adjustment Surface'!$AO$26:$BH$26,1,MATCH(('Adjustment Surface'!P$26),'Adjustment Surface'!$AO$26:$BH$26,1)))+INDEX($AO$27:$BH$46,MATCH(INDEX('Adjustment Surface'!$AN$27:$AN$46,MATCH(('Adjustment Surface'!$O43),'Adjustment Surface'!$AN$27:$AN$46,1)+IF('Adjustment Surface'!$O44="",-1,1)),$AN$27:$AN$46,0),MATCH(INDEX('Adjustment Surface'!$AO$26:$BH$26,1,MATCH(('Adjustment Surface'!P$26),'Adjustment Surface'!$AO$26:$BH$26,1)+IF('Adjustment Surface'!Q$26="",-1,1)),$AO$26:$BH$26,0))*('Adjustment Surface'!$O43-INDEX('Adjustment Surface'!$AN$27:$AN$46,MATCH(('Adjustment Surface'!$O43),'Adjustment Surface'!$AN$27:$AN$46,1)))*('Adjustment Surface'!P$26-INDEX('Adjustment Surface'!$AO$26:$BH$26,1,MATCH(('Adjustment Surface'!P$26),'Adjustment Surface'!$AO$26:$BH$26,1)))))</f>
        <v/>
      </c>
      <c r="Q43" s="193" t="str" cm="1">
        <f t="array" ref="Q43">IF(OR(Q$26="",$O43=""),"",1/((INDEX('Adjustment Surface'!$AN$27:$AN$46,MATCH(('Adjustment Surface'!$O43),'Adjustment Surface'!$AN$27:$AN$46,1)+IF('Adjustment Surface'!$O44="",-1,1))-INDEX('Adjustment Surface'!$AN$27:$AN$46,MATCH(('Adjustment Surface'!$O43),'Adjustment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Surface'!$O43),'Adjustment Surface'!$AN$27:$AN$46,1)),$AN$27:$AN$46,0),MATCH(INDEX('Adjustment Surface'!$AO$26:$BH$26,1,MATCH(('Adjustment Surface'!Q$26),'Adjustment Surface'!$AO$26:$BH$26,1)),$AO$26:$BH$26,0))*(INDEX('Adjustment Surface'!$AN$27:$AN$46,MATCH(('Adjustment Surface'!$O43),'Adjustment Surface'!$AN$27:$AN$46,1)+IF('Adjustment Surface'!$O44="",-1,1))-'Adjustment Surface'!$O43)*(INDEX('Adjustment Surface'!$AO$26:$BH$26,1,MATCH(('Adjustment Surface'!Q$26),'Adjustment Surface'!$AO$26:$BH$26,1)+IF('Adjustment Surface'!R$26="",-1,1))-'Adjustment Surface'!Q$26)+INDEX($AO$27:$BH$46,MATCH(INDEX('Adjustment Surface'!$AN$27:$AN$46,MATCH(('Adjustment Surface'!$O43),'Adjustment Surface'!$AN$27:$AN$46,1)+IF('Adjustment Surface'!$O44="",-1,1)),$AN$27:$AN$46,0),MATCH(INDEX('Adjustment Surface'!$AO$26:$BH$26,1,MATCH(('Adjustment Surface'!Q$26),'Adjustment Surface'!$AO$26:$BH$26,1)),$AO$26:$BH$26,0))*('Adjustment Surface'!$O43-INDEX('Adjustment Surface'!$AN$27:$AN$46,MATCH(('Adjustment Surface'!$O43),'Adjustment Surface'!$AN$27:$AN$46,1)))*(INDEX('Adjustment Surface'!$AO$26:$BH$26,1,MATCH(('Adjustment Surface'!Q$26),'Adjustment Surface'!$AO$26:$BH$26,1)+IF('Adjustment Surface'!R$26="",-1,1))-'Adjustment Surface'!Q$26)+INDEX($AO$27:$BH$46,MATCH(INDEX('Adjustment Surface'!$AN$27:$AN$46,MATCH(('Adjustment Surface'!$O43),'Adjustment Surface'!$AN$27:$AN$46,1)),$AN$27:$AN$46,0),MATCH(INDEX('Adjustment Surface'!$AO$26:$BH$26,1,MATCH(('Adjustment Surface'!Q$26),'Adjustment Surface'!$AO$26:$BH$26,1)+IF('Adjustment Surface'!R$26="",-1,1)),$AO$26:$BH$26,0))*(INDEX('Adjustment Surface'!$AN$27:$AN$46,MATCH(('Adjustment Surface'!$O43),'Adjustment Surface'!$AN$27:$AN$46,1)+IF('Adjustment Surface'!$O44="",-1,1))-'Adjustment Surface'!$O43)*('Adjustment Surface'!Q$26-INDEX('Adjustment Surface'!$AO$26:$BH$26,1,MATCH(('Adjustment Surface'!Q$26),'Adjustment Surface'!$AO$26:$BH$26,1)))+INDEX($AO$27:$BH$46,MATCH(INDEX('Adjustment Surface'!$AN$27:$AN$46,MATCH(('Adjustment Surface'!$O43),'Adjustment Surface'!$AN$27:$AN$46,1)+IF('Adjustment Surface'!$O44="",-1,1)),$AN$27:$AN$46,0),MATCH(INDEX('Adjustment Surface'!$AO$26:$BH$26,1,MATCH(('Adjustment Surface'!Q$26),'Adjustment Surface'!$AO$26:$BH$26,1)+IF('Adjustment Surface'!R$26="",-1,1)),$AO$26:$BH$26,0))*('Adjustment Surface'!$O43-INDEX('Adjustment Surface'!$AN$27:$AN$46,MATCH(('Adjustment Surface'!$O43),'Adjustment Surface'!$AN$27:$AN$46,1)))*('Adjustment Surface'!Q$26-INDEX('Adjustment Surface'!$AO$26:$BH$26,1,MATCH(('Adjustment Surface'!Q$26),'Adjustment Surface'!$AO$26:$BH$26,1)))))</f>
        <v/>
      </c>
      <c r="R43" s="193" t="str" cm="1">
        <f t="array" ref="R43">IF(OR(R$26="",$O43=""),"",1/((INDEX('Adjustment Surface'!$AN$27:$AN$46,MATCH(('Adjustment Surface'!$O43),'Adjustment Surface'!$AN$27:$AN$46,1)+IF('Adjustment Surface'!$O44="",-1,1))-INDEX('Adjustment Surface'!$AN$27:$AN$46,MATCH(('Adjustment Surface'!$O43),'Adjustment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Surface'!$O43),'Adjustment Surface'!$AN$27:$AN$46,1)),$AN$27:$AN$46,0),MATCH(INDEX('Adjustment Surface'!$AO$26:$BH$26,1,MATCH(('Adjustment Surface'!R$26),'Adjustment Surface'!$AO$26:$BH$26,1)),$AO$26:$BH$26,0))*(INDEX('Adjustment Surface'!$AN$27:$AN$46,MATCH(('Adjustment Surface'!$O43),'Adjustment Surface'!$AN$27:$AN$46,1)+IF('Adjustment Surface'!$O44="",-1,1))-'Adjustment Surface'!$O43)*(INDEX('Adjustment Surface'!$AO$26:$BH$26,1,MATCH(('Adjustment Surface'!R$26),'Adjustment Surface'!$AO$26:$BH$26,1)+IF('Adjustment Surface'!S$26="",-1,1))-'Adjustment Surface'!R$26)+INDEX($AO$27:$BH$46,MATCH(INDEX('Adjustment Surface'!$AN$27:$AN$46,MATCH(('Adjustment Surface'!$O43),'Adjustment Surface'!$AN$27:$AN$46,1)+IF('Adjustment Surface'!$O44="",-1,1)),$AN$27:$AN$46,0),MATCH(INDEX('Adjustment Surface'!$AO$26:$BH$26,1,MATCH(('Adjustment Surface'!R$26),'Adjustment Surface'!$AO$26:$BH$26,1)),$AO$26:$BH$26,0))*('Adjustment Surface'!$O43-INDEX('Adjustment Surface'!$AN$27:$AN$46,MATCH(('Adjustment Surface'!$O43),'Adjustment Surface'!$AN$27:$AN$46,1)))*(INDEX('Adjustment Surface'!$AO$26:$BH$26,1,MATCH(('Adjustment Surface'!R$26),'Adjustment Surface'!$AO$26:$BH$26,1)+IF('Adjustment Surface'!S$26="",-1,1))-'Adjustment Surface'!R$26)+INDEX($AO$27:$BH$46,MATCH(INDEX('Adjustment Surface'!$AN$27:$AN$46,MATCH(('Adjustment Surface'!$O43),'Adjustment Surface'!$AN$27:$AN$46,1)),$AN$27:$AN$46,0),MATCH(INDEX('Adjustment Surface'!$AO$26:$BH$26,1,MATCH(('Adjustment Surface'!R$26),'Adjustment Surface'!$AO$26:$BH$26,1)+IF('Adjustment Surface'!S$26="",-1,1)),$AO$26:$BH$26,0))*(INDEX('Adjustment Surface'!$AN$27:$AN$46,MATCH(('Adjustment Surface'!$O43),'Adjustment Surface'!$AN$27:$AN$46,1)+IF('Adjustment Surface'!$O44="",-1,1))-'Adjustment Surface'!$O43)*('Adjustment Surface'!R$26-INDEX('Adjustment Surface'!$AO$26:$BH$26,1,MATCH(('Adjustment Surface'!R$26),'Adjustment Surface'!$AO$26:$BH$26,1)))+INDEX($AO$27:$BH$46,MATCH(INDEX('Adjustment Surface'!$AN$27:$AN$46,MATCH(('Adjustment Surface'!$O43),'Adjustment Surface'!$AN$27:$AN$46,1)+IF('Adjustment Surface'!$O44="",-1,1)),$AN$27:$AN$46,0),MATCH(INDEX('Adjustment Surface'!$AO$26:$BH$26,1,MATCH(('Adjustment Surface'!R$26),'Adjustment Surface'!$AO$26:$BH$26,1)+IF('Adjustment Surface'!S$26="",-1,1)),$AO$26:$BH$26,0))*('Adjustment Surface'!$O43-INDEX('Adjustment Surface'!$AN$27:$AN$46,MATCH(('Adjustment Surface'!$O43),'Adjustment Surface'!$AN$27:$AN$46,1)))*('Adjustment Surface'!R$26-INDEX('Adjustment Surface'!$AO$26:$BH$26,1,MATCH(('Adjustment Surface'!R$26),'Adjustment Surface'!$AO$26:$BH$26,1)))))</f>
        <v/>
      </c>
      <c r="S43" s="193" t="str" cm="1">
        <f t="array" ref="S43">IF(OR(S$26="",$O43=""),"",1/((INDEX('Adjustment Surface'!$AN$27:$AN$46,MATCH(('Adjustment Surface'!$O43),'Adjustment Surface'!$AN$27:$AN$46,1)+IF('Adjustment Surface'!$O44="",-1,1))-INDEX('Adjustment Surface'!$AN$27:$AN$46,MATCH(('Adjustment Surface'!$O43),'Adjustment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Surface'!$O43),'Adjustment Surface'!$AN$27:$AN$46,1)),$AN$27:$AN$46,0),MATCH(INDEX('Adjustment Surface'!$AO$26:$BH$26,1,MATCH(('Adjustment Surface'!S$26),'Adjustment Surface'!$AO$26:$BH$26,1)),$AO$26:$BH$26,0))*(INDEX('Adjustment Surface'!$AN$27:$AN$46,MATCH(('Adjustment Surface'!$O43),'Adjustment Surface'!$AN$27:$AN$46,1)+IF('Adjustment Surface'!$O44="",-1,1))-'Adjustment Surface'!$O43)*(INDEX('Adjustment Surface'!$AO$26:$BH$26,1,MATCH(('Adjustment Surface'!S$26),'Adjustment Surface'!$AO$26:$BH$26,1)+IF('Adjustment Surface'!T$26="",-1,1))-'Adjustment Surface'!S$26)+INDEX($AO$27:$BH$46,MATCH(INDEX('Adjustment Surface'!$AN$27:$AN$46,MATCH(('Adjustment Surface'!$O43),'Adjustment Surface'!$AN$27:$AN$46,1)+IF('Adjustment Surface'!$O44="",-1,1)),$AN$27:$AN$46,0),MATCH(INDEX('Adjustment Surface'!$AO$26:$BH$26,1,MATCH(('Adjustment Surface'!S$26),'Adjustment Surface'!$AO$26:$BH$26,1)),$AO$26:$BH$26,0))*('Adjustment Surface'!$O43-INDEX('Adjustment Surface'!$AN$27:$AN$46,MATCH(('Adjustment Surface'!$O43),'Adjustment Surface'!$AN$27:$AN$46,1)))*(INDEX('Adjustment Surface'!$AO$26:$BH$26,1,MATCH(('Adjustment Surface'!S$26),'Adjustment Surface'!$AO$26:$BH$26,1)+IF('Adjustment Surface'!T$26="",-1,1))-'Adjustment Surface'!S$26)+INDEX($AO$27:$BH$46,MATCH(INDEX('Adjustment Surface'!$AN$27:$AN$46,MATCH(('Adjustment Surface'!$O43),'Adjustment Surface'!$AN$27:$AN$46,1)),$AN$27:$AN$46,0),MATCH(INDEX('Adjustment Surface'!$AO$26:$BH$26,1,MATCH(('Adjustment Surface'!S$26),'Adjustment Surface'!$AO$26:$BH$26,1)+IF('Adjustment Surface'!T$26="",-1,1)),$AO$26:$BH$26,0))*(INDEX('Adjustment Surface'!$AN$27:$AN$46,MATCH(('Adjustment Surface'!$O43),'Adjustment Surface'!$AN$27:$AN$46,1)+IF('Adjustment Surface'!$O44="",-1,1))-'Adjustment Surface'!$O43)*('Adjustment Surface'!S$26-INDEX('Adjustment Surface'!$AO$26:$BH$26,1,MATCH(('Adjustment Surface'!S$26),'Adjustment Surface'!$AO$26:$BH$26,1)))+INDEX($AO$27:$BH$46,MATCH(INDEX('Adjustment Surface'!$AN$27:$AN$46,MATCH(('Adjustment Surface'!$O43),'Adjustment Surface'!$AN$27:$AN$46,1)+IF('Adjustment Surface'!$O44="",-1,1)),$AN$27:$AN$46,0),MATCH(INDEX('Adjustment Surface'!$AO$26:$BH$26,1,MATCH(('Adjustment Surface'!S$26),'Adjustment Surface'!$AO$26:$BH$26,1)+IF('Adjustment Surface'!T$26="",-1,1)),$AO$26:$BH$26,0))*('Adjustment Surface'!$O43-INDEX('Adjustment Surface'!$AN$27:$AN$46,MATCH(('Adjustment Surface'!$O43),'Adjustment Surface'!$AN$27:$AN$46,1)))*('Adjustment Surface'!S$26-INDEX('Adjustment Surface'!$AO$26:$BH$26,1,MATCH(('Adjustment Surface'!S$26),'Adjustment Surface'!$AO$26:$BH$26,1)))))</f>
        <v/>
      </c>
      <c r="T43" s="193" t="str" cm="1">
        <f t="array" ref="T43">IF(OR(T$26="",$O43=""),"",1/((INDEX('Adjustment Surface'!$AN$27:$AN$46,MATCH(('Adjustment Surface'!$O43),'Adjustment Surface'!$AN$27:$AN$46,1)+IF('Adjustment Surface'!$O44="",-1,1))-INDEX('Adjustment Surface'!$AN$27:$AN$46,MATCH(('Adjustment Surface'!$O43),'Adjustment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Surface'!$O43),'Adjustment Surface'!$AN$27:$AN$46,1)),$AN$27:$AN$46,0),MATCH(INDEX('Adjustment Surface'!$AO$26:$BH$26,1,MATCH(('Adjustment Surface'!T$26),'Adjustment Surface'!$AO$26:$BH$26,1)),$AO$26:$BH$26,0))*(INDEX('Adjustment Surface'!$AN$27:$AN$46,MATCH(('Adjustment Surface'!$O43),'Adjustment Surface'!$AN$27:$AN$46,1)+IF('Adjustment Surface'!$O44="",-1,1))-'Adjustment Surface'!$O43)*(INDEX('Adjustment Surface'!$AO$26:$BH$26,1,MATCH(('Adjustment Surface'!T$26),'Adjustment Surface'!$AO$26:$BH$26,1)+IF('Adjustment Surface'!U$26="",-1,1))-'Adjustment Surface'!T$26)+INDEX($AO$27:$BH$46,MATCH(INDEX('Adjustment Surface'!$AN$27:$AN$46,MATCH(('Adjustment Surface'!$O43),'Adjustment Surface'!$AN$27:$AN$46,1)+IF('Adjustment Surface'!$O44="",-1,1)),$AN$27:$AN$46,0),MATCH(INDEX('Adjustment Surface'!$AO$26:$BH$26,1,MATCH(('Adjustment Surface'!T$26),'Adjustment Surface'!$AO$26:$BH$26,1)),$AO$26:$BH$26,0))*('Adjustment Surface'!$O43-INDEX('Adjustment Surface'!$AN$27:$AN$46,MATCH(('Adjustment Surface'!$O43),'Adjustment Surface'!$AN$27:$AN$46,1)))*(INDEX('Adjustment Surface'!$AO$26:$BH$26,1,MATCH(('Adjustment Surface'!T$26),'Adjustment Surface'!$AO$26:$BH$26,1)+IF('Adjustment Surface'!U$26="",-1,1))-'Adjustment Surface'!T$26)+INDEX($AO$27:$BH$46,MATCH(INDEX('Adjustment Surface'!$AN$27:$AN$46,MATCH(('Adjustment Surface'!$O43),'Adjustment Surface'!$AN$27:$AN$46,1)),$AN$27:$AN$46,0),MATCH(INDEX('Adjustment Surface'!$AO$26:$BH$26,1,MATCH(('Adjustment Surface'!T$26),'Adjustment Surface'!$AO$26:$BH$26,1)+IF('Adjustment Surface'!U$26="",-1,1)),$AO$26:$BH$26,0))*(INDEX('Adjustment Surface'!$AN$27:$AN$46,MATCH(('Adjustment Surface'!$O43),'Adjustment Surface'!$AN$27:$AN$46,1)+IF('Adjustment Surface'!$O44="",-1,1))-'Adjustment Surface'!$O43)*('Adjustment Surface'!T$26-INDEX('Adjustment Surface'!$AO$26:$BH$26,1,MATCH(('Adjustment Surface'!T$26),'Adjustment Surface'!$AO$26:$BH$26,1)))+INDEX($AO$27:$BH$46,MATCH(INDEX('Adjustment Surface'!$AN$27:$AN$46,MATCH(('Adjustment Surface'!$O43),'Adjustment Surface'!$AN$27:$AN$46,1)+IF('Adjustment Surface'!$O44="",-1,1)),$AN$27:$AN$46,0),MATCH(INDEX('Adjustment Surface'!$AO$26:$BH$26,1,MATCH(('Adjustment Surface'!T$26),'Adjustment Surface'!$AO$26:$BH$26,1)+IF('Adjustment Surface'!U$26="",-1,1)),$AO$26:$BH$26,0))*('Adjustment Surface'!$O43-INDEX('Adjustment Surface'!$AN$27:$AN$46,MATCH(('Adjustment Surface'!$O43),'Adjustment Surface'!$AN$27:$AN$46,1)))*('Adjustment Surface'!T$26-INDEX('Adjustment Surface'!$AO$26:$BH$26,1,MATCH(('Adjustment Surface'!T$26),'Adjustment Surface'!$AO$26:$BH$26,1)))))</f>
        <v/>
      </c>
      <c r="U43" s="193" t="str" cm="1">
        <f t="array" ref="U43">IF(OR(U$26="",$O43=""),"",1/((INDEX('Adjustment Surface'!$AN$27:$AN$46,MATCH(('Adjustment Surface'!$O43),'Adjustment Surface'!$AN$27:$AN$46,1)+IF('Adjustment Surface'!$O44="",-1,1))-INDEX('Adjustment Surface'!$AN$27:$AN$46,MATCH(('Adjustment Surface'!$O43),'Adjustment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Surface'!$O43),'Adjustment Surface'!$AN$27:$AN$46,1)),$AN$27:$AN$46,0),MATCH(INDEX('Adjustment Surface'!$AO$26:$BH$26,1,MATCH(('Adjustment Surface'!U$26),'Adjustment Surface'!$AO$26:$BH$26,1)),$AO$26:$BH$26,0))*(INDEX('Adjustment Surface'!$AN$27:$AN$46,MATCH(('Adjustment Surface'!$O43),'Adjustment Surface'!$AN$27:$AN$46,1)+IF('Adjustment Surface'!$O44="",-1,1))-'Adjustment Surface'!$O43)*(INDEX('Adjustment Surface'!$AO$26:$BH$26,1,MATCH(('Adjustment Surface'!U$26),'Adjustment Surface'!$AO$26:$BH$26,1)+IF('Adjustment Surface'!V$26="",-1,1))-'Adjustment Surface'!U$26)+INDEX($AO$27:$BH$46,MATCH(INDEX('Adjustment Surface'!$AN$27:$AN$46,MATCH(('Adjustment Surface'!$O43),'Adjustment Surface'!$AN$27:$AN$46,1)+IF('Adjustment Surface'!$O44="",-1,1)),$AN$27:$AN$46,0),MATCH(INDEX('Adjustment Surface'!$AO$26:$BH$26,1,MATCH(('Adjustment Surface'!U$26),'Adjustment Surface'!$AO$26:$BH$26,1)),$AO$26:$BH$26,0))*('Adjustment Surface'!$O43-INDEX('Adjustment Surface'!$AN$27:$AN$46,MATCH(('Adjustment Surface'!$O43),'Adjustment Surface'!$AN$27:$AN$46,1)))*(INDEX('Adjustment Surface'!$AO$26:$BH$26,1,MATCH(('Adjustment Surface'!U$26),'Adjustment Surface'!$AO$26:$BH$26,1)+IF('Adjustment Surface'!V$26="",-1,1))-'Adjustment Surface'!U$26)+INDEX($AO$27:$BH$46,MATCH(INDEX('Adjustment Surface'!$AN$27:$AN$46,MATCH(('Adjustment Surface'!$O43),'Adjustment Surface'!$AN$27:$AN$46,1)),$AN$27:$AN$46,0),MATCH(INDEX('Adjustment Surface'!$AO$26:$BH$26,1,MATCH(('Adjustment Surface'!U$26),'Adjustment Surface'!$AO$26:$BH$26,1)+IF('Adjustment Surface'!V$26="",-1,1)),$AO$26:$BH$26,0))*(INDEX('Adjustment Surface'!$AN$27:$AN$46,MATCH(('Adjustment Surface'!$O43),'Adjustment Surface'!$AN$27:$AN$46,1)+IF('Adjustment Surface'!$O44="",-1,1))-'Adjustment Surface'!$O43)*('Adjustment Surface'!U$26-INDEX('Adjustment Surface'!$AO$26:$BH$26,1,MATCH(('Adjustment Surface'!U$26),'Adjustment Surface'!$AO$26:$BH$26,1)))+INDEX($AO$27:$BH$46,MATCH(INDEX('Adjustment Surface'!$AN$27:$AN$46,MATCH(('Adjustment Surface'!$O43),'Adjustment Surface'!$AN$27:$AN$46,1)+IF('Adjustment Surface'!$O44="",-1,1)),$AN$27:$AN$46,0),MATCH(INDEX('Adjustment Surface'!$AO$26:$BH$26,1,MATCH(('Adjustment Surface'!U$26),'Adjustment Surface'!$AO$26:$BH$26,1)+IF('Adjustment Surface'!V$26="",-1,1)),$AO$26:$BH$26,0))*('Adjustment Surface'!$O43-INDEX('Adjustment Surface'!$AN$27:$AN$46,MATCH(('Adjustment Surface'!$O43),'Adjustment Surface'!$AN$27:$AN$46,1)))*('Adjustment Surface'!U$26-INDEX('Adjustment Surface'!$AO$26:$BH$26,1,MATCH(('Adjustment Surface'!U$26),'Adjustment Surface'!$AO$26:$BH$26,1)))))</f>
        <v/>
      </c>
      <c r="V43" s="193" t="str" cm="1">
        <f t="array" ref="V43">IF(OR(V$26="",$O43=""),"",1/((INDEX('Adjustment Surface'!$AN$27:$AN$46,MATCH(('Adjustment Surface'!$O43),'Adjustment Surface'!$AN$27:$AN$46,1)+IF('Adjustment Surface'!$O44="",-1,1))-INDEX('Adjustment Surface'!$AN$27:$AN$46,MATCH(('Adjustment Surface'!$O43),'Adjustment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Surface'!$O43),'Adjustment Surface'!$AN$27:$AN$46,1)),$AN$27:$AN$46,0),MATCH(INDEX('Adjustment Surface'!$AO$26:$BH$26,1,MATCH(('Adjustment Surface'!V$26),'Adjustment Surface'!$AO$26:$BH$26,1)),$AO$26:$BH$26,0))*(INDEX('Adjustment Surface'!$AN$27:$AN$46,MATCH(('Adjustment Surface'!$O43),'Adjustment Surface'!$AN$27:$AN$46,1)+IF('Adjustment Surface'!$O44="",-1,1))-'Adjustment Surface'!$O43)*(INDEX('Adjustment Surface'!$AO$26:$BH$26,1,MATCH(('Adjustment Surface'!V$26),'Adjustment Surface'!$AO$26:$BH$26,1)+IF('Adjustment Surface'!W$26="",-1,1))-'Adjustment Surface'!V$26)+INDEX($AO$27:$BH$46,MATCH(INDEX('Adjustment Surface'!$AN$27:$AN$46,MATCH(('Adjustment Surface'!$O43),'Adjustment Surface'!$AN$27:$AN$46,1)+IF('Adjustment Surface'!$O44="",-1,1)),$AN$27:$AN$46,0),MATCH(INDEX('Adjustment Surface'!$AO$26:$BH$26,1,MATCH(('Adjustment Surface'!V$26),'Adjustment Surface'!$AO$26:$BH$26,1)),$AO$26:$BH$26,0))*('Adjustment Surface'!$O43-INDEX('Adjustment Surface'!$AN$27:$AN$46,MATCH(('Adjustment Surface'!$O43),'Adjustment Surface'!$AN$27:$AN$46,1)))*(INDEX('Adjustment Surface'!$AO$26:$BH$26,1,MATCH(('Adjustment Surface'!V$26),'Adjustment Surface'!$AO$26:$BH$26,1)+IF('Adjustment Surface'!W$26="",-1,1))-'Adjustment Surface'!V$26)+INDEX($AO$27:$BH$46,MATCH(INDEX('Adjustment Surface'!$AN$27:$AN$46,MATCH(('Adjustment Surface'!$O43),'Adjustment Surface'!$AN$27:$AN$46,1)),$AN$27:$AN$46,0),MATCH(INDEX('Adjustment Surface'!$AO$26:$BH$26,1,MATCH(('Adjustment Surface'!V$26),'Adjustment Surface'!$AO$26:$BH$26,1)+IF('Adjustment Surface'!W$26="",-1,1)),$AO$26:$BH$26,0))*(INDEX('Adjustment Surface'!$AN$27:$AN$46,MATCH(('Adjustment Surface'!$O43),'Adjustment Surface'!$AN$27:$AN$46,1)+IF('Adjustment Surface'!$O44="",-1,1))-'Adjustment Surface'!$O43)*('Adjustment Surface'!V$26-INDEX('Adjustment Surface'!$AO$26:$BH$26,1,MATCH(('Adjustment Surface'!V$26),'Adjustment Surface'!$AO$26:$BH$26,1)))+INDEX($AO$27:$BH$46,MATCH(INDEX('Adjustment Surface'!$AN$27:$AN$46,MATCH(('Adjustment Surface'!$O43),'Adjustment Surface'!$AN$27:$AN$46,1)+IF('Adjustment Surface'!$O44="",-1,1)),$AN$27:$AN$46,0),MATCH(INDEX('Adjustment Surface'!$AO$26:$BH$26,1,MATCH(('Adjustment Surface'!V$26),'Adjustment Surface'!$AO$26:$BH$26,1)+IF('Adjustment Surface'!W$26="",-1,1)),$AO$26:$BH$26,0))*('Adjustment Surface'!$O43-INDEX('Adjustment Surface'!$AN$27:$AN$46,MATCH(('Adjustment Surface'!$O43),'Adjustment Surface'!$AN$27:$AN$46,1)))*('Adjustment Surface'!V$26-INDEX('Adjustment Surface'!$AO$26:$BH$26,1,MATCH(('Adjustment Surface'!V$26),'Adjustment Surface'!$AO$26:$BH$26,1)))))</f>
        <v/>
      </c>
      <c r="W43" s="193" t="str" cm="1">
        <f t="array" ref="W43">IF(OR(W$26="",$O43=""),"",1/((INDEX('Adjustment Surface'!$AN$27:$AN$46,MATCH(('Adjustment Surface'!$O43),'Adjustment Surface'!$AN$27:$AN$46,1)+IF('Adjustment Surface'!$O44="",-1,1))-INDEX('Adjustment Surface'!$AN$27:$AN$46,MATCH(('Adjustment Surface'!$O43),'Adjustment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Surface'!$O43),'Adjustment Surface'!$AN$27:$AN$46,1)),$AN$27:$AN$46,0),MATCH(INDEX('Adjustment Surface'!$AO$26:$BH$26,1,MATCH(('Adjustment Surface'!W$26),'Adjustment Surface'!$AO$26:$BH$26,1)),$AO$26:$BH$26,0))*(INDEX('Adjustment Surface'!$AN$27:$AN$46,MATCH(('Adjustment Surface'!$O43),'Adjustment Surface'!$AN$27:$AN$46,1)+IF('Adjustment Surface'!$O44="",-1,1))-'Adjustment Surface'!$O43)*(INDEX('Adjustment Surface'!$AO$26:$BH$26,1,MATCH(('Adjustment Surface'!W$26),'Adjustment Surface'!$AO$26:$BH$26,1)+IF('Adjustment Surface'!X$26="",-1,1))-'Adjustment Surface'!W$26)+INDEX($AO$27:$BH$46,MATCH(INDEX('Adjustment Surface'!$AN$27:$AN$46,MATCH(('Adjustment Surface'!$O43),'Adjustment Surface'!$AN$27:$AN$46,1)+IF('Adjustment Surface'!$O44="",-1,1)),$AN$27:$AN$46,0),MATCH(INDEX('Adjustment Surface'!$AO$26:$BH$26,1,MATCH(('Adjustment Surface'!W$26),'Adjustment Surface'!$AO$26:$BH$26,1)),$AO$26:$BH$26,0))*('Adjustment Surface'!$O43-INDEX('Adjustment Surface'!$AN$27:$AN$46,MATCH(('Adjustment Surface'!$O43),'Adjustment Surface'!$AN$27:$AN$46,1)))*(INDEX('Adjustment Surface'!$AO$26:$BH$26,1,MATCH(('Adjustment Surface'!W$26),'Adjustment Surface'!$AO$26:$BH$26,1)+IF('Adjustment Surface'!X$26="",-1,1))-'Adjustment Surface'!W$26)+INDEX($AO$27:$BH$46,MATCH(INDEX('Adjustment Surface'!$AN$27:$AN$46,MATCH(('Adjustment Surface'!$O43),'Adjustment Surface'!$AN$27:$AN$46,1)),$AN$27:$AN$46,0),MATCH(INDEX('Adjustment Surface'!$AO$26:$BH$26,1,MATCH(('Adjustment Surface'!W$26),'Adjustment Surface'!$AO$26:$BH$26,1)+IF('Adjustment Surface'!X$26="",-1,1)),$AO$26:$BH$26,0))*(INDEX('Adjustment Surface'!$AN$27:$AN$46,MATCH(('Adjustment Surface'!$O43),'Adjustment Surface'!$AN$27:$AN$46,1)+IF('Adjustment Surface'!$O44="",-1,1))-'Adjustment Surface'!$O43)*('Adjustment Surface'!W$26-INDEX('Adjustment Surface'!$AO$26:$BH$26,1,MATCH(('Adjustment Surface'!W$26),'Adjustment Surface'!$AO$26:$BH$26,1)))+INDEX($AO$27:$BH$46,MATCH(INDEX('Adjustment Surface'!$AN$27:$AN$46,MATCH(('Adjustment Surface'!$O43),'Adjustment Surface'!$AN$27:$AN$46,1)+IF('Adjustment Surface'!$O44="",-1,1)),$AN$27:$AN$46,0),MATCH(INDEX('Adjustment Surface'!$AO$26:$BH$26,1,MATCH(('Adjustment Surface'!W$26),'Adjustment Surface'!$AO$26:$BH$26,1)+IF('Adjustment Surface'!X$26="",-1,1)),$AO$26:$BH$26,0))*('Adjustment Surface'!$O43-INDEX('Adjustment Surface'!$AN$27:$AN$46,MATCH(('Adjustment Surface'!$O43),'Adjustment Surface'!$AN$27:$AN$46,1)))*('Adjustment Surface'!W$26-INDEX('Adjustment Surface'!$AO$26:$BH$26,1,MATCH(('Adjustment Surface'!W$26),'Adjustment Surface'!$AO$26:$BH$26,1)))))</f>
        <v/>
      </c>
      <c r="X43" s="193" t="str" cm="1">
        <f t="array" ref="X43">IF(OR(X$26="",$O43=""),"",1/((INDEX('Adjustment Surface'!$AN$27:$AN$46,MATCH(('Adjustment Surface'!$O43),'Adjustment Surface'!$AN$27:$AN$46,1)+IF('Adjustment Surface'!$O44="",-1,1))-INDEX('Adjustment Surface'!$AN$27:$AN$46,MATCH(('Adjustment Surface'!$O43),'Adjustment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Surface'!$O43),'Adjustment Surface'!$AN$27:$AN$46,1)),$AN$27:$AN$46,0),MATCH(INDEX('Adjustment Surface'!$AO$26:$BH$26,1,MATCH(('Adjustment Surface'!X$26),'Adjustment Surface'!$AO$26:$BH$26,1)),$AO$26:$BH$26,0))*(INDEX('Adjustment Surface'!$AN$27:$AN$46,MATCH(('Adjustment Surface'!$O43),'Adjustment Surface'!$AN$27:$AN$46,1)+IF('Adjustment Surface'!$O44="",-1,1))-'Adjustment Surface'!$O43)*(INDEX('Adjustment Surface'!$AO$26:$BH$26,1,MATCH(('Adjustment Surface'!X$26),'Adjustment Surface'!$AO$26:$BH$26,1)+IF('Adjustment Surface'!Y$26="",-1,1))-'Adjustment Surface'!X$26)+INDEX($AO$27:$BH$46,MATCH(INDEX('Adjustment Surface'!$AN$27:$AN$46,MATCH(('Adjustment Surface'!$O43),'Adjustment Surface'!$AN$27:$AN$46,1)+IF('Adjustment Surface'!$O44="",-1,1)),$AN$27:$AN$46,0),MATCH(INDEX('Adjustment Surface'!$AO$26:$BH$26,1,MATCH(('Adjustment Surface'!X$26),'Adjustment Surface'!$AO$26:$BH$26,1)),$AO$26:$BH$26,0))*('Adjustment Surface'!$O43-INDEX('Adjustment Surface'!$AN$27:$AN$46,MATCH(('Adjustment Surface'!$O43),'Adjustment Surface'!$AN$27:$AN$46,1)))*(INDEX('Adjustment Surface'!$AO$26:$BH$26,1,MATCH(('Adjustment Surface'!X$26),'Adjustment Surface'!$AO$26:$BH$26,1)+IF('Adjustment Surface'!Y$26="",-1,1))-'Adjustment Surface'!X$26)+INDEX($AO$27:$BH$46,MATCH(INDEX('Adjustment Surface'!$AN$27:$AN$46,MATCH(('Adjustment Surface'!$O43),'Adjustment Surface'!$AN$27:$AN$46,1)),$AN$27:$AN$46,0),MATCH(INDEX('Adjustment Surface'!$AO$26:$BH$26,1,MATCH(('Adjustment Surface'!X$26),'Adjustment Surface'!$AO$26:$BH$26,1)+IF('Adjustment Surface'!Y$26="",-1,1)),$AO$26:$BH$26,0))*(INDEX('Adjustment Surface'!$AN$27:$AN$46,MATCH(('Adjustment Surface'!$O43),'Adjustment Surface'!$AN$27:$AN$46,1)+IF('Adjustment Surface'!$O44="",-1,1))-'Adjustment Surface'!$O43)*('Adjustment Surface'!X$26-INDEX('Adjustment Surface'!$AO$26:$BH$26,1,MATCH(('Adjustment Surface'!X$26),'Adjustment Surface'!$AO$26:$BH$26,1)))+INDEX($AO$27:$BH$46,MATCH(INDEX('Adjustment Surface'!$AN$27:$AN$46,MATCH(('Adjustment Surface'!$O43),'Adjustment Surface'!$AN$27:$AN$46,1)+IF('Adjustment Surface'!$O44="",-1,1)),$AN$27:$AN$46,0),MATCH(INDEX('Adjustment Surface'!$AO$26:$BH$26,1,MATCH(('Adjustment Surface'!X$26),'Adjustment Surface'!$AO$26:$BH$26,1)+IF('Adjustment Surface'!Y$26="",-1,1)),$AO$26:$BH$26,0))*('Adjustment Surface'!$O43-INDEX('Adjustment Surface'!$AN$27:$AN$46,MATCH(('Adjustment Surface'!$O43),'Adjustment Surface'!$AN$27:$AN$46,1)))*('Adjustment Surface'!X$26-INDEX('Adjustment Surface'!$AO$26:$BH$26,1,MATCH(('Adjustment Surface'!X$26),'Adjustment Surface'!$AO$26:$BH$26,1)))))</f>
        <v/>
      </c>
      <c r="Y43" s="193" t="str" cm="1">
        <f t="array" ref="Y43">IF(OR(Y$26="",$O43=""),"",1/((INDEX('Adjustment Surface'!$AN$27:$AN$46,MATCH(('Adjustment Surface'!$O43),'Adjustment Surface'!$AN$27:$AN$46,1)+IF('Adjustment Surface'!$O44="",-1,1))-INDEX('Adjustment Surface'!$AN$27:$AN$46,MATCH(('Adjustment Surface'!$O43),'Adjustment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Surface'!$O43),'Adjustment Surface'!$AN$27:$AN$46,1)),$AN$27:$AN$46,0),MATCH(INDEX('Adjustment Surface'!$AO$26:$BH$26,1,MATCH(('Adjustment Surface'!Y$26),'Adjustment Surface'!$AO$26:$BH$26,1)),$AO$26:$BH$26,0))*(INDEX('Adjustment Surface'!$AN$27:$AN$46,MATCH(('Adjustment Surface'!$O43),'Adjustment Surface'!$AN$27:$AN$46,1)+IF('Adjustment Surface'!$O44="",-1,1))-'Adjustment Surface'!$O43)*(INDEX('Adjustment Surface'!$AO$26:$BH$26,1,MATCH(('Adjustment Surface'!Y$26),'Adjustment Surface'!$AO$26:$BH$26,1)+IF('Adjustment Surface'!Z$26="",-1,1))-'Adjustment Surface'!Y$26)+INDEX($AO$27:$BH$46,MATCH(INDEX('Adjustment Surface'!$AN$27:$AN$46,MATCH(('Adjustment Surface'!$O43),'Adjustment Surface'!$AN$27:$AN$46,1)+IF('Adjustment Surface'!$O44="",-1,1)),$AN$27:$AN$46,0),MATCH(INDEX('Adjustment Surface'!$AO$26:$BH$26,1,MATCH(('Adjustment Surface'!Y$26),'Adjustment Surface'!$AO$26:$BH$26,1)),$AO$26:$BH$26,0))*('Adjustment Surface'!$O43-INDEX('Adjustment Surface'!$AN$27:$AN$46,MATCH(('Adjustment Surface'!$O43),'Adjustment Surface'!$AN$27:$AN$46,1)))*(INDEX('Adjustment Surface'!$AO$26:$BH$26,1,MATCH(('Adjustment Surface'!Y$26),'Adjustment Surface'!$AO$26:$BH$26,1)+IF('Adjustment Surface'!Z$26="",-1,1))-'Adjustment Surface'!Y$26)+INDEX($AO$27:$BH$46,MATCH(INDEX('Adjustment Surface'!$AN$27:$AN$46,MATCH(('Adjustment Surface'!$O43),'Adjustment Surface'!$AN$27:$AN$46,1)),$AN$27:$AN$46,0),MATCH(INDEX('Adjustment Surface'!$AO$26:$BH$26,1,MATCH(('Adjustment Surface'!Y$26),'Adjustment Surface'!$AO$26:$BH$26,1)+IF('Adjustment Surface'!Z$26="",-1,1)),$AO$26:$BH$26,0))*(INDEX('Adjustment Surface'!$AN$27:$AN$46,MATCH(('Adjustment Surface'!$O43),'Adjustment Surface'!$AN$27:$AN$46,1)+IF('Adjustment Surface'!$O44="",-1,1))-'Adjustment Surface'!$O43)*('Adjustment Surface'!Y$26-INDEX('Adjustment Surface'!$AO$26:$BH$26,1,MATCH(('Adjustment Surface'!Y$26),'Adjustment Surface'!$AO$26:$BH$26,1)))+INDEX($AO$27:$BH$46,MATCH(INDEX('Adjustment Surface'!$AN$27:$AN$46,MATCH(('Adjustment Surface'!$O43),'Adjustment Surface'!$AN$27:$AN$46,1)+IF('Adjustment Surface'!$O44="",-1,1)),$AN$27:$AN$46,0),MATCH(INDEX('Adjustment Surface'!$AO$26:$BH$26,1,MATCH(('Adjustment Surface'!Y$26),'Adjustment Surface'!$AO$26:$BH$26,1)+IF('Adjustment Surface'!Z$26="",-1,1)),$AO$26:$BH$26,0))*('Adjustment Surface'!$O43-INDEX('Adjustment Surface'!$AN$27:$AN$46,MATCH(('Adjustment Surface'!$O43),'Adjustment Surface'!$AN$27:$AN$46,1)))*('Adjustment Surface'!Y$26-INDEX('Adjustment Surface'!$AO$26:$BH$26,1,MATCH(('Adjustment Surface'!Y$26),'Adjustment Surface'!$AO$26:$BH$26,1)))))</f>
        <v/>
      </c>
      <c r="Z43" s="193" t="str" cm="1">
        <f t="array" ref="Z43">IF(OR(Z$26="",$O43=""),"",1/((INDEX('Adjustment Surface'!$AN$27:$AN$46,MATCH(('Adjustment Surface'!$O43),'Adjustment Surface'!$AN$27:$AN$46,1)+IF('Adjustment Surface'!$O44="",-1,1))-INDEX('Adjustment Surface'!$AN$27:$AN$46,MATCH(('Adjustment Surface'!$O43),'Adjustment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Surface'!$O43),'Adjustment Surface'!$AN$27:$AN$46,1)),$AN$27:$AN$46,0),MATCH(INDEX('Adjustment Surface'!$AO$26:$BH$26,1,MATCH(('Adjustment Surface'!Z$26),'Adjustment Surface'!$AO$26:$BH$26,1)),$AO$26:$BH$26,0))*(INDEX('Adjustment Surface'!$AN$27:$AN$46,MATCH(('Adjustment Surface'!$O43),'Adjustment Surface'!$AN$27:$AN$46,1)+IF('Adjustment Surface'!$O44="",-1,1))-'Adjustment Surface'!$O43)*(INDEX('Adjustment Surface'!$AO$26:$BH$26,1,MATCH(('Adjustment Surface'!Z$26),'Adjustment Surface'!$AO$26:$BH$26,1)+IF('Adjustment Surface'!AA$26="",-1,1))-'Adjustment Surface'!Z$26)+INDEX($AO$27:$BH$46,MATCH(INDEX('Adjustment Surface'!$AN$27:$AN$46,MATCH(('Adjustment Surface'!$O43),'Adjustment Surface'!$AN$27:$AN$46,1)+IF('Adjustment Surface'!$O44="",-1,1)),$AN$27:$AN$46,0),MATCH(INDEX('Adjustment Surface'!$AO$26:$BH$26,1,MATCH(('Adjustment Surface'!Z$26),'Adjustment Surface'!$AO$26:$BH$26,1)),$AO$26:$BH$26,0))*('Adjustment Surface'!$O43-INDEX('Adjustment Surface'!$AN$27:$AN$46,MATCH(('Adjustment Surface'!$O43),'Adjustment Surface'!$AN$27:$AN$46,1)))*(INDEX('Adjustment Surface'!$AO$26:$BH$26,1,MATCH(('Adjustment Surface'!Z$26),'Adjustment Surface'!$AO$26:$BH$26,1)+IF('Adjustment Surface'!AA$26="",-1,1))-'Adjustment Surface'!Z$26)+INDEX($AO$27:$BH$46,MATCH(INDEX('Adjustment Surface'!$AN$27:$AN$46,MATCH(('Adjustment Surface'!$O43),'Adjustment Surface'!$AN$27:$AN$46,1)),$AN$27:$AN$46,0),MATCH(INDEX('Adjustment Surface'!$AO$26:$BH$26,1,MATCH(('Adjustment Surface'!Z$26),'Adjustment Surface'!$AO$26:$BH$26,1)+IF('Adjustment Surface'!AA$26="",-1,1)),$AO$26:$BH$26,0))*(INDEX('Adjustment Surface'!$AN$27:$AN$46,MATCH(('Adjustment Surface'!$O43),'Adjustment Surface'!$AN$27:$AN$46,1)+IF('Adjustment Surface'!$O44="",-1,1))-'Adjustment Surface'!$O43)*('Adjustment Surface'!Z$26-INDEX('Adjustment Surface'!$AO$26:$BH$26,1,MATCH(('Adjustment Surface'!Z$26),'Adjustment Surface'!$AO$26:$BH$26,1)))+INDEX($AO$27:$BH$46,MATCH(INDEX('Adjustment Surface'!$AN$27:$AN$46,MATCH(('Adjustment Surface'!$O43),'Adjustment Surface'!$AN$27:$AN$46,1)+IF('Adjustment Surface'!$O44="",-1,1)),$AN$27:$AN$46,0),MATCH(INDEX('Adjustment Surface'!$AO$26:$BH$26,1,MATCH(('Adjustment Surface'!Z$26),'Adjustment Surface'!$AO$26:$BH$26,1)+IF('Adjustment Surface'!AA$26="",-1,1)),$AO$26:$BH$26,0))*('Adjustment Surface'!$O43-INDEX('Adjustment Surface'!$AN$27:$AN$46,MATCH(('Adjustment Surface'!$O43),'Adjustment Surface'!$AN$27:$AN$46,1)))*('Adjustment Surface'!Z$26-INDEX('Adjustment Surface'!$AO$26:$BH$26,1,MATCH(('Adjustment Surface'!Z$26),'Adjustment Surface'!$AO$26:$BH$26,1)))))</f>
        <v/>
      </c>
      <c r="AA43" s="193" t="str" cm="1">
        <f t="array" ref="AA43">IF(OR(AA$26="",$O43=""),"",1/((INDEX('Adjustment Surface'!$AN$27:$AN$46,MATCH(('Adjustment Surface'!$O43),'Adjustment Surface'!$AN$27:$AN$46,1)+IF('Adjustment Surface'!$O44="",-1,1))-INDEX('Adjustment Surface'!$AN$27:$AN$46,MATCH(('Adjustment Surface'!$O43),'Adjustment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Surface'!$O43),'Adjustment Surface'!$AN$27:$AN$46,1)),$AN$27:$AN$46,0),MATCH(INDEX('Adjustment Surface'!$AO$26:$BH$26,1,MATCH(('Adjustment Surface'!AA$26),'Adjustment Surface'!$AO$26:$BH$26,1)),$AO$26:$BH$26,0))*(INDEX('Adjustment Surface'!$AN$27:$AN$46,MATCH(('Adjustment Surface'!$O43),'Adjustment Surface'!$AN$27:$AN$46,1)+IF('Adjustment Surface'!$O44="",-1,1))-'Adjustment Surface'!$O43)*(INDEX('Adjustment Surface'!$AO$26:$BH$26,1,MATCH(('Adjustment Surface'!AA$26),'Adjustment Surface'!$AO$26:$BH$26,1)+IF('Adjustment Surface'!AB$26="",-1,1))-'Adjustment Surface'!AA$26)+INDEX($AO$27:$BH$46,MATCH(INDEX('Adjustment Surface'!$AN$27:$AN$46,MATCH(('Adjustment Surface'!$O43),'Adjustment Surface'!$AN$27:$AN$46,1)+IF('Adjustment Surface'!$O44="",-1,1)),$AN$27:$AN$46,0),MATCH(INDEX('Adjustment Surface'!$AO$26:$BH$26,1,MATCH(('Adjustment Surface'!AA$26),'Adjustment Surface'!$AO$26:$BH$26,1)),$AO$26:$BH$26,0))*('Adjustment Surface'!$O43-INDEX('Adjustment Surface'!$AN$27:$AN$46,MATCH(('Adjustment Surface'!$O43),'Adjustment Surface'!$AN$27:$AN$46,1)))*(INDEX('Adjustment Surface'!$AO$26:$BH$26,1,MATCH(('Adjustment Surface'!AA$26),'Adjustment Surface'!$AO$26:$BH$26,1)+IF('Adjustment Surface'!AB$26="",-1,1))-'Adjustment Surface'!AA$26)+INDEX($AO$27:$BH$46,MATCH(INDEX('Adjustment Surface'!$AN$27:$AN$46,MATCH(('Adjustment Surface'!$O43),'Adjustment Surface'!$AN$27:$AN$46,1)),$AN$27:$AN$46,0),MATCH(INDEX('Adjustment Surface'!$AO$26:$BH$26,1,MATCH(('Adjustment Surface'!AA$26),'Adjustment Surface'!$AO$26:$BH$26,1)+IF('Adjustment Surface'!AB$26="",-1,1)),$AO$26:$BH$26,0))*(INDEX('Adjustment Surface'!$AN$27:$AN$46,MATCH(('Adjustment Surface'!$O43),'Adjustment Surface'!$AN$27:$AN$46,1)+IF('Adjustment Surface'!$O44="",-1,1))-'Adjustment Surface'!$O43)*('Adjustment Surface'!AA$26-INDEX('Adjustment Surface'!$AO$26:$BH$26,1,MATCH(('Adjustment Surface'!AA$26),'Adjustment Surface'!$AO$26:$BH$26,1)))+INDEX($AO$27:$BH$46,MATCH(INDEX('Adjustment Surface'!$AN$27:$AN$46,MATCH(('Adjustment Surface'!$O43),'Adjustment Surface'!$AN$27:$AN$46,1)+IF('Adjustment Surface'!$O44="",-1,1)),$AN$27:$AN$46,0),MATCH(INDEX('Adjustment Surface'!$AO$26:$BH$26,1,MATCH(('Adjustment Surface'!AA$26),'Adjustment Surface'!$AO$26:$BH$26,1)+IF('Adjustment Surface'!AB$26="",-1,1)),$AO$26:$BH$26,0))*('Adjustment Surface'!$O43-INDEX('Adjustment Surface'!$AN$27:$AN$46,MATCH(('Adjustment Surface'!$O43),'Adjustment Surface'!$AN$27:$AN$46,1)))*('Adjustment Surface'!AA$26-INDEX('Adjustment Surface'!$AO$26:$BH$26,1,MATCH(('Adjustment Surface'!AA$26),'Adjustment Surface'!$AO$26:$BH$26,1)))))</f>
        <v/>
      </c>
      <c r="AB43" s="193" t="str" cm="1">
        <f t="array" ref="AB43">IF(OR(AB$26="",$O43=""),"",1/((INDEX('Adjustment Surface'!$AN$27:$AN$46,MATCH(('Adjustment Surface'!$O43),'Adjustment Surface'!$AN$27:$AN$46,1)+IF('Adjustment Surface'!$O44="",-1,1))-INDEX('Adjustment Surface'!$AN$27:$AN$46,MATCH(('Adjustment Surface'!$O43),'Adjustment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Surface'!$O43),'Adjustment Surface'!$AN$27:$AN$46,1)),$AN$27:$AN$46,0),MATCH(INDEX('Adjustment Surface'!$AO$26:$BH$26,1,MATCH(('Adjustment Surface'!AB$26),'Adjustment Surface'!$AO$26:$BH$26,1)),$AO$26:$BH$26,0))*(INDEX('Adjustment Surface'!$AN$27:$AN$46,MATCH(('Adjustment Surface'!$O43),'Adjustment Surface'!$AN$27:$AN$46,1)+IF('Adjustment Surface'!$O44="",-1,1))-'Adjustment Surface'!$O43)*(INDEX('Adjustment Surface'!$AO$26:$BH$26,1,MATCH(('Adjustment Surface'!AB$26),'Adjustment Surface'!$AO$26:$BH$26,1)+IF('Adjustment Surface'!AC$26="",-1,1))-'Adjustment Surface'!AB$26)+INDEX($AO$27:$BH$46,MATCH(INDEX('Adjustment Surface'!$AN$27:$AN$46,MATCH(('Adjustment Surface'!$O43),'Adjustment Surface'!$AN$27:$AN$46,1)+IF('Adjustment Surface'!$O44="",-1,1)),$AN$27:$AN$46,0),MATCH(INDEX('Adjustment Surface'!$AO$26:$BH$26,1,MATCH(('Adjustment Surface'!AB$26),'Adjustment Surface'!$AO$26:$BH$26,1)),$AO$26:$BH$26,0))*('Adjustment Surface'!$O43-INDEX('Adjustment Surface'!$AN$27:$AN$46,MATCH(('Adjustment Surface'!$O43),'Adjustment Surface'!$AN$27:$AN$46,1)))*(INDEX('Adjustment Surface'!$AO$26:$BH$26,1,MATCH(('Adjustment Surface'!AB$26),'Adjustment Surface'!$AO$26:$BH$26,1)+IF('Adjustment Surface'!AC$26="",-1,1))-'Adjustment Surface'!AB$26)+INDEX($AO$27:$BH$46,MATCH(INDEX('Adjustment Surface'!$AN$27:$AN$46,MATCH(('Adjustment Surface'!$O43),'Adjustment Surface'!$AN$27:$AN$46,1)),$AN$27:$AN$46,0),MATCH(INDEX('Adjustment Surface'!$AO$26:$BH$26,1,MATCH(('Adjustment Surface'!AB$26),'Adjustment Surface'!$AO$26:$BH$26,1)+IF('Adjustment Surface'!AC$26="",-1,1)),$AO$26:$BH$26,0))*(INDEX('Adjustment Surface'!$AN$27:$AN$46,MATCH(('Adjustment Surface'!$O43),'Adjustment Surface'!$AN$27:$AN$46,1)+IF('Adjustment Surface'!$O44="",-1,1))-'Adjustment Surface'!$O43)*('Adjustment Surface'!AB$26-INDEX('Adjustment Surface'!$AO$26:$BH$26,1,MATCH(('Adjustment Surface'!AB$26),'Adjustment Surface'!$AO$26:$BH$26,1)))+INDEX($AO$27:$BH$46,MATCH(INDEX('Adjustment Surface'!$AN$27:$AN$46,MATCH(('Adjustment Surface'!$O43),'Adjustment Surface'!$AN$27:$AN$46,1)+IF('Adjustment Surface'!$O44="",-1,1)),$AN$27:$AN$46,0),MATCH(INDEX('Adjustment Surface'!$AO$26:$BH$26,1,MATCH(('Adjustment Surface'!AB$26),'Adjustment Surface'!$AO$26:$BH$26,1)+IF('Adjustment Surface'!AC$26="",-1,1)),$AO$26:$BH$26,0))*('Adjustment Surface'!$O43-INDEX('Adjustment Surface'!$AN$27:$AN$46,MATCH(('Adjustment Surface'!$O43),'Adjustment Surface'!$AN$27:$AN$46,1)))*('Adjustment Surface'!AB$26-INDEX('Adjustment Surface'!$AO$26:$BH$26,1,MATCH(('Adjustment Surface'!AB$26),'Adjustment Surface'!$AO$26:$BH$26,1)))))</f>
        <v/>
      </c>
      <c r="AC43" s="193" t="str" cm="1">
        <f t="array" ref="AC43">IF(OR(AC$26="",$O43=""),"",1/((INDEX('Adjustment Surface'!$AN$27:$AN$46,MATCH(('Adjustment Surface'!$O43),'Adjustment Surface'!$AN$27:$AN$46,1)+IF('Adjustment Surface'!$O44="",-1,1))-INDEX('Adjustment Surface'!$AN$27:$AN$46,MATCH(('Adjustment Surface'!$O43),'Adjustment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Surface'!$O43),'Adjustment Surface'!$AN$27:$AN$46,1)),$AN$27:$AN$46,0),MATCH(INDEX('Adjustment Surface'!$AO$26:$BH$26,1,MATCH(('Adjustment Surface'!AC$26),'Adjustment Surface'!$AO$26:$BH$26,1)),$AO$26:$BH$26,0))*(INDEX('Adjustment Surface'!$AN$27:$AN$46,MATCH(('Adjustment Surface'!$O43),'Adjustment Surface'!$AN$27:$AN$46,1)+IF('Adjustment Surface'!$O44="",-1,1))-'Adjustment Surface'!$O43)*(INDEX('Adjustment Surface'!$AO$26:$BH$26,1,MATCH(('Adjustment Surface'!AC$26),'Adjustment Surface'!$AO$26:$BH$26,1)+IF('Adjustment Surface'!AD$26="",-1,1))-'Adjustment Surface'!AC$26)+INDEX($AO$27:$BH$46,MATCH(INDEX('Adjustment Surface'!$AN$27:$AN$46,MATCH(('Adjustment Surface'!$O43),'Adjustment Surface'!$AN$27:$AN$46,1)+IF('Adjustment Surface'!$O44="",-1,1)),$AN$27:$AN$46,0),MATCH(INDEX('Adjustment Surface'!$AO$26:$BH$26,1,MATCH(('Adjustment Surface'!AC$26),'Adjustment Surface'!$AO$26:$BH$26,1)),$AO$26:$BH$26,0))*('Adjustment Surface'!$O43-INDEX('Adjustment Surface'!$AN$27:$AN$46,MATCH(('Adjustment Surface'!$O43),'Adjustment Surface'!$AN$27:$AN$46,1)))*(INDEX('Adjustment Surface'!$AO$26:$BH$26,1,MATCH(('Adjustment Surface'!AC$26),'Adjustment Surface'!$AO$26:$BH$26,1)+IF('Adjustment Surface'!AD$26="",-1,1))-'Adjustment Surface'!AC$26)+INDEX($AO$27:$BH$46,MATCH(INDEX('Adjustment Surface'!$AN$27:$AN$46,MATCH(('Adjustment Surface'!$O43),'Adjustment Surface'!$AN$27:$AN$46,1)),$AN$27:$AN$46,0),MATCH(INDEX('Adjustment Surface'!$AO$26:$BH$26,1,MATCH(('Adjustment Surface'!AC$26),'Adjustment Surface'!$AO$26:$BH$26,1)+IF('Adjustment Surface'!AD$26="",-1,1)),$AO$26:$BH$26,0))*(INDEX('Adjustment Surface'!$AN$27:$AN$46,MATCH(('Adjustment Surface'!$O43),'Adjustment Surface'!$AN$27:$AN$46,1)+IF('Adjustment Surface'!$O44="",-1,1))-'Adjustment Surface'!$O43)*('Adjustment Surface'!AC$26-INDEX('Adjustment Surface'!$AO$26:$BH$26,1,MATCH(('Adjustment Surface'!AC$26),'Adjustment Surface'!$AO$26:$BH$26,1)))+INDEX($AO$27:$BH$46,MATCH(INDEX('Adjustment Surface'!$AN$27:$AN$46,MATCH(('Adjustment Surface'!$O43),'Adjustment Surface'!$AN$27:$AN$46,1)+IF('Adjustment Surface'!$O44="",-1,1)),$AN$27:$AN$46,0),MATCH(INDEX('Adjustment Surface'!$AO$26:$BH$26,1,MATCH(('Adjustment Surface'!AC$26),'Adjustment Surface'!$AO$26:$BH$26,1)+IF('Adjustment Surface'!AD$26="",-1,1)),$AO$26:$BH$26,0))*('Adjustment Surface'!$O43-INDEX('Adjustment Surface'!$AN$27:$AN$46,MATCH(('Adjustment Surface'!$O43),'Adjustment Surface'!$AN$27:$AN$46,1)))*('Adjustment Surface'!AC$26-INDEX('Adjustment Surface'!$AO$26:$BH$26,1,MATCH(('Adjustment Surface'!AC$26),'Adjustment Surface'!$AO$26:$BH$26,1)))))</f>
        <v/>
      </c>
      <c r="AD43" s="193" t="str" cm="1">
        <f t="array" ref="AD43">IF(OR(AD$26="",$O43=""),"",1/((INDEX('Adjustment Surface'!$AN$27:$AN$46,MATCH(('Adjustment Surface'!$O43),'Adjustment Surface'!$AN$27:$AN$46,1)+IF('Adjustment Surface'!$O44="",-1,1))-INDEX('Adjustment Surface'!$AN$27:$AN$46,MATCH(('Adjustment Surface'!$O43),'Adjustment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Surface'!$O43),'Adjustment Surface'!$AN$27:$AN$46,1)),$AN$27:$AN$46,0),MATCH(INDEX('Adjustment Surface'!$AO$26:$BH$26,1,MATCH(('Adjustment Surface'!AD$26),'Adjustment Surface'!$AO$26:$BH$26,1)),$AO$26:$BH$26,0))*(INDEX('Adjustment Surface'!$AN$27:$AN$46,MATCH(('Adjustment Surface'!$O43),'Adjustment Surface'!$AN$27:$AN$46,1)+IF('Adjustment Surface'!$O44="",-1,1))-'Adjustment Surface'!$O43)*(INDEX('Adjustment Surface'!$AO$26:$BH$26,1,MATCH(('Adjustment Surface'!AD$26),'Adjustment Surface'!$AO$26:$BH$26,1)+IF('Adjustment Surface'!AE$26="",-1,1))-'Adjustment Surface'!AD$26)+INDEX($AO$27:$BH$46,MATCH(INDEX('Adjustment Surface'!$AN$27:$AN$46,MATCH(('Adjustment Surface'!$O43),'Adjustment Surface'!$AN$27:$AN$46,1)+IF('Adjustment Surface'!$O44="",-1,1)),$AN$27:$AN$46,0),MATCH(INDEX('Adjustment Surface'!$AO$26:$BH$26,1,MATCH(('Adjustment Surface'!AD$26),'Adjustment Surface'!$AO$26:$BH$26,1)),$AO$26:$BH$26,0))*('Adjustment Surface'!$O43-INDEX('Adjustment Surface'!$AN$27:$AN$46,MATCH(('Adjustment Surface'!$O43),'Adjustment Surface'!$AN$27:$AN$46,1)))*(INDEX('Adjustment Surface'!$AO$26:$BH$26,1,MATCH(('Adjustment Surface'!AD$26),'Adjustment Surface'!$AO$26:$BH$26,1)+IF('Adjustment Surface'!AE$26="",-1,1))-'Adjustment Surface'!AD$26)+INDEX($AO$27:$BH$46,MATCH(INDEX('Adjustment Surface'!$AN$27:$AN$46,MATCH(('Adjustment Surface'!$O43),'Adjustment Surface'!$AN$27:$AN$46,1)),$AN$27:$AN$46,0),MATCH(INDEX('Adjustment Surface'!$AO$26:$BH$26,1,MATCH(('Adjustment Surface'!AD$26),'Adjustment Surface'!$AO$26:$BH$26,1)+IF('Adjustment Surface'!AE$26="",-1,1)),$AO$26:$BH$26,0))*(INDEX('Adjustment Surface'!$AN$27:$AN$46,MATCH(('Adjustment Surface'!$O43),'Adjustment Surface'!$AN$27:$AN$46,1)+IF('Adjustment Surface'!$O44="",-1,1))-'Adjustment Surface'!$O43)*('Adjustment Surface'!AD$26-INDEX('Adjustment Surface'!$AO$26:$BH$26,1,MATCH(('Adjustment Surface'!AD$26),'Adjustment Surface'!$AO$26:$BH$26,1)))+INDEX($AO$27:$BH$46,MATCH(INDEX('Adjustment Surface'!$AN$27:$AN$46,MATCH(('Adjustment Surface'!$O43),'Adjustment Surface'!$AN$27:$AN$46,1)+IF('Adjustment Surface'!$O44="",-1,1)),$AN$27:$AN$46,0),MATCH(INDEX('Adjustment Surface'!$AO$26:$BH$26,1,MATCH(('Adjustment Surface'!AD$26),'Adjustment Surface'!$AO$26:$BH$26,1)+IF('Adjustment Surface'!AE$26="",-1,1)),$AO$26:$BH$26,0))*('Adjustment Surface'!$O43-INDEX('Adjustment Surface'!$AN$27:$AN$46,MATCH(('Adjustment Surface'!$O43),'Adjustment Surface'!$AN$27:$AN$46,1)))*('Adjustment Surface'!AD$26-INDEX('Adjustment Surface'!$AO$26:$BH$26,1,MATCH(('Adjustment Surface'!AD$26),'Adjustment Surface'!$AO$26:$BH$26,1)))))</f>
        <v/>
      </c>
      <c r="AE43" s="193" t="str" cm="1">
        <f t="array" ref="AE43">IF(OR(AE$26="",$O43=""),"",1/((INDEX('Adjustment Surface'!$AN$27:$AN$46,MATCH(('Adjustment Surface'!$O43),'Adjustment Surface'!$AN$27:$AN$46,1)+IF('Adjustment Surface'!$O44="",-1,1))-INDEX('Adjustment Surface'!$AN$27:$AN$46,MATCH(('Adjustment Surface'!$O43),'Adjustment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Surface'!$O43),'Adjustment Surface'!$AN$27:$AN$46,1)),$AN$27:$AN$46,0),MATCH(INDEX('Adjustment Surface'!$AO$26:$BH$26,1,MATCH(('Adjustment Surface'!AE$26),'Adjustment Surface'!$AO$26:$BH$26,1)),$AO$26:$BH$26,0))*(INDEX('Adjustment Surface'!$AN$27:$AN$46,MATCH(('Adjustment Surface'!$O43),'Adjustment Surface'!$AN$27:$AN$46,1)+IF('Adjustment Surface'!$O44="",-1,1))-'Adjustment Surface'!$O43)*(INDEX('Adjustment Surface'!$AO$26:$BH$26,1,MATCH(('Adjustment Surface'!AE$26),'Adjustment Surface'!$AO$26:$BH$26,1)+IF('Adjustment Surface'!AF$26="",-1,1))-'Adjustment Surface'!AE$26)+INDEX($AO$27:$BH$46,MATCH(INDEX('Adjustment Surface'!$AN$27:$AN$46,MATCH(('Adjustment Surface'!$O43),'Adjustment Surface'!$AN$27:$AN$46,1)+IF('Adjustment Surface'!$O44="",-1,1)),$AN$27:$AN$46,0),MATCH(INDEX('Adjustment Surface'!$AO$26:$BH$26,1,MATCH(('Adjustment Surface'!AE$26),'Adjustment Surface'!$AO$26:$BH$26,1)),$AO$26:$BH$26,0))*('Adjustment Surface'!$O43-INDEX('Adjustment Surface'!$AN$27:$AN$46,MATCH(('Adjustment Surface'!$O43),'Adjustment Surface'!$AN$27:$AN$46,1)))*(INDEX('Adjustment Surface'!$AO$26:$BH$26,1,MATCH(('Adjustment Surface'!AE$26),'Adjustment Surface'!$AO$26:$BH$26,1)+IF('Adjustment Surface'!AF$26="",-1,1))-'Adjustment Surface'!AE$26)+INDEX($AO$27:$BH$46,MATCH(INDEX('Adjustment Surface'!$AN$27:$AN$46,MATCH(('Adjustment Surface'!$O43),'Adjustment Surface'!$AN$27:$AN$46,1)),$AN$27:$AN$46,0),MATCH(INDEX('Adjustment Surface'!$AO$26:$BH$26,1,MATCH(('Adjustment Surface'!AE$26),'Adjustment Surface'!$AO$26:$BH$26,1)+IF('Adjustment Surface'!AF$26="",-1,1)),$AO$26:$BH$26,0))*(INDEX('Adjustment Surface'!$AN$27:$AN$46,MATCH(('Adjustment Surface'!$O43),'Adjustment Surface'!$AN$27:$AN$46,1)+IF('Adjustment Surface'!$O44="",-1,1))-'Adjustment Surface'!$O43)*('Adjustment Surface'!AE$26-INDEX('Adjustment Surface'!$AO$26:$BH$26,1,MATCH(('Adjustment Surface'!AE$26),'Adjustment Surface'!$AO$26:$BH$26,1)))+INDEX($AO$27:$BH$46,MATCH(INDEX('Adjustment Surface'!$AN$27:$AN$46,MATCH(('Adjustment Surface'!$O43),'Adjustment Surface'!$AN$27:$AN$46,1)+IF('Adjustment Surface'!$O44="",-1,1)),$AN$27:$AN$46,0),MATCH(INDEX('Adjustment Surface'!$AO$26:$BH$26,1,MATCH(('Adjustment Surface'!AE$26),'Adjustment Surface'!$AO$26:$BH$26,1)+IF('Adjustment Surface'!AF$26="",-1,1)),$AO$26:$BH$26,0))*('Adjustment Surface'!$O43-INDEX('Adjustment Surface'!$AN$27:$AN$46,MATCH(('Adjustment Surface'!$O43),'Adjustment Surface'!$AN$27:$AN$46,1)))*('Adjustment Surface'!AE$26-INDEX('Adjustment Surface'!$AO$26:$BH$26,1,MATCH(('Adjustment Surface'!AE$26),'Adjustment Surface'!$AO$26:$BH$26,1)))))</f>
        <v/>
      </c>
      <c r="AF43" s="193" t="str" cm="1">
        <f t="array" ref="AF43">IF(OR(AF$26="",$O43=""),"",1/((INDEX('Adjustment Surface'!$AN$27:$AN$46,MATCH(('Adjustment Surface'!$O43),'Adjustment Surface'!$AN$27:$AN$46,1)+IF('Adjustment Surface'!$O44="",-1,1))-INDEX('Adjustment Surface'!$AN$27:$AN$46,MATCH(('Adjustment Surface'!$O43),'Adjustment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Surface'!$O43),'Adjustment Surface'!$AN$27:$AN$46,1)),$AN$27:$AN$46,0),MATCH(INDEX('Adjustment Surface'!$AO$26:$BH$26,1,MATCH(('Adjustment Surface'!AF$26),'Adjustment Surface'!$AO$26:$BH$26,1)),$AO$26:$BH$26,0))*(INDEX('Adjustment Surface'!$AN$27:$AN$46,MATCH(('Adjustment Surface'!$O43),'Adjustment Surface'!$AN$27:$AN$46,1)+IF('Adjustment Surface'!$O44="",-1,1))-'Adjustment Surface'!$O43)*(INDEX('Adjustment Surface'!$AO$26:$BH$26,1,MATCH(('Adjustment Surface'!AF$26),'Adjustment Surface'!$AO$26:$BH$26,1)+IF('Adjustment Surface'!AG$26="",-1,1))-'Adjustment Surface'!AF$26)+INDEX($AO$27:$BH$46,MATCH(INDEX('Adjustment Surface'!$AN$27:$AN$46,MATCH(('Adjustment Surface'!$O43),'Adjustment Surface'!$AN$27:$AN$46,1)+IF('Adjustment Surface'!$O44="",-1,1)),$AN$27:$AN$46,0),MATCH(INDEX('Adjustment Surface'!$AO$26:$BH$26,1,MATCH(('Adjustment Surface'!AF$26),'Adjustment Surface'!$AO$26:$BH$26,1)),$AO$26:$BH$26,0))*('Adjustment Surface'!$O43-INDEX('Adjustment Surface'!$AN$27:$AN$46,MATCH(('Adjustment Surface'!$O43),'Adjustment Surface'!$AN$27:$AN$46,1)))*(INDEX('Adjustment Surface'!$AO$26:$BH$26,1,MATCH(('Adjustment Surface'!AF$26),'Adjustment Surface'!$AO$26:$BH$26,1)+IF('Adjustment Surface'!AG$26="",-1,1))-'Adjustment Surface'!AF$26)+INDEX($AO$27:$BH$46,MATCH(INDEX('Adjustment Surface'!$AN$27:$AN$46,MATCH(('Adjustment Surface'!$O43),'Adjustment Surface'!$AN$27:$AN$46,1)),$AN$27:$AN$46,0),MATCH(INDEX('Adjustment Surface'!$AO$26:$BH$26,1,MATCH(('Adjustment Surface'!AF$26),'Adjustment Surface'!$AO$26:$BH$26,1)+IF('Adjustment Surface'!AG$26="",-1,1)),$AO$26:$BH$26,0))*(INDEX('Adjustment Surface'!$AN$27:$AN$46,MATCH(('Adjustment Surface'!$O43),'Adjustment Surface'!$AN$27:$AN$46,1)+IF('Adjustment Surface'!$O44="",-1,1))-'Adjustment Surface'!$O43)*('Adjustment Surface'!AF$26-INDEX('Adjustment Surface'!$AO$26:$BH$26,1,MATCH(('Adjustment Surface'!AF$26),'Adjustment Surface'!$AO$26:$BH$26,1)))+INDEX($AO$27:$BH$46,MATCH(INDEX('Adjustment Surface'!$AN$27:$AN$46,MATCH(('Adjustment Surface'!$O43),'Adjustment Surface'!$AN$27:$AN$46,1)+IF('Adjustment Surface'!$O44="",-1,1)),$AN$27:$AN$46,0),MATCH(INDEX('Adjustment Surface'!$AO$26:$BH$26,1,MATCH(('Adjustment Surface'!AF$26),'Adjustment Surface'!$AO$26:$BH$26,1)+IF('Adjustment Surface'!AG$26="",-1,1)),$AO$26:$BH$26,0))*('Adjustment Surface'!$O43-INDEX('Adjustment Surface'!$AN$27:$AN$46,MATCH(('Adjustment Surface'!$O43),'Adjustment Surface'!$AN$27:$AN$46,1)))*('Adjustment Surface'!AF$26-INDEX('Adjustment Surface'!$AO$26:$BH$26,1,MATCH(('Adjustment Surface'!AF$26),'Adjustment Surface'!$AO$26:$BH$26,1)))))</f>
        <v/>
      </c>
      <c r="AG43" s="193" t="str" cm="1">
        <f t="array" ref="AG43">IF(OR(AG$26="",$O43=""),"",1/((INDEX('Adjustment Surface'!$AN$27:$AN$46,MATCH(('Adjustment Surface'!$O43),'Adjustment Surface'!$AN$27:$AN$46,1)+IF('Adjustment Surface'!$O44="",-1,1))-INDEX('Adjustment Surface'!$AN$27:$AN$46,MATCH(('Adjustment Surface'!$O43),'Adjustment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Surface'!$O43),'Adjustment Surface'!$AN$27:$AN$46,1)),$AN$27:$AN$46,0),MATCH(INDEX('Adjustment Surface'!$AO$26:$BH$26,1,MATCH(('Adjustment Surface'!AG$26),'Adjustment Surface'!$AO$26:$BH$26,1)),$AO$26:$BH$26,0))*(INDEX('Adjustment Surface'!$AN$27:$AN$46,MATCH(('Adjustment Surface'!$O43),'Adjustment Surface'!$AN$27:$AN$46,1)+IF('Adjustment Surface'!$O44="",-1,1))-'Adjustment Surface'!$O43)*(INDEX('Adjustment Surface'!$AO$26:$BH$26,1,MATCH(('Adjustment Surface'!AG$26),'Adjustment Surface'!$AO$26:$BH$26,1)+IF('Adjustment Surface'!AH$26="",-1,1))-'Adjustment Surface'!AG$26)+INDEX($AO$27:$BH$46,MATCH(INDEX('Adjustment Surface'!$AN$27:$AN$46,MATCH(('Adjustment Surface'!$O43),'Adjustment Surface'!$AN$27:$AN$46,1)+IF('Adjustment Surface'!$O44="",-1,1)),$AN$27:$AN$46,0),MATCH(INDEX('Adjustment Surface'!$AO$26:$BH$26,1,MATCH(('Adjustment Surface'!AG$26),'Adjustment Surface'!$AO$26:$BH$26,1)),$AO$26:$BH$26,0))*('Adjustment Surface'!$O43-INDEX('Adjustment Surface'!$AN$27:$AN$46,MATCH(('Adjustment Surface'!$O43),'Adjustment Surface'!$AN$27:$AN$46,1)))*(INDEX('Adjustment Surface'!$AO$26:$BH$26,1,MATCH(('Adjustment Surface'!AG$26),'Adjustment Surface'!$AO$26:$BH$26,1)+IF('Adjustment Surface'!AH$26="",-1,1))-'Adjustment Surface'!AG$26)+INDEX($AO$27:$BH$46,MATCH(INDEX('Adjustment Surface'!$AN$27:$AN$46,MATCH(('Adjustment Surface'!$O43),'Adjustment Surface'!$AN$27:$AN$46,1)),$AN$27:$AN$46,0),MATCH(INDEX('Adjustment Surface'!$AO$26:$BH$26,1,MATCH(('Adjustment Surface'!AG$26),'Adjustment Surface'!$AO$26:$BH$26,1)+IF('Adjustment Surface'!AH$26="",-1,1)),$AO$26:$BH$26,0))*(INDEX('Adjustment Surface'!$AN$27:$AN$46,MATCH(('Adjustment Surface'!$O43),'Adjustment Surface'!$AN$27:$AN$46,1)+IF('Adjustment Surface'!$O44="",-1,1))-'Adjustment Surface'!$O43)*('Adjustment Surface'!AG$26-INDEX('Adjustment Surface'!$AO$26:$BH$26,1,MATCH(('Adjustment Surface'!AG$26),'Adjustment Surface'!$AO$26:$BH$26,1)))+INDEX($AO$27:$BH$46,MATCH(INDEX('Adjustment Surface'!$AN$27:$AN$46,MATCH(('Adjustment Surface'!$O43),'Adjustment Surface'!$AN$27:$AN$46,1)+IF('Adjustment Surface'!$O44="",-1,1)),$AN$27:$AN$46,0),MATCH(INDEX('Adjustment Surface'!$AO$26:$BH$26,1,MATCH(('Adjustment Surface'!AG$26),'Adjustment Surface'!$AO$26:$BH$26,1)+IF('Adjustment Surface'!AH$26="",-1,1)),$AO$26:$BH$26,0))*('Adjustment Surface'!$O43-INDEX('Adjustment Surface'!$AN$27:$AN$46,MATCH(('Adjustment Surface'!$O43),'Adjustment Surface'!$AN$27:$AN$46,1)))*('Adjustment Surface'!AG$26-INDEX('Adjustment Surface'!$AO$26:$BH$26,1,MATCH(('Adjustment Surface'!AG$26),'Adjustment Surface'!$AO$26:$BH$26,1)))))</f>
        <v/>
      </c>
      <c r="AH43" s="193" t="str" cm="1">
        <f t="array" ref="AH43">IF(OR(AH$26="",$O43=""),"",1/((INDEX('Adjustment Surface'!$AN$27:$AN$46,MATCH(('Adjustment Surface'!$O43),'Adjustment Surface'!$AN$27:$AN$46,1)+IF('Adjustment Surface'!$O44="",-1,1))-INDEX('Adjustment Surface'!$AN$27:$AN$46,MATCH(('Adjustment Surface'!$O43),'Adjustment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Surface'!$O43),'Adjustment Surface'!$AN$27:$AN$46,1)),$AN$27:$AN$46,0),MATCH(INDEX('Adjustment Surface'!$AO$26:$BH$26,1,MATCH(('Adjustment Surface'!AH$26),'Adjustment Surface'!$AO$26:$BH$26,1)),$AO$26:$BH$26,0))*(INDEX('Adjustment Surface'!$AN$27:$AN$46,MATCH(('Adjustment Surface'!$O43),'Adjustment Surface'!$AN$27:$AN$46,1)+IF('Adjustment Surface'!$O44="",-1,1))-'Adjustment Surface'!$O43)*(INDEX('Adjustment Surface'!$AO$26:$BH$26,1,MATCH(('Adjustment Surface'!AH$26),'Adjustment Surface'!$AO$26:$BH$26,1)+IF('Adjustment Surface'!AI$26="",-1,1))-'Adjustment Surface'!AH$26)+INDEX($AO$27:$BH$46,MATCH(INDEX('Adjustment Surface'!$AN$27:$AN$46,MATCH(('Adjustment Surface'!$O43),'Adjustment Surface'!$AN$27:$AN$46,1)+IF('Adjustment Surface'!$O44="",-1,1)),$AN$27:$AN$46,0),MATCH(INDEX('Adjustment Surface'!$AO$26:$BH$26,1,MATCH(('Adjustment Surface'!AH$26),'Adjustment Surface'!$AO$26:$BH$26,1)),$AO$26:$BH$26,0))*('Adjustment Surface'!$O43-INDEX('Adjustment Surface'!$AN$27:$AN$46,MATCH(('Adjustment Surface'!$O43),'Adjustment Surface'!$AN$27:$AN$46,1)))*(INDEX('Adjustment Surface'!$AO$26:$BH$26,1,MATCH(('Adjustment Surface'!AH$26),'Adjustment Surface'!$AO$26:$BH$26,1)+IF('Adjustment Surface'!AI$26="",-1,1))-'Adjustment Surface'!AH$26)+INDEX($AO$27:$BH$46,MATCH(INDEX('Adjustment Surface'!$AN$27:$AN$46,MATCH(('Adjustment Surface'!$O43),'Adjustment Surface'!$AN$27:$AN$46,1)),$AN$27:$AN$46,0),MATCH(INDEX('Adjustment Surface'!$AO$26:$BH$26,1,MATCH(('Adjustment Surface'!AH$26),'Adjustment Surface'!$AO$26:$BH$26,1)+IF('Adjustment Surface'!AI$26="",-1,1)),$AO$26:$BH$26,0))*(INDEX('Adjustment Surface'!$AN$27:$AN$46,MATCH(('Adjustment Surface'!$O43),'Adjustment Surface'!$AN$27:$AN$46,1)+IF('Adjustment Surface'!$O44="",-1,1))-'Adjustment Surface'!$O43)*('Adjustment Surface'!AH$26-INDEX('Adjustment Surface'!$AO$26:$BH$26,1,MATCH(('Adjustment Surface'!AH$26),'Adjustment Surface'!$AO$26:$BH$26,1)))+INDEX($AO$27:$BH$46,MATCH(INDEX('Adjustment Surface'!$AN$27:$AN$46,MATCH(('Adjustment Surface'!$O43),'Adjustment Surface'!$AN$27:$AN$46,1)+IF('Adjustment Surface'!$O44="",-1,1)),$AN$27:$AN$46,0),MATCH(INDEX('Adjustment Surface'!$AO$26:$BH$26,1,MATCH(('Adjustment Surface'!AH$26),'Adjustment Surface'!$AO$26:$BH$26,1)+IF('Adjustment Surface'!AI$26="",-1,1)),$AO$26:$BH$26,0))*('Adjustment Surface'!$O43-INDEX('Adjustment Surface'!$AN$27:$AN$46,MATCH(('Adjustment Surface'!$O43),'Adjustment Surface'!$AN$27:$AN$46,1)))*('Adjustment Surface'!AH$26-INDEX('Adjustment Surface'!$AO$26:$BH$26,1,MATCH(('Adjustment Surface'!AH$26),'Adjustment Surface'!$AO$26:$BH$26,1)))))</f>
        <v/>
      </c>
      <c r="AI43" s="194" t="str" cm="1">
        <f t="array" ref="AI43">IF(OR(AI$26="",$O43=""),"",1/((INDEX('Adjustment Surface'!$AN$27:$AN$46,MATCH(('Adjustment Surface'!$O43),'Adjustment Surface'!$AN$27:$AN$46,1)+IF('Adjustment Surface'!$O44="",-1,1))-INDEX('Adjustment Surface'!$AN$27:$AN$46,MATCH(('Adjustment Surface'!$O43),'Adjustment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Surface'!$O43),'Adjustment Surface'!$AN$27:$AN$46,1)),$AN$27:$AN$46,0),MATCH(INDEX('Adjustment Surface'!$AO$26:$BH$26,1,MATCH(('Adjustment Surface'!AI$26),'Adjustment Surface'!$AO$26:$BH$26,1)),$AO$26:$BH$26,0))*(INDEX('Adjustment Surface'!$AN$27:$AN$46,MATCH(('Adjustment Surface'!$O43),'Adjustment Surface'!$AN$27:$AN$46,1)+IF('Adjustment Surface'!$O44="",-1,1))-'Adjustment Surface'!$O43)*(INDEX('Adjustment Surface'!$AO$26:$BH$26,1,MATCH(('Adjustment Surface'!AI$26),'Adjustment Surface'!$AO$26:$BH$26,1)+IF('Adjustment Surface'!AJ$26="",-1,1))-'Adjustment Surface'!AI$26)+INDEX($AO$27:$BH$46,MATCH(INDEX('Adjustment Surface'!$AN$27:$AN$46,MATCH(('Adjustment Surface'!$O43),'Adjustment Surface'!$AN$27:$AN$46,1)+IF('Adjustment Surface'!$O44="",-1,1)),$AN$27:$AN$46,0),MATCH(INDEX('Adjustment Surface'!$AO$26:$BH$26,1,MATCH(('Adjustment Surface'!AI$26),'Adjustment Surface'!$AO$26:$BH$26,1)),$AO$26:$BH$26,0))*('Adjustment Surface'!$O43-INDEX('Adjustment Surface'!$AN$27:$AN$46,MATCH(('Adjustment Surface'!$O43),'Adjustment Surface'!$AN$27:$AN$46,1)))*(INDEX('Adjustment Surface'!$AO$26:$BH$26,1,MATCH(('Adjustment Surface'!AI$26),'Adjustment Surface'!$AO$26:$BH$26,1)+IF('Adjustment Surface'!AJ$26="",-1,1))-'Adjustment Surface'!AI$26)+INDEX($AO$27:$BH$46,MATCH(INDEX('Adjustment Surface'!$AN$27:$AN$46,MATCH(('Adjustment Surface'!$O43),'Adjustment Surface'!$AN$27:$AN$46,1)),$AN$27:$AN$46,0),MATCH(INDEX('Adjustment Surface'!$AO$26:$BH$26,1,MATCH(('Adjustment Surface'!AI$26),'Adjustment Surface'!$AO$26:$BH$26,1)+IF('Adjustment Surface'!AJ$26="",-1,1)),$AO$26:$BH$26,0))*(INDEX('Adjustment Surface'!$AN$27:$AN$46,MATCH(('Adjustment Surface'!$O43),'Adjustment Surface'!$AN$27:$AN$46,1)+IF('Adjustment Surface'!$O44="",-1,1))-'Adjustment Surface'!$O43)*('Adjustment Surface'!AI$26-INDEX('Adjustment Surface'!$AO$26:$BH$26,1,MATCH(('Adjustment Surface'!AI$26),'Adjustment Surface'!$AO$26:$BH$26,1)))+INDEX($AO$27:$BH$46,MATCH(INDEX('Adjustment Surface'!$AN$27:$AN$46,MATCH(('Adjustment Surface'!$O43),'Adjustment Surface'!$AN$27:$AN$46,1)+IF('Adjustment Surface'!$O44="",-1,1)),$AN$27:$AN$46,0),MATCH(INDEX('Adjustment Surface'!$AO$26:$BH$26,1,MATCH(('Adjustment Surface'!AI$26),'Adjustment Surface'!$AO$26:$BH$26,1)+IF('Adjustment Surface'!AJ$26="",-1,1)),$AO$26:$BH$26,0))*('Adjustment Surface'!$O43-INDEX('Adjustment Surface'!$AN$27:$AN$46,MATCH(('Adjustment Surface'!$O43),'Adjustment Surface'!$AN$27:$AN$46,1)))*('Adjustment Surface'!AI$26-INDEX('Adjustment Surface'!$AO$26:$BH$26,1,MATCH(('Adjustment Surface'!AI$26),'Adjustment Surface'!$AO$26:$BH$26,1)))))</f>
        <v/>
      </c>
      <c r="AK43" s="203"/>
      <c r="AL43" s="207"/>
      <c r="AN43" s="176"/>
      <c r="AO43" s="192" t="str" cm="1">
        <f t="array" ref="AO43">IF(OR(AO$26="",$AN43=""),"",INDEX(IF($C$2='Data Validation'!$A$2,'Bank Adjustments'!$I$4:$I$103,IF('Adjustment Surface'!$C$2='Data Validation'!$A$3,'Bank Adjustments'!$S$4:$S$103,"Unknown Option Type")),MATCH(1,($AN43=IF($C$2='Data Validation'!$A$2,'Bank Adjustments'!$C$4:$C$103,IF('Adjustment Surface'!$C$2='Data Validation'!$A$3,'Bank Adjustments'!$M$4:$M$103,"Unknown Option Type")))*(AO$26=IF($C$2='Data Validation'!$A$2,'Bank Adjustments'!$E$4:$E$103,IF('Adjustment Surface'!$C$2='Data Validation'!$A$3,'Bank Adjustments'!$O$4:$O$103,"Unknown Option Type"))),0)))</f>
        <v/>
      </c>
      <c r="AP43" s="193" t="str" cm="1">
        <f t="array" ref="AP43">IF(OR(AP$26="",$AN43=""),"",INDEX(IF($C$2='Data Validation'!$A$2,'Bank Adjustments'!$I$4:$I$103,IF('Adjustment Surface'!$C$2='Data Validation'!$A$3,'Bank Adjustments'!$S$4:$S$103,"Unknown Option Type")),MATCH(1,($AN43=IF($C$2='Data Validation'!$A$2,'Bank Adjustments'!$C$4:$C$103,IF('Adjustment Surface'!$C$2='Data Validation'!$A$3,'Bank Adjustments'!$M$4:$M$103,"Unknown Option Type")))*(AP$26=IF($C$2='Data Validation'!$A$2,'Bank Adjustments'!$E$4:$E$103,IF('Adjustment Surface'!$C$2='Data Validation'!$A$3,'Bank Adjustments'!$O$4:$O$103,"Unknown Option Type"))),0)))</f>
        <v/>
      </c>
      <c r="AQ43" s="193" t="str" cm="1">
        <f t="array" ref="AQ43">IF(OR(AQ$26="",$AN43=""),"",INDEX(IF($C$2='Data Validation'!$A$2,'Bank Adjustments'!$I$4:$I$103,IF('Adjustment Surface'!$C$2='Data Validation'!$A$3,'Bank Adjustments'!$S$4:$S$103,"Unknown Option Type")),MATCH(1,($AN43=IF($C$2='Data Validation'!$A$2,'Bank Adjustments'!$C$4:$C$103,IF('Adjustment Surface'!$C$2='Data Validation'!$A$3,'Bank Adjustments'!$M$4:$M$103,"Unknown Option Type")))*(AQ$26=IF($C$2='Data Validation'!$A$2,'Bank Adjustments'!$E$4:$E$103,IF('Adjustment Surface'!$C$2='Data Validation'!$A$3,'Bank Adjustments'!$O$4:$O$103,"Unknown Option Type"))),0)))</f>
        <v/>
      </c>
      <c r="AR43" s="193" t="str" cm="1">
        <f t="array" ref="AR43">IF(OR(AR$26="",$AN43=""),"",INDEX(IF($C$2='Data Validation'!$A$2,'Bank Adjustments'!$I$4:$I$103,IF('Adjustment Surface'!$C$2='Data Validation'!$A$3,'Bank Adjustments'!$S$4:$S$103,"Unknown Option Type")),MATCH(1,($AN43=IF($C$2='Data Validation'!$A$2,'Bank Adjustments'!$C$4:$C$103,IF('Adjustment Surface'!$C$2='Data Validation'!$A$3,'Bank Adjustments'!$M$4:$M$103,"Unknown Option Type")))*(AR$26=IF($C$2='Data Validation'!$A$2,'Bank Adjustments'!$E$4:$E$103,IF('Adjustment Surface'!$C$2='Data Validation'!$A$3,'Bank Adjustments'!$O$4:$O$103,"Unknown Option Type"))),0)))</f>
        <v/>
      </c>
      <c r="AS43" s="193" t="str" cm="1">
        <f t="array" ref="AS43">IF(OR(AS$26="",$AN43=""),"",INDEX(IF($C$2='Data Validation'!$A$2,'Bank Adjustments'!$I$4:$I$103,IF('Adjustment Surface'!$C$2='Data Validation'!$A$3,'Bank Adjustments'!$S$4:$S$103,"Unknown Option Type")),MATCH(1,($AN43=IF($C$2='Data Validation'!$A$2,'Bank Adjustments'!$C$4:$C$103,IF('Adjustment Surface'!$C$2='Data Validation'!$A$3,'Bank Adjustments'!$M$4:$M$103,"Unknown Option Type")))*(AS$26=IF($C$2='Data Validation'!$A$2,'Bank Adjustments'!$E$4:$E$103,IF('Adjustment Surface'!$C$2='Data Validation'!$A$3,'Bank Adjustments'!$O$4:$O$103,"Unknown Option Type"))),0)))</f>
        <v/>
      </c>
      <c r="AT43" s="193" t="str" cm="1">
        <f t="array" ref="AT43">IF(OR(AT$26="",$AN43=""),"",INDEX(IF($C$2='Data Validation'!$A$2,'Bank Adjustments'!$I$4:$I$103,IF('Adjustment Surface'!$C$2='Data Validation'!$A$3,'Bank Adjustments'!$S$4:$S$103,"Unknown Option Type")),MATCH(1,($AN43=IF($C$2='Data Validation'!$A$2,'Bank Adjustments'!$C$4:$C$103,IF('Adjustment Surface'!$C$2='Data Validation'!$A$3,'Bank Adjustments'!$M$4:$M$103,"Unknown Option Type")))*(AT$26=IF($C$2='Data Validation'!$A$2,'Bank Adjustments'!$E$4:$E$103,IF('Adjustment Surface'!$C$2='Data Validation'!$A$3,'Bank Adjustments'!$O$4:$O$103,"Unknown Option Type"))),0)))</f>
        <v/>
      </c>
      <c r="AU43" s="193" t="str" cm="1">
        <f t="array" ref="AU43">IF(OR(AU$26="",$AN43=""),"",INDEX(IF($C$2='Data Validation'!$A$2,'Bank Adjustments'!$I$4:$I$103,IF('Adjustment Surface'!$C$2='Data Validation'!$A$3,'Bank Adjustments'!$S$4:$S$103,"Unknown Option Type")),MATCH(1,($AN43=IF($C$2='Data Validation'!$A$2,'Bank Adjustments'!$C$4:$C$103,IF('Adjustment Surface'!$C$2='Data Validation'!$A$3,'Bank Adjustments'!$M$4:$M$103,"Unknown Option Type")))*(AU$26=IF($C$2='Data Validation'!$A$2,'Bank Adjustments'!$E$4:$E$103,IF('Adjustment Surface'!$C$2='Data Validation'!$A$3,'Bank Adjustments'!$O$4:$O$103,"Unknown Option Type"))),0)))</f>
        <v/>
      </c>
      <c r="AV43" s="193" t="str" cm="1">
        <f t="array" ref="AV43">IF(OR(AV$26="",$AN43=""),"",INDEX(IF($C$2='Data Validation'!$A$2,'Bank Adjustments'!$I$4:$I$103,IF('Adjustment Surface'!$C$2='Data Validation'!$A$3,'Bank Adjustments'!$S$4:$S$103,"Unknown Option Type")),MATCH(1,($AN43=IF($C$2='Data Validation'!$A$2,'Bank Adjustments'!$C$4:$C$103,IF('Adjustment Surface'!$C$2='Data Validation'!$A$3,'Bank Adjustments'!$M$4:$M$103,"Unknown Option Type")))*(AV$26=IF($C$2='Data Validation'!$A$2,'Bank Adjustments'!$E$4:$E$103,IF('Adjustment Surface'!$C$2='Data Validation'!$A$3,'Bank Adjustments'!$O$4:$O$103,"Unknown Option Type"))),0)))</f>
        <v/>
      </c>
      <c r="AW43" s="193" t="str" cm="1">
        <f t="array" ref="AW43">IF(OR(AW$26="",$AN43=""),"",INDEX(IF($C$2='Data Validation'!$A$2,'Bank Adjustments'!$I$4:$I$103,IF('Adjustment Surface'!$C$2='Data Validation'!$A$3,'Bank Adjustments'!$S$4:$S$103,"Unknown Option Type")),MATCH(1,($AN43=IF($C$2='Data Validation'!$A$2,'Bank Adjustments'!$C$4:$C$103,IF('Adjustment Surface'!$C$2='Data Validation'!$A$3,'Bank Adjustments'!$M$4:$M$103,"Unknown Option Type")))*(AW$26=IF($C$2='Data Validation'!$A$2,'Bank Adjustments'!$E$4:$E$103,IF('Adjustment Surface'!$C$2='Data Validation'!$A$3,'Bank Adjustments'!$O$4:$O$103,"Unknown Option Type"))),0)))</f>
        <v/>
      </c>
      <c r="AX43" s="193" t="str" cm="1">
        <f t="array" ref="AX43">IF(OR(AX$26="",$AN43=""),"",INDEX(IF($C$2='Data Validation'!$A$2,'Bank Adjustments'!$I$4:$I$103,IF('Adjustment Surface'!$C$2='Data Validation'!$A$3,'Bank Adjustments'!$S$4:$S$103,"Unknown Option Type")),MATCH(1,($AN43=IF($C$2='Data Validation'!$A$2,'Bank Adjustments'!$C$4:$C$103,IF('Adjustment Surface'!$C$2='Data Validation'!$A$3,'Bank Adjustments'!$M$4:$M$103,"Unknown Option Type")))*(AX$26=IF($C$2='Data Validation'!$A$2,'Bank Adjustments'!$E$4:$E$103,IF('Adjustment Surface'!$C$2='Data Validation'!$A$3,'Bank Adjustments'!$O$4:$O$103,"Unknown Option Type"))),0)))</f>
        <v/>
      </c>
      <c r="AY43" s="193" t="str" cm="1">
        <f t="array" ref="AY43">IF(OR(AY$26="",$AN43=""),"",INDEX(IF($C$2='Data Validation'!$A$2,'Bank Adjustments'!$I$4:$I$103,IF('Adjustment Surface'!$C$2='Data Validation'!$A$3,'Bank Adjustments'!$S$4:$S$103,"Unknown Option Type")),MATCH(1,($AN43=IF($C$2='Data Validation'!$A$2,'Bank Adjustments'!$C$4:$C$103,IF('Adjustment Surface'!$C$2='Data Validation'!$A$3,'Bank Adjustments'!$M$4:$M$103,"Unknown Option Type")))*(AY$26=IF($C$2='Data Validation'!$A$2,'Bank Adjustments'!$E$4:$E$103,IF('Adjustment Surface'!$C$2='Data Validation'!$A$3,'Bank Adjustments'!$O$4:$O$103,"Unknown Option Type"))),0)))</f>
        <v/>
      </c>
      <c r="AZ43" s="193" t="str" cm="1">
        <f t="array" ref="AZ43">IF(OR(AZ$26="",$AN43=""),"",INDEX(IF($C$2='Data Validation'!$A$2,'Bank Adjustments'!$I$4:$I$103,IF('Adjustment Surface'!$C$2='Data Validation'!$A$3,'Bank Adjustments'!$S$4:$S$103,"Unknown Option Type")),MATCH(1,($AN43=IF($C$2='Data Validation'!$A$2,'Bank Adjustments'!$C$4:$C$103,IF('Adjustment Surface'!$C$2='Data Validation'!$A$3,'Bank Adjustments'!$M$4:$M$103,"Unknown Option Type")))*(AZ$26=IF($C$2='Data Validation'!$A$2,'Bank Adjustments'!$E$4:$E$103,IF('Adjustment Surface'!$C$2='Data Validation'!$A$3,'Bank Adjustments'!$O$4:$O$103,"Unknown Option Type"))),0)))</f>
        <v/>
      </c>
      <c r="BA43" s="193" t="str" cm="1">
        <f t="array" ref="BA43">IF(OR(BA$26="",$AN43=""),"",INDEX(IF($C$2='Data Validation'!$A$2,'Bank Adjustments'!$I$4:$I$103,IF('Adjustment Surface'!$C$2='Data Validation'!$A$3,'Bank Adjustments'!$S$4:$S$103,"Unknown Option Type")),MATCH(1,($AN43=IF($C$2='Data Validation'!$A$2,'Bank Adjustments'!$C$4:$C$103,IF('Adjustment Surface'!$C$2='Data Validation'!$A$3,'Bank Adjustments'!$M$4:$M$103,"Unknown Option Type")))*(BA$26=IF($C$2='Data Validation'!$A$2,'Bank Adjustments'!$E$4:$E$103,IF('Adjustment Surface'!$C$2='Data Validation'!$A$3,'Bank Adjustments'!$O$4:$O$103,"Unknown Option Type"))),0)))</f>
        <v/>
      </c>
      <c r="BB43" s="193" t="str" cm="1">
        <f t="array" ref="BB43">IF(OR(BB$26="",$AN43=""),"",INDEX(IF($C$2='Data Validation'!$A$2,'Bank Adjustments'!$I$4:$I$103,IF('Adjustment Surface'!$C$2='Data Validation'!$A$3,'Bank Adjustments'!$S$4:$S$103,"Unknown Option Type")),MATCH(1,($AN43=IF($C$2='Data Validation'!$A$2,'Bank Adjustments'!$C$4:$C$103,IF('Adjustment Surface'!$C$2='Data Validation'!$A$3,'Bank Adjustments'!$M$4:$M$103,"Unknown Option Type")))*(BB$26=IF($C$2='Data Validation'!$A$2,'Bank Adjustments'!$E$4:$E$103,IF('Adjustment Surface'!$C$2='Data Validation'!$A$3,'Bank Adjustments'!$O$4:$O$103,"Unknown Option Type"))),0)))</f>
        <v/>
      </c>
      <c r="BC43" s="193" t="str" cm="1">
        <f t="array" ref="BC43">IF(OR(BC$26="",$AN43=""),"",INDEX(IF($C$2='Data Validation'!$A$2,'Bank Adjustments'!$I$4:$I$103,IF('Adjustment Surface'!$C$2='Data Validation'!$A$3,'Bank Adjustments'!$S$4:$S$103,"Unknown Option Type")),MATCH(1,($AN43=IF($C$2='Data Validation'!$A$2,'Bank Adjustments'!$C$4:$C$103,IF('Adjustment Surface'!$C$2='Data Validation'!$A$3,'Bank Adjustments'!$M$4:$M$103,"Unknown Option Type")))*(BC$26=IF($C$2='Data Validation'!$A$2,'Bank Adjustments'!$E$4:$E$103,IF('Adjustment Surface'!$C$2='Data Validation'!$A$3,'Bank Adjustments'!$O$4:$O$103,"Unknown Option Type"))),0)))</f>
        <v/>
      </c>
      <c r="BD43" s="193" t="str" cm="1">
        <f t="array" ref="BD43">IF(OR(BD$26="",$AN43=""),"",INDEX(IF($C$2='Data Validation'!$A$2,'Bank Adjustments'!$I$4:$I$103,IF('Adjustment Surface'!$C$2='Data Validation'!$A$3,'Bank Adjustments'!$S$4:$S$103,"Unknown Option Type")),MATCH(1,($AN43=IF($C$2='Data Validation'!$A$2,'Bank Adjustments'!$C$4:$C$103,IF('Adjustment Surface'!$C$2='Data Validation'!$A$3,'Bank Adjustments'!$M$4:$M$103,"Unknown Option Type")))*(BD$26=IF($C$2='Data Validation'!$A$2,'Bank Adjustments'!$E$4:$E$103,IF('Adjustment Surface'!$C$2='Data Validation'!$A$3,'Bank Adjustments'!$O$4:$O$103,"Unknown Option Type"))),0)))</f>
        <v/>
      </c>
      <c r="BE43" s="193" t="str" cm="1">
        <f t="array" ref="BE43">IF(OR(BE$26="",$AN43=""),"",INDEX(IF($C$2='Data Validation'!$A$2,'Bank Adjustments'!$I$4:$I$103,IF('Adjustment Surface'!$C$2='Data Validation'!$A$3,'Bank Adjustments'!$S$4:$S$103,"Unknown Option Type")),MATCH(1,($AN43=IF($C$2='Data Validation'!$A$2,'Bank Adjustments'!$C$4:$C$103,IF('Adjustment Surface'!$C$2='Data Validation'!$A$3,'Bank Adjustments'!$M$4:$M$103,"Unknown Option Type")))*(BE$26=IF($C$2='Data Validation'!$A$2,'Bank Adjustments'!$E$4:$E$103,IF('Adjustment Surface'!$C$2='Data Validation'!$A$3,'Bank Adjustments'!$O$4:$O$103,"Unknown Option Type"))),0)))</f>
        <v/>
      </c>
      <c r="BF43" s="193" t="str" cm="1">
        <f t="array" ref="BF43">IF(OR(BF$26="",$AN43=""),"",INDEX(IF($C$2='Data Validation'!$A$2,'Bank Adjustments'!$I$4:$I$103,IF('Adjustment Surface'!$C$2='Data Validation'!$A$3,'Bank Adjustments'!$S$4:$S$103,"Unknown Option Type")),MATCH(1,($AN43=IF($C$2='Data Validation'!$A$2,'Bank Adjustments'!$C$4:$C$103,IF('Adjustment Surface'!$C$2='Data Validation'!$A$3,'Bank Adjustments'!$M$4:$M$103,"Unknown Option Type")))*(BF$26=IF($C$2='Data Validation'!$A$2,'Bank Adjustments'!$E$4:$E$103,IF('Adjustment Surface'!$C$2='Data Validation'!$A$3,'Bank Adjustments'!$O$4:$O$103,"Unknown Option Type"))),0)))</f>
        <v/>
      </c>
      <c r="BG43" s="193" t="str" cm="1">
        <f t="array" ref="BG43">IF(OR(BG$26="",$AN43=""),"",INDEX(IF($C$2='Data Validation'!$A$2,'Bank Adjustments'!$I$4:$I$103,IF('Adjustment Surface'!$C$2='Data Validation'!$A$3,'Bank Adjustments'!$S$4:$S$103,"Unknown Option Type")),MATCH(1,($AN43=IF($C$2='Data Validation'!$A$2,'Bank Adjustments'!$C$4:$C$103,IF('Adjustment Surface'!$C$2='Data Validation'!$A$3,'Bank Adjustments'!$M$4:$M$103,"Unknown Option Type")))*(BG$26=IF($C$2='Data Validation'!$A$2,'Bank Adjustments'!$E$4:$E$103,IF('Adjustment Surface'!$C$2='Data Validation'!$A$3,'Bank Adjustments'!$O$4:$O$103,"Unknown Option Type"))),0)))</f>
        <v/>
      </c>
      <c r="BH43" s="194" t="str" cm="1">
        <f t="array" ref="BH43">IF(OR(BH$26="",$AN43=""),"",INDEX(IF($C$2='Data Validation'!$A$2,'Bank Adjustments'!$I$4:$I$103,IF('Adjustment Surface'!$C$2='Data Validation'!$A$3,'Bank Adjustments'!$S$4:$S$103,"Unknown Option Type")),MATCH(1,($AN43=IF($C$2='Data Validation'!$A$2,'Bank Adjustments'!$C$4:$C$103,IF('Adjustment Surface'!$C$2='Data Validation'!$A$3,'Bank Adjustments'!$M$4:$M$103,"Unknown Option Type")))*(BH$26=IF($C$2='Data Validation'!$A$2,'Bank Adjustments'!$E$4:$E$103,IF('Adjustment Surface'!$C$2='Data Validation'!$A$3,'Bank Adjustments'!$O$4:$O$103,"Unknown Option Type"))),0)))</f>
        <v/>
      </c>
    </row>
    <row r="44" spans="2:60" x14ac:dyDescent="0.25">
      <c r="B44" s="75">
        <f t="shared" ref="B44:B45" si="11">B37</f>
        <v>0.04</v>
      </c>
      <c r="C44" s="15">
        <f>ROUNDUP(MAX('Control Panel'!C11,C16+IF($F$9='Data Validation'!$F$2,MIN($F$11,MAX($F$10,C30*C23)),IF($F$9='Data Validation'!$F$3,MIN($F$11,MAX($F$10,C37*C16)),"Unknown Adjustment Type"))),-3)</f>
        <v>15000</v>
      </c>
      <c r="D44" s="15">
        <f>ROUNDUP(MAX('Control Panel'!C11,D16+IF($F$9='Data Validation'!$F$2,MIN($F$11,MAX($F$10,D30*D23)),IF($F$9='Data Validation'!$F$3,MIN($F$11,MAX($F$10,D37*D16)),"Unknown Adjustment Type"))),-3)</f>
        <v>40000</v>
      </c>
      <c r="E44" s="15">
        <f>ROUNDUP(MAX('Control Panel'!C11,E16+IF($F$9='Data Validation'!$F$2,MIN($F$11,MAX($F$10,E30*E23)),IF($F$9='Data Validation'!$F$3,MIN($F$11,MAX($F$10,E37*E16)),"Unknown Adjustment Type"))),-3)</f>
        <v>115000</v>
      </c>
      <c r="F44" s="15">
        <f>ROUNDUP(MAX('Control Panel'!C11,F16+IF($F$9='Data Validation'!$F$2,MIN($F$11,MAX($F$10,F30*F23)),IF($F$9='Data Validation'!$F$3,MIN($F$11,MAX($F$10,F37*F16)),"Unknown Adjustment Type"))),-3)</f>
        <v>229000</v>
      </c>
      <c r="H44" s="176"/>
      <c r="I44" s="54" t="str">
        <f t="shared" si="6"/>
        <v/>
      </c>
      <c r="J44" s="55" t="str">
        <f t="shared" si="6"/>
        <v/>
      </c>
      <c r="K44" s="55" t="str">
        <f t="shared" si="6"/>
        <v/>
      </c>
      <c r="L44" s="55" t="str">
        <f t="shared" si="6"/>
        <v/>
      </c>
      <c r="M44" s="48" t="str">
        <f t="shared" si="6"/>
        <v/>
      </c>
      <c r="O44" s="176"/>
      <c r="P44" s="192" t="str" cm="1">
        <f t="array" ref="P44">IF(OR(P$26="",$O44=""),"",1/((INDEX('Adjustment Surface'!$AN$27:$AN$46,MATCH(('Adjustment Surface'!$O44),'Adjustment Surface'!$AN$27:$AN$46,1)+IF('Adjustment Surface'!$O45="",-1,1))-INDEX('Adjustment Surface'!$AN$27:$AN$46,MATCH(('Adjustment Surface'!$O44),'Adjustment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Surface'!$O44),'Adjustment Surface'!$AN$27:$AN$46,1)),$AN$27:$AN$46,0),MATCH(INDEX('Adjustment Surface'!$AO$26:$BH$26,1,MATCH(('Adjustment Surface'!P$26),'Adjustment Surface'!$AO$26:$BH$26,1)),$AO$26:$BH$26,0))*(INDEX('Adjustment Surface'!$AN$27:$AN$46,MATCH(('Adjustment Surface'!$O44),'Adjustment Surface'!$AN$27:$AN$46,1)+IF('Adjustment Surface'!$O45="",-1,1))-'Adjustment Surface'!$O44)*(INDEX('Adjustment Surface'!$AO$26:$BH$26,1,MATCH(('Adjustment Surface'!P$26),'Adjustment Surface'!$AO$26:$BH$26,1)+IF('Adjustment Surface'!Q$26="",-1,1))-'Adjustment Surface'!P$26)+INDEX($AO$27:$BH$46,MATCH(INDEX('Adjustment Surface'!$AN$27:$AN$46,MATCH(('Adjustment Surface'!$O44),'Adjustment Surface'!$AN$27:$AN$46,1)+IF('Adjustment Surface'!$O45="",-1,1)),$AN$27:$AN$46,0),MATCH(INDEX('Adjustment Surface'!$AO$26:$BH$26,1,MATCH(('Adjustment Surface'!P$26),'Adjustment Surface'!$AO$26:$BH$26,1)),$AO$26:$BH$26,0))*('Adjustment Surface'!$O44-INDEX('Adjustment Surface'!$AN$27:$AN$46,MATCH(('Adjustment Surface'!$O44),'Adjustment Surface'!$AN$27:$AN$46,1)))*(INDEX('Adjustment Surface'!$AO$26:$BH$26,1,MATCH(('Adjustment Surface'!P$26),'Adjustment Surface'!$AO$26:$BH$26,1)+IF('Adjustment Surface'!Q$26="",-1,1))-'Adjustment Surface'!P$26)+INDEX($AO$27:$BH$46,MATCH(INDEX('Adjustment Surface'!$AN$27:$AN$46,MATCH(('Adjustment Surface'!$O44),'Adjustment Surface'!$AN$27:$AN$46,1)),$AN$27:$AN$46,0),MATCH(INDEX('Adjustment Surface'!$AO$26:$BH$26,1,MATCH(('Adjustment Surface'!P$26),'Adjustment Surface'!$AO$26:$BH$26,1)+IF('Adjustment Surface'!Q$26="",-1,1)),$AO$26:$BH$26,0))*(INDEX('Adjustment Surface'!$AN$27:$AN$46,MATCH(('Adjustment Surface'!$O44),'Adjustment Surface'!$AN$27:$AN$46,1)+IF('Adjustment Surface'!$O45="",-1,1))-'Adjustment Surface'!$O44)*('Adjustment Surface'!P$26-INDEX('Adjustment Surface'!$AO$26:$BH$26,1,MATCH(('Adjustment Surface'!P$26),'Adjustment Surface'!$AO$26:$BH$26,1)))+INDEX($AO$27:$BH$46,MATCH(INDEX('Adjustment Surface'!$AN$27:$AN$46,MATCH(('Adjustment Surface'!$O44),'Adjustment Surface'!$AN$27:$AN$46,1)+IF('Adjustment Surface'!$O45="",-1,1)),$AN$27:$AN$46,0),MATCH(INDEX('Adjustment Surface'!$AO$26:$BH$26,1,MATCH(('Adjustment Surface'!P$26),'Adjustment Surface'!$AO$26:$BH$26,1)+IF('Adjustment Surface'!Q$26="",-1,1)),$AO$26:$BH$26,0))*('Adjustment Surface'!$O44-INDEX('Adjustment Surface'!$AN$27:$AN$46,MATCH(('Adjustment Surface'!$O44),'Adjustment Surface'!$AN$27:$AN$46,1)))*('Adjustment Surface'!P$26-INDEX('Adjustment Surface'!$AO$26:$BH$26,1,MATCH(('Adjustment Surface'!P$26),'Adjustment Surface'!$AO$26:$BH$26,1)))))</f>
        <v/>
      </c>
      <c r="Q44" s="193" t="str" cm="1">
        <f t="array" ref="Q44">IF(OR(Q$26="",$O44=""),"",1/((INDEX('Adjustment Surface'!$AN$27:$AN$46,MATCH(('Adjustment Surface'!$O44),'Adjustment Surface'!$AN$27:$AN$46,1)+IF('Adjustment Surface'!$O45="",-1,1))-INDEX('Adjustment Surface'!$AN$27:$AN$46,MATCH(('Adjustment Surface'!$O44),'Adjustment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Surface'!$O44),'Adjustment Surface'!$AN$27:$AN$46,1)),$AN$27:$AN$46,0),MATCH(INDEX('Adjustment Surface'!$AO$26:$BH$26,1,MATCH(('Adjustment Surface'!Q$26),'Adjustment Surface'!$AO$26:$BH$26,1)),$AO$26:$BH$26,0))*(INDEX('Adjustment Surface'!$AN$27:$AN$46,MATCH(('Adjustment Surface'!$O44),'Adjustment Surface'!$AN$27:$AN$46,1)+IF('Adjustment Surface'!$O45="",-1,1))-'Adjustment Surface'!$O44)*(INDEX('Adjustment Surface'!$AO$26:$BH$26,1,MATCH(('Adjustment Surface'!Q$26),'Adjustment Surface'!$AO$26:$BH$26,1)+IF('Adjustment Surface'!R$26="",-1,1))-'Adjustment Surface'!Q$26)+INDEX($AO$27:$BH$46,MATCH(INDEX('Adjustment Surface'!$AN$27:$AN$46,MATCH(('Adjustment Surface'!$O44),'Adjustment Surface'!$AN$27:$AN$46,1)+IF('Adjustment Surface'!$O45="",-1,1)),$AN$27:$AN$46,0),MATCH(INDEX('Adjustment Surface'!$AO$26:$BH$26,1,MATCH(('Adjustment Surface'!Q$26),'Adjustment Surface'!$AO$26:$BH$26,1)),$AO$26:$BH$26,0))*('Adjustment Surface'!$O44-INDEX('Adjustment Surface'!$AN$27:$AN$46,MATCH(('Adjustment Surface'!$O44),'Adjustment Surface'!$AN$27:$AN$46,1)))*(INDEX('Adjustment Surface'!$AO$26:$BH$26,1,MATCH(('Adjustment Surface'!Q$26),'Adjustment Surface'!$AO$26:$BH$26,1)+IF('Adjustment Surface'!R$26="",-1,1))-'Adjustment Surface'!Q$26)+INDEX($AO$27:$BH$46,MATCH(INDEX('Adjustment Surface'!$AN$27:$AN$46,MATCH(('Adjustment Surface'!$O44),'Adjustment Surface'!$AN$27:$AN$46,1)),$AN$27:$AN$46,0),MATCH(INDEX('Adjustment Surface'!$AO$26:$BH$26,1,MATCH(('Adjustment Surface'!Q$26),'Adjustment Surface'!$AO$26:$BH$26,1)+IF('Adjustment Surface'!R$26="",-1,1)),$AO$26:$BH$26,0))*(INDEX('Adjustment Surface'!$AN$27:$AN$46,MATCH(('Adjustment Surface'!$O44),'Adjustment Surface'!$AN$27:$AN$46,1)+IF('Adjustment Surface'!$O45="",-1,1))-'Adjustment Surface'!$O44)*('Adjustment Surface'!Q$26-INDEX('Adjustment Surface'!$AO$26:$BH$26,1,MATCH(('Adjustment Surface'!Q$26),'Adjustment Surface'!$AO$26:$BH$26,1)))+INDEX($AO$27:$BH$46,MATCH(INDEX('Adjustment Surface'!$AN$27:$AN$46,MATCH(('Adjustment Surface'!$O44),'Adjustment Surface'!$AN$27:$AN$46,1)+IF('Adjustment Surface'!$O45="",-1,1)),$AN$27:$AN$46,0),MATCH(INDEX('Adjustment Surface'!$AO$26:$BH$26,1,MATCH(('Adjustment Surface'!Q$26),'Adjustment Surface'!$AO$26:$BH$26,1)+IF('Adjustment Surface'!R$26="",-1,1)),$AO$26:$BH$26,0))*('Adjustment Surface'!$O44-INDEX('Adjustment Surface'!$AN$27:$AN$46,MATCH(('Adjustment Surface'!$O44),'Adjustment Surface'!$AN$27:$AN$46,1)))*('Adjustment Surface'!Q$26-INDEX('Adjustment Surface'!$AO$26:$BH$26,1,MATCH(('Adjustment Surface'!Q$26),'Adjustment Surface'!$AO$26:$BH$26,1)))))</f>
        <v/>
      </c>
      <c r="R44" s="193" t="str" cm="1">
        <f t="array" ref="R44">IF(OR(R$26="",$O44=""),"",1/((INDEX('Adjustment Surface'!$AN$27:$AN$46,MATCH(('Adjustment Surface'!$O44),'Adjustment Surface'!$AN$27:$AN$46,1)+IF('Adjustment Surface'!$O45="",-1,1))-INDEX('Adjustment Surface'!$AN$27:$AN$46,MATCH(('Adjustment Surface'!$O44),'Adjustment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Surface'!$O44),'Adjustment Surface'!$AN$27:$AN$46,1)),$AN$27:$AN$46,0),MATCH(INDEX('Adjustment Surface'!$AO$26:$BH$26,1,MATCH(('Adjustment Surface'!R$26),'Adjustment Surface'!$AO$26:$BH$26,1)),$AO$26:$BH$26,0))*(INDEX('Adjustment Surface'!$AN$27:$AN$46,MATCH(('Adjustment Surface'!$O44),'Adjustment Surface'!$AN$27:$AN$46,1)+IF('Adjustment Surface'!$O45="",-1,1))-'Adjustment Surface'!$O44)*(INDEX('Adjustment Surface'!$AO$26:$BH$26,1,MATCH(('Adjustment Surface'!R$26),'Adjustment Surface'!$AO$26:$BH$26,1)+IF('Adjustment Surface'!S$26="",-1,1))-'Adjustment Surface'!R$26)+INDEX($AO$27:$BH$46,MATCH(INDEX('Adjustment Surface'!$AN$27:$AN$46,MATCH(('Adjustment Surface'!$O44),'Adjustment Surface'!$AN$27:$AN$46,1)+IF('Adjustment Surface'!$O45="",-1,1)),$AN$27:$AN$46,0),MATCH(INDEX('Adjustment Surface'!$AO$26:$BH$26,1,MATCH(('Adjustment Surface'!R$26),'Adjustment Surface'!$AO$26:$BH$26,1)),$AO$26:$BH$26,0))*('Adjustment Surface'!$O44-INDEX('Adjustment Surface'!$AN$27:$AN$46,MATCH(('Adjustment Surface'!$O44),'Adjustment Surface'!$AN$27:$AN$46,1)))*(INDEX('Adjustment Surface'!$AO$26:$BH$26,1,MATCH(('Adjustment Surface'!R$26),'Adjustment Surface'!$AO$26:$BH$26,1)+IF('Adjustment Surface'!S$26="",-1,1))-'Adjustment Surface'!R$26)+INDEX($AO$27:$BH$46,MATCH(INDEX('Adjustment Surface'!$AN$27:$AN$46,MATCH(('Adjustment Surface'!$O44),'Adjustment Surface'!$AN$27:$AN$46,1)),$AN$27:$AN$46,0),MATCH(INDEX('Adjustment Surface'!$AO$26:$BH$26,1,MATCH(('Adjustment Surface'!R$26),'Adjustment Surface'!$AO$26:$BH$26,1)+IF('Adjustment Surface'!S$26="",-1,1)),$AO$26:$BH$26,0))*(INDEX('Adjustment Surface'!$AN$27:$AN$46,MATCH(('Adjustment Surface'!$O44),'Adjustment Surface'!$AN$27:$AN$46,1)+IF('Adjustment Surface'!$O45="",-1,1))-'Adjustment Surface'!$O44)*('Adjustment Surface'!R$26-INDEX('Adjustment Surface'!$AO$26:$BH$26,1,MATCH(('Adjustment Surface'!R$26),'Adjustment Surface'!$AO$26:$BH$26,1)))+INDEX($AO$27:$BH$46,MATCH(INDEX('Adjustment Surface'!$AN$27:$AN$46,MATCH(('Adjustment Surface'!$O44),'Adjustment Surface'!$AN$27:$AN$46,1)+IF('Adjustment Surface'!$O45="",-1,1)),$AN$27:$AN$46,0),MATCH(INDEX('Adjustment Surface'!$AO$26:$BH$26,1,MATCH(('Adjustment Surface'!R$26),'Adjustment Surface'!$AO$26:$BH$26,1)+IF('Adjustment Surface'!S$26="",-1,1)),$AO$26:$BH$26,0))*('Adjustment Surface'!$O44-INDEX('Adjustment Surface'!$AN$27:$AN$46,MATCH(('Adjustment Surface'!$O44),'Adjustment Surface'!$AN$27:$AN$46,1)))*('Adjustment Surface'!R$26-INDEX('Adjustment Surface'!$AO$26:$BH$26,1,MATCH(('Adjustment Surface'!R$26),'Adjustment Surface'!$AO$26:$BH$26,1)))))</f>
        <v/>
      </c>
      <c r="S44" s="193" t="str" cm="1">
        <f t="array" ref="S44">IF(OR(S$26="",$O44=""),"",1/((INDEX('Adjustment Surface'!$AN$27:$AN$46,MATCH(('Adjustment Surface'!$O44),'Adjustment Surface'!$AN$27:$AN$46,1)+IF('Adjustment Surface'!$O45="",-1,1))-INDEX('Adjustment Surface'!$AN$27:$AN$46,MATCH(('Adjustment Surface'!$O44),'Adjustment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Surface'!$O44),'Adjustment Surface'!$AN$27:$AN$46,1)),$AN$27:$AN$46,0),MATCH(INDEX('Adjustment Surface'!$AO$26:$BH$26,1,MATCH(('Adjustment Surface'!S$26),'Adjustment Surface'!$AO$26:$BH$26,1)),$AO$26:$BH$26,0))*(INDEX('Adjustment Surface'!$AN$27:$AN$46,MATCH(('Adjustment Surface'!$O44),'Adjustment Surface'!$AN$27:$AN$46,1)+IF('Adjustment Surface'!$O45="",-1,1))-'Adjustment Surface'!$O44)*(INDEX('Adjustment Surface'!$AO$26:$BH$26,1,MATCH(('Adjustment Surface'!S$26),'Adjustment Surface'!$AO$26:$BH$26,1)+IF('Adjustment Surface'!T$26="",-1,1))-'Adjustment Surface'!S$26)+INDEX($AO$27:$BH$46,MATCH(INDEX('Adjustment Surface'!$AN$27:$AN$46,MATCH(('Adjustment Surface'!$O44),'Adjustment Surface'!$AN$27:$AN$46,1)+IF('Adjustment Surface'!$O45="",-1,1)),$AN$27:$AN$46,0),MATCH(INDEX('Adjustment Surface'!$AO$26:$BH$26,1,MATCH(('Adjustment Surface'!S$26),'Adjustment Surface'!$AO$26:$BH$26,1)),$AO$26:$BH$26,0))*('Adjustment Surface'!$O44-INDEX('Adjustment Surface'!$AN$27:$AN$46,MATCH(('Adjustment Surface'!$O44),'Adjustment Surface'!$AN$27:$AN$46,1)))*(INDEX('Adjustment Surface'!$AO$26:$BH$26,1,MATCH(('Adjustment Surface'!S$26),'Adjustment Surface'!$AO$26:$BH$26,1)+IF('Adjustment Surface'!T$26="",-1,1))-'Adjustment Surface'!S$26)+INDEX($AO$27:$BH$46,MATCH(INDEX('Adjustment Surface'!$AN$27:$AN$46,MATCH(('Adjustment Surface'!$O44),'Adjustment Surface'!$AN$27:$AN$46,1)),$AN$27:$AN$46,0),MATCH(INDEX('Adjustment Surface'!$AO$26:$BH$26,1,MATCH(('Adjustment Surface'!S$26),'Adjustment Surface'!$AO$26:$BH$26,1)+IF('Adjustment Surface'!T$26="",-1,1)),$AO$26:$BH$26,0))*(INDEX('Adjustment Surface'!$AN$27:$AN$46,MATCH(('Adjustment Surface'!$O44),'Adjustment Surface'!$AN$27:$AN$46,1)+IF('Adjustment Surface'!$O45="",-1,1))-'Adjustment Surface'!$O44)*('Adjustment Surface'!S$26-INDEX('Adjustment Surface'!$AO$26:$BH$26,1,MATCH(('Adjustment Surface'!S$26),'Adjustment Surface'!$AO$26:$BH$26,1)))+INDEX($AO$27:$BH$46,MATCH(INDEX('Adjustment Surface'!$AN$27:$AN$46,MATCH(('Adjustment Surface'!$O44),'Adjustment Surface'!$AN$27:$AN$46,1)+IF('Adjustment Surface'!$O45="",-1,1)),$AN$27:$AN$46,0),MATCH(INDEX('Adjustment Surface'!$AO$26:$BH$26,1,MATCH(('Adjustment Surface'!S$26),'Adjustment Surface'!$AO$26:$BH$26,1)+IF('Adjustment Surface'!T$26="",-1,1)),$AO$26:$BH$26,0))*('Adjustment Surface'!$O44-INDEX('Adjustment Surface'!$AN$27:$AN$46,MATCH(('Adjustment Surface'!$O44),'Adjustment Surface'!$AN$27:$AN$46,1)))*('Adjustment Surface'!S$26-INDEX('Adjustment Surface'!$AO$26:$BH$26,1,MATCH(('Adjustment Surface'!S$26),'Adjustment Surface'!$AO$26:$BH$26,1)))))</f>
        <v/>
      </c>
      <c r="T44" s="193" t="str" cm="1">
        <f t="array" ref="T44">IF(OR(T$26="",$O44=""),"",1/((INDEX('Adjustment Surface'!$AN$27:$AN$46,MATCH(('Adjustment Surface'!$O44),'Adjustment Surface'!$AN$27:$AN$46,1)+IF('Adjustment Surface'!$O45="",-1,1))-INDEX('Adjustment Surface'!$AN$27:$AN$46,MATCH(('Adjustment Surface'!$O44),'Adjustment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Surface'!$O44),'Adjustment Surface'!$AN$27:$AN$46,1)),$AN$27:$AN$46,0),MATCH(INDEX('Adjustment Surface'!$AO$26:$BH$26,1,MATCH(('Adjustment Surface'!T$26),'Adjustment Surface'!$AO$26:$BH$26,1)),$AO$26:$BH$26,0))*(INDEX('Adjustment Surface'!$AN$27:$AN$46,MATCH(('Adjustment Surface'!$O44),'Adjustment Surface'!$AN$27:$AN$46,1)+IF('Adjustment Surface'!$O45="",-1,1))-'Adjustment Surface'!$O44)*(INDEX('Adjustment Surface'!$AO$26:$BH$26,1,MATCH(('Adjustment Surface'!T$26),'Adjustment Surface'!$AO$26:$BH$26,1)+IF('Adjustment Surface'!U$26="",-1,1))-'Adjustment Surface'!T$26)+INDEX($AO$27:$BH$46,MATCH(INDEX('Adjustment Surface'!$AN$27:$AN$46,MATCH(('Adjustment Surface'!$O44),'Adjustment Surface'!$AN$27:$AN$46,1)+IF('Adjustment Surface'!$O45="",-1,1)),$AN$27:$AN$46,0),MATCH(INDEX('Adjustment Surface'!$AO$26:$BH$26,1,MATCH(('Adjustment Surface'!T$26),'Adjustment Surface'!$AO$26:$BH$26,1)),$AO$26:$BH$26,0))*('Adjustment Surface'!$O44-INDEX('Adjustment Surface'!$AN$27:$AN$46,MATCH(('Adjustment Surface'!$O44),'Adjustment Surface'!$AN$27:$AN$46,1)))*(INDEX('Adjustment Surface'!$AO$26:$BH$26,1,MATCH(('Adjustment Surface'!T$26),'Adjustment Surface'!$AO$26:$BH$26,1)+IF('Adjustment Surface'!U$26="",-1,1))-'Adjustment Surface'!T$26)+INDEX($AO$27:$BH$46,MATCH(INDEX('Adjustment Surface'!$AN$27:$AN$46,MATCH(('Adjustment Surface'!$O44),'Adjustment Surface'!$AN$27:$AN$46,1)),$AN$27:$AN$46,0),MATCH(INDEX('Adjustment Surface'!$AO$26:$BH$26,1,MATCH(('Adjustment Surface'!T$26),'Adjustment Surface'!$AO$26:$BH$26,1)+IF('Adjustment Surface'!U$26="",-1,1)),$AO$26:$BH$26,0))*(INDEX('Adjustment Surface'!$AN$27:$AN$46,MATCH(('Adjustment Surface'!$O44),'Adjustment Surface'!$AN$27:$AN$46,1)+IF('Adjustment Surface'!$O45="",-1,1))-'Adjustment Surface'!$O44)*('Adjustment Surface'!T$26-INDEX('Adjustment Surface'!$AO$26:$BH$26,1,MATCH(('Adjustment Surface'!T$26),'Adjustment Surface'!$AO$26:$BH$26,1)))+INDEX($AO$27:$BH$46,MATCH(INDEX('Adjustment Surface'!$AN$27:$AN$46,MATCH(('Adjustment Surface'!$O44),'Adjustment Surface'!$AN$27:$AN$46,1)+IF('Adjustment Surface'!$O45="",-1,1)),$AN$27:$AN$46,0),MATCH(INDEX('Adjustment Surface'!$AO$26:$BH$26,1,MATCH(('Adjustment Surface'!T$26),'Adjustment Surface'!$AO$26:$BH$26,1)+IF('Adjustment Surface'!U$26="",-1,1)),$AO$26:$BH$26,0))*('Adjustment Surface'!$O44-INDEX('Adjustment Surface'!$AN$27:$AN$46,MATCH(('Adjustment Surface'!$O44),'Adjustment Surface'!$AN$27:$AN$46,1)))*('Adjustment Surface'!T$26-INDEX('Adjustment Surface'!$AO$26:$BH$26,1,MATCH(('Adjustment Surface'!T$26),'Adjustment Surface'!$AO$26:$BH$26,1)))))</f>
        <v/>
      </c>
      <c r="U44" s="193" t="str" cm="1">
        <f t="array" ref="U44">IF(OR(U$26="",$O44=""),"",1/((INDEX('Adjustment Surface'!$AN$27:$AN$46,MATCH(('Adjustment Surface'!$O44),'Adjustment Surface'!$AN$27:$AN$46,1)+IF('Adjustment Surface'!$O45="",-1,1))-INDEX('Adjustment Surface'!$AN$27:$AN$46,MATCH(('Adjustment Surface'!$O44),'Adjustment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Surface'!$O44),'Adjustment Surface'!$AN$27:$AN$46,1)),$AN$27:$AN$46,0),MATCH(INDEX('Adjustment Surface'!$AO$26:$BH$26,1,MATCH(('Adjustment Surface'!U$26),'Adjustment Surface'!$AO$26:$BH$26,1)),$AO$26:$BH$26,0))*(INDEX('Adjustment Surface'!$AN$27:$AN$46,MATCH(('Adjustment Surface'!$O44),'Adjustment Surface'!$AN$27:$AN$46,1)+IF('Adjustment Surface'!$O45="",-1,1))-'Adjustment Surface'!$O44)*(INDEX('Adjustment Surface'!$AO$26:$BH$26,1,MATCH(('Adjustment Surface'!U$26),'Adjustment Surface'!$AO$26:$BH$26,1)+IF('Adjustment Surface'!V$26="",-1,1))-'Adjustment Surface'!U$26)+INDEX($AO$27:$BH$46,MATCH(INDEX('Adjustment Surface'!$AN$27:$AN$46,MATCH(('Adjustment Surface'!$O44),'Adjustment Surface'!$AN$27:$AN$46,1)+IF('Adjustment Surface'!$O45="",-1,1)),$AN$27:$AN$46,0),MATCH(INDEX('Adjustment Surface'!$AO$26:$BH$26,1,MATCH(('Adjustment Surface'!U$26),'Adjustment Surface'!$AO$26:$BH$26,1)),$AO$26:$BH$26,0))*('Adjustment Surface'!$O44-INDEX('Adjustment Surface'!$AN$27:$AN$46,MATCH(('Adjustment Surface'!$O44),'Adjustment Surface'!$AN$27:$AN$46,1)))*(INDEX('Adjustment Surface'!$AO$26:$BH$26,1,MATCH(('Adjustment Surface'!U$26),'Adjustment Surface'!$AO$26:$BH$26,1)+IF('Adjustment Surface'!V$26="",-1,1))-'Adjustment Surface'!U$26)+INDEX($AO$27:$BH$46,MATCH(INDEX('Adjustment Surface'!$AN$27:$AN$46,MATCH(('Adjustment Surface'!$O44),'Adjustment Surface'!$AN$27:$AN$46,1)),$AN$27:$AN$46,0),MATCH(INDEX('Adjustment Surface'!$AO$26:$BH$26,1,MATCH(('Adjustment Surface'!U$26),'Adjustment Surface'!$AO$26:$BH$26,1)+IF('Adjustment Surface'!V$26="",-1,1)),$AO$26:$BH$26,0))*(INDEX('Adjustment Surface'!$AN$27:$AN$46,MATCH(('Adjustment Surface'!$O44),'Adjustment Surface'!$AN$27:$AN$46,1)+IF('Adjustment Surface'!$O45="",-1,1))-'Adjustment Surface'!$O44)*('Adjustment Surface'!U$26-INDEX('Adjustment Surface'!$AO$26:$BH$26,1,MATCH(('Adjustment Surface'!U$26),'Adjustment Surface'!$AO$26:$BH$26,1)))+INDEX($AO$27:$BH$46,MATCH(INDEX('Adjustment Surface'!$AN$27:$AN$46,MATCH(('Adjustment Surface'!$O44),'Adjustment Surface'!$AN$27:$AN$46,1)+IF('Adjustment Surface'!$O45="",-1,1)),$AN$27:$AN$46,0),MATCH(INDEX('Adjustment Surface'!$AO$26:$BH$26,1,MATCH(('Adjustment Surface'!U$26),'Adjustment Surface'!$AO$26:$BH$26,1)+IF('Adjustment Surface'!V$26="",-1,1)),$AO$26:$BH$26,0))*('Adjustment Surface'!$O44-INDEX('Adjustment Surface'!$AN$27:$AN$46,MATCH(('Adjustment Surface'!$O44),'Adjustment Surface'!$AN$27:$AN$46,1)))*('Adjustment Surface'!U$26-INDEX('Adjustment Surface'!$AO$26:$BH$26,1,MATCH(('Adjustment Surface'!U$26),'Adjustment Surface'!$AO$26:$BH$26,1)))))</f>
        <v/>
      </c>
      <c r="V44" s="193" t="str" cm="1">
        <f t="array" ref="V44">IF(OR(V$26="",$O44=""),"",1/((INDEX('Adjustment Surface'!$AN$27:$AN$46,MATCH(('Adjustment Surface'!$O44),'Adjustment Surface'!$AN$27:$AN$46,1)+IF('Adjustment Surface'!$O45="",-1,1))-INDEX('Adjustment Surface'!$AN$27:$AN$46,MATCH(('Adjustment Surface'!$O44),'Adjustment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Surface'!$O44),'Adjustment Surface'!$AN$27:$AN$46,1)),$AN$27:$AN$46,0),MATCH(INDEX('Adjustment Surface'!$AO$26:$BH$26,1,MATCH(('Adjustment Surface'!V$26),'Adjustment Surface'!$AO$26:$BH$26,1)),$AO$26:$BH$26,0))*(INDEX('Adjustment Surface'!$AN$27:$AN$46,MATCH(('Adjustment Surface'!$O44),'Adjustment Surface'!$AN$27:$AN$46,1)+IF('Adjustment Surface'!$O45="",-1,1))-'Adjustment Surface'!$O44)*(INDEX('Adjustment Surface'!$AO$26:$BH$26,1,MATCH(('Adjustment Surface'!V$26),'Adjustment Surface'!$AO$26:$BH$26,1)+IF('Adjustment Surface'!W$26="",-1,1))-'Adjustment Surface'!V$26)+INDEX($AO$27:$BH$46,MATCH(INDEX('Adjustment Surface'!$AN$27:$AN$46,MATCH(('Adjustment Surface'!$O44),'Adjustment Surface'!$AN$27:$AN$46,1)+IF('Adjustment Surface'!$O45="",-1,1)),$AN$27:$AN$46,0),MATCH(INDEX('Adjustment Surface'!$AO$26:$BH$26,1,MATCH(('Adjustment Surface'!V$26),'Adjustment Surface'!$AO$26:$BH$26,1)),$AO$26:$BH$26,0))*('Adjustment Surface'!$O44-INDEX('Adjustment Surface'!$AN$27:$AN$46,MATCH(('Adjustment Surface'!$O44),'Adjustment Surface'!$AN$27:$AN$46,1)))*(INDEX('Adjustment Surface'!$AO$26:$BH$26,1,MATCH(('Adjustment Surface'!V$26),'Adjustment Surface'!$AO$26:$BH$26,1)+IF('Adjustment Surface'!W$26="",-1,1))-'Adjustment Surface'!V$26)+INDEX($AO$27:$BH$46,MATCH(INDEX('Adjustment Surface'!$AN$27:$AN$46,MATCH(('Adjustment Surface'!$O44),'Adjustment Surface'!$AN$27:$AN$46,1)),$AN$27:$AN$46,0),MATCH(INDEX('Adjustment Surface'!$AO$26:$BH$26,1,MATCH(('Adjustment Surface'!V$26),'Adjustment Surface'!$AO$26:$BH$26,1)+IF('Adjustment Surface'!W$26="",-1,1)),$AO$26:$BH$26,0))*(INDEX('Adjustment Surface'!$AN$27:$AN$46,MATCH(('Adjustment Surface'!$O44),'Adjustment Surface'!$AN$27:$AN$46,1)+IF('Adjustment Surface'!$O45="",-1,1))-'Adjustment Surface'!$O44)*('Adjustment Surface'!V$26-INDEX('Adjustment Surface'!$AO$26:$BH$26,1,MATCH(('Adjustment Surface'!V$26),'Adjustment Surface'!$AO$26:$BH$26,1)))+INDEX($AO$27:$BH$46,MATCH(INDEX('Adjustment Surface'!$AN$27:$AN$46,MATCH(('Adjustment Surface'!$O44),'Adjustment Surface'!$AN$27:$AN$46,1)+IF('Adjustment Surface'!$O45="",-1,1)),$AN$27:$AN$46,0),MATCH(INDEX('Adjustment Surface'!$AO$26:$BH$26,1,MATCH(('Adjustment Surface'!V$26),'Adjustment Surface'!$AO$26:$BH$26,1)+IF('Adjustment Surface'!W$26="",-1,1)),$AO$26:$BH$26,0))*('Adjustment Surface'!$O44-INDEX('Adjustment Surface'!$AN$27:$AN$46,MATCH(('Adjustment Surface'!$O44),'Adjustment Surface'!$AN$27:$AN$46,1)))*('Adjustment Surface'!V$26-INDEX('Adjustment Surface'!$AO$26:$BH$26,1,MATCH(('Adjustment Surface'!V$26),'Adjustment Surface'!$AO$26:$BH$26,1)))))</f>
        <v/>
      </c>
      <c r="W44" s="193" t="str" cm="1">
        <f t="array" ref="W44">IF(OR(W$26="",$O44=""),"",1/((INDEX('Adjustment Surface'!$AN$27:$AN$46,MATCH(('Adjustment Surface'!$O44),'Adjustment Surface'!$AN$27:$AN$46,1)+IF('Adjustment Surface'!$O45="",-1,1))-INDEX('Adjustment Surface'!$AN$27:$AN$46,MATCH(('Adjustment Surface'!$O44),'Adjustment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Surface'!$O44),'Adjustment Surface'!$AN$27:$AN$46,1)),$AN$27:$AN$46,0),MATCH(INDEX('Adjustment Surface'!$AO$26:$BH$26,1,MATCH(('Adjustment Surface'!W$26),'Adjustment Surface'!$AO$26:$BH$26,1)),$AO$26:$BH$26,0))*(INDEX('Adjustment Surface'!$AN$27:$AN$46,MATCH(('Adjustment Surface'!$O44),'Adjustment Surface'!$AN$27:$AN$46,1)+IF('Adjustment Surface'!$O45="",-1,1))-'Adjustment Surface'!$O44)*(INDEX('Adjustment Surface'!$AO$26:$BH$26,1,MATCH(('Adjustment Surface'!W$26),'Adjustment Surface'!$AO$26:$BH$26,1)+IF('Adjustment Surface'!X$26="",-1,1))-'Adjustment Surface'!W$26)+INDEX($AO$27:$BH$46,MATCH(INDEX('Adjustment Surface'!$AN$27:$AN$46,MATCH(('Adjustment Surface'!$O44),'Adjustment Surface'!$AN$27:$AN$46,1)+IF('Adjustment Surface'!$O45="",-1,1)),$AN$27:$AN$46,0),MATCH(INDEX('Adjustment Surface'!$AO$26:$BH$26,1,MATCH(('Adjustment Surface'!W$26),'Adjustment Surface'!$AO$26:$BH$26,1)),$AO$26:$BH$26,0))*('Adjustment Surface'!$O44-INDEX('Adjustment Surface'!$AN$27:$AN$46,MATCH(('Adjustment Surface'!$O44),'Adjustment Surface'!$AN$27:$AN$46,1)))*(INDEX('Adjustment Surface'!$AO$26:$BH$26,1,MATCH(('Adjustment Surface'!W$26),'Adjustment Surface'!$AO$26:$BH$26,1)+IF('Adjustment Surface'!X$26="",-1,1))-'Adjustment Surface'!W$26)+INDEX($AO$27:$BH$46,MATCH(INDEX('Adjustment Surface'!$AN$27:$AN$46,MATCH(('Adjustment Surface'!$O44),'Adjustment Surface'!$AN$27:$AN$46,1)),$AN$27:$AN$46,0),MATCH(INDEX('Adjustment Surface'!$AO$26:$BH$26,1,MATCH(('Adjustment Surface'!W$26),'Adjustment Surface'!$AO$26:$BH$26,1)+IF('Adjustment Surface'!X$26="",-1,1)),$AO$26:$BH$26,0))*(INDEX('Adjustment Surface'!$AN$27:$AN$46,MATCH(('Adjustment Surface'!$O44),'Adjustment Surface'!$AN$27:$AN$46,1)+IF('Adjustment Surface'!$O45="",-1,1))-'Adjustment Surface'!$O44)*('Adjustment Surface'!W$26-INDEX('Adjustment Surface'!$AO$26:$BH$26,1,MATCH(('Adjustment Surface'!W$26),'Adjustment Surface'!$AO$26:$BH$26,1)))+INDEX($AO$27:$BH$46,MATCH(INDEX('Adjustment Surface'!$AN$27:$AN$46,MATCH(('Adjustment Surface'!$O44),'Adjustment Surface'!$AN$27:$AN$46,1)+IF('Adjustment Surface'!$O45="",-1,1)),$AN$27:$AN$46,0),MATCH(INDEX('Adjustment Surface'!$AO$26:$BH$26,1,MATCH(('Adjustment Surface'!W$26),'Adjustment Surface'!$AO$26:$BH$26,1)+IF('Adjustment Surface'!X$26="",-1,1)),$AO$26:$BH$26,0))*('Adjustment Surface'!$O44-INDEX('Adjustment Surface'!$AN$27:$AN$46,MATCH(('Adjustment Surface'!$O44),'Adjustment Surface'!$AN$27:$AN$46,1)))*('Adjustment Surface'!W$26-INDEX('Adjustment Surface'!$AO$26:$BH$26,1,MATCH(('Adjustment Surface'!W$26),'Adjustment Surface'!$AO$26:$BH$26,1)))))</f>
        <v/>
      </c>
      <c r="X44" s="193" t="str" cm="1">
        <f t="array" ref="X44">IF(OR(X$26="",$O44=""),"",1/((INDEX('Adjustment Surface'!$AN$27:$AN$46,MATCH(('Adjustment Surface'!$O44),'Adjustment Surface'!$AN$27:$AN$46,1)+IF('Adjustment Surface'!$O45="",-1,1))-INDEX('Adjustment Surface'!$AN$27:$AN$46,MATCH(('Adjustment Surface'!$O44),'Adjustment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Surface'!$O44),'Adjustment Surface'!$AN$27:$AN$46,1)),$AN$27:$AN$46,0),MATCH(INDEX('Adjustment Surface'!$AO$26:$BH$26,1,MATCH(('Adjustment Surface'!X$26),'Adjustment Surface'!$AO$26:$BH$26,1)),$AO$26:$BH$26,0))*(INDEX('Adjustment Surface'!$AN$27:$AN$46,MATCH(('Adjustment Surface'!$O44),'Adjustment Surface'!$AN$27:$AN$46,1)+IF('Adjustment Surface'!$O45="",-1,1))-'Adjustment Surface'!$O44)*(INDEX('Adjustment Surface'!$AO$26:$BH$26,1,MATCH(('Adjustment Surface'!X$26),'Adjustment Surface'!$AO$26:$BH$26,1)+IF('Adjustment Surface'!Y$26="",-1,1))-'Adjustment Surface'!X$26)+INDEX($AO$27:$BH$46,MATCH(INDEX('Adjustment Surface'!$AN$27:$AN$46,MATCH(('Adjustment Surface'!$O44),'Adjustment Surface'!$AN$27:$AN$46,1)+IF('Adjustment Surface'!$O45="",-1,1)),$AN$27:$AN$46,0),MATCH(INDEX('Adjustment Surface'!$AO$26:$BH$26,1,MATCH(('Adjustment Surface'!X$26),'Adjustment Surface'!$AO$26:$BH$26,1)),$AO$26:$BH$26,0))*('Adjustment Surface'!$O44-INDEX('Adjustment Surface'!$AN$27:$AN$46,MATCH(('Adjustment Surface'!$O44),'Adjustment Surface'!$AN$27:$AN$46,1)))*(INDEX('Adjustment Surface'!$AO$26:$BH$26,1,MATCH(('Adjustment Surface'!X$26),'Adjustment Surface'!$AO$26:$BH$26,1)+IF('Adjustment Surface'!Y$26="",-1,1))-'Adjustment Surface'!X$26)+INDEX($AO$27:$BH$46,MATCH(INDEX('Adjustment Surface'!$AN$27:$AN$46,MATCH(('Adjustment Surface'!$O44),'Adjustment Surface'!$AN$27:$AN$46,1)),$AN$27:$AN$46,0),MATCH(INDEX('Adjustment Surface'!$AO$26:$BH$26,1,MATCH(('Adjustment Surface'!X$26),'Adjustment Surface'!$AO$26:$BH$26,1)+IF('Adjustment Surface'!Y$26="",-1,1)),$AO$26:$BH$26,0))*(INDEX('Adjustment Surface'!$AN$27:$AN$46,MATCH(('Adjustment Surface'!$O44),'Adjustment Surface'!$AN$27:$AN$46,1)+IF('Adjustment Surface'!$O45="",-1,1))-'Adjustment Surface'!$O44)*('Adjustment Surface'!X$26-INDEX('Adjustment Surface'!$AO$26:$BH$26,1,MATCH(('Adjustment Surface'!X$26),'Adjustment Surface'!$AO$26:$BH$26,1)))+INDEX($AO$27:$BH$46,MATCH(INDEX('Adjustment Surface'!$AN$27:$AN$46,MATCH(('Adjustment Surface'!$O44),'Adjustment Surface'!$AN$27:$AN$46,1)+IF('Adjustment Surface'!$O45="",-1,1)),$AN$27:$AN$46,0),MATCH(INDEX('Adjustment Surface'!$AO$26:$BH$26,1,MATCH(('Adjustment Surface'!X$26),'Adjustment Surface'!$AO$26:$BH$26,1)+IF('Adjustment Surface'!Y$26="",-1,1)),$AO$26:$BH$26,0))*('Adjustment Surface'!$O44-INDEX('Adjustment Surface'!$AN$27:$AN$46,MATCH(('Adjustment Surface'!$O44),'Adjustment Surface'!$AN$27:$AN$46,1)))*('Adjustment Surface'!X$26-INDEX('Adjustment Surface'!$AO$26:$BH$26,1,MATCH(('Adjustment Surface'!X$26),'Adjustment Surface'!$AO$26:$BH$26,1)))))</f>
        <v/>
      </c>
      <c r="Y44" s="193" t="str" cm="1">
        <f t="array" ref="Y44">IF(OR(Y$26="",$O44=""),"",1/((INDEX('Adjustment Surface'!$AN$27:$AN$46,MATCH(('Adjustment Surface'!$O44),'Adjustment Surface'!$AN$27:$AN$46,1)+IF('Adjustment Surface'!$O45="",-1,1))-INDEX('Adjustment Surface'!$AN$27:$AN$46,MATCH(('Adjustment Surface'!$O44),'Adjustment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Surface'!$O44),'Adjustment Surface'!$AN$27:$AN$46,1)),$AN$27:$AN$46,0),MATCH(INDEX('Adjustment Surface'!$AO$26:$BH$26,1,MATCH(('Adjustment Surface'!Y$26),'Adjustment Surface'!$AO$26:$BH$26,1)),$AO$26:$BH$26,0))*(INDEX('Adjustment Surface'!$AN$27:$AN$46,MATCH(('Adjustment Surface'!$O44),'Adjustment Surface'!$AN$27:$AN$46,1)+IF('Adjustment Surface'!$O45="",-1,1))-'Adjustment Surface'!$O44)*(INDEX('Adjustment Surface'!$AO$26:$BH$26,1,MATCH(('Adjustment Surface'!Y$26),'Adjustment Surface'!$AO$26:$BH$26,1)+IF('Adjustment Surface'!Z$26="",-1,1))-'Adjustment Surface'!Y$26)+INDEX($AO$27:$BH$46,MATCH(INDEX('Adjustment Surface'!$AN$27:$AN$46,MATCH(('Adjustment Surface'!$O44),'Adjustment Surface'!$AN$27:$AN$46,1)+IF('Adjustment Surface'!$O45="",-1,1)),$AN$27:$AN$46,0),MATCH(INDEX('Adjustment Surface'!$AO$26:$BH$26,1,MATCH(('Adjustment Surface'!Y$26),'Adjustment Surface'!$AO$26:$BH$26,1)),$AO$26:$BH$26,0))*('Adjustment Surface'!$O44-INDEX('Adjustment Surface'!$AN$27:$AN$46,MATCH(('Adjustment Surface'!$O44),'Adjustment Surface'!$AN$27:$AN$46,1)))*(INDEX('Adjustment Surface'!$AO$26:$BH$26,1,MATCH(('Adjustment Surface'!Y$26),'Adjustment Surface'!$AO$26:$BH$26,1)+IF('Adjustment Surface'!Z$26="",-1,1))-'Adjustment Surface'!Y$26)+INDEX($AO$27:$BH$46,MATCH(INDEX('Adjustment Surface'!$AN$27:$AN$46,MATCH(('Adjustment Surface'!$O44),'Adjustment Surface'!$AN$27:$AN$46,1)),$AN$27:$AN$46,0),MATCH(INDEX('Adjustment Surface'!$AO$26:$BH$26,1,MATCH(('Adjustment Surface'!Y$26),'Adjustment Surface'!$AO$26:$BH$26,1)+IF('Adjustment Surface'!Z$26="",-1,1)),$AO$26:$BH$26,0))*(INDEX('Adjustment Surface'!$AN$27:$AN$46,MATCH(('Adjustment Surface'!$O44),'Adjustment Surface'!$AN$27:$AN$46,1)+IF('Adjustment Surface'!$O45="",-1,1))-'Adjustment Surface'!$O44)*('Adjustment Surface'!Y$26-INDEX('Adjustment Surface'!$AO$26:$BH$26,1,MATCH(('Adjustment Surface'!Y$26),'Adjustment Surface'!$AO$26:$BH$26,1)))+INDEX($AO$27:$BH$46,MATCH(INDEX('Adjustment Surface'!$AN$27:$AN$46,MATCH(('Adjustment Surface'!$O44),'Adjustment Surface'!$AN$27:$AN$46,1)+IF('Adjustment Surface'!$O45="",-1,1)),$AN$27:$AN$46,0),MATCH(INDEX('Adjustment Surface'!$AO$26:$BH$26,1,MATCH(('Adjustment Surface'!Y$26),'Adjustment Surface'!$AO$26:$BH$26,1)+IF('Adjustment Surface'!Z$26="",-1,1)),$AO$26:$BH$26,0))*('Adjustment Surface'!$O44-INDEX('Adjustment Surface'!$AN$27:$AN$46,MATCH(('Adjustment Surface'!$O44),'Adjustment Surface'!$AN$27:$AN$46,1)))*('Adjustment Surface'!Y$26-INDEX('Adjustment Surface'!$AO$26:$BH$26,1,MATCH(('Adjustment Surface'!Y$26),'Adjustment Surface'!$AO$26:$BH$26,1)))))</f>
        <v/>
      </c>
      <c r="Z44" s="193" t="str" cm="1">
        <f t="array" ref="Z44">IF(OR(Z$26="",$O44=""),"",1/((INDEX('Adjustment Surface'!$AN$27:$AN$46,MATCH(('Adjustment Surface'!$O44),'Adjustment Surface'!$AN$27:$AN$46,1)+IF('Adjustment Surface'!$O45="",-1,1))-INDEX('Adjustment Surface'!$AN$27:$AN$46,MATCH(('Adjustment Surface'!$O44),'Adjustment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Surface'!$O44),'Adjustment Surface'!$AN$27:$AN$46,1)),$AN$27:$AN$46,0),MATCH(INDEX('Adjustment Surface'!$AO$26:$BH$26,1,MATCH(('Adjustment Surface'!Z$26),'Adjustment Surface'!$AO$26:$BH$26,1)),$AO$26:$BH$26,0))*(INDEX('Adjustment Surface'!$AN$27:$AN$46,MATCH(('Adjustment Surface'!$O44),'Adjustment Surface'!$AN$27:$AN$46,1)+IF('Adjustment Surface'!$O45="",-1,1))-'Adjustment Surface'!$O44)*(INDEX('Adjustment Surface'!$AO$26:$BH$26,1,MATCH(('Adjustment Surface'!Z$26),'Adjustment Surface'!$AO$26:$BH$26,1)+IF('Adjustment Surface'!AA$26="",-1,1))-'Adjustment Surface'!Z$26)+INDEX($AO$27:$BH$46,MATCH(INDEX('Adjustment Surface'!$AN$27:$AN$46,MATCH(('Adjustment Surface'!$O44),'Adjustment Surface'!$AN$27:$AN$46,1)+IF('Adjustment Surface'!$O45="",-1,1)),$AN$27:$AN$46,0),MATCH(INDEX('Adjustment Surface'!$AO$26:$BH$26,1,MATCH(('Adjustment Surface'!Z$26),'Adjustment Surface'!$AO$26:$BH$26,1)),$AO$26:$BH$26,0))*('Adjustment Surface'!$O44-INDEX('Adjustment Surface'!$AN$27:$AN$46,MATCH(('Adjustment Surface'!$O44),'Adjustment Surface'!$AN$27:$AN$46,1)))*(INDEX('Adjustment Surface'!$AO$26:$BH$26,1,MATCH(('Adjustment Surface'!Z$26),'Adjustment Surface'!$AO$26:$BH$26,1)+IF('Adjustment Surface'!AA$26="",-1,1))-'Adjustment Surface'!Z$26)+INDEX($AO$27:$BH$46,MATCH(INDEX('Adjustment Surface'!$AN$27:$AN$46,MATCH(('Adjustment Surface'!$O44),'Adjustment Surface'!$AN$27:$AN$46,1)),$AN$27:$AN$46,0),MATCH(INDEX('Adjustment Surface'!$AO$26:$BH$26,1,MATCH(('Adjustment Surface'!Z$26),'Adjustment Surface'!$AO$26:$BH$26,1)+IF('Adjustment Surface'!AA$26="",-1,1)),$AO$26:$BH$26,0))*(INDEX('Adjustment Surface'!$AN$27:$AN$46,MATCH(('Adjustment Surface'!$O44),'Adjustment Surface'!$AN$27:$AN$46,1)+IF('Adjustment Surface'!$O45="",-1,1))-'Adjustment Surface'!$O44)*('Adjustment Surface'!Z$26-INDEX('Adjustment Surface'!$AO$26:$BH$26,1,MATCH(('Adjustment Surface'!Z$26),'Adjustment Surface'!$AO$26:$BH$26,1)))+INDEX($AO$27:$BH$46,MATCH(INDEX('Adjustment Surface'!$AN$27:$AN$46,MATCH(('Adjustment Surface'!$O44),'Adjustment Surface'!$AN$27:$AN$46,1)+IF('Adjustment Surface'!$O45="",-1,1)),$AN$27:$AN$46,0),MATCH(INDEX('Adjustment Surface'!$AO$26:$BH$26,1,MATCH(('Adjustment Surface'!Z$26),'Adjustment Surface'!$AO$26:$BH$26,1)+IF('Adjustment Surface'!AA$26="",-1,1)),$AO$26:$BH$26,0))*('Adjustment Surface'!$O44-INDEX('Adjustment Surface'!$AN$27:$AN$46,MATCH(('Adjustment Surface'!$O44),'Adjustment Surface'!$AN$27:$AN$46,1)))*('Adjustment Surface'!Z$26-INDEX('Adjustment Surface'!$AO$26:$BH$26,1,MATCH(('Adjustment Surface'!Z$26),'Adjustment Surface'!$AO$26:$BH$26,1)))))</f>
        <v/>
      </c>
      <c r="AA44" s="193" t="str" cm="1">
        <f t="array" ref="AA44">IF(OR(AA$26="",$O44=""),"",1/((INDEX('Adjustment Surface'!$AN$27:$AN$46,MATCH(('Adjustment Surface'!$O44),'Adjustment Surface'!$AN$27:$AN$46,1)+IF('Adjustment Surface'!$O45="",-1,1))-INDEX('Adjustment Surface'!$AN$27:$AN$46,MATCH(('Adjustment Surface'!$O44),'Adjustment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Surface'!$O44),'Adjustment Surface'!$AN$27:$AN$46,1)),$AN$27:$AN$46,0),MATCH(INDEX('Adjustment Surface'!$AO$26:$BH$26,1,MATCH(('Adjustment Surface'!AA$26),'Adjustment Surface'!$AO$26:$BH$26,1)),$AO$26:$BH$26,0))*(INDEX('Adjustment Surface'!$AN$27:$AN$46,MATCH(('Adjustment Surface'!$O44),'Adjustment Surface'!$AN$27:$AN$46,1)+IF('Adjustment Surface'!$O45="",-1,1))-'Adjustment Surface'!$O44)*(INDEX('Adjustment Surface'!$AO$26:$BH$26,1,MATCH(('Adjustment Surface'!AA$26),'Adjustment Surface'!$AO$26:$BH$26,1)+IF('Adjustment Surface'!AB$26="",-1,1))-'Adjustment Surface'!AA$26)+INDEX($AO$27:$BH$46,MATCH(INDEX('Adjustment Surface'!$AN$27:$AN$46,MATCH(('Adjustment Surface'!$O44),'Adjustment Surface'!$AN$27:$AN$46,1)+IF('Adjustment Surface'!$O45="",-1,1)),$AN$27:$AN$46,0),MATCH(INDEX('Adjustment Surface'!$AO$26:$BH$26,1,MATCH(('Adjustment Surface'!AA$26),'Adjustment Surface'!$AO$26:$BH$26,1)),$AO$26:$BH$26,0))*('Adjustment Surface'!$O44-INDEX('Adjustment Surface'!$AN$27:$AN$46,MATCH(('Adjustment Surface'!$O44),'Adjustment Surface'!$AN$27:$AN$46,1)))*(INDEX('Adjustment Surface'!$AO$26:$BH$26,1,MATCH(('Adjustment Surface'!AA$26),'Adjustment Surface'!$AO$26:$BH$26,1)+IF('Adjustment Surface'!AB$26="",-1,1))-'Adjustment Surface'!AA$26)+INDEX($AO$27:$BH$46,MATCH(INDEX('Adjustment Surface'!$AN$27:$AN$46,MATCH(('Adjustment Surface'!$O44),'Adjustment Surface'!$AN$27:$AN$46,1)),$AN$27:$AN$46,0),MATCH(INDEX('Adjustment Surface'!$AO$26:$BH$26,1,MATCH(('Adjustment Surface'!AA$26),'Adjustment Surface'!$AO$26:$BH$26,1)+IF('Adjustment Surface'!AB$26="",-1,1)),$AO$26:$BH$26,0))*(INDEX('Adjustment Surface'!$AN$27:$AN$46,MATCH(('Adjustment Surface'!$O44),'Adjustment Surface'!$AN$27:$AN$46,1)+IF('Adjustment Surface'!$O45="",-1,1))-'Adjustment Surface'!$O44)*('Adjustment Surface'!AA$26-INDEX('Adjustment Surface'!$AO$26:$BH$26,1,MATCH(('Adjustment Surface'!AA$26),'Adjustment Surface'!$AO$26:$BH$26,1)))+INDEX($AO$27:$BH$46,MATCH(INDEX('Adjustment Surface'!$AN$27:$AN$46,MATCH(('Adjustment Surface'!$O44),'Adjustment Surface'!$AN$27:$AN$46,1)+IF('Adjustment Surface'!$O45="",-1,1)),$AN$27:$AN$46,0),MATCH(INDEX('Adjustment Surface'!$AO$26:$BH$26,1,MATCH(('Adjustment Surface'!AA$26),'Adjustment Surface'!$AO$26:$BH$26,1)+IF('Adjustment Surface'!AB$26="",-1,1)),$AO$26:$BH$26,0))*('Adjustment Surface'!$O44-INDEX('Adjustment Surface'!$AN$27:$AN$46,MATCH(('Adjustment Surface'!$O44),'Adjustment Surface'!$AN$27:$AN$46,1)))*('Adjustment Surface'!AA$26-INDEX('Adjustment Surface'!$AO$26:$BH$26,1,MATCH(('Adjustment Surface'!AA$26),'Adjustment Surface'!$AO$26:$BH$26,1)))))</f>
        <v/>
      </c>
      <c r="AB44" s="193" t="str" cm="1">
        <f t="array" ref="AB44">IF(OR(AB$26="",$O44=""),"",1/((INDEX('Adjustment Surface'!$AN$27:$AN$46,MATCH(('Adjustment Surface'!$O44),'Adjustment Surface'!$AN$27:$AN$46,1)+IF('Adjustment Surface'!$O45="",-1,1))-INDEX('Adjustment Surface'!$AN$27:$AN$46,MATCH(('Adjustment Surface'!$O44),'Adjustment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Surface'!$O44),'Adjustment Surface'!$AN$27:$AN$46,1)),$AN$27:$AN$46,0),MATCH(INDEX('Adjustment Surface'!$AO$26:$BH$26,1,MATCH(('Adjustment Surface'!AB$26),'Adjustment Surface'!$AO$26:$BH$26,1)),$AO$26:$BH$26,0))*(INDEX('Adjustment Surface'!$AN$27:$AN$46,MATCH(('Adjustment Surface'!$O44),'Adjustment Surface'!$AN$27:$AN$46,1)+IF('Adjustment Surface'!$O45="",-1,1))-'Adjustment Surface'!$O44)*(INDEX('Adjustment Surface'!$AO$26:$BH$26,1,MATCH(('Adjustment Surface'!AB$26),'Adjustment Surface'!$AO$26:$BH$26,1)+IF('Adjustment Surface'!AC$26="",-1,1))-'Adjustment Surface'!AB$26)+INDEX($AO$27:$BH$46,MATCH(INDEX('Adjustment Surface'!$AN$27:$AN$46,MATCH(('Adjustment Surface'!$O44),'Adjustment Surface'!$AN$27:$AN$46,1)+IF('Adjustment Surface'!$O45="",-1,1)),$AN$27:$AN$46,0),MATCH(INDEX('Adjustment Surface'!$AO$26:$BH$26,1,MATCH(('Adjustment Surface'!AB$26),'Adjustment Surface'!$AO$26:$BH$26,1)),$AO$26:$BH$26,0))*('Adjustment Surface'!$O44-INDEX('Adjustment Surface'!$AN$27:$AN$46,MATCH(('Adjustment Surface'!$O44),'Adjustment Surface'!$AN$27:$AN$46,1)))*(INDEX('Adjustment Surface'!$AO$26:$BH$26,1,MATCH(('Adjustment Surface'!AB$26),'Adjustment Surface'!$AO$26:$BH$26,1)+IF('Adjustment Surface'!AC$26="",-1,1))-'Adjustment Surface'!AB$26)+INDEX($AO$27:$BH$46,MATCH(INDEX('Adjustment Surface'!$AN$27:$AN$46,MATCH(('Adjustment Surface'!$O44),'Adjustment Surface'!$AN$27:$AN$46,1)),$AN$27:$AN$46,0),MATCH(INDEX('Adjustment Surface'!$AO$26:$BH$26,1,MATCH(('Adjustment Surface'!AB$26),'Adjustment Surface'!$AO$26:$BH$26,1)+IF('Adjustment Surface'!AC$26="",-1,1)),$AO$26:$BH$26,0))*(INDEX('Adjustment Surface'!$AN$27:$AN$46,MATCH(('Adjustment Surface'!$O44),'Adjustment Surface'!$AN$27:$AN$46,1)+IF('Adjustment Surface'!$O45="",-1,1))-'Adjustment Surface'!$O44)*('Adjustment Surface'!AB$26-INDEX('Adjustment Surface'!$AO$26:$BH$26,1,MATCH(('Adjustment Surface'!AB$26),'Adjustment Surface'!$AO$26:$BH$26,1)))+INDEX($AO$27:$BH$46,MATCH(INDEX('Adjustment Surface'!$AN$27:$AN$46,MATCH(('Adjustment Surface'!$O44),'Adjustment Surface'!$AN$27:$AN$46,1)+IF('Adjustment Surface'!$O45="",-1,1)),$AN$27:$AN$46,0),MATCH(INDEX('Adjustment Surface'!$AO$26:$BH$26,1,MATCH(('Adjustment Surface'!AB$26),'Adjustment Surface'!$AO$26:$BH$26,1)+IF('Adjustment Surface'!AC$26="",-1,1)),$AO$26:$BH$26,0))*('Adjustment Surface'!$O44-INDEX('Adjustment Surface'!$AN$27:$AN$46,MATCH(('Adjustment Surface'!$O44),'Adjustment Surface'!$AN$27:$AN$46,1)))*('Adjustment Surface'!AB$26-INDEX('Adjustment Surface'!$AO$26:$BH$26,1,MATCH(('Adjustment Surface'!AB$26),'Adjustment Surface'!$AO$26:$BH$26,1)))))</f>
        <v/>
      </c>
      <c r="AC44" s="193" t="str" cm="1">
        <f t="array" ref="AC44">IF(OR(AC$26="",$O44=""),"",1/((INDEX('Adjustment Surface'!$AN$27:$AN$46,MATCH(('Adjustment Surface'!$O44),'Adjustment Surface'!$AN$27:$AN$46,1)+IF('Adjustment Surface'!$O45="",-1,1))-INDEX('Adjustment Surface'!$AN$27:$AN$46,MATCH(('Adjustment Surface'!$O44),'Adjustment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Surface'!$O44),'Adjustment Surface'!$AN$27:$AN$46,1)),$AN$27:$AN$46,0),MATCH(INDEX('Adjustment Surface'!$AO$26:$BH$26,1,MATCH(('Adjustment Surface'!AC$26),'Adjustment Surface'!$AO$26:$BH$26,1)),$AO$26:$BH$26,0))*(INDEX('Adjustment Surface'!$AN$27:$AN$46,MATCH(('Adjustment Surface'!$O44),'Adjustment Surface'!$AN$27:$AN$46,1)+IF('Adjustment Surface'!$O45="",-1,1))-'Adjustment Surface'!$O44)*(INDEX('Adjustment Surface'!$AO$26:$BH$26,1,MATCH(('Adjustment Surface'!AC$26),'Adjustment Surface'!$AO$26:$BH$26,1)+IF('Adjustment Surface'!AD$26="",-1,1))-'Adjustment Surface'!AC$26)+INDEX($AO$27:$BH$46,MATCH(INDEX('Adjustment Surface'!$AN$27:$AN$46,MATCH(('Adjustment Surface'!$O44),'Adjustment Surface'!$AN$27:$AN$46,1)+IF('Adjustment Surface'!$O45="",-1,1)),$AN$27:$AN$46,0),MATCH(INDEX('Adjustment Surface'!$AO$26:$BH$26,1,MATCH(('Adjustment Surface'!AC$26),'Adjustment Surface'!$AO$26:$BH$26,1)),$AO$26:$BH$26,0))*('Adjustment Surface'!$O44-INDEX('Adjustment Surface'!$AN$27:$AN$46,MATCH(('Adjustment Surface'!$O44),'Adjustment Surface'!$AN$27:$AN$46,1)))*(INDEX('Adjustment Surface'!$AO$26:$BH$26,1,MATCH(('Adjustment Surface'!AC$26),'Adjustment Surface'!$AO$26:$BH$26,1)+IF('Adjustment Surface'!AD$26="",-1,1))-'Adjustment Surface'!AC$26)+INDEX($AO$27:$BH$46,MATCH(INDEX('Adjustment Surface'!$AN$27:$AN$46,MATCH(('Adjustment Surface'!$O44),'Adjustment Surface'!$AN$27:$AN$46,1)),$AN$27:$AN$46,0),MATCH(INDEX('Adjustment Surface'!$AO$26:$BH$26,1,MATCH(('Adjustment Surface'!AC$26),'Adjustment Surface'!$AO$26:$BH$26,1)+IF('Adjustment Surface'!AD$26="",-1,1)),$AO$26:$BH$26,0))*(INDEX('Adjustment Surface'!$AN$27:$AN$46,MATCH(('Adjustment Surface'!$O44),'Adjustment Surface'!$AN$27:$AN$46,1)+IF('Adjustment Surface'!$O45="",-1,1))-'Adjustment Surface'!$O44)*('Adjustment Surface'!AC$26-INDEX('Adjustment Surface'!$AO$26:$BH$26,1,MATCH(('Adjustment Surface'!AC$26),'Adjustment Surface'!$AO$26:$BH$26,1)))+INDEX($AO$27:$BH$46,MATCH(INDEX('Adjustment Surface'!$AN$27:$AN$46,MATCH(('Adjustment Surface'!$O44),'Adjustment Surface'!$AN$27:$AN$46,1)+IF('Adjustment Surface'!$O45="",-1,1)),$AN$27:$AN$46,0),MATCH(INDEX('Adjustment Surface'!$AO$26:$BH$26,1,MATCH(('Adjustment Surface'!AC$26),'Adjustment Surface'!$AO$26:$BH$26,1)+IF('Adjustment Surface'!AD$26="",-1,1)),$AO$26:$BH$26,0))*('Adjustment Surface'!$O44-INDEX('Adjustment Surface'!$AN$27:$AN$46,MATCH(('Adjustment Surface'!$O44),'Adjustment Surface'!$AN$27:$AN$46,1)))*('Adjustment Surface'!AC$26-INDEX('Adjustment Surface'!$AO$26:$BH$26,1,MATCH(('Adjustment Surface'!AC$26),'Adjustment Surface'!$AO$26:$BH$26,1)))))</f>
        <v/>
      </c>
      <c r="AD44" s="193" t="str" cm="1">
        <f t="array" ref="AD44">IF(OR(AD$26="",$O44=""),"",1/((INDEX('Adjustment Surface'!$AN$27:$AN$46,MATCH(('Adjustment Surface'!$O44),'Adjustment Surface'!$AN$27:$AN$46,1)+IF('Adjustment Surface'!$O45="",-1,1))-INDEX('Adjustment Surface'!$AN$27:$AN$46,MATCH(('Adjustment Surface'!$O44),'Adjustment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Surface'!$O44),'Adjustment Surface'!$AN$27:$AN$46,1)),$AN$27:$AN$46,0),MATCH(INDEX('Adjustment Surface'!$AO$26:$BH$26,1,MATCH(('Adjustment Surface'!AD$26),'Adjustment Surface'!$AO$26:$BH$26,1)),$AO$26:$BH$26,0))*(INDEX('Adjustment Surface'!$AN$27:$AN$46,MATCH(('Adjustment Surface'!$O44),'Adjustment Surface'!$AN$27:$AN$46,1)+IF('Adjustment Surface'!$O45="",-1,1))-'Adjustment Surface'!$O44)*(INDEX('Adjustment Surface'!$AO$26:$BH$26,1,MATCH(('Adjustment Surface'!AD$26),'Adjustment Surface'!$AO$26:$BH$26,1)+IF('Adjustment Surface'!AE$26="",-1,1))-'Adjustment Surface'!AD$26)+INDEX($AO$27:$BH$46,MATCH(INDEX('Adjustment Surface'!$AN$27:$AN$46,MATCH(('Adjustment Surface'!$O44),'Adjustment Surface'!$AN$27:$AN$46,1)+IF('Adjustment Surface'!$O45="",-1,1)),$AN$27:$AN$46,0),MATCH(INDEX('Adjustment Surface'!$AO$26:$BH$26,1,MATCH(('Adjustment Surface'!AD$26),'Adjustment Surface'!$AO$26:$BH$26,1)),$AO$26:$BH$26,0))*('Adjustment Surface'!$O44-INDEX('Adjustment Surface'!$AN$27:$AN$46,MATCH(('Adjustment Surface'!$O44),'Adjustment Surface'!$AN$27:$AN$46,1)))*(INDEX('Adjustment Surface'!$AO$26:$BH$26,1,MATCH(('Adjustment Surface'!AD$26),'Adjustment Surface'!$AO$26:$BH$26,1)+IF('Adjustment Surface'!AE$26="",-1,1))-'Adjustment Surface'!AD$26)+INDEX($AO$27:$BH$46,MATCH(INDEX('Adjustment Surface'!$AN$27:$AN$46,MATCH(('Adjustment Surface'!$O44),'Adjustment Surface'!$AN$27:$AN$46,1)),$AN$27:$AN$46,0),MATCH(INDEX('Adjustment Surface'!$AO$26:$BH$26,1,MATCH(('Adjustment Surface'!AD$26),'Adjustment Surface'!$AO$26:$BH$26,1)+IF('Adjustment Surface'!AE$26="",-1,1)),$AO$26:$BH$26,0))*(INDEX('Adjustment Surface'!$AN$27:$AN$46,MATCH(('Adjustment Surface'!$O44),'Adjustment Surface'!$AN$27:$AN$46,1)+IF('Adjustment Surface'!$O45="",-1,1))-'Adjustment Surface'!$O44)*('Adjustment Surface'!AD$26-INDEX('Adjustment Surface'!$AO$26:$BH$26,1,MATCH(('Adjustment Surface'!AD$26),'Adjustment Surface'!$AO$26:$BH$26,1)))+INDEX($AO$27:$BH$46,MATCH(INDEX('Adjustment Surface'!$AN$27:$AN$46,MATCH(('Adjustment Surface'!$O44),'Adjustment Surface'!$AN$27:$AN$46,1)+IF('Adjustment Surface'!$O45="",-1,1)),$AN$27:$AN$46,0),MATCH(INDEX('Adjustment Surface'!$AO$26:$BH$26,1,MATCH(('Adjustment Surface'!AD$26),'Adjustment Surface'!$AO$26:$BH$26,1)+IF('Adjustment Surface'!AE$26="",-1,1)),$AO$26:$BH$26,0))*('Adjustment Surface'!$O44-INDEX('Adjustment Surface'!$AN$27:$AN$46,MATCH(('Adjustment Surface'!$O44),'Adjustment Surface'!$AN$27:$AN$46,1)))*('Adjustment Surface'!AD$26-INDEX('Adjustment Surface'!$AO$26:$BH$26,1,MATCH(('Adjustment Surface'!AD$26),'Adjustment Surface'!$AO$26:$BH$26,1)))))</f>
        <v/>
      </c>
      <c r="AE44" s="193" t="str" cm="1">
        <f t="array" ref="AE44">IF(OR(AE$26="",$O44=""),"",1/((INDEX('Adjustment Surface'!$AN$27:$AN$46,MATCH(('Adjustment Surface'!$O44),'Adjustment Surface'!$AN$27:$AN$46,1)+IF('Adjustment Surface'!$O45="",-1,1))-INDEX('Adjustment Surface'!$AN$27:$AN$46,MATCH(('Adjustment Surface'!$O44),'Adjustment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Surface'!$O44),'Adjustment Surface'!$AN$27:$AN$46,1)),$AN$27:$AN$46,0),MATCH(INDEX('Adjustment Surface'!$AO$26:$BH$26,1,MATCH(('Adjustment Surface'!AE$26),'Adjustment Surface'!$AO$26:$BH$26,1)),$AO$26:$BH$26,0))*(INDEX('Adjustment Surface'!$AN$27:$AN$46,MATCH(('Adjustment Surface'!$O44),'Adjustment Surface'!$AN$27:$AN$46,1)+IF('Adjustment Surface'!$O45="",-1,1))-'Adjustment Surface'!$O44)*(INDEX('Adjustment Surface'!$AO$26:$BH$26,1,MATCH(('Adjustment Surface'!AE$26),'Adjustment Surface'!$AO$26:$BH$26,1)+IF('Adjustment Surface'!AF$26="",-1,1))-'Adjustment Surface'!AE$26)+INDEX($AO$27:$BH$46,MATCH(INDEX('Adjustment Surface'!$AN$27:$AN$46,MATCH(('Adjustment Surface'!$O44),'Adjustment Surface'!$AN$27:$AN$46,1)+IF('Adjustment Surface'!$O45="",-1,1)),$AN$27:$AN$46,0),MATCH(INDEX('Adjustment Surface'!$AO$26:$BH$26,1,MATCH(('Adjustment Surface'!AE$26),'Adjustment Surface'!$AO$26:$BH$26,1)),$AO$26:$BH$26,0))*('Adjustment Surface'!$O44-INDEX('Adjustment Surface'!$AN$27:$AN$46,MATCH(('Adjustment Surface'!$O44),'Adjustment Surface'!$AN$27:$AN$46,1)))*(INDEX('Adjustment Surface'!$AO$26:$BH$26,1,MATCH(('Adjustment Surface'!AE$26),'Adjustment Surface'!$AO$26:$BH$26,1)+IF('Adjustment Surface'!AF$26="",-1,1))-'Adjustment Surface'!AE$26)+INDEX($AO$27:$BH$46,MATCH(INDEX('Adjustment Surface'!$AN$27:$AN$46,MATCH(('Adjustment Surface'!$O44),'Adjustment Surface'!$AN$27:$AN$46,1)),$AN$27:$AN$46,0),MATCH(INDEX('Adjustment Surface'!$AO$26:$BH$26,1,MATCH(('Adjustment Surface'!AE$26),'Adjustment Surface'!$AO$26:$BH$26,1)+IF('Adjustment Surface'!AF$26="",-1,1)),$AO$26:$BH$26,0))*(INDEX('Adjustment Surface'!$AN$27:$AN$46,MATCH(('Adjustment Surface'!$O44),'Adjustment Surface'!$AN$27:$AN$46,1)+IF('Adjustment Surface'!$O45="",-1,1))-'Adjustment Surface'!$O44)*('Adjustment Surface'!AE$26-INDEX('Adjustment Surface'!$AO$26:$BH$26,1,MATCH(('Adjustment Surface'!AE$26),'Adjustment Surface'!$AO$26:$BH$26,1)))+INDEX($AO$27:$BH$46,MATCH(INDEX('Adjustment Surface'!$AN$27:$AN$46,MATCH(('Adjustment Surface'!$O44),'Adjustment Surface'!$AN$27:$AN$46,1)+IF('Adjustment Surface'!$O45="",-1,1)),$AN$27:$AN$46,0),MATCH(INDEX('Adjustment Surface'!$AO$26:$BH$26,1,MATCH(('Adjustment Surface'!AE$26),'Adjustment Surface'!$AO$26:$BH$26,1)+IF('Adjustment Surface'!AF$26="",-1,1)),$AO$26:$BH$26,0))*('Adjustment Surface'!$O44-INDEX('Adjustment Surface'!$AN$27:$AN$46,MATCH(('Adjustment Surface'!$O44),'Adjustment Surface'!$AN$27:$AN$46,1)))*('Adjustment Surface'!AE$26-INDEX('Adjustment Surface'!$AO$26:$BH$26,1,MATCH(('Adjustment Surface'!AE$26),'Adjustment Surface'!$AO$26:$BH$26,1)))))</f>
        <v/>
      </c>
      <c r="AF44" s="193" t="str" cm="1">
        <f t="array" ref="AF44">IF(OR(AF$26="",$O44=""),"",1/((INDEX('Adjustment Surface'!$AN$27:$AN$46,MATCH(('Adjustment Surface'!$O44),'Adjustment Surface'!$AN$27:$AN$46,1)+IF('Adjustment Surface'!$O45="",-1,1))-INDEX('Adjustment Surface'!$AN$27:$AN$46,MATCH(('Adjustment Surface'!$O44),'Adjustment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Surface'!$O44),'Adjustment Surface'!$AN$27:$AN$46,1)),$AN$27:$AN$46,0),MATCH(INDEX('Adjustment Surface'!$AO$26:$BH$26,1,MATCH(('Adjustment Surface'!AF$26),'Adjustment Surface'!$AO$26:$BH$26,1)),$AO$26:$BH$26,0))*(INDEX('Adjustment Surface'!$AN$27:$AN$46,MATCH(('Adjustment Surface'!$O44),'Adjustment Surface'!$AN$27:$AN$46,1)+IF('Adjustment Surface'!$O45="",-1,1))-'Adjustment Surface'!$O44)*(INDEX('Adjustment Surface'!$AO$26:$BH$26,1,MATCH(('Adjustment Surface'!AF$26),'Adjustment Surface'!$AO$26:$BH$26,1)+IF('Adjustment Surface'!AG$26="",-1,1))-'Adjustment Surface'!AF$26)+INDEX($AO$27:$BH$46,MATCH(INDEX('Adjustment Surface'!$AN$27:$AN$46,MATCH(('Adjustment Surface'!$O44),'Adjustment Surface'!$AN$27:$AN$46,1)+IF('Adjustment Surface'!$O45="",-1,1)),$AN$27:$AN$46,0),MATCH(INDEX('Adjustment Surface'!$AO$26:$BH$26,1,MATCH(('Adjustment Surface'!AF$26),'Adjustment Surface'!$AO$26:$BH$26,1)),$AO$26:$BH$26,0))*('Adjustment Surface'!$O44-INDEX('Adjustment Surface'!$AN$27:$AN$46,MATCH(('Adjustment Surface'!$O44),'Adjustment Surface'!$AN$27:$AN$46,1)))*(INDEX('Adjustment Surface'!$AO$26:$BH$26,1,MATCH(('Adjustment Surface'!AF$26),'Adjustment Surface'!$AO$26:$BH$26,1)+IF('Adjustment Surface'!AG$26="",-1,1))-'Adjustment Surface'!AF$26)+INDEX($AO$27:$BH$46,MATCH(INDEX('Adjustment Surface'!$AN$27:$AN$46,MATCH(('Adjustment Surface'!$O44),'Adjustment Surface'!$AN$27:$AN$46,1)),$AN$27:$AN$46,0),MATCH(INDEX('Adjustment Surface'!$AO$26:$BH$26,1,MATCH(('Adjustment Surface'!AF$26),'Adjustment Surface'!$AO$26:$BH$26,1)+IF('Adjustment Surface'!AG$26="",-1,1)),$AO$26:$BH$26,0))*(INDEX('Adjustment Surface'!$AN$27:$AN$46,MATCH(('Adjustment Surface'!$O44),'Adjustment Surface'!$AN$27:$AN$46,1)+IF('Adjustment Surface'!$O45="",-1,1))-'Adjustment Surface'!$O44)*('Adjustment Surface'!AF$26-INDEX('Adjustment Surface'!$AO$26:$BH$26,1,MATCH(('Adjustment Surface'!AF$26),'Adjustment Surface'!$AO$26:$BH$26,1)))+INDEX($AO$27:$BH$46,MATCH(INDEX('Adjustment Surface'!$AN$27:$AN$46,MATCH(('Adjustment Surface'!$O44),'Adjustment Surface'!$AN$27:$AN$46,1)+IF('Adjustment Surface'!$O45="",-1,1)),$AN$27:$AN$46,0),MATCH(INDEX('Adjustment Surface'!$AO$26:$BH$26,1,MATCH(('Adjustment Surface'!AF$26),'Adjustment Surface'!$AO$26:$BH$26,1)+IF('Adjustment Surface'!AG$26="",-1,1)),$AO$26:$BH$26,0))*('Adjustment Surface'!$O44-INDEX('Adjustment Surface'!$AN$27:$AN$46,MATCH(('Adjustment Surface'!$O44),'Adjustment Surface'!$AN$27:$AN$46,1)))*('Adjustment Surface'!AF$26-INDEX('Adjustment Surface'!$AO$26:$BH$26,1,MATCH(('Adjustment Surface'!AF$26),'Adjustment Surface'!$AO$26:$BH$26,1)))))</f>
        <v/>
      </c>
      <c r="AG44" s="193" t="str" cm="1">
        <f t="array" ref="AG44">IF(OR(AG$26="",$O44=""),"",1/((INDEX('Adjustment Surface'!$AN$27:$AN$46,MATCH(('Adjustment Surface'!$O44),'Adjustment Surface'!$AN$27:$AN$46,1)+IF('Adjustment Surface'!$O45="",-1,1))-INDEX('Adjustment Surface'!$AN$27:$AN$46,MATCH(('Adjustment Surface'!$O44),'Adjustment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Surface'!$O44),'Adjustment Surface'!$AN$27:$AN$46,1)),$AN$27:$AN$46,0),MATCH(INDEX('Adjustment Surface'!$AO$26:$BH$26,1,MATCH(('Adjustment Surface'!AG$26),'Adjustment Surface'!$AO$26:$BH$26,1)),$AO$26:$BH$26,0))*(INDEX('Adjustment Surface'!$AN$27:$AN$46,MATCH(('Adjustment Surface'!$O44),'Adjustment Surface'!$AN$27:$AN$46,1)+IF('Adjustment Surface'!$O45="",-1,1))-'Adjustment Surface'!$O44)*(INDEX('Adjustment Surface'!$AO$26:$BH$26,1,MATCH(('Adjustment Surface'!AG$26),'Adjustment Surface'!$AO$26:$BH$26,1)+IF('Adjustment Surface'!AH$26="",-1,1))-'Adjustment Surface'!AG$26)+INDEX($AO$27:$BH$46,MATCH(INDEX('Adjustment Surface'!$AN$27:$AN$46,MATCH(('Adjustment Surface'!$O44),'Adjustment Surface'!$AN$27:$AN$46,1)+IF('Adjustment Surface'!$O45="",-1,1)),$AN$27:$AN$46,0),MATCH(INDEX('Adjustment Surface'!$AO$26:$BH$26,1,MATCH(('Adjustment Surface'!AG$26),'Adjustment Surface'!$AO$26:$BH$26,1)),$AO$26:$BH$26,0))*('Adjustment Surface'!$O44-INDEX('Adjustment Surface'!$AN$27:$AN$46,MATCH(('Adjustment Surface'!$O44),'Adjustment Surface'!$AN$27:$AN$46,1)))*(INDEX('Adjustment Surface'!$AO$26:$BH$26,1,MATCH(('Adjustment Surface'!AG$26),'Adjustment Surface'!$AO$26:$BH$26,1)+IF('Adjustment Surface'!AH$26="",-1,1))-'Adjustment Surface'!AG$26)+INDEX($AO$27:$BH$46,MATCH(INDEX('Adjustment Surface'!$AN$27:$AN$46,MATCH(('Adjustment Surface'!$O44),'Adjustment Surface'!$AN$27:$AN$46,1)),$AN$27:$AN$46,0),MATCH(INDEX('Adjustment Surface'!$AO$26:$BH$26,1,MATCH(('Adjustment Surface'!AG$26),'Adjustment Surface'!$AO$26:$BH$26,1)+IF('Adjustment Surface'!AH$26="",-1,1)),$AO$26:$BH$26,0))*(INDEX('Adjustment Surface'!$AN$27:$AN$46,MATCH(('Adjustment Surface'!$O44),'Adjustment Surface'!$AN$27:$AN$46,1)+IF('Adjustment Surface'!$O45="",-1,1))-'Adjustment Surface'!$O44)*('Adjustment Surface'!AG$26-INDEX('Adjustment Surface'!$AO$26:$BH$26,1,MATCH(('Adjustment Surface'!AG$26),'Adjustment Surface'!$AO$26:$BH$26,1)))+INDEX($AO$27:$BH$46,MATCH(INDEX('Adjustment Surface'!$AN$27:$AN$46,MATCH(('Adjustment Surface'!$O44),'Adjustment Surface'!$AN$27:$AN$46,1)+IF('Adjustment Surface'!$O45="",-1,1)),$AN$27:$AN$46,0),MATCH(INDEX('Adjustment Surface'!$AO$26:$BH$26,1,MATCH(('Adjustment Surface'!AG$26),'Adjustment Surface'!$AO$26:$BH$26,1)+IF('Adjustment Surface'!AH$26="",-1,1)),$AO$26:$BH$26,0))*('Adjustment Surface'!$O44-INDEX('Adjustment Surface'!$AN$27:$AN$46,MATCH(('Adjustment Surface'!$O44),'Adjustment Surface'!$AN$27:$AN$46,1)))*('Adjustment Surface'!AG$26-INDEX('Adjustment Surface'!$AO$26:$BH$26,1,MATCH(('Adjustment Surface'!AG$26),'Adjustment Surface'!$AO$26:$BH$26,1)))))</f>
        <v/>
      </c>
      <c r="AH44" s="193" t="str" cm="1">
        <f t="array" ref="AH44">IF(OR(AH$26="",$O44=""),"",1/((INDEX('Adjustment Surface'!$AN$27:$AN$46,MATCH(('Adjustment Surface'!$O44),'Adjustment Surface'!$AN$27:$AN$46,1)+IF('Adjustment Surface'!$O45="",-1,1))-INDEX('Adjustment Surface'!$AN$27:$AN$46,MATCH(('Adjustment Surface'!$O44),'Adjustment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Surface'!$O44),'Adjustment Surface'!$AN$27:$AN$46,1)),$AN$27:$AN$46,0),MATCH(INDEX('Adjustment Surface'!$AO$26:$BH$26,1,MATCH(('Adjustment Surface'!AH$26),'Adjustment Surface'!$AO$26:$BH$26,1)),$AO$26:$BH$26,0))*(INDEX('Adjustment Surface'!$AN$27:$AN$46,MATCH(('Adjustment Surface'!$O44),'Adjustment Surface'!$AN$27:$AN$46,1)+IF('Adjustment Surface'!$O45="",-1,1))-'Adjustment Surface'!$O44)*(INDEX('Adjustment Surface'!$AO$26:$BH$26,1,MATCH(('Adjustment Surface'!AH$26),'Adjustment Surface'!$AO$26:$BH$26,1)+IF('Adjustment Surface'!AI$26="",-1,1))-'Adjustment Surface'!AH$26)+INDEX($AO$27:$BH$46,MATCH(INDEX('Adjustment Surface'!$AN$27:$AN$46,MATCH(('Adjustment Surface'!$O44),'Adjustment Surface'!$AN$27:$AN$46,1)+IF('Adjustment Surface'!$O45="",-1,1)),$AN$27:$AN$46,0),MATCH(INDEX('Adjustment Surface'!$AO$26:$BH$26,1,MATCH(('Adjustment Surface'!AH$26),'Adjustment Surface'!$AO$26:$BH$26,1)),$AO$26:$BH$26,0))*('Adjustment Surface'!$O44-INDEX('Adjustment Surface'!$AN$27:$AN$46,MATCH(('Adjustment Surface'!$O44),'Adjustment Surface'!$AN$27:$AN$46,1)))*(INDEX('Adjustment Surface'!$AO$26:$BH$26,1,MATCH(('Adjustment Surface'!AH$26),'Adjustment Surface'!$AO$26:$BH$26,1)+IF('Adjustment Surface'!AI$26="",-1,1))-'Adjustment Surface'!AH$26)+INDEX($AO$27:$BH$46,MATCH(INDEX('Adjustment Surface'!$AN$27:$AN$46,MATCH(('Adjustment Surface'!$O44),'Adjustment Surface'!$AN$27:$AN$46,1)),$AN$27:$AN$46,0),MATCH(INDEX('Adjustment Surface'!$AO$26:$BH$26,1,MATCH(('Adjustment Surface'!AH$26),'Adjustment Surface'!$AO$26:$BH$26,1)+IF('Adjustment Surface'!AI$26="",-1,1)),$AO$26:$BH$26,0))*(INDEX('Adjustment Surface'!$AN$27:$AN$46,MATCH(('Adjustment Surface'!$O44),'Adjustment Surface'!$AN$27:$AN$46,1)+IF('Adjustment Surface'!$O45="",-1,1))-'Adjustment Surface'!$O44)*('Adjustment Surface'!AH$26-INDEX('Adjustment Surface'!$AO$26:$BH$26,1,MATCH(('Adjustment Surface'!AH$26),'Adjustment Surface'!$AO$26:$BH$26,1)))+INDEX($AO$27:$BH$46,MATCH(INDEX('Adjustment Surface'!$AN$27:$AN$46,MATCH(('Adjustment Surface'!$O44),'Adjustment Surface'!$AN$27:$AN$46,1)+IF('Adjustment Surface'!$O45="",-1,1)),$AN$27:$AN$46,0),MATCH(INDEX('Adjustment Surface'!$AO$26:$BH$26,1,MATCH(('Adjustment Surface'!AH$26),'Adjustment Surface'!$AO$26:$BH$26,1)+IF('Adjustment Surface'!AI$26="",-1,1)),$AO$26:$BH$26,0))*('Adjustment Surface'!$O44-INDEX('Adjustment Surface'!$AN$27:$AN$46,MATCH(('Adjustment Surface'!$O44),'Adjustment Surface'!$AN$27:$AN$46,1)))*('Adjustment Surface'!AH$26-INDEX('Adjustment Surface'!$AO$26:$BH$26,1,MATCH(('Adjustment Surface'!AH$26),'Adjustment Surface'!$AO$26:$BH$26,1)))))</f>
        <v/>
      </c>
      <c r="AI44" s="194" t="str" cm="1">
        <f t="array" ref="AI44">IF(OR(AI$26="",$O44=""),"",1/((INDEX('Adjustment Surface'!$AN$27:$AN$46,MATCH(('Adjustment Surface'!$O44),'Adjustment Surface'!$AN$27:$AN$46,1)+IF('Adjustment Surface'!$O45="",-1,1))-INDEX('Adjustment Surface'!$AN$27:$AN$46,MATCH(('Adjustment Surface'!$O44),'Adjustment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Surface'!$O44),'Adjustment Surface'!$AN$27:$AN$46,1)),$AN$27:$AN$46,0),MATCH(INDEX('Adjustment Surface'!$AO$26:$BH$26,1,MATCH(('Adjustment Surface'!AI$26),'Adjustment Surface'!$AO$26:$BH$26,1)),$AO$26:$BH$26,0))*(INDEX('Adjustment Surface'!$AN$27:$AN$46,MATCH(('Adjustment Surface'!$O44),'Adjustment Surface'!$AN$27:$AN$46,1)+IF('Adjustment Surface'!$O45="",-1,1))-'Adjustment Surface'!$O44)*(INDEX('Adjustment Surface'!$AO$26:$BH$26,1,MATCH(('Adjustment Surface'!AI$26),'Adjustment Surface'!$AO$26:$BH$26,1)+IF('Adjustment Surface'!AJ$26="",-1,1))-'Adjustment Surface'!AI$26)+INDEX($AO$27:$BH$46,MATCH(INDEX('Adjustment Surface'!$AN$27:$AN$46,MATCH(('Adjustment Surface'!$O44),'Adjustment Surface'!$AN$27:$AN$46,1)+IF('Adjustment Surface'!$O45="",-1,1)),$AN$27:$AN$46,0),MATCH(INDEX('Adjustment Surface'!$AO$26:$BH$26,1,MATCH(('Adjustment Surface'!AI$26),'Adjustment Surface'!$AO$26:$BH$26,1)),$AO$26:$BH$26,0))*('Adjustment Surface'!$O44-INDEX('Adjustment Surface'!$AN$27:$AN$46,MATCH(('Adjustment Surface'!$O44),'Adjustment Surface'!$AN$27:$AN$46,1)))*(INDEX('Adjustment Surface'!$AO$26:$BH$26,1,MATCH(('Adjustment Surface'!AI$26),'Adjustment Surface'!$AO$26:$BH$26,1)+IF('Adjustment Surface'!AJ$26="",-1,1))-'Adjustment Surface'!AI$26)+INDEX($AO$27:$BH$46,MATCH(INDEX('Adjustment Surface'!$AN$27:$AN$46,MATCH(('Adjustment Surface'!$O44),'Adjustment Surface'!$AN$27:$AN$46,1)),$AN$27:$AN$46,0),MATCH(INDEX('Adjustment Surface'!$AO$26:$BH$26,1,MATCH(('Adjustment Surface'!AI$26),'Adjustment Surface'!$AO$26:$BH$26,1)+IF('Adjustment Surface'!AJ$26="",-1,1)),$AO$26:$BH$26,0))*(INDEX('Adjustment Surface'!$AN$27:$AN$46,MATCH(('Adjustment Surface'!$O44),'Adjustment Surface'!$AN$27:$AN$46,1)+IF('Adjustment Surface'!$O45="",-1,1))-'Adjustment Surface'!$O44)*('Adjustment Surface'!AI$26-INDEX('Adjustment Surface'!$AO$26:$BH$26,1,MATCH(('Adjustment Surface'!AI$26),'Adjustment Surface'!$AO$26:$BH$26,1)))+INDEX($AO$27:$BH$46,MATCH(INDEX('Adjustment Surface'!$AN$27:$AN$46,MATCH(('Adjustment Surface'!$O44),'Adjustment Surface'!$AN$27:$AN$46,1)+IF('Adjustment Surface'!$O45="",-1,1)),$AN$27:$AN$46,0),MATCH(INDEX('Adjustment Surface'!$AO$26:$BH$26,1,MATCH(('Adjustment Surface'!AI$26),'Adjustment Surface'!$AO$26:$BH$26,1)+IF('Adjustment Surface'!AJ$26="",-1,1)),$AO$26:$BH$26,0))*('Adjustment Surface'!$O44-INDEX('Adjustment Surface'!$AN$27:$AN$46,MATCH(('Adjustment Surface'!$O44),'Adjustment Surface'!$AN$27:$AN$46,1)))*('Adjustment Surface'!AI$26-INDEX('Adjustment Surface'!$AO$26:$BH$26,1,MATCH(('Adjustment Surface'!AI$26),'Adjustment Surface'!$AO$26:$BH$26,1)))))</f>
        <v/>
      </c>
      <c r="AK44" s="203"/>
      <c r="AL44" s="207"/>
      <c r="AN44" s="176"/>
      <c r="AO44" s="192" t="str" cm="1">
        <f t="array" ref="AO44">IF(OR(AO$26="",$AN44=""),"",INDEX(IF($C$2='Data Validation'!$A$2,'Bank Adjustments'!$I$4:$I$103,IF('Adjustment Surface'!$C$2='Data Validation'!$A$3,'Bank Adjustments'!$S$4:$S$103,"Unknown Option Type")),MATCH(1,($AN44=IF($C$2='Data Validation'!$A$2,'Bank Adjustments'!$C$4:$C$103,IF('Adjustment Surface'!$C$2='Data Validation'!$A$3,'Bank Adjustments'!$M$4:$M$103,"Unknown Option Type")))*(AO$26=IF($C$2='Data Validation'!$A$2,'Bank Adjustments'!$E$4:$E$103,IF('Adjustment Surface'!$C$2='Data Validation'!$A$3,'Bank Adjustments'!$O$4:$O$103,"Unknown Option Type"))),0)))</f>
        <v/>
      </c>
      <c r="AP44" s="193" t="str" cm="1">
        <f t="array" ref="AP44">IF(OR(AP$26="",$AN44=""),"",INDEX(IF($C$2='Data Validation'!$A$2,'Bank Adjustments'!$I$4:$I$103,IF('Adjustment Surface'!$C$2='Data Validation'!$A$3,'Bank Adjustments'!$S$4:$S$103,"Unknown Option Type")),MATCH(1,($AN44=IF($C$2='Data Validation'!$A$2,'Bank Adjustments'!$C$4:$C$103,IF('Adjustment Surface'!$C$2='Data Validation'!$A$3,'Bank Adjustments'!$M$4:$M$103,"Unknown Option Type")))*(AP$26=IF($C$2='Data Validation'!$A$2,'Bank Adjustments'!$E$4:$E$103,IF('Adjustment Surface'!$C$2='Data Validation'!$A$3,'Bank Adjustments'!$O$4:$O$103,"Unknown Option Type"))),0)))</f>
        <v/>
      </c>
      <c r="AQ44" s="193" t="str" cm="1">
        <f t="array" ref="AQ44">IF(OR(AQ$26="",$AN44=""),"",INDEX(IF($C$2='Data Validation'!$A$2,'Bank Adjustments'!$I$4:$I$103,IF('Adjustment Surface'!$C$2='Data Validation'!$A$3,'Bank Adjustments'!$S$4:$S$103,"Unknown Option Type")),MATCH(1,($AN44=IF($C$2='Data Validation'!$A$2,'Bank Adjustments'!$C$4:$C$103,IF('Adjustment Surface'!$C$2='Data Validation'!$A$3,'Bank Adjustments'!$M$4:$M$103,"Unknown Option Type")))*(AQ$26=IF($C$2='Data Validation'!$A$2,'Bank Adjustments'!$E$4:$E$103,IF('Adjustment Surface'!$C$2='Data Validation'!$A$3,'Bank Adjustments'!$O$4:$O$103,"Unknown Option Type"))),0)))</f>
        <v/>
      </c>
      <c r="AR44" s="193" t="str" cm="1">
        <f t="array" ref="AR44">IF(OR(AR$26="",$AN44=""),"",INDEX(IF($C$2='Data Validation'!$A$2,'Bank Adjustments'!$I$4:$I$103,IF('Adjustment Surface'!$C$2='Data Validation'!$A$3,'Bank Adjustments'!$S$4:$S$103,"Unknown Option Type")),MATCH(1,($AN44=IF($C$2='Data Validation'!$A$2,'Bank Adjustments'!$C$4:$C$103,IF('Adjustment Surface'!$C$2='Data Validation'!$A$3,'Bank Adjustments'!$M$4:$M$103,"Unknown Option Type")))*(AR$26=IF($C$2='Data Validation'!$A$2,'Bank Adjustments'!$E$4:$E$103,IF('Adjustment Surface'!$C$2='Data Validation'!$A$3,'Bank Adjustments'!$O$4:$O$103,"Unknown Option Type"))),0)))</f>
        <v/>
      </c>
      <c r="AS44" s="193" t="str" cm="1">
        <f t="array" ref="AS44">IF(OR(AS$26="",$AN44=""),"",INDEX(IF($C$2='Data Validation'!$A$2,'Bank Adjustments'!$I$4:$I$103,IF('Adjustment Surface'!$C$2='Data Validation'!$A$3,'Bank Adjustments'!$S$4:$S$103,"Unknown Option Type")),MATCH(1,($AN44=IF($C$2='Data Validation'!$A$2,'Bank Adjustments'!$C$4:$C$103,IF('Adjustment Surface'!$C$2='Data Validation'!$A$3,'Bank Adjustments'!$M$4:$M$103,"Unknown Option Type")))*(AS$26=IF($C$2='Data Validation'!$A$2,'Bank Adjustments'!$E$4:$E$103,IF('Adjustment Surface'!$C$2='Data Validation'!$A$3,'Bank Adjustments'!$O$4:$O$103,"Unknown Option Type"))),0)))</f>
        <v/>
      </c>
      <c r="AT44" s="193" t="str" cm="1">
        <f t="array" ref="AT44">IF(OR(AT$26="",$AN44=""),"",INDEX(IF($C$2='Data Validation'!$A$2,'Bank Adjustments'!$I$4:$I$103,IF('Adjustment Surface'!$C$2='Data Validation'!$A$3,'Bank Adjustments'!$S$4:$S$103,"Unknown Option Type")),MATCH(1,($AN44=IF($C$2='Data Validation'!$A$2,'Bank Adjustments'!$C$4:$C$103,IF('Adjustment Surface'!$C$2='Data Validation'!$A$3,'Bank Adjustments'!$M$4:$M$103,"Unknown Option Type")))*(AT$26=IF($C$2='Data Validation'!$A$2,'Bank Adjustments'!$E$4:$E$103,IF('Adjustment Surface'!$C$2='Data Validation'!$A$3,'Bank Adjustments'!$O$4:$O$103,"Unknown Option Type"))),0)))</f>
        <v/>
      </c>
      <c r="AU44" s="193" t="str" cm="1">
        <f t="array" ref="AU44">IF(OR(AU$26="",$AN44=""),"",INDEX(IF($C$2='Data Validation'!$A$2,'Bank Adjustments'!$I$4:$I$103,IF('Adjustment Surface'!$C$2='Data Validation'!$A$3,'Bank Adjustments'!$S$4:$S$103,"Unknown Option Type")),MATCH(1,($AN44=IF($C$2='Data Validation'!$A$2,'Bank Adjustments'!$C$4:$C$103,IF('Adjustment Surface'!$C$2='Data Validation'!$A$3,'Bank Adjustments'!$M$4:$M$103,"Unknown Option Type")))*(AU$26=IF($C$2='Data Validation'!$A$2,'Bank Adjustments'!$E$4:$E$103,IF('Adjustment Surface'!$C$2='Data Validation'!$A$3,'Bank Adjustments'!$O$4:$O$103,"Unknown Option Type"))),0)))</f>
        <v/>
      </c>
      <c r="AV44" s="193" t="str" cm="1">
        <f t="array" ref="AV44">IF(OR(AV$26="",$AN44=""),"",INDEX(IF($C$2='Data Validation'!$A$2,'Bank Adjustments'!$I$4:$I$103,IF('Adjustment Surface'!$C$2='Data Validation'!$A$3,'Bank Adjustments'!$S$4:$S$103,"Unknown Option Type")),MATCH(1,($AN44=IF($C$2='Data Validation'!$A$2,'Bank Adjustments'!$C$4:$C$103,IF('Adjustment Surface'!$C$2='Data Validation'!$A$3,'Bank Adjustments'!$M$4:$M$103,"Unknown Option Type")))*(AV$26=IF($C$2='Data Validation'!$A$2,'Bank Adjustments'!$E$4:$E$103,IF('Adjustment Surface'!$C$2='Data Validation'!$A$3,'Bank Adjustments'!$O$4:$O$103,"Unknown Option Type"))),0)))</f>
        <v/>
      </c>
      <c r="AW44" s="193" t="str" cm="1">
        <f t="array" ref="AW44">IF(OR(AW$26="",$AN44=""),"",INDEX(IF($C$2='Data Validation'!$A$2,'Bank Adjustments'!$I$4:$I$103,IF('Adjustment Surface'!$C$2='Data Validation'!$A$3,'Bank Adjustments'!$S$4:$S$103,"Unknown Option Type")),MATCH(1,($AN44=IF($C$2='Data Validation'!$A$2,'Bank Adjustments'!$C$4:$C$103,IF('Adjustment Surface'!$C$2='Data Validation'!$A$3,'Bank Adjustments'!$M$4:$M$103,"Unknown Option Type")))*(AW$26=IF($C$2='Data Validation'!$A$2,'Bank Adjustments'!$E$4:$E$103,IF('Adjustment Surface'!$C$2='Data Validation'!$A$3,'Bank Adjustments'!$O$4:$O$103,"Unknown Option Type"))),0)))</f>
        <v/>
      </c>
      <c r="AX44" s="193" t="str" cm="1">
        <f t="array" ref="AX44">IF(OR(AX$26="",$AN44=""),"",INDEX(IF($C$2='Data Validation'!$A$2,'Bank Adjustments'!$I$4:$I$103,IF('Adjustment Surface'!$C$2='Data Validation'!$A$3,'Bank Adjustments'!$S$4:$S$103,"Unknown Option Type")),MATCH(1,($AN44=IF($C$2='Data Validation'!$A$2,'Bank Adjustments'!$C$4:$C$103,IF('Adjustment Surface'!$C$2='Data Validation'!$A$3,'Bank Adjustments'!$M$4:$M$103,"Unknown Option Type")))*(AX$26=IF($C$2='Data Validation'!$A$2,'Bank Adjustments'!$E$4:$E$103,IF('Adjustment Surface'!$C$2='Data Validation'!$A$3,'Bank Adjustments'!$O$4:$O$103,"Unknown Option Type"))),0)))</f>
        <v/>
      </c>
      <c r="AY44" s="193" t="str" cm="1">
        <f t="array" ref="AY44">IF(OR(AY$26="",$AN44=""),"",INDEX(IF($C$2='Data Validation'!$A$2,'Bank Adjustments'!$I$4:$I$103,IF('Adjustment Surface'!$C$2='Data Validation'!$A$3,'Bank Adjustments'!$S$4:$S$103,"Unknown Option Type")),MATCH(1,($AN44=IF($C$2='Data Validation'!$A$2,'Bank Adjustments'!$C$4:$C$103,IF('Adjustment Surface'!$C$2='Data Validation'!$A$3,'Bank Adjustments'!$M$4:$M$103,"Unknown Option Type")))*(AY$26=IF($C$2='Data Validation'!$A$2,'Bank Adjustments'!$E$4:$E$103,IF('Adjustment Surface'!$C$2='Data Validation'!$A$3,'Bank Adjustments'!$O$4:$O$103,"Unknown Option Type"))),0)))</f>
        <v/>
      </c>
      <c r="AZ44" s="193" t="str" cm="1">
        <f t="array" ref="AZ44">IF(OR(AZ$26="",$AN44=""),"",INDEX(IF($C$2='Data Validation'!$A$2,'Bank Adjustments'!$I$4:$I$103,IF('Adjustment Surface'!$C$2='Data Validation'!$A$3,'Bank Adjustments'!$S$4:$S$103,"Unknown Option Type")),MATCH(1,($AN44=IF($C$2='Data Validation'!$A$2,'Bank Adjustments'!$C$4:$C$103,IF('Adjustment Surface'!$C$2='Data Validation'!$A$3,'Bank Adjustments'!$M$4:$M$103,"Unknown Option Type")))*(AZ$26=IF($C$2='Data Validation'!$A$2,'Bank Adjustments'!$E$4:$E$103,IF('Adjustment Surface'!$C$2='Data Validation'!$A$3,'Bank Adjustments'!$O$4:$O$103,"Unknown Option Type"))),0)))</f>
        <v/>
      </c>
      <c r="BA44" s="193" t="str" cm="1">
        <f t="array" ref="BA44">IF(OR(BA$26="",$AN44=""),"",INDEX(IF($C$2='Data Validation'!$A$2,'Bank Adjustments'!$I$4:$I$103,IF('Adjustment Surface'!$C$2='Data Validation'!$A$3,'Bank Adjustments'!$S$4:$S$103,"Unknown Option Type")),MATCH(1,($AN44=IF($C$2='Data Validation'!$A$2,'Bank Adjustments'!$C$4:$C$103,IF('Adjustment Surface'!$C$2='Data Validation'!$A$3,'Bank Adjustments'!$M$4:$M$103,"Unknown Option Type")))*(BA$26=IF($C$2='Data Validation'!$A$2,'Bank Adjustments'!$E$4:$E$103,IF('Adjustment Surface'!$C$2='Data Validation'!$A$3,'Bank Adjustments'!$O$4:$O$103,"Unknown Option Type"))),0)))</f>
        <v/>
      </c>
      <c r="BB44" s="193" t="str" cm="1">
        <f t="array" ref="BB44">IF(OR(BB$26="",$AN44=""),"",INDEX(IF($C$2='Data Validation'!$A$2,'Bank Adjustments'!$I$4:$I$103,IF('Adjustment Surface'!$C$2='Data Validation'!$A$3,'Bank Adjustments'!$S$4:$S$103,"Unknown Option Type")),MATCH(1,($AN44=IF($C$2='Data Validation'!$A$2,'Bank Adjustments'!$C$4:$C$103,IF('Adjustment Surface'!$C$2='Data Validation'!$A$3,'Bank Adjustments'!$M$4:$M$103,"Unknown Option Type")))*(BB$26=IF($C$2='Data Validation'!$A$2,'Bank Adjustments'!$E$4:$E$103,IF('Adjustment Surface'!$C$2='Data Validation'!$A$3,'Bank Adjustments'!$O$4:$O$103,"Unknown Option Type"))),0)))</f>
        <v/>
      </c>
      <c r="BC44" s="193" t="str" cm="1">
        <f t="array" ref="BC44">IF(OR(BC$26="",$AN44=""),"",INDEX(IF($C$2='Data Validation'!$A$2,'Bank Adjustments'!$I$4:$I$103,IF('Adjustment Surface'!$C$2='Data Validation'!$A$3,'Bank Adjustments'!$S$4:$S$103,"Unknown Option Type")),MATCH(1,($AN44=IF($C$2='Data Validation'!$A$2,'Bank Adjustments'!$C$4:$C$103,IF('Adjustment Surface'!$C$2='Data Validation'!$A$3,'Bank Adjustments'!$M$4:$M$103,"Unknown Option Type")))*(BC$26=IF($C$2='Data Validation'!$A$2,'Bank Adjustments'!$E$4:$E$103,IF('Adjustment Surface'!$C$2='Data Validation'!$A$3,'Bank Adjustments'!$O$4:$O$103,"Unknown Option Type"))),0)))</f>
        <v/>
      </c>
      <c r="BD44" s="193" t="str" cm="1">
        <f t="array" ref="BD44">IF(OR(BD$26="",$AN44=""),"",INDEX(IF($C$2='Data Validation'!$A$2,'Bank Adjustments'!$I$4:$I$103,IF('Adjustment Surface'!$C$2='Data Validation'!$A$3,'Bank Adjustments'!$S$4:$S$103,"Unknown Option Type")),MATCH(1,($AN44=IF($C$2='Data Validation'!$A$2,'Bank Adjustments'!$C$4:$C$103,IF('Adjustment Surface'!$C$2='Data Validation'!$A$3,'Bank Adjustments'!$M$4:$M$103,"Unknown Option Type")))*(BD$26=IF($C$2='Data Validation'!$A$2,'Bank Adjustments'!$E$4:$E$103,IF('Adjustment Surface'!$C$2='Data Validation'!$A$3,'Bank Adjustments'!$O$4:$O$103,"Unknown Option Type"))),0)))</f>
        <v/>
      </c>
      <c r="BE44" s="193" t="str" cm="1">
        <f t="array" ref="BE44">IF(OR(BE$26="",$AN44=""),"",INDEX(IF($C$2='Data Validation'!$A$2,'Bank Adjustments'!$I$4:$I$103,IF('Adjustment Surface'!$C$2='Data Validation'!$A$3,'Bank Adjustments'!$S$4:$S$103,"Unknown Option Type")),MATCH(1,($AN44=IF($C$2='Data Validation'!$A$2,'Bank Adjustments'!$C$4:$C$103,IF('Adjustment Surface'!$C$2='Data Validation'!$A$3,'Bank Adjustments'!$M$4:$M$103,"Unknown Option Type")))*(BE$26=IF($C$2='Data Validation'!$A$2,'Bank Adjustments'!$E$4:$E$103,IF('Adjustment Surface'!$C$2='Data Validation'!$A$3,'Bank Adjustments'!$O$4:$O$103,"Unknown Option Type"))),0)))</f>
        <v/>
      </c>
      <c r="BF44" s="193" t="str" cm="1">
        <f t="array" ref="BF44">IF(OR(BF$26="",$AN44=""),"",INDEX(IF($C$2='Data Validation'!$A$2,'Bank Adjustments'!$I$4:$I$103,IF('Adjustment Surface'!$C$2='Data Validation'!$A$3,'Bank Adjustments'!$S$4:$S$103,"Unknown Option Type")),MATCH(1,($AN44=IF($C$2='Data Validation'!$A$2,'Bank Adjustments'!$C$4:$C$103,IF('Adjustment Surface'!$C$2='Data Validation'!$A$3,'Bank Adjustments'!$M$4:$M$103,"Unknown Option Type")))*(BF$26=IF($C$2='Data Validation'!$A$2,'Bank Adjustments'!$E$4:$E$103,IF('Adjustment Surface'!$C$2='Data Validation'!$A$3,'Bank Adjustments'!$O$4:$O$103,"Unknown Option Type"))),0)))</f>
        <v/>
      </c>
      <c r="BG44" s="193" t="str" cm="1">
        <f t="array" ref="BG44">IF(OR(BG$26="",$AN44=""),"",INDEX(IF($C$2='Data Validation'!$A$2,'Bank Adjustments'!$I$4:$I$103,IF('Adjustment Surface'!$C$2='Data Validation'!$A$3,'Bank Adjustments'!$S$4:$S$103,"Unknown Option Type")),MATCH(1,($AN44=IF($C$2='Data Validation'!$A$2,'Bank Adjustments'!$C$4:$C$103,IF('Adjustment Surface'!$C$2='Data Validation'!$A$3,'Bank Adjustments'!$M$4:$M$103,"Unknown Option Type")))*(BG$26=IF($C$2='Data Validation'!$A$2,'Bank Adjustments'!$E$4:$E$103,IF('Adjustment Surface'!$C$2='Data Validation'!$A$3,'Bank Adjustments'!$O$4:$O$103,"Unknown Option Type"))),0)))</f>
        <v/>
      </c>
      <c r="BH44" s="194" t="str" cm="1">
        <f t="array" ref="BH44">IF(OR(BH$26="",$AN44=""),"",INDEX(IF($C$2='Data Validation'!$A$2,'Bank Adjustments'!$I$4:$I$103,IF('Adjustment Surface'!$C$2='Data Validation'!$A$3,'Bank Adjustments'!$S$4:$S$103,"Unknown Option Type")),MATCH(1,($AN44=IF($C$2='Data Validation'!$A$2,'Bank Adjustments'!$C$4:$C$103,IF('Adjustment Surface'!$C$2='Data Validation'!$A$3,'Bank Adjustments'!$M$4:$M$103,"Unknown Option Type")))*(BH$26=IF($C$2='Data Validation'!$A$2,'Bank Adjustments'!$E$4:$E$103,IF('Adjustment Surface'!$C$2='Data Validation'!$A$3,'Bank Adjustments'!$O$4:$O$103,"Unknown Option Type"))),0)))</f>
        <v/>
      </c>
    </row>
    <row r="45" spans="2:60" x14ac:dyDescent="0.25">
      <c r="B45" s="75">
        <f t="shared" si="11"/>
        <v>0.05</v>
      </c>
      <c r="C45" s="15">
        <f>ROUNDUP(MAX('Control Panel'!C11,C17+IF($F$9='Data Validation'!$F$2,MIN($F$11,MAX($F$10,C31*C24)),IF($F$9='Data Validation'!$F$3,MIN($F$11,MAX($F$10,C38*C17)),"Unknown Adjustment Type"))),-3)</f>
        <v>15000</v>
      </c>
      <c r="D45" s="15">
        <f>ROUNDUP(MAX('Control Panel'!C11,D17+IF($F$9='Data Validation'!$F$2,MIN($F$11,MAX($F$10,D31*D24)),IF($F$9='Data Validation'!$F$3,MIN($F$11,MAX($F$10,D38*D17)),"Unknown Adjustment Type"))),-3)</f>
        <v>15000</v>
      </c>
      <c r="E45" s="15">
        <f>ROUNDUP(MAX('Control Panel'!C11,E17+IF($F$9='Data Validation'!$F$2,MIN($F$11,MAX($F$10,E31*E24)),IF($F$9='Data Validation'!$F$3,MIN($F$11,MAX($F$10,E38*E17)),"Unknown Adjustment Type"))),-3)</f>
        <v>49000</v>
      </c>
      <c r="F45" s="15">
        <f>ROUNDUP(MAX('Control Panel'!C11,F17+IF($F$9='Data Validation'!$F$2,MIN($F$11,MAX($F$10,F31*F24)),IF($F$9='Data Validation'!$F$3,MIN($F$11,MAX($F$10,F38*F17)),"Unknown Adjustment Type"))),-3)</f>
        <v>104000</v>
      </c>
      <c r="H45" s="176"/>
      <c r="I45" s="54" t="str">
        <f t="shared" si="6"/>
        <v/>
      </c>
      <c r="J45" s="55" t="str">
        <f t="shared" si="6"/>
        <v/>
      </c>
      <c r="K45" s="55" t="str">
        <f t="shared" si="6"/>
        <v/>
      </c>
      <c r="L45" s="55" t="str">
        <f t="shared" si="6"/>
        <v/>
      </c>
      <c r="M45" s="48" t="str">
        <f t="shared" si="6"/>
        <v/>
      </c>
      <c r="O45" s="176"/>
      <c r="P45" s="192" t="str" cm="1">
        <f t="array" ref="P45">IF(OR(P$26="",$O45=""),"",1/((INDEX('Adjustment Surface'!$AN$27:$AN$46,MATCH(('Adjustment Surface'!$O45),'Adjustment Surface'!$AN$27:$AN$46,1)+IF('Adjustment Surface'!$O46="",-1,1))-INDEX('Adjustment Surface'!$AN$27:$AN$46,MATCH(('Adjustment Surface'!$O45),'Adjustment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Surface'!$O45),'Adjustment Surface'!$AN$27:$AN$46,1)),$AN$27:$AN$46,0),MATCH(INDEX('Adjustment Surface'!$AO$26:$BH$26,1,MATCH(('Adjustment Surface'!P$26),'Adjustment Surface'!$AO$26:$BH$26,1)),$AO$26:$BH$26,0))*(INDEX('Adjustment Surface'!$AN$27:$AN$46,MATCH(('Adjustment Surface'!$O45),'Adjustment Surface'!$AN$27:$AN$46,1)+IF('Adjustment Surface'!$O46="",-1,1))-'Adjustment Surface'!$O45)*(INDEX('Adjustment Surface'!$AO$26:$BH$26,1,MATCH(('Adjustment Surface'!P$26),'Adjustment Surface'!$AO$26:$BH$26,1)+IF('Adjustment Surface'!Q$26="",-1,1))-'Adjustment Surface'!P$26)+INDEX($AO$27:$BH$46,MATCH(INDEX('Adjustment Surface'!$AN$27:$AN$46,MATCH(('Adjustment Surface'!$O45),'Adjustment Surface'!$AN$27:$AN$46,1)+IF('Adjustment Surface'!$O46="",-1,1)),$AN$27:$AN$46,0),MATCH(INDEX('Adjustment Surface'!$AO$26:$BH$26,1,MATCH(('Adjustment Surface'!P$26),'Adjustment Surface'!$AO$26:$BH$26,1)),$AO$26:$BH$26,0))*('Adjustment Surface'!$O45-INDEX('Adjustment Surface'!$AN$27:$AN$46,MATCH(('Adjustment Surface'!$O45),'Adjustment Surface'!$AN$27:$AN$46,1)))*(INDEX('Adjustment Surface'!$AO$26:$BH$26,1,MATCH(('Adjustment Surface'!P$26),'Adjustment Surface'!$AO$26:$BH$26,1)+IF('Adjustment Surface'!Q$26="",-1,1))-'Adjustment Surface'!P$26)+INDEX($AO$27:$BH$46,MATCH(INDEX('Adjustment Surface'!$AN$27:$AN$46,MATCH(('Adjustment Surface'!$O45),'Adjustment Surface'!$AN$27:$AN$46,1)),$AN$27:$AN$46,0),MATCH(INDEX('Adjustment Surface'!$AO$26:$BH$26,1,MATCH(('Adjustment Surface'!P$26),'Adjustment Surface'!$AO$26:$BH$26,1)+IF('Adjustment Surface'!Q$26="",-1,1)),$AO$26:$BH$26,0))*(INDEX('Adjustment Surface'!$AN$27:$AN$46,MATCH(('Adjustment Surface'!$O45),'Adjustment Surface'!$AN$27:$AN$46,1)+IF('Adjustment Surface'!$O46="",-1,1))-'Adjustment Surface'!$O45)*('Adjustment Surface'!P$26-INDEX('Adjustment Surface'!$AO$26:$BH$26,1,MATCH(('Adjustment Surface'!P$26),'Adjustment Surface'!$AO$26:$BH$26,1)))+INDEX($AO$27:$BH$46,MATCH(INDEX('Adjustment Surface'!$AN$27:$AN$46,MATCH(('Adjustment Surface'!$O45),'Adjustment Surface'!$AN$27:$AN$46,1)+IF('Adjustment Surface'!$O46="",-1,1)),$AN$27:$AN$46,0),MATCH(INDEX('Adjustment Surface'!$AO$26:$BH$26,1,MATCH(('Adjustment Surface'!P$26),'Adjustment Surface'!$AO$26:$BH$26,1)+IF('Adjustment Surface'!Q$26="",-1,1)),$AO$26:$BH$26,0))*('Adjustment Surface'!$O45-INDEX('Adjustment Surface'!$AN$27:$AN$46,MATCH(('Adjustment Surface'!$O45),'Adjustment Surface'!$AN$27:$AN$46,1)))*('Adjustment Surface'!P$26-INDEX('Adjustment Surface'!$AO$26:$BH$26,1,MATCH(('Adjustment Surface'!P$26),'Adjustment Surface'!$AO$26:$BH$26,1)))))</f>
        <v/>
      </c>
      <c r="Q45" s="193" t="str" cm="1">
        <f t="array" ref="Q45">IF(OR(Q$26="",$O45=""),"",1/((INDEX('Adjustment Surface'!$AN$27:$AN$46,MATCH(('Adjustment Surface'!$O45),'Adjustment Surface'!$AN$27:$AN$46,1)+IF('Adjustment Surface'!$O46="",-1,1))-INDEX('Adjustment Surface'!$AN$27:$AN$46,MATCH(('Adjustment Surface'!$O45),'Adjustment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Surface'!$O45),'Adjustment Surface'!$AN$27:$AN$46,1)),$AN$27:$AN$46,0),MATCH(INDEX('Adjustment Surface'!$AO$26:$BH$26,1,MATCH(('Adjustment Surface'!Q$26),'Adjustment Surface'!$AO$26:$BH$26,1)),$AO$26:$BH$26,0))*(INDEX('Adjustment Surface'!$AN$27:$AN$46,MATCH(('Adjustment Surface'!$O45),'Adjustment Surface'!$AN$27:$AN$46,1)+IF('Adjustment Surface'!$O46="",-1,1))-'Adjustment Surface'!$O45)*(INDEX('Adjustment Surface'!$AO$26:$BH$26,1,MATCH(('Adjustment Surface'!Q$26),'Adjustment Surface'!$AO$26:$BH$26,1)+IF('Adjustment Surface'!R$26="",-1,1))-'Adjustment Surface'!Q$26)+INDEX($AO$27:$BH$46,MATCH(INDEX('Adjustment Surface'!$AN$27:$AN$46,MATCH(('Adjustment Surface'!$O45),'Adjustment Surface'!$AN$27:$AN$46,1)+IF('Adjustment Surface'!$O46="",-1,1)),$AN$27:$AN$46,0),MATCH(INDEX('Adjustment Surface'!$AO$26:$BH$26,1,MATCH(('Adjustment Surface'!Q$26),'Adjustment Surface'!$AO$26:$BH$26,1)),$AO$26:$BH$26,0))*('Adjustment Surface'!$O45-INDEX('Adjustment Surface'!$AN$27:$AN$46,MATCH(('Adjustment Surface'!$O45),'Adjustment Surface'!$AN$27:$AN$46,1)))*(INDEX('Adjustment Surface'!$AO$26:$BH$26,1,MATCH(('Adjustment Surface'!Q$26),'Adjustment Surface'!$AO$26:$BH$26,1)+IF('Adjustment Surface'!R$26="",-1,1))-'Adjustment Surface'!Q$26)+INDEX($AO$27:$BH$46,MATCH(INDEX('Adjustment Surface'!$AN$27:$AN$46,MATCH(('Adjustment Surface'!$O45),'Adjustment Surface'!$AN$27:$AN$46,1)),$AN$27:$AN$46,0),MATCH(INDEX('Adjustment Surface'!$AO$26:$BH$26,1,MATCH(('Adjustment Surface'!Q$26),'Adjustment Surface'!$AO$26:$BH$26,1)+IF('Adjustment Surface'!R$26="",-1,1)),$AO$26:$BH$26,0))*(INDEX('Adjustment Surface'!$AN$27:$AN$46,MATCH(('Adjustment Surface'!$O45),'Adjustment Surface'!$AN$27:$AN$46,1)+IF('Adjustment Surface'!$O46="",-1,1))-'Adjustment Surface'!$O45)*('Adjustment Surface'!Q$26-INDEX('Adjustment Surface'!$AO$26:$BH$26,1,MATCH(('Adjustment Surface'!Q$26),'Adjustment Surface'!$AO$26:$BH$26,1)))+INDEX($AO$27:$BH$46,MATCH(INDEX('Adjustment Surface'!$AN$27:$AN$46,MATCH(('Adjustment Surface'!$O45),'Adjustment Surface'!$AN$27:$AN$46,1)+IF('Adjustment Surface'!$O46="",-1,1)),$AN$27:$AN$46,0),MATCH(INDEX('Adjustment Surface'!$AO$26:$BH$26,1,MATCH(('Adjustment Surface'!Q$26),'Adjustment Surface'!$AO$26:$BH$26,1)+IF('Adjustment Surface'!R$26="",-1,1)),$AO$26:$BH$26,0))*('Adjustment Surface'!$O45-INDEX('Adjustment Surface'!$AN$27:$AN$46,MATCH(('Adjustment Surface'!$O45),'Adjustment Surface'!$AN$27:$AN$46,1)))*('Adjustment Surface'!Q$26-INDEX('Adjustment Surface'!$AO$26:$BH$26,1,MATCH(('Adjustment Surface'!Q$26),'Adjustment Surface'!$AO$26:$BH$26,1)))))</f>
        <v/>
      </c>
      <c r="R45" s="193" t="str" cm="1">
        <f t="array" ref="R45">IF(OR(R$26="",$O45=""),"",1/((INDEX('Adjustment Surface'!$AN$27:$AN$46,MATCH(('Adjustment Surface'!$O45),'Adjustment Surface'!$AN$27:$AN$46,1)+IF('Adjustment Surface'!$O46="",-1,1))-INDEX('Adjustment Surface'!$AN$27:$AN$46,MATCH(('Adjustment Surface'!$O45),'Adjustment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Surface'!$O45),'Adjustment Surface'!$AN$27:$AN$46,1)),$AN$27:$AN$46,0),MATCH(INDEX('Adjustment Surface'!$AO$26:$BH$26,1,MATCH(('Adjustment Surface'!R$26),'Adjustment Surface'!$AO$26:$BH$26,1)),$AO$26:$BH$26,0))*(INDEX('Adjustment Surface'!$AN$27:$AN$46,MATCH(('Adjustment Surface'!$O45),'Adjustment Surface'!$AN$27:$AN$46,1)+IF('Adjustment Surface'!$O46="",-1,1))-'Adjustment Surface'!$O45)*(INDEX('Adjustment Surface'!$AO$26:$BH$26,1,MATCH(('Adjustment Surface'!R$26),'Adjustment Surface'!$AO$26:$BH$26,1)+IF('Adjustment Surface'!S$26="",-1,1))-'Adjustment Surface'!R$26)+INDEX($AO$27:$BH$46,MATCH(INDEX('Adjustment Surface'!$AN$27:$AN$46,MATCH(('Adjustment Surface'!$O45),'Adjustment Surface'!$AN$27:$AN$46,1)+IF('Adjustment Surface'!$O46="",-1,1)),$AN$27:$AN$46,0),MATCH(INDEX('Adjustment Surface'!$AO$26:$BH$26,1,MATCH(('Adjustment Surface'!R$26),'Adjustment Surface'!$AO$26:$BH$26,1)),$AO$26:$BH$26,0))*('Adjustment Surface'!$O45-INDEX('Adjustment Surface'!$AN$27:$AN$46,MATCH(('Adjustment Surface'!$O45),'Adjustment Surface'!$AN$27:$AN$46,1)))*(INDEX('Adjustment Surface'!$AO$26:$BH$26,1,MATCH(('Adjustment Surface'!R$26),'Adjustment Surface'!$AO$26:$BH$26,1)+IF('Adjustment Surface'!S$26="",-1,1))-'Adjustment Surface'!R$26)+INDEX($AO$27:$BH$46,MATCH(INDEX('Adjustment Surface'!$AN$27:$AN$46,MATCH(('Adjustment Surface'!$O45),'Adjustment Surface'!$AN$27:$AN$46,1)),$AN$27:$AN$46,0),MATCH(INDEX('Adjustment Surface'!$AO$26:$BH$26,1,MATCH(('Adjustment Surface'!R$26),'Adjustment Surface'!$AO$26:$BH$26,1)+IF('Adjustment Surface'!S$26="",-1,1)),$AO$26:$BH$26,0))*(INDEX('Adjustment Surface'!$AN$27:$AN$46,MATCH(('Adjustment Surface'!$O45),'Adjustment Surface'!$AN$27:$AN$46,1)+IF('Adjustment Surface'!$O46="",-1,1))-'Adjustment Surface'!$O45)*('Adjustment Surface'!R$26-INDEX('Adjustment Surface'!$AO$26:$BH$26,1,MATCH(('Adjustment Surface'!R$26),'Adjustment Surface'!$AO$26:$BH$26,1)))+INDEX($AO$27:$BH$46,MATCH(INDEX('Adjustment Surface'!$AN$27:$AN$46,MATCH(('Adjustment Surface'!$O45),'Adjustment Surface'!$AN$27:$AN$46,1)+IF('Adjustment Surface'!$O46="",-1,1)),$AN$27:$AN$46,0),MATCH(INDEX('Adjustment Surface'!$AO$26:$BH$26,1,MATCH(('Adjustment Surface'!R$26),'Adjustment Surface'!$AO$26:$BH$26,1)+IF('Adjustment Surface'!S$26="",-1,1)),$AO$26:$BH$26,0))*('Adjustment Surface'!$O45-INDEX('Adjustment Surface'!$AN$27:$AN$46,MATCH(('Adjustment Surface'!$O45),'Adjustment Surface'!$AN$27:$AN$46,1)))*('Adjustment Surface'!R$26-INDEX('Adjustment Surface'!$AO$26:$BH$26,1,MATCH(('Adjustment Surface'!R$26),'Adjustment Surface'!$AO$26:$BH$26,1)))))</f>
        <v/>
      </c>
      <c r="S45" s="193" t="str" cm="1">
        <f t="array" ref="S45">IF(OR(S$26="",$O45=""),"",1/((INDEX('Adjustment Surface'!$AN$27:$AN$46,MATCH(('Adjustment Surface'!$O45),'Adjustment Surface'!$AN$27:$AN$46,1)+IF('Adjustment Surface'!$O46="",-1,1))-INDEX('Adjustment Surface'!$AN$27:$AN$46,MATCH(('Adjustment Surface'!$O45),'Adjustment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Surface'!$O45),'Adjustment Surface'!$AN$27:$AN$46,1)),$AN$27:$AN$46,0),MATCH(INDEX('Adjustment Surface'!$AO$26:$BH$26,1,MATCH(('Adjustment Surface'!S$26),'Adjustment Surface'!$AO$26:$BH$26,1)),$AO$26:$BH$26,0))*(INDEX('Adjustment Surface'!$AN$27:$AN$46,MATCH(('Adjustment Surface'!$O45),'Adjustment Surface'!$AN$27:$AN$46,1)+IF('Adjustment Surface'!$O46="",-1,1))-'Adjustment Surface'!$O45)*(INDEX('Adjustment Surface'!$AO$26:$BH$26,1,MATCH(('Adjustment Surface'!S$26),'Adjustment Surface'!$AO$26:$BH$26,1)+IF('Adjustment Surface'!T$26="",-1,1))-'Adjustment Surface'!S$26)+INDEX($AO$27:$BH$46,MATCH(INDEX('Adjustment Surface'!$AN$27:$AN$46,MATCH(('Adjustment Surface'!$O45),'Adjustment Surface'!$AN$27:$AN$46,1)+IF('Adjustment Surface'!$O46="",-1,1)),$AN$27:$AN$46,0),MATCH(INDEX('Adjustment Surface'!$AO$26:$BH$26,1,MATCH(('Adjustment Surface'!S$26),'Adjustment Surface'!$AO$26:$BH$26,1)),$AO$26:$BH$26,0))*('Adjustment Surface'!$O45-INDEX('Adjustment Surface'!$AN$27:$AN$46,MATCH(('Adjustment Surface'!$O45),'Adjustment Surface'!$AN$27:$AN$46,1)))*(INDEX('Adjustment Surface'!$AO$26:$BH$26,1,MATCH(('Adjustment Surface'!S$26),'Adjustment Surface'!$AO$26:$BH$26,1)+IF('Adjustment Surface'!T$26="",-1,1))-'Adjustment Surface'!S$26)+INDEX($AO$27:$BH$46,MATCH(INDEX('Adjustment Surface'!$AN$27:$AN$46,MATCH(('Adjustment Surface'!$O45),'Adjustment Surface'!$AN$27:$AN$46,1)),$AN$27:$AN$46,0),MATCH(INDEX('Adjustment Surface'!$AO$26:$BH$26,1,MATCH(('Adjustment Surface'!S$26),'Adjustment Surface'!$AO$26:$BH$26,1)+IF('Adjustment Surface'!T$26="",-1,1)),$AO$26:$BH$26,0))*(INDEX('Adjustment Surface'!$AN$27:$AN$46,MATCH(('Adjustment Surface'!$O45),'Adjustment Surface'!$AN$27:$AN$46,1)+IF('Adjustment Surface'!$O46="",-1,1))-'Adjustment Surface'!$O45)*('Adjustment Surface'!S$26-INDEX('Adjustment Surface'!$AO$26:$BH$26,1,MATCH(('Adjustment Surface'!S$26),'Adjustment Surface'!$AO$26:$BH$26,1)))+INDEX($AO$27:$BH$46,MATCH(INDEX('Adjustment Surface'!$AN$27:$AN$46,MATCH(('Adjustment Surface'!$O45),'Adjustment Surface'!$AN$27:$AN$46,1)+IF('Adjustment Surface'!$O46="",-1,1)),$AN$27:$AN$46,0),MATCH(INDEX('Adjustment Surface'!$AO$26:$BH$26,1,MATCH(('Adjustment Surface'!S$26),'Adjustment Surface'!$AO$26:$BH$26,1)+IF('Adjustment Surface'!T$26="",-1,1)),$AO$26:$BH$26,0))*('Adjustment Surface'!$O45-INDEX('Adjustment Surface'!$AN$27:$AN$46,MATCH(('Adjustment Surface'!$O45),'Adjustment Surface'!$AN$27:$AN$46,1)))*('Adjustment Surface'!S$26-INDEX('Adjustment Surface'!$AO$26:$BH$26,1,MATCH(('Adjustment Surface'!S$26),'Adjustment Surface'!$AO$26:$BH$26,1)))))</f>
        <v/>
      </c>
      <c r="T45" s="193" t="str" cm="1">
        <f t="array" ref="T45">IF(OR(T$26="",$O45=""),"",1/((INDEX('Adjustment Surface'!$AN$27:$AN$46,MATCH(('Adjustment Surface'!$O45),'Adjustment Surface'!$AN$27:$AN$46,1)+IF('Adjustment Surface'!$O46="",-1,1))-INDEX('Adjustment Surface'!$AN$27:$AN$46,MATCH(('Adjustment Surface'!$O45),'Adjustment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Surface'!$O45),'Adjustment Surface'!$AN$27:$AN$46,1)),$AN$27:$AN$46,0),MATCH(INDEX('Adjustment Surface'!$AO$26:$BH$26,1,MATCH(('Adjustment Surface'!T$26),'Adjustment Surface'!$AO$26:$BH$26,1)),$AO$26:$BH$26,0))*(INDEX('Adjustment Surface'!$AN$27:$AN$46,MATCH(('Adjustment Surface'!$O45),'Adjustment Surface'!$AN$27:$AN$46,1)+IF('Adjustment Surface'!$O46="",-1,1))-'Adjustment Surface'!$O45)*(INDEX('Adjustment Surface'!$AO$26:$BH$26,1,MATCH(('Adjustment Surface'!T$26),'Adjustment Surface'!$AO$26:$BH$26,1)+IF('Adjustment Surface'!U$26="",-1,1))-'Adjustment Surface'!T$26)+INDEX($AO$27:$BH$46,MATCH(INDEX('Adjustment Surface'!$AN$27:$AN$46,MATCH(('Adjustment Surface'!$O45),'Adjustment Surface'!$AN$27:$AN$46,1)+IF('Adjustment Surface'!$O46="",-1,1)),$AN$27:$AN$46,0),MATCH(INDEX('Adjustment Surface'!$AO$26:$BH$26,1,MATCH(('Adjustment Surface'!T$26),'Adjustment Surface'!$AO$26:$BH$26,1)),$AO$26:$BH$26,0))*('Adjustment Surface'!$O45-INDEX('Adjustment Surface'!$AN$27:$AN$46,MATCH(('Adjustment Surface'!$O45),'Adjustment Surface'!$AN$27:$AN$46,1)))*(INDEX('Adjustment Surface'!$AO$26:$BH$26,1,MATCH(('Adjustment Surface'!T$26),'Adjustment Surface'!$AO$26:$BH$26,1)+IF('Adjustment Surface'!U$26="",-1,1))-'Adjustment Surface'!T$26)+INDEX($AO$27:$BH$46,MATCH(INDEX('Adjustment Surface'!$AN$27:$AN$46,MATCH(('Adjustment Surface'!$O45),'Adjustment Surface'!$AN$27:$AN$46,1)),$AN$27:$AN$46,0),MATCH(INDEX('Adjustment Surface'!$AO$26:$BH$26,1,MATCH(('Adjustment Surface'!T$26),'Adjustment Surface'!$AO$26:$BH$26,1)+IF('Adjustment Surface'!U$26="",-1,1)),$AO$26:$BH$26,0))*(INDEX('Adjustment Surface'!$AN$27:$AN$46,MATCH(('Adjustment Surface'!$O45),'Adjustment Surface'!$AN$27:$AN$46,1)+IF('Adjustment Surface'!$O46="",-1,1))-'Adjustment Surface'!$O45)*('Adjustment Surface'!T$26-INDEX('Adjustment Surface'!$AO$26:$BH$26,1,MATCH(('Adjustment Surface'!T$26),'Adjustment Surface'!$AO$26:$BH$26,1)))+INDEX($AO$27:$BH$46,MATCH(INDEX('Adjustment Surface'!$AN$27:$AN$46,MATCH(('Adjustment Surface'!$O45),'Adjustment Surface'!$AN$27:$AN$46,1)+IF('Adjustment Surface'!$O46="",-1,1)),$AN$27:$AN$46,0),MATCH(INDEX('Adjustment Surface'!$AO$26:$BH$26,1,MATCH(('Adjustment Surface'!T$26),'Adjustment Surface'!$AO$26:$BH$26,1)+IF('Adjustment Surface'!U$26="",-1,1)),$AO$26:$BH$26,0))*('Adjustment Surface'!$O45-INDEX('Adjustment Surface'!$AN$27:$AN$46,MATCH(('Adjustment Surface'!$O45),'Adjustment Surface'!$AN$27:$AN$46,1)))*('Adjustment Surface'!T$26-INDEX('Adjustment Surface'!$AO$26:$BH$26,1,MATCH(('Adjustment Surface'!T$26),'Adjustment Surface'!$AO$26:$BH$26,1)))))</f>
        <v/>
      </c>
      <c r="U45" s="193" t="str" cm="1">
        <f t="array" ref="U45">IF(OR(U$26="",$O45=""),"",1/((INDEX('Adjustment Surface'!$AN$27:$AN$46,MATCH(('Adjustment Surface'!$O45),'Adjustment Surface'!$AN$27:$AN$46,1)+IF('Adjustment Surface'!$O46="",-1,1))-INDEX('Adjustment Surface'!$AN$27:$AN$46,MATCH(('Adjustment Surface'!$O45),'Adjustment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Surface'!$O45),'Adjustment Surface'!$AN$27:$AN$46,1)),$AN$27:$AN$46,0),MATCH(INDEX('Adjustment Surface'!$AO$26:$BH$26,1,MATCH(('Adjustment Surface'!U$26),'Adjustment Surface'!$AO$26:$BH$26,1)),$AO$26:$BH$26,0))*(INDEX('Adjustment Surface'!$AN$27:$AN$46,MATCH(('Adjustment Surface'!$O45),'Adjustment Surface'!$AN$27:$AN$46,1)+IF('Adjustment Surface'!$O46="",-1,1))-'Adjustment Surface'!$O45)*(INDEX('Adjustment Surface'!$AO$26:$BH$26,1,MATCH(('Adjustment Surface'!U$26),'Adjustment Surface'!$AO$26:$BH$26,1)+IF('Adjustment Surface'!V$26="",-1,1))-'Adjustment Surface'!U$26)+INDEX($AO$27:$BH$46,MATCH(INDEX('Adjustment Surface'!$AN$27:$AN$46,MATCH(('Adjustment Surface'!$O45),'Adjustment Surface'!$AN$27:$AN$46,1)+IF('Adjustment Surface'!$O46="",-1,1)),$AN$27:$AN$46,0),MATCH(INDEX('Adjustment Surface'!$AO$26:$BH$26,1,MATCH(('Adjustment Surface'!U$26),'Adjustment Surface'!$AO$26:$BH$26,1)),$AO$26:$BH$26,0))*('Adjustment Surface'!$O45-INDEX('Adjustment Surface'!$AN$27:$AN$46,MATCH(('Adjustment Surface'!$O45),'Adjustment Surface'!$AN$27:$AN$46,1)))*(INDEX('Adjustment Surface'!$AO$26:$BH$26,1,MATCH(('Adjustment Surface'!U$26),'Adjustment Surface'!$AO$26:$BH$26,1)+IF('Adjustment Surface'!V$26="",-1,1))-'Adjustment Surface'!U$26)+INDEX($AO$27:$BH$46,MATCH(INDEX('Adjustment Surface'!$AN$27:$AN$46,MATCH(('Adjustment Surface'!$O45),'Adjustment Surface'!$AN$27:$AN$46,1)),$AN$27:$AN$46,0),MATCH(INDEX('Adjustment Surface'!$AO$26:$BH$26,1,MATCH(('Adjustment Surface'!U$26),'Adjustment Surface'!$AO$26:$BH$26,1)+IF('Adjustment Surface'!V$26="",-1,1)),$AO$26:$BH$26,0))*(INDEX('Adjustment Surface'!$AN$27:$AN$46,MATCH(('Adjustment Surface'!$O45),'Adjustment Surface'!$AN$27:$AN$46,1)+IF('Adjustment Surface'!$O46="",-1,1))-'Adjustment Surface'!$O45)*('Adjustment Surface'!U$26-INDEX('Adjustment Surface'!$AO$26:$BH$26,1,MATCH(('Adjustment Surface'!U$26),'Adjustment Surface'!$AO$26:$BH$26,1)))+INDEX($AO$27:$BH$46,MATCH(INDEX('Adjustment Surface'!$AN$27:$AN$46,MATCH(('Adjustment Surface'!$O45),'Adjustment Surface'!$AN$27:$AN$46,1)+IF('Adjustment Surface'!$O46="",-1,1)),$AN$27:$AN$46,0),MATCH(INDEX('Adjustment Surface'!$AO$26:$BH$26,1,MATCH(('Adjustment Surface'!U$26),'Adjustment Surface'!$AO$26:$BH$26,1)+IF('Adjustment Surface'!V$26="",-1,1)),$AO$26:$BH$26,0))*('Adjustment Surface'!$O45-INDEX('Adjustment Surface'!$AN$27:$AN$46,MATCH(('Adjustment Surface'!$O45),'Adjustment Surface'!$AN$27:$AN$46,1)))*('Adjustment Surface'!U$26-INDEX('Adjustment Surface'!$AO$26:$BH$26,1,MATCH(('Adjustment Surface'!U$26),'Adjustment Surface'!$AO$26:$BH$26,1)))))</f>
        <v/>
      </c>
      <c r="V45" s="193" t="str" cm="1">
        <f t="array" ref="V45">IF(OR(V$26="",$O45=""),"",1/((INDEX('Adjustment Surface'!$AN$27:$AN$46,MATCH(('Adjustment Surface'!$O45),'Adjustment Surface'!$AN$27:$AN$46,1)+IF('Adjustment Surface'!$O46="",-1,1))-INDEX('Adjustment Surface'!$AN$27:$AN$46,MATCH(('Adjustment Surface'!$O45),'Adjustment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Surface'!$O45),'Adjustment Surface'!$AN$27:$AN$46,1)),$AN$27:$AN$46,0),MATCH(INDEX('Adjustment Surface'!$AO$26:$BH$26,1,MATCH(('Adjustment Surface'!V$26),'Adjustment Surface'!$AO$26:$BH$26,1)),$AO$26:$BH$26,0))*(INDEX('Adjustment Surface'!$AN$27:$AN$46,MATCH(('Adjustment Surface'!$O45),'Adjustment Surface'!$AN$27:$AN$46,1)+IF('Adjustment Surface'!$O46="",-1,1))-'Adjustment Surface'!$O45)*(INDEX('Adjustment Surface'!$AO$26:$BH$26,1,MATCH(('Adjustment Surface'!V$26),'Adjustment Surface'!$AO$26:$BH$26,1)+IF('Adjustment Surface'!W$26="",-1,1))-'Adjustment Surface'!V$26)+INDEX($AO$27:$BH$46,MATCH(INDEX('Adjustment Surface'!$AN$27:$AN$46,MATCH(('Adjustment Surface'!$O45),'Adjustment Surface'!$AN$27:$AN$46,1)+IF('Adjustment Surface'!$O46="",-1,1)),$AN$27:$AN$46,0),MATCH(INDEX('Adjustment Surface'!$AO$26:$BH$26,1,MATCH(('Adjustment Surface'!V$26),'Adjustment Surface'!$AO$26:$BH$26,1)),$AO$26:$BH$26,0))*('Adjustment Surface'!$O45-INDEX('Adjustment Surface'!$AN$27:$AN$46,MATCH(('Adjustment Surface'!$O45),'Adjustment Surface'!$AN$27:$AN$46,1)))*(INDEX('Adjustment Surface'!$AO$26:$BH$26,1,MATCH(('Adjustment Surface'!V$26),'Adjustment Surface'!$AO$26:$BH$26,1)+IF('Adjustment Surface'!W$26="",-1,1))-'Adjustment Surface'!V$26)+INDEX($AO$27:$BH$46,MATCH(INDEX('Adjustment Surface'!$AN$27:$AN$46,MATCH(('Adjustment Surface'!$O45),'Adjustment Surface'!$AN$27:$AN$46,1)),$AN$27:$AN$46,0),MATCH(INDEX('Adjustment Surface'!$AO$26:$BH$26,1,MATCH(('Adjustment Surface'!V$26),'Adjustment Surface'!$AO$26:$BH$26,1)+IF('Adjustment Surface'!W$26="",-1,1)),$AO$26:$BH$26,0))*(INDEX('Adjustment Surface'!$AN$27:$AN$46,MATCH(('Adjustment Surface'!$O45),'Adjustment Surface'!$AN$27:$AN$46,1)+IF('Adjustment Surface'!$O46="",-1,1))-'Adjustment Surface'!$O45)*('Adjustment Surface'!V$26-INDEX('Adjustment Surface'!$AO$26:$BH$26,1,MATCH(('Adjustment Surface'!V$26),'Adjustment Surface'!$AO$26:$BH$26,1)))+INDEX($AO$27:$BH$46,MATCH(INDEX('Adjustment Surface'!$AN$27:$AN$46,MATCH(('Adjustment Surface'!$O45),'Adjustment Surface'!$AN$27:$AN$46,1)+IF('Adjustment Surface'!$O46="",-1,1)),$AN$27:$AN$46,0),MATCH(INDEX('Adjustment Surface'!$AO$26:$BH$26,1,MATCH(('Adjustment Surface'!V$26),'Adjustment Surface'!$AO$26:$BH$26,1)+IF('Adjustment Surface'!W$26="",-1,1)),$AO$26:$BH$26,0))*('Adjustment Surface'!$O45-INDEX('Adjustment Surface'!$AN$27:$AN$46,MATCH(('Adjustment Surface'!$O45),'Adjustment Surface'!$AN$27:$AN$46,1)))*('Adjustment Surface'!V$26-INDEX('Adjustment Surface'!$AO$26:$BH$26,1,MATCH(('Adjustment Surface'!V$26),'Adjustment Surface'!$AO$26:$BH$26,1)))))</f>
        <v/>
      </c>
      <c r="W45" s="193" t="str" cm="1">
        <f t="array" ref="W45">IF(OR(W$26="",$O45=""),"",1/((INDEX('Adjustment Surface'!$AN$27:$AN$46,MATCH(('Adjustment Surface'!$O45),'Adjustment Surface'!$AN$27:$AN$46,1)+IF('Adjustment Surface'!$O46="",-1,1))-INDEX('Adjustment Surface'!$AN$27:$AN$46,MATCH(('Adjustment Surface'!$O45),'Adjustment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Surface'!$O45),'Adjustment Surface'!$AN$27:$AN$46,1)),$AN$27:$AN$46,0),MATCH(INDEX('Adjustment Surface'!$AO$26:$BH$26,1,MATCH(('Adjustment Surface'!W$26),'Adjustment Surface'!$AO$26:$BH$26,1)),$AO$26:$BH$26,0))*(INDEX('Adjustment Surface'!$AN$27:$AN$46,MATCH(('Adjustment Surface'!$O45),'Adjustment Surface'!$AN$27:$AN$46,1)+IF('Adjustment Surface'!$O46="",-1,1))-'Adjustment Surface'!$O45)*(INDEX('Adjustment Surface'!$AO$26:$BH$26,1,MATCH(('Adjustment Surface'!W$26),'Adjustment Surface'!$AO$26:$BH$26,1)+IF('Adjustment Surface'!X$26="",-1,1))-'Adjustment Surface'!W$26)+INDEX($AO$27:$BH$46,MATCH(INDEX('Adjustment Surface'!$AN$27:$AN$46,MATCH(('Adjustment Surface'!$O45),'Adjustment Surface'!$AN$27:$AN$46,1)+IF('Adjustment Surface'!$O46="",-1,1)),$AN$27:$AN$46,0),MATCH(INDEX('Adjustment Surface'!$AO$26:$BH$26,1,MATCH(('Adjustment Surface'!W$26),'Adjustment Surface'!$AO$26:$BH$26,1)),$AO$26:$BH$26,0))*('Adjustment Surface'!$O45-INDEX('Adjustment Surface'!$AN$27:$AN$46,MATCH(('Adjustment Surface'!$O45),'Adjustment Surface'!$AN$27:$AN$46,1)))*(INDEX('Adjustment Surface'!$AO$26:$BH$26,1,MATCH(('Adjustment Surface'!W$26),'Adjustment Surface'!$AO$26:$BH$26,1)+IF('Adjustment Surface'!X$26="",-1,1))-'Adjustment Surface'!W$26)+INDEX($AO$27:$BH$46,MATCH(INDEX('Adjustment Surface'!$AN$27:$AN$46,MATCH(('Adjustment Surface'!$O45),'Adjustment Surface'!$AN$27:$AN$46,1)),$AN$27:$AN$46,0),MATCH(INDEX('Adjustment Surface'!$AO$26:$BH$26,1,MATCH(('Adjustment Surface'!W$26),'Adjustment Surface'!$AO$26:$BH$26,1)+IF('Adjustment Surface'!X$26="",-1,1)),$AO$26:$BH$26,0))*(INDEX('Adjustment Surface'!$AN$27:$AN$46,MATCH(('Adjustment Surface'!$O45),'Adjustment Surface'!$AN$27:$AN$46,1)+IF('Adjustment Surface'!$O46="",-1,1))-'Adjustment Surface'!$O45)*('Adjustment Surface'!W$26-INDEX('Adjustment Surface'!$AO$26:$BH$26,1,MATCH(('Adjustment Surface'!W$26),'Adjustment Surface'!$AO$26:$BH$26,1)))+INDEX($AO$27:$BH$46,MATCH(INDEX('Adjustment Surface'!$AN$27:$AN$46,MATCH(('Adjustment Surface'!$O45),'Adjustment Surface'!$AN$27:$AN$46,1)+IF('Adjustment Surface'!$O46="",-1,1)),$AN$27:$AN$46,0),MATCH(INDEX('Adjustment Surface'!$AO$26:$BH$26,1,MATCH(('Adjustment Surface'!W$26),'Adjustment Surface'!$AO$26:$BH$26,1)+IF('Adjustment Surface'!X$26="",-1,1)),$AO$26:$BH$26,0))*('Adjustment Surface'!$O45-INDEX('Adjustment Surface'!$AN$27:$AN$46,MATCH(('Adjustment Surface'!$O45),'Adjustment Surface'!$AN$27:$AN$46,1)))*('Adjustment Surface'!W$26-INDEX('Adjustment Surface'!$AO$26:$BH$26,1,MATCH(('Adjustment Surface'!W$26),'Adjustment Surface'!$AO$26:$BH$26,1)))))</f>
        <v/>
      </c>
      <c r="X45" s="193" t="str" cm="1">
        <f t="array" ref="X45">IF(OR(X$26="",$O45=""),"",1/((INDEX('Adjustment Surface'!$AN$27:$AN$46,MATCH(('Adjustment Surface'!$O45),'Adjustment Surface'!$AN$27:$AN$46,1)+IF('Adjustment Surface'!$O46="",-1,1))-INDEX('Adjustment Surface'!$AN$27:$AN$46,MATCH(('Adjustment Surface'!$O45),'Adjustment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Surface'!$O45),'Adjustment Surface'!$AN$27:$AN$46,1)),$AN$27:$AN$46,0),MATCH(INDEX('Adjustment Surface'!$AO$26:$BH$26,1,MATCH(('Adjustment Surface'!X$26),'Adjustment Surface'!$AO$26:$BH$26,1)),$AO$26:$BH$26,0))*(INDEX('Adjustment Surface'!$AN$27:$AN$46,MATCH(('Adjustment Surface'!$O45),'Adjustment Surface'!$AN$27:$AN$46,1)+IF('Adjustment Surface'!$O46="",-1,1))-'Adjustment Surface'!$O45)*(INDEX('Adjustment Surface'!$AO$26:$BH$26,1,MATCH(('Adjustment Surface'!X$26),'Adjustment Surface'!$AO$26:$BH$26,1)+IF('Adjustment Surface'!Y$26="",-1,1))-'Adjustment Surface'!X$26)+INDEX($AO$27:$BH$46,MATCH(INDEX('Adjustment Surface'!$AN$27:$AN$46,MATCH(('Adjustment Surface'!$O45),'Adjustment Surface'!$AN$27:$AN$46,1)+IF('Adjustment Surface'!$O46="",-1,1)),$AN$27:$AN$46,0),MATCH(INDEX('Adjustment Surface'!$AO$26:$BH$26,1,MATCH(('Adjustment Surface'!X$26),'Adjustment Surface'!$AO$26:$BH$26,1)),$AO$26:$BH$26,0))*('Adjustment Surface'!$O45-INDEX('Adjustment Surface'!$AN$27:$AN$46,MATCH(('Adjustment Surface'!$O45),'Adjustment Surface'!$AN$27:$AN$46,1)))*(INDEX('Adjustment Surface'!$AO$26:$BH$26,1,MATCH(('Adjustment Surface'!X$26),'Adjustment Surface'!$AO$26:$BH$26,1)+IF('Adjustment Surface'!Y$26="",-1,1))-'Adjustment Surface'!X$26)+INDEX($AO$27:$BH$46,MATCH(INDEX('Adjustment Surface'!$AN$27:$AN$46,MATCH(('Adjustment Surface'!$O45),'Adjustment Surface'!$AN$27:$AN$46,1)),$AN$27:$AN$46,0),MATCH(INDEX('Adjustment Surface'!$AO$26:$BH$26,1,MATCH(('Adjustment Surface'!X$26),'Adjustment Surface'!$AO$26:$BH$26,1)+IF('Adjustment Surface'!Y$26="",-1,1)),$AO$26:$BH$26,0))*(INDEX('Adjustment Surface'!$AN$27:$AN$46,MATCH(('Adjustment Surface'!$O45),'Adjustment Surface'!$AN$27:$AN$46,1)+IF('Adjustment Surface'!$O46="",-1,1))-'Adjustment Surface'!$O45)*('Adjustment Surface'!X$26-INDEX('Adjustment Surface'!$AO$26:$BH$26,1,MATCH(('Adjustment Surface'!X$26),'Adjustment Surface'!$AO$26:$BH$26,1)))+INDEX($AO$27:$BH$46,MATCH(INDEX('Adjustment Surface'!$AN$27:$AN$46,MATCH(('Adjustment Surface'!$O45),'Adjustment Surface'!$AN$27:$AN$46,1)+IF('Adjustment Surface'!$O46="",-1,1)),$AN$27:$AN$46,0),MATCH(INDEX('Adjustment Surface'!$AO$26:$BH$26,1,MATCH(('Adjustment Surface'!X$26),'Adjustment Surface'!$AO$26:$BH$26,1)+IF('Adjustment Surface'!Y$26="",-1,1)),$AO$26:$BH$26,0))*('Adjustment Surface'!$O45-INDEX('Adjustment Surface'!$AN$27:$AN$46,MATCH(('Adjustment Surface'!$O45),'Adjustment Surface'!$AN$27:$AN$46,1)))*('Adjustment Surface'!X$26-INDEX('Adjustment Surface'!$AO$26:$BH$26,1,MATCH(('Adjustment Surface'!X$26),'Adjustment Surface'!$AO$26:$BH$26,1)))))</f>
        <v/>
      </c>
      <c r="Y45" s="193" t="str" cm="1">
        <f t="array" ref="Y45">IF(OR(Y$26="",$O45=""),"",1/((INDEX('Adjustment Surface'!$AN$27:$AN$46,MATCH(('Adjustment Surface'!$O45),'Adjustment Surface'!$AN$27:$AN$46,1)+IF('Adjustment Surface'!$O46="",-1,1))-INDEX('Adjustment Surface'!$AN$27:$AN$46,MATCH(('Adjustment Surface'!$O45),'Adjustment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Surface'!$O45),'Adjustment Surface'!$AN$27:$AN$46,1)),$AN$27:$AN$46,0),MATCH(INDEX('Adjustment Surface'!$AO$26:$BH$26,1,MATCH(('Adjustment Surface'!Y$26),'Adjustment Surface'!$AO$26:$BH$26,1)),$AO$26:$BH$26,0))*(INDEX('Adjustment Surface'!$AN$27:$AN$46,MATCH(('Adjustment Surface'!$O45),'Adjustment Surface'!$AN$27:$AN$46,1)+IF('Adjustment Surface'!$O46="",-1,1))-'Adjustment Surface'!$O45)*(INDEX('Adjustment Surface'!$AO$26:$BH$26,1,MATCH(('Adjustment Surface'!Y$26),'Adjustment Surface'!$AO$26:$BH$26,1)+IF('Adjustment Surface'!Z$26="",-1,1))-'Adjustment Surface'!Y$26)+INDEX($AO$27:$BH$46,MATCH(INDEX('Adjustment Surface'!$AN$27:$AN$46,MATCH(('Adjustment Surface'!$O45),'Adjustment Surface'!$AN$27:$AN$46,1)+IF('Adjustment Surface'!$O46="",-1,1)),$AN$27:$AN$46,0),MATCH(INDEX('Adjustment Surface'!$AO$26:$BH$26,1,MATCH(('Adjustment Surface'!Y$26),'Adjustment Surface'!$AO$26:$BH$26,1)),$AO$26:$BH$26,0))*('Adjustment Surface'!$O45-INDEX('Adjustment Surface'!$AN$27:$AN$46,MATCH(('Adjustment Surface'!$O45),'Adjustment Surface'!$AN$27:$AN$46,1)))*(INDEX('Adjustment Surface'!$AO$26:$BH$26,1,MATCH(('Adjustment Surface'!Y$26),'Adjustment Surface'!$AO$26:$BH$26,1)+IF('Adjustment Surface'!Z$26="",-1,1))-'Adjustment Surface'!Y$26)+INDEX($AO$27:$BH$46,MATCH(INDEX('Adjustment Surface'!$AN$27:$AN$46,MATCH(('Adjustment Surface'!$O45),'Adjustment Surface'!$AN$27:$AN$46,1)),$AN$27:$AN$46,0),MATCH(INDEX('Adjustment Surface'!$AO$26:$BH$26,1,MATCH(('Adjustment Surface'!Y$26),'Adjustment Surface'!$AO$26:$BH$26,1)+IF('Adjustment Surface'!Z$26="",-1,1)),$AO$26:$BH$26,0))*(INDEX('Adjustment Surface'!$AN$27:$AN$46,MATCH(('Adjustment Surface'!$O45),'Adjustment Surface'!$AN$27:$AN$46,1)+IF('Adjustment Surface'!$O46="",-1,1))-'Adjustment Surface'!$O45)*('Adjustment Surface'!Y$26-INDEX('Adjustment Surface'!$AO$26:$BH$26,1,MATCH(('Adjustment Surface'!Y$26),'Adjustment Surface'!$AO$26:$BH$26,1)))+INDEX($AO$27:$BH$46,MATCH(INDEX('Adjustment Surface'!$AN$27:$AN$46,MATCH(('Adjustment Surface'!$O45),'Adjustment Surface'!$AN$27:$AN$46,1)+IF('Adjustment Surface'!$O46="",-1,1)),$AN$27:$AN$46,0),MATCH(INDEX('Adjustment Surface'!$AO$26:$BH$26,1,MATCH(('Adjustment Surface'!Y$26),'Adjustment Surface'!$AO$26:$BH$26,1)+IF('Adjustment Surface'!Z$26="",-1,1)),$AO$26:$BH$26,0))*('Adjustment Surface'!$O45-INDEX('Adjustment Surface'!$AN$27:$AN$46,MATCH(('Adjustment Surface'!$O45),'Adjustment Surface'!$AN$27:$AN$46,1)))*('Adjustment Surface'!Y$26-INDEX('Adjustment Surface'!$AO$26:$BH$26,1,MATCH(('Adjustment Surface'!Y$26),'Adjustment Surface'!$AO$26:$BH$26,1)))))</f>
        <v/>
      </c>
      <c r="Z45" s="193" t="str" cm="1">
        <f t="array" ref="Z45">IF(OR(Z$26="",$O45=""),"",1/((INDEX('Adjustment Surface'!$AN$27:$AN$46,MATCH(('Adjustment Surface'!$O45),'Adjustment Surface'!$AN$27:$AN$46,1)+IF('Adjustment Surface'!$O46="",-1,1))-INDEX('Adjustment Surface'!$AN$27:$AN$46,MATCH(('Adjustment Surface'!$O45),'Adjustment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Surface'!$O45),'Adjustment Surface'!$AN$27:$AN$46,1)),$AN$27:$AN$46,0),MATCH(INDEX('Adjustment Surface'!$AO$26:$BH$26,1,MATCH(('Adjustment Surface'!Z$26),'Adjustment Surface'!$AO$26:$BH$26,1)),$AO$26:$BH$26,0))*(INDEX('Adjustment Surface'!$AN$27:$AN$46,MATCH(('Adjustment Surface'!$O45),'Adjustment Surface'!$AN$27:$AN$46,1)+IF('Adjustment Surface'!$O46="",-1,1))-'Adjustment Surface'!$O45)*(INDEX('Adjustment Surface'!$AO$26:$BH$26,1,MATCH(('Adjustment Surface'!Z$26),'Adjustment Surface'!$AO$26:$BH$26,1)+IF('Adjustment Surface'!AA$26="",-1,1))-'Adjustment Surface'!Z$26)+INDEX($AO$27:$BH$46,MATCH(INDEX('Adjustment Surface'!$AN$27:$AN$46,MATCH(('Adjustment Surface'!$O45),'Adjustment Surface'!$AN$27:$AN$46,1)+IF('Adjustment Surface'!$O46="",-1,1)),$AN$27:$AN$46,0),MATCH(INDEX('Adjustment Surface'!$AO$26:$BH$26,1,MATCH(('Adjustment Surface'!Z$26),'Adjustment Surface'!$AO$26:$BH$26,1)),$AO$26:$BH$26,0))*('Adjustment Surface'!$O45-INDEX('Adjustment Surface'!$AN$27:$AN$46,MATCH(('Adjustment Surface'!$O45),'Adjustment Surface'!$AN$27:$AN$46,1)))*(INDEX('Adjustment Surface'!$AO$26:$BH$26,1,MATCH(('Adjustment Surface'!Z$26),'Adjustment Surface'!$AO$26:$BH$26,1)+IF('Adjustment Surface'!AA$26="",-1,1))-'Adjustment Surface'!Z$26)+INDEX($AO$27:$BH$46,MATCH(INDEX('Adjustment Surface'!$AN$27:$AN$46,MATCH(('Adjustment Surface'!$O45),'Adjustment Surface'!$AN$27:$AN$46,1)),$AN$27:$AN$46,0),MATCH(INDEX('Adjustment Surface'!$AO$26:$BH$26,1,MATCH(('Adjustment Surface'!Z$26),'Adjustment Surface'!$AO$26:$BH$26,1)+IF('Adjustment Surface'!AA$26="",-1,1)),$AO$26:$BH$26,0))*(INDEX('Adjustment Surface'!$AN$27:$AN$46,MATCH(('Adjustment Surface'!$O45),'Adjustment Surface'!$AN$27:$AN$46,1)+IF('Adjustment Surface'!$O46="",-1,1))-'Adjustment Surface'!$O45)*('Adjustment Surface'!Z$26-INDEX('Adjustment Surface'!$AO$26:$BH$26,1,MATCH(('Adjustment Surface'!Z$26),'Adjustment Surface'!$AO$26:$BH$26,1)))+INDEX($AO$27:$BH$46,MATCH(INDEX('Adjustment Surface'!$AN$27:$AN$46,MATCH(('Adjustment Surface'!$O45),'Adjustment Surface'!$AN$27:$AN$46,1)+IF('Adjustment Surface'!$O46="",-1,1)),$AN$27:$AN$46,0),MATCH(INDEX('Adjustment Surface'!$AO$26:$BH$26,1,MATCH(('Adjustment Surface'!Z$26),'Adjustment Surface'!$AO$26:$BH$26,1)+IF('Adjustment Surface'!AA$26="",-1,1)),$AO$26:$BH$26,0))*('Adjustment Surface'!$O45-INDEX('Adjustment Surface'!$AN$27:$AN$46,MATCH(('Adjustment Surface'!$O45),'Adjustment Surface'!$AN$27:$AN$46,1)))*('Adjustment Surface'!Z$26-INDEX('Adjustment Surface'!$AO$26:$BH$26,1,MATCH(('Adjustment Surface'!Z$26),'Adjustment Surface'!$AO$26:$BH$26,1)))))</f>
        <v/>
      </c>
      <c r="AA45" s="193" t="str" cm="1">
        <f t="array" ref="AA45">IF(OR(AA$26="",$O45=""),"",1/((INDEX('Adjustment Surface'!$AN$27:$AN$46,MATCH(('Adjustment Surface'!$O45),'Adjustment Surface'!$AN$27:$AN$46,1)+IF('Adjustment Surface'!$O46="",-1,1))-INDEX('Adjustment Surface'!$AN$27:$AN$46,MATCH(('Adjustment Surface'!$O45),'Adjustment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Surface'!$O45),'Adjustment Surface'!$AN$27:$AN$46,1)),$AN$27:$AN$46,0),MATCH(INDEX('Adjustment Surface'!$AO$26:$BH$26,1,MATCH(('Adjustment Surface'!AA$26),'Adjustment Surface'!$AO$26:$BH$26,1)),$AO$26:$BH$26,0))*(INDEX('Adjustment Surface'!$AN$27:$AN$46,MATCH(('Adjustment Surface'!$O45),'Adjustment Surface'!$AN$27:$AN$46,1)+IF('Adjustment Surface'!$O46="",-1,1))-'Adjustment Surface'!$O45)*(INDEX('Adjustment Surface'!$AO$26:$BH$26,1,MATCH(('Adjustment Surface'!AA$26),'Adjustment Surface'!$AO$26:$BH$26,1)+IF('Adjustment Surface'!AB$26="",-1,1))-'Adjustment Surface'!AA$26)+INDEX($AO$27:$BH$46,MATCH(INDEX('Adjustment Surface'!$AN$27:$AN$46,MATCH(('Adjustment Surface'!$O45),'Adjustment Surface'!$AN$27:$AN$46,1)+IF('Adjustment Surface'!$O46="",-1,1)),$AN$27:$AN$46,0),MATCH(INDEX('Adjustment Surface'!$AO$26:$BH$26,1,MATCH(('Adjustment Surface'!AA$26),'Adjustment Surface'!$AO$26:$BH$26,1)),$AO$26:$BH$26,0))*('Adjustment Surface'!$O45-INDEX('Adjustment Surface'!$AN$27:$AN$46,MATCH(('Adjustment Surface'!$O45),'Adjustment Surface'!$AN$27:$AN$46,1)))*(INDEX('Adjustment Surface'!$AO$26:$BH$26,1,MATCH(('Adjustment Surface'!AA$26),'Adjustment Surface'!$AO$26:$BH$26,1)+IF('Adjustment Surface'!AB$26="",-1,1))-'Adjustment Surface'!AA$26)+INDEX($AO$27:$BH$46,MATCH(INDEX('Adjustment Surface'!$AN$27:$AN$46,MATCH(('Adjustment Surface'!$O45),'Adjustment Surface'!$AN$27:$AN$46,1)),$AN$27:$AN$46,0),MATCH(INDEX('Adjustment Surface'!$AO$26:$BH$26,1,MATCH(('Adjustment Surface'!AA$26),'Adjustment Surface'!$AO$26:$BH$26,1)+IF('Adjustment Surface'!AB$26="",-1,1)),$AO$26:$BH$26,0))*(INDEX('Adjustment Surface'!$AN$27:$AN$46,MATCH(('Adjustment Surface'!$O45),'Adjustment Surface'!$AN$27:$AN$46,1)+IF('Adjustment Surface'!$O46="",-1,1))-'Adjustment Surface'!$O45)*('Adjustment Surface'!AA$26-INDEX('Adjustment Surface'!$AO$26:$BH$26,1,MATCH(('Adjustment Surface'!AA$26),'Adjustment Surface'!$AO$26:$BH$26,1)))+INDEX($AO$27:$BH$46,MATCH(INDEX('Adjustment Surface'!$AN$27:$AN$46,MATCH(('Adjustment Surface'!$O45),'Adjustment Surface'!$AN$27:$AN$46,1)+IF('Adjustment Surface'!$O46="",-1,1)),$AN$27:$AN$46,0),MATCH(INDEX('Adjustment Surface'!$AO$26:$BH$26,1,MATCH(('Adjustment Surface'!AA$26),'Adjustment Surface'!$AO$26:$BH$26,1)+IF('Adjustment Surface'!AB$26="",-1,1)),$AO$26:$BH$26,0))*('Adjustment Surface'!$O45-INDEX('Adjustment Surface'!$AN$27:$AN$46,MATCH(('Adjustment Surface'!$O45),'Adjustment Surface'!$AN$27:$AN$46,1)))*('Adjustment Surface'!AA$26-INDEX('Adjustment Surface'!$AO$26:$BH$26,1,MATCH(('Adjustment Surface'!AA$26),'Adjustment Surface'!$AO$26:$BH$26,1)))))</f>
        <v/>
      </c>
      <c r="AB45" s="193" t="str" cm="1">
        <f t="array" ref="AB45">IF(OR(AB$26="",$O45=""),"",1/((INDEX('Adjustment Surface'!$AN$27:$AN$46,MATCH(('Adjustment Surface'!$O45),'Adjustment Surface'!$AN$27:$AN$46,1)+IF('Adjustment Surface'!$O46="",-1,1))-INDEX('Adjustment Surface'!$AN$27:$AN$46,MATCH(('Adjustment Surface'!$O45),'Adjustment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Surface'!$O45),'Adjustment Surface'!$AN$27:$AN$46,1)),$AN$27:$AN$46,0),MATCH(INDEX('Adjustment Surface'!$AO$26:$BH$26,1,MATCH(('Adjustment Surface'!AB$26),'Adjustment Surface'!$AO$26:$BH$26,1)),$AO$26:$BH$26,0))*(INDEX('Adjustment Surface'!$AN$27:$AN$46,MATCH(('Adjustment Surface'!$O45),'Adjustment Surface'!$AN$27:$AN$46,1)+IF('Adjustment Surface'!$O46="",-1,1))-'Adjustment Surface'!$O45)*(INDEX('Adjustment Surface'!$AO$26:$BH$26,1,MATCH(('Adjustment Surface'!AB$26),'Adjustment Surface'!$AO$26:$BH$26,1)+IF('Adjustment Surface'!AC$26="",-1,1))-'Adjustment Surface'!AB$26)+INDEX($AO$27:$BH$46,MATCH(INDEX('Adjustment Surface'!$AN$27:$AN$46,MATCH(('Adjustment Surface'!$O45),'Adjustment Surface'!$AN$27:$AN$46,1)+IF('Adjustment Surface'!$O46="",-1,1)),$AN$27:$AN$46,0),MATCH(INDEX('Adjustment Surface'!$AO$26:$BH$26,1,MATCH(('Adjustment Surface'!AB$26),'Adjustment Surface'!$AO$26:$BH$26,1)),$AO$26:$BH$26,0))*('Adjustment Surface'!$O45-INDEX('Adjustment Surface'!$AN$27:$AN$46,MATCH(('Adjustment Surface'!$O45),'Adjustment Surface'!$AN$27:$AN$46,1)))*(INDEX('Adjustment Surface'!$AO$26:$BH$26,1,MATCH(('Adjustment Surface'!AB$26),'Adjustment Surface'!$AO$26:$BH$26,1)+IF('Adjustment Surface'!AC$26="",-1,1))-'Adjustment Surface'!AB$26)+INDEX($AO$27:$BH$46,MATCH(INDEX('Adjustment Surface'!$AN$27:$AN$46,MATCH(('Adjustment Surface'!$O45),'Adjustment Surface'!$AN$27:$AN$46,1)),$AN$27:$AN$46,0),MATCH(INDEX('Adjustment Surface'!$AO$26:$BH$26,1,MATCH(('Adjustment Surface'!AB$26),'Adjustment Surface'!$AO$26:$BH$26,1)+IF('Adjustment Surface'!AC$26="",-1,1)),$AO$26:$BH$26,0))*(INDEX('Adjustment Surface'!$AN$27:$AN$46,MATCH(('Adjustment Surface'!$O45),'Adjustment Surface'!$AN$27:$AN$46,1)+IF('Adjustment Surface'!$O46="",-1,1))-'Adjustment Surface'!$O45)*('Adjustment Surface'!AB$26-INDEX('Adjustment Surface'!$AO$26:$BH$26,1,MATCH(('Adjustment Surface'!AB$26),'Adjustment Surface'!$AO$26:$BH$26,1)))+INDEX($AO$27:$BH$46,MATCH(INDEX('Adjustment Surface'!$AN$27:$AN$46,MATCH(('Adjustment Surface'!$O45),'Adjustment Surface'!$AN$27:$AN$46,1)+IF('Adjustment Surface'!$O46="",-1,1)),$AN$27:$AN$46,0),MATCH(INDEX('Adjustment Surface'!$AO$26:$BH$26,1,MATCH(('Adjustment Surface'!AB$26),'Adjustment Surface'!$AO$26:$BH$26,1)+IF('Adjustment Surface'!AC$26="",-1,1)),$AO$26:$BH$26,0))*('Adjustment Surface'!$O45-INDEX('Adjustment Surface'!$AN$27:$AN$46,MATCH(('Adjustment Surface'!$O45),'Adjustment Surface'!$AN$27:$AN$46,1)))*('Adjustment Surface'!AB$26-INDEX('Adjustment Surface'!$AO$26:$BH$26,1,MATCH(('Adjustment Surface'!AB$26),'Adjustment Surface'!$AO$26:$BH$26,1)))))</f>
        <v/>
      </c>
      <c r="AC45" s="193" t="str" cm="1">
        <f t="array" ref="AC45">IF(OR(AC$26="",$O45=""),"",1/((INDEX('Adjustment Surface'!$AN$27:$AN$46,MATCH(('Adjustment Surface'!$O45),'Adjustment Surface'!$AN$27:$AN$46,1)+IF('Adjustment Surface'!$O46="",-1,1))-INDEX('Adjustment Surface'!$AN$27:$AN$46,MATCH(('Adjustment Surface'!$O45),'Adjustment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Surface'!$O45),'Adjustment Surface'!$AN$27:$AN$46,1)),$AN$27:$AN$46,0),MATCH(INDEX('Adjustment Surface'!$AO$26:$BH$26,1,MATCH(('Adjustment Surface'!AC$26),'Adjustment Surface'!$AO$26:$BH$26,1)),$AO$26:$BH$26,0))*(INDEX('Adjustment Surface'!$AN$27:$AN$46,MATCH(('Adjustment Surface'!$O45),'Adjustment Surface'!$AN$27:$AN$46,1)+IF('Adjustment Surface'!$O46="",-1,1))-'Adjustment Surface'!$O45)*(INDEX('Adjustment Surface'!$AO$26:$BH$26,1,MATCH(('Adjustment Surface'!AC$26),'Adjustment Surface'!$AO$26:$BH$26,1)+IF('Adjustment Surface'!AD$26="",-1,1))-'Adjustment Surface'!AC$26)+INDEX($AO$27:$BH$46,MATCH(INDEX('Adjustment Surface'!$AN$27:$AN$46,MATCH(('Adjustment Surface'!$O45),'Adjustment Surface'!$AN$27:$AN$46,1)+IF('Adjustment Surface'!$O46="",-1,1)),$AN$27:$AN$46,0),MATCH(INDEX('Adjustment Surface'!$AO$26:$BH$26,1,MATCH(('Adjustment Surface'!AC$26),'Adjustment Surface'!$AO$26:$BH$26,1)),$AO$26:$BH$26,0))*('Adjustment Surface'!$O45-INDEX('Adjustment Surface'!$AN$27:$AN$46,MATCH(('Adjustment Surface'!$O45),'Adjustment Surface'!$AN$27:$AN$46,1)))*(INDEX('Adjustment Surface'!$AO$26:$BH$26,1,MATCH(('Adjustment Surface'!AC$26),'Adjustment Surface'!$AO$26:$BH$26,1)+IF('Adjustment Surface'!AD$26="",-1,1))-'Adjustment Surface'!AC$26)+INDEX($AO$27:$BH$46,MATCH(INDEX('Adjustment Surface'!$AN$27:$AN$46,MATCH(('Adjustment Surface'!$O45),'Adjustment Surface'!$AN$27:$AN$46,1)),$AN$27:$AN$46,0),MATCH(INDEX('Adjustment Surface'!$AO$26:$BH$26,1,MATCH(('Adjustment Surface'!AC$26),'Adjustment Surface'!$AO$26:$BH$26,1)+IF('Adjustment Surface'!AD$26="",-1,1)),$AO$26:$BH$26,0))*(INDEX('Adjustment Surface'!$AN$27:$AN$46,MATCH(('Adjustment Surface'!$O45),'Adjustment Surface'!$AN$27:$AN$46,1)+IF('Adjustment Surface'!$O46="",-1,1))-'Adjustment Surface'!$O45)*('Adjustment Surface'!AC$26-INDEX('Adjustment Surface'!$AO$26:$BH$26,1,MATCH(('Adjustment Surface'!AC$26),'Adjustment Surface'!$AO$26:$BH$26,1)))+INDEX($AO$27:$BH$46,MATCH(INDEX('Adjustment Surface'!$AN$27:$AN$46,MATCH(('Adjustment Surface'!$O45),'Adjustment Surface'!$AN$27:$AN$46,1)+IF('Adjustment Surface'!$O46="",-1,1)),$AN$27:$AN$46,0),MATCH(INDEX('Adjustment Surface'!$AO$26:$BH$26,1,MATCH(('Adjustment Surface'!AC$26),'Adjustment Surface'!$AO$26:$BH$26,1)+IF('Adjustment Surface'!AD$26="",-1,1)),$AO$26:$BH$26,0))*('Adjustment Surface'!$O45-INDEX('Adjustment Surface'!$AN$27:$AN$46,MATCH(('Adjustment Surface'!$O45),'Adjustment Surface'!$AN$27:$AN$46,1)))*('Adjustment Surface'!AC$26-INDEX('Adjustment Surface'!$AO$26:$BH$26,1,MATCH(('Adjustment Surface'!AC$26),'Adjustment Surface'!$AO$26:$BH$26,1)))))</f>
        <v/>
      </c>
      <c r="AD45" s="193" t="str" cm="1">
        <f t="array" ref="AD45">IF(OR(AD$26="",$O45=""),"",1/((INDEX('Adjustment Surface'!$AN$27:$AN$46,MATCH(('Adjustment Surface'!$O45),'Adjustment Surface'!$AN$27:$AN$46,1)+IF('Adjustment Surface'!$O46="",-1,1))-INDEX('Adjustment Surface'!$AN$27:$AN$46,MATCH(('Adjustment Surface'!$O45),'Adjustment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Surface'!$O45),'Adjustment Surface'!$AN$27:$AN$46,1)),$AN$27:$AN$46,0),MATCH(INDEX('Adjustment Surface'!$AO$26:$BH$26,1,MATCH(('Adjustment Surface'!AD$26),'Adjustment Surface'!$AO$26:$BH$26,1)),$AO$26:$BH$26,0))*(INDEX('Adjustment Surface'!$AN$27:$AN$46,MATCH(('Adjustment Surface'!$O45),'Adjustment Surface'!$AN$27:$AN$46,1)+IF('Adjustment Surface'!$O46="",-1,1))-'Adjustment Surface'!$O45)*(INDEX('Adjustment Surface'!$AO$26:$BH$26,1,MATCH(('Adjustment Surface'!AD$26),'Adjustment Surface'!$AO$26:$BH$26,1)+IF('Adjustment Surface'!AE$26="",-1,1))-'Adjustment Surface'!AD$26)+INDEX($AO$27:$BH$46,MATCH(INDEX('Adjustment Surface'!$AN$27:$AN$46,MATCH(('Adjustment Surface'!$O45),'Adjustment Surface'!$AN$27:$AN$46,1)+IF('Adjustment Surface'!$O46="",-1,1)),$AN$27:$AN$46,0),MATCH(INDEX('Adjustment Surface'!$AO$26:$BH$26,1,MATCH(('Adjustment Surface'!AD$26),'Adjustment Surface'!$AO$26:$BH$26,1)),$AO$26:$BH$26,0))*('Adjustment Surface'!$O45-INDEX('Adjustment Surface'!$AN$27:$AN$46,MATCH(('Adjustment Surface'!$O45),'Adjustment Surface'!$AN$27:$AN$46,1)))*(INDEX('Adjustment Surface'!$AO$26:$BH$26,1,MATCH(('Adjustment Surface'!AD$26),'Adjustment Surface'!$AO$26:$BH$26,1)+IF('Adjustment Surface'!AE$26="",-1,1))-'Adjustment Surface'!AD$26)+INDEX($AO$27:$BH$46,MATCH(INDEX('Adjustment Surface'!$AN$27:$AN$46,MATCH(('Adjustment Surface'!$O45),'Adjustment Surface'!$AN$27:$AN$46,1)),$AN$27:$AN$46,0),MATCH(INDEX('Adjustment Surface'!$AO$26:$BH$26,1,MATCH(('Adjustment Surface'!AD$26),'Adjustment Surface'!$AO$26:$BH$26,1)+IF('Adjustment Surface'!AE$26="",-1,1)),$AO$26:$BH$26,0))*(INDEX('Adjustment Surface'!$AN$27:$AN$46,MATCH(('Adjustment Surface'!$O45),'Adjustment Surface'!$AN$27:$AN$46,1)+IF('Adjustment Surface'!$O46="",-1,1))-'Adjustment Surface'!$O45)*('Adjustment Surface'!AD$26-INDEX('Adjustment Surface'!$AO$26:$BH$26,1,MATCH(('Adjustment Surface'!AD$26),'Adjustment Surface'!$AO$26:$BH$26,1)))+INDEX($AO$27:$BH$46,MATCH(INDEX('Adjustment Surface'!$AN$27:$AN$46,MATCH(('Adjustment Surface'!$O45),'Adjustment Surface'!$AN$27:$AN$46,1)+IF('Adjustment Surface'!$O46="",-1,1)),$AN$27:$AN$46,0),MATCH(INDEX('Adjustment Surface'!$AO$26:$BH$26,1,MATCH(('Adjustment Surface'!AD$26),'Adjustment Surface'!$AO$26:$BH$26,1)+IF('Adjustment Surface'!AE$26="",-1,1)),$AO$26:$BH$26,0))*('Adjustment Surface'!$O45-INDEX('Adjustment Surface'!$AN$27:$AN$46,MATCH(('Adjustment Surface'!$O45),'Adjustment Surface'!$AN$27:$AN$46,1)))*('Adjustment Surface'!AD$26-INDEX('Adjustment Surface'!$AO$26:$BH$26,1,MATCH(('Adjustment Surface'!AD$26),'Adjustment Surface'!$AO$26:$BH$26,1)))))</f>
        <v/>
      </c>
      <c r="AE45" s="193" t="str" cm="1">
        <f t="array" ref="AE45">IF(OR(AE$26="",$O45=""),"",1/((INDEX('Adjustment Surface'!$AN$27:$AN$46,MATCH(('Adjustment Surface'!$O45),'Adjustment Surface'!$AN$27:$AN$46,1)+IF('Adjustment Surface'!$O46="",-1,1))-INDEX('Adjustment Surface'!$AN$27:$AN$46,MATCH(('Adjustment Surface'!$O45),'Adjustment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Surface'!$O45),'Adjustment Surface'!$AN$27:$AN$46,1)),$AN$27:$AN$46,0),MATCH(INDEX('Adjustment Surface'!$AO$26:$BH$26,1,MATCH(('Adjustment Surface'!AE$26),'Adjustment Surface'!$AO$26:$BH$26,1)),$AO$26:$BH$26,0))*(INDEX('Adjustment Surface'!$AN$27:$AN$46,MATCH(('Adjustment Surface'!$O45),'Adjustment Surface'!$AN$27:$AN$46,1)+IF('Adjustment Surface'!$O46="",-1,1))-'Adjustment Surface'!$O45)*(INDEX('Adjustment Surface'!$AO$26:$BH$26,1,MATCH(('Adjustment Surface'!AE$26),'Adjustment Surface'!$AO$26:$BH$26,1)+IF('Adjustment Surface'!AF$26="",-1,1))-'Adjustment Surface'!AE$26)+INDEX($AO$27:$BH$46,MATCH(INDEX('Adjustment Surface'!$AN$27:$AN$46,MATCH(('Adjustment Surface'!$O45),'Adjustment Surface'!$AN$27:$AN$46,1)+IF('Adjustment Surface'!$O46="",-1,1)),$AN$27:$AN$46,0),MATCH(INDEX('Adjustment Surface'!$AO$26:$BH$26,1,MATCH(('Adjustment Surface'!AE$26),'Adjustment Surface'!$AO$26:$BH$26,1)),$AO$26:$BH$26,0))*('Adjustment Surface'!$O45-INDEX('Adjustment Surface'!$AN$27:$AN$46,MATCH(('Adjustment Surface'!$O45),'Adjustment Surface'!$AN$27:$AN$46,1)))*(INDEX('Adjustment Surface'!$AO$26:$BH$26,1,MATCH(('Adjustment Surface'!AE$26),'Adjustment Surface'!$AO$26:$BH$26,1)+IF('Adjustment Surface'!AF$26="",-1,1))-'Adjustment Surface'!AE$26)+INDEX($AO$27:$BH$46,MATCH(INDEX('Adjustment Surface'!$AN$27:$AN$46,MATCH(('Adjustment Surface'!$O45),'Adjustment Surface'!$AN$27:$AN$46,1)),$AN$27:$AN$46,0),MATCH(INDEX('Adjustment Surface'!$AO$26:$BH$26,1,MATCH(('Adjustment Surface'!AE$26),'Adjustment Surface'!$AO$26:$BH$26,1)+IF('Adjustment Surface'!AF$26="",-1,1)),$AO$26:$BH$26,0))*(INDEX('Adjustment Surface'!$AN$27:$AN$46,MATCH(('Adjustment Surface'!$O45),'Adjustment Surface'!$AN$27:$AN$46,1)+IF('Adjustment Surface'!$O46="",-1,1))-'Adjustment Surface'!$O45)*('Adjustment Surface'!AE$26-INDEX('Adjustment Surface'!$AO$26:$BH$26,1,MATCH(('Adjustment Surface'!AE$26),'Adjustment Surface'!$AO$26:$BH$26,1)))+INDEX($AO$27:$BH$46,MATCH(INDEX('Adjustment Surface'!$AN$27:$AN$46,MATCH(('Adjustment Surface'!$O45),'Adjustment Surface'!$AN$27:$AN$46,1)+IF('Adjustment Surface'!$O46="",-1,1)),$AN$27:$AN$46,0),MATCH(INDEX('Adjustment Surface'!$AO$26:$BH$26,1,MATCH(('Adjustment Surface'!AE$26),'Adjustment Surface'!$AO$26:$BH$26,1)+IF('Adjustment Surface'!AF$26="",-1,1)),$AO$26:$BH$26,0))*('Adjustment Surface'!$O45-INDEX('Adjustment Surface'!$AN$27:$AN$46,MATCH(('Adjustment Surface'!$O45),'Adjustment Surface'!$AN$27:$AN$46,1)))*('Adjustment Surface'!AE$26-INDEX('Adjustment Surface'!$AO$26:$BH$26,1,MATCH(('Adjustment Surface'!AE$26),'Adjustment Surface'!$AO$26:$BH$26,1)))))</f>
        <v/>
      </c>
      <c r="AF45" s="193" t="str" cm="1">
        <f t="array" ref="AF45">IF(OR(AF$26="",$O45=""),"",1/((INDEX('Adjustment Surface'!$AN$27:$AN$46,MATCH(('Adjustment Surface'!$O45),'Adjustment Surface'!$AN$27:$AN$46,1)+IF('Adjustment Surface'!$O46="",-1,1))-INDEX('Adjustment Surface'!$AN$27:$AN$46,MATCH(('Adjustment Surface'!$O45),'Adjustment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Surface'!$O45),'Adjustment Surface'!$AN$27:$AN$46,1)),$AN$27:$AN$46,0),MATCH(INDEX('Adjustment Surface'!$AO$26:$BH$26,1,MATCH(('Adjustment Surface'!AF$26),'Adjustment Surface'!$AO$26:$BH$26,1)),$AO$26:$BH$26,0))*(INDEX('Adjustment Surface'!$AN$27:$AN$46,MATCH(('Adjustment Surface'!$O45),'Adjustment Surface'!$AN$27:$AN$46,1)+IF('Adjustment Surface'!$O46="",-1,1))-'Adjustment Surface'!$O45)*(INDEX('Adjustment Surface'!$AO$26:$BH$26,1,MATCH(('Adjustment Surface'!AF$26),'Adjustment Surface'!$AO$26:$BH$26,1)+IF('Adjustment Surface'!AG$26="",-1,1))-'Adjustment Surface'!AF$26)+INDEX($AO$27:$BH$46,MATCH(INDEX('Adjustment Surface'!$AN$27:$AN$46,MATCH(('Adjustment Surface'!$O45),'Adjustment Surface'!$AN$27:$AN$46,1)+IF('Adjustment Surface'!$O46="",-1,1)),$AN$27:$AN$46,0),MATCH(INDEX('Adjustment Surface'!$AO$26:$BH$26,1,MATCH(('Adjustment Surface'!AF$26),'Adjustment Surface'!$AO$26:$BH$26,1)),$AO$26:$BH$26,0))*('Adjustment Surface'!$O45-INDEX('Adjustment Surface'!$AN$27:$AN$46,MATCH(('Adjustment Surface'!$O45),'Adjustment Surface'!$AN$27:$AN$46,1)))*(INDEX('Adjustment Surface'!$AO$26:$BH$26,1,MATCH(('Adjustment Surface'!AF$26),'Adjustment Surface'!$AO$26:$BH$26,1)+IF('Adjustment Surface'!AG$26="",-1,1))-'Adjustment Surface'!AF$26)+INDEX($AO$27:$BH$46,MATCH(INDEX('Adjustment Surface'!$AN$27:$AN$46,MATCH(('Adjustment Surface'!$O45),'Adjustment Surface'!$AN$27:$AN$46,1)),$AN$27:$AN$46,0),MATCH(INDEX('Adjustment Surface'!$AO$26:$BH$26,1,MATCH(('Adjustment Surface'!AF$26),'Adjustment Surface'!$AO$26:$BH$26,1)+IF('Adjustment Surface'!AG$26="",-1,1)),$AO$26:$BH$26,0))*(INDEX('Adjustment Surface'!$AN$27:$AN$46,MATCH(('Adjustment Surface'!$O45),'Adjustment Surface'!$AN$27:$AN$46,1)+IF('Adjustment Surface'!$O46="",-1,1))-'Adjustment Surface'!$O45)*('Adjustment Surface'!AF$26-INDEX('Adjustment Surface'!$AO$26:$BH$26,1,MATCH(('Adjustment Surface'!AF$26),'Adjustment Surface'!$AO$26:$BH$26,1)))+INDEX($AO$27:$BH$46,MATCH(INDEX('Adjustment Surface'!$AN$27:$AN$46,MATCH(('Adjustment Surface'!$O45),'Adjustment Surface'!$AN$27:$AN$46,1)+IF('Adjustment Surface'!$O46="",-1,1)),$AN$27:$AN$46,0),MATCH(INDEX('Adjustment Surface'!$AO$26:$BH$26,1,MATCH(('Adjustment Surface'!AF$26),'Adjustment Surface'!$AO$26:$BH$26,1)+IF('Adjustment Surface'!AG$26="",-1,1)),$AO$26:$BH$26,0))*('Adjustment Surface'!$O45-INDEX('Adjustment Surface'!$AN$27:$AN$46,MATCH(('Adjustment Surface'!$O45),'Adjustment Surface'!$AN$27:$AN$46,1)))*('Adjustment Surface'!AF$26-INDEX('Adjustment Surface'!$AO$26:$BH$26,1,MATCH(('Adjustment Surface'!AF$26),'Adjustment Surface'!$AO$26:$BH$26,1)))))</f>
        <v/>
      </c>
      <c r="AG45" s="193" t="str" cm="1">
        <f t="array" ref="AG45">IF(OR(AG$26="",$O45=""),"",1/((INDEX('Adjustment Surface'!$AN$27:$AN$46,MATCH(('Adjustment Surface'!$O45),'Adjustment Surface'!$AN$27:$AN$46,1)+IF('Adjustment Surface'!$O46="",-1,1))-INDEX('Adjustment Surface'!$AN$27:$AN$46,MATCH(('Adjustment Surface'!$O45),'Adjustment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Surface'!$O45),'Adjustment Surface'!$AN$27:$AN$46,1)),$AN$27:$AN$46,0),MATCH(INDEX('Adjustment Surface'!$AO$26:$BH$26,1,MATCH(('Adjustment Surface'!AG$26),'Adjustment Surface'!$AO$26:$BH$26,1)),$AO$26:$BH$26,0))*(INDEX('Adjustment Surface'!$AN$27:$AN$46,MATCH(('Adjustment Surface'!$O45),'Adjustment Surface'!$AN$27:$AN$46,1)+IF('Adjustment Surface'!$O46="",-1,1))-'Adjustment Surface'!$O45)*(INDEX('Adjustment Surface'!$AO$26:$BH$26,1,MATCH(('Adjustment Surface'!AG$26),'Adjustment Surface'!$AO$26:$BH$26,1)+IF('Adjustment Surface'!AH$26="",-1,1))-'Adjustment Surface'!AG$26)+INDEX($AO$27:$BH$46,MATCH(INDEX('Adjustment Surface'!$AN$27:$AN$46,MATCH(('Adjustment Surface'!$O45),'Adjustment Surface'!$AN$27:$AN$46,1)+IF('Adjustment Surface'!$O46="",-1,1)),$AN$27:$AN$46,0),MATCH(INDEX('Adjustment Surface'!$AO$26:$BH$26,1,MATCH(('Adjustment Surface'!AG$26),'Adjustment Surface'!$AO$26:$BH$26,1)),$AO$26:$BH$26,0))*('Adjustment Surface'!$O45-INDEX('Adjustment Surface'!$AN$27:$AN$46,MATCH(('Adjustment Surface'!$O45),'Adjustment Surface'!$AN$27:$AN$46,1)))*(INDEX('Adjustment Surface'!$AO$26:$BH$26,1,MATCH(('Adjustment Surface'!AG$26),'Adjustment Surface'!$AO$26:$BH$26,1)+IF('Adjustment Surface'!AH$26="",-1,1))-'Adjustment Surface'!AG$26)+INDEX($AO$27:$BH$46,MATCH(INDEX('Adjustment Surface'!$AN$27:$AN$46,MATCH(('Adjustment Surface'!$O45),'Adjustment Surface'!$AN$27:$AN$46,1)),$AN$27:$AN$46,0),MATCH(INDEX('Adjustment Surface'!$AO$26:$BH$26,1,MATCH(('Adjustment Surface'!AG$26),'Adjustment Surface'!$AO$26:$BH$26,1)+IF('Adjustment Surface'!AH$26="",-1,1)),$AO$26:$BH$26,0))*(INDEX('Adjustment Surface'!$AN$27:$AN$46,MATCH(('Adjustment Surface'!$O45),'Adjustment Surface'!$AN$27:$AN$46,1)+IF('Adjustment Surface'!$O46="",-1,1))-'Adjustment Surface'!$O45)*('Adjustment Surface'!AG$26-INDEX('Adjustment Surface'!$AO$26:$BH$26,1,MATCH(('Adjustment Surface'!AG$26),'Adjustment Surface'!$AO$26:$BH$26,1)))+INDEX($AO$27:$BH$46,MATCH(INDEX('Adjustment Surface'!$AN$27:$AN$46,MATCH(('Adjustment Surface'!$O45),'Adjustment Surface'!$AN$27:$AN$46,1)+IF('Adjustment Surface'!$O46="",-1,1)),$AN$27:$AN$46,0),MATCH(INDEX('Adjustment Surface'!$AO$26:$BH$26,1,MATCH(('Adjustment Surface'!AG$26),'Adjustment Surface'!$AO$26:$BH$26,1)+IF('Adjustment Surface'!AH$26="",-1,1)),$AO$26:$BH$26,0))*('Adjustment Surface'!$O45-INDEX('Adjustment Surface'!$AN$27:$AN$46,MATCH(('Adjustment Surface'!$O45),'Adjustment Surface'!$AN$27:$AN$46,1)))*('Adjustment Surface'!AG$26-INDEX('Adjustment Surface'!$AO$26:$BH$26,1,MATCH(('Adjustment Surface'!AG$26),'Adjustment Surface'!$AO$26:$BH$26,1)))))</f>
        <v/>
      </c>
      <c r="AH45" s="193" t="str" cm="1">
        <f t="array" ref="AH45">IF(OR(AH$26="",$O45=""),"",1/((INDEX('Adjustment Surface'!$AN$27:$AN$46,MATCH(('Adjustment Surface'!$O45),'Adjustment Surface'!$AN$27:$AN$46,1)+IF('Adjustment Surface'!$O46="",-1,1))-INDEX('Adjustment Surface'!$AN$27:$AN$46,MATCH(('Adjustment Surface'!$O45),'Adjustment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Surface'!$O45),'Adjustment Surface'!$AN$27:$AN$46,1)),$AN$27:$AN$46,0),MATCH(INDEX('Adjustment Surface'!$AO$26:$BH$26,1,MATCH(('Adjustment Surface'!AH$26),'Adjustment Surface'!$AO$26:$BH$26,1)),$AO$26:$BH$26,0))*(INDEX('Adjustment Surface'!$AN$27:$AN$46,MATCH(('Adjustment Surface'!$O45),'Adjustment Surface'!$AN$27:$AN$46,1)+IF('Adjustment Surface'!$O46="",-1,1))-'Adjustment Surface'!$O45)*(INDEX('Adjustment Surface'!$AO$26:$BH$26,1,MATCH(('Adjustment Surface'!AH$26),'Adjustment Surface'!$AO$26:$BH$26,1)+IF('Adjustment Surface'!AI$26="",-1,1))-'Adjustment Surface'!AH$26)+INDEX($AO$27:$BH$46,MATCH(INDEX('Adjustment Surface'!$AN$27:$AN$46,MATCH(('Adjustment Surface'!$O45),'Adjustment Surface'!$AN$27:$AN$46,1)+IF('Adjustment Surface'!$O46="",-1,1)),$AN$27:$AN$46,0),MATCH(INDEX('Adjustment Surface'!$AO$26:$BH$26,1,MATCH(('Adjustment Surface'!AH$26),'Adjustment Surface'!$AO$26:$BH$26,1)),$AO$26:$BH$26,0))*('Adjustment Surface'!$O45-INDEX('Adjustment Surface'!$AN$27:$AN$46,MATCH(('Adjustment Surface'!$O45),'Adjustment Surface'!$AN$27:$AN$46,1)))*(INDEX('Adjustment Surface'!$AO$26:$BH$26,1,MATCH(('Adjustment Surface'!AH$26),'Adjustment Surface'!$AO$26:$BH$26,1)+IF('Adjustment Surface'!AI$26="",-1,1))-'Adjustment Surface'!AH$26)+INDEX($AO$27:$BH$46,MATCH(INDEX('Adjustment Surface'!$AN$27:$AN$46,MATCH(('Adjustment Surface'!$O45),'Adjustment Surface'!$AN$27:$AN$46,1)),$AN$27:$AN$46,0),MATCH(INDEX('Adjustment Surface'!$AO$26:$BH$26,1,MATCH(('Adjustment Surface'!AH$26),'Adjustment Surface'!$AO$26:$BH$26,1)+IF('Adjustment Surface'!AI$26="",-1,1)),$AO$26:$BH$26,0))*(INDEX('Adjustment Surface'!$AN$27:$AN$46,MATCH(('Adjustment Surface'!$O45),'Adjustment Surface'!$AN$27:$AN$46,1)+IF('Adjustment Surface'!$O46="",-1,1))-'Adjustment Surface'!$O45)*('Adjustment Surface'!AH$26-INDEX('Adjustment Surface'!$AO$26:$BH$26,1,MATCH(('Adjustment Surface'!AH$26),'Adjustment Surface'!$AO$26:$BH$26,1)))+INDEX($AO$27:$BH$46,MATCH(INDEX('Adjustment Surface'!$AN$27:$AN$46,MATCH(('Adjustment Surface'!$O45),'Adjustment Surface'!$AN$27:$AN$46,1)+IF('Adjustment Surface'!$O46="",-1,1)),$AN$27:$AN$46,0),MATCH(INDEX('Adjustment Surface'!$AO$26:$BH$26,1,MATCH(('Adjustment Surface'!AH$26),'Adjustment Surface'!$AO$26:$BH$26,1)+IF('Adjustment Surface'!AI$26="",-1,1)),$AO$26:$BH$26,0))*('Adjustment Surface'!$O45-INDEX('Adjustment Surface'!$AN$27:$AN$46,MATCH(('Adjustment Surface'!$O45),'Adjustment Surface'!$AN$27:$AN$46,1)))*('Adjustment Surface'!AH$26-INDEX('Adjustment Surface'!$AO$26:$BH$26,1,MATCH(('Adjustment Surface'!AH$26),'Adjustment Surface'!$AO$26:$BH$26,1)))))</f>
        <v/>
      </c>
      <c r="AI45" s="194" t="str" cm="1">
        <f t="array" ref="AI45">IF(OR(AI$26="",$O45=""),"",1/((INDEX('Adjustment Surface'!$AN$27:$AN$46,MATCH(('Adjustment Surface'!$O45),'Adjustment Surface'!$AN$27:$AN$46,1)+IF('Adjustment Surface'!$O46="",-1,1))-INDEX('Adjustment Surface'!$AN$27:$AN$46,MATCH(('Adjustment Surface'!$O45),'Adjustment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Surface'!$O45),'Adjustment Surface'!$AN$27:$AN$46,1)),$AN$27:$AN$46,0),MATCH(INDEX('Adjustment Surface'!$AO$26:$BH$26,1,MATCH(('Adjustment Surface'!AI$26),'Adjustment Surface'!$AO$26:$BH$26,1)),$AO$26:$BH$26,0))*(INDEX('Adjustment Surface'!$AN$27:$AN$46,MATCH(('Adjustment Surface'!$O45),'Adjustment Surface'!$AN$27:$AN$46,1)+IF('Adjustment Surface'!$O46="",-1,1))-'Adjustment Surface'!$O45)*(INDEX('Adjustment Surface'!$AO$26:$BH$26,1,MATCH(('Adjustment Surface'!AI$26),'Adjustment Surface'!$AO$26:$BH$26,1)+IF('Adjustment Surface'!AJ$26="",-1,1))-'Adjustment Surface'!AI$26)+INDEX($AO$27:$BH$46,MATCH(INDEX('Adjustment Surface'!$AN$27:$AN$46,MATCH(('Adjustment Surface'!$O45),'Adjustment Surface'!$AN$27:$AN$46,1)+IF('Adjustment Surface'!$O46="",-1,1)),$AN$27:$AN$46,0),MATCH(INDEX('Adjustment Surface'!$AO$26:$BH$26,1,MATCH(('Adjustment Surface'!AI$26),'Adjustment Surface'!$AO$26:$BH$26,1)),$AO$26:$BH$26,0))*('Adjustment Surface'!$O45-INDEX('Adjustment Surface'!$AN$27:$AN$46,MATCH(('Adjustment Surface'!$O45),'Adjustment Surface'!$AN$27:$AN$46,1)))*(INDEX('Adjustment Surface'!$AO$26:$BH$26,1,MATCH(('Adjustment Surface'!AI$26),'Adjustment Surface'!$AO$26:$BH$26,1)+IF('Adjustment Surface'!AJ$26="",-1,1))-'Adjustment Surface'!AI$26)+INDEX($AO$27:$BH$46,MATCH(INDEX('Adjustment Surface'!$AN$27:$AN$46,MATCH(('Adjustment Surface'!$O45),'Adjustment Surface'!$AN$27:$AN$46,1)),$AN$27:$AN$46,0),MATCH(INDEX('Adjustment Surface'!$AO$26:$BH$26,1,MATCH(('Adjustment Surface'!AI$26),'Adjustment Surface'!$AO$26:$BH$26,1)+IF('Adjustment Surface'!AJ$26="",-1,1)),$AO$26:$BH$26,0))*(INDEX('Adjustment Surface'!$AN$27:$AN$46,MATCH(('Adjustment Surface'!$O45),'Adjustment Surface'!$AN$27:$AN$46,1)+IF('Adjustment Surface'!$O46="",-1,1))-'Adjustment Surface'!$O45)*('Adjustment Surface'!AI$26-INDEX('Adjustment Surface'!$AO$26:$BH$26,1,MATCH(('Adjustment Surface'!AI$26),'Adjustment Surface'!$AO$26:$BH$26,1)))+INDEX($AO$27:$BH$46,MATCH(INDEX('Adjustment Surface'!$AN$27:$AN$46,MATCH(('Adjustment Surface'!$O45),'Adjustment Surface'!$AN$27:$AN$46,1)+IF('Adjustment Surface'!$O46="",-1,1)),$AN$27:$AN$46,0),MATCH(INDEX('Adjustment Surface'!$AO$26:$BH$26,1,MATCH(('Adjustment Surface'!AI$26),'Adjustment Surface'!$AO$26:$BH$26,1)+IF('Adjustment Surface'!AJ$26="",-1,1)),$AO$26:$BH$26,0))*('Adjustment Surface'!$O45-INDEX('Adjustment Surface'!$AN$27:$AN$46,MATCH(('Adjustment Surface'!$O45),'Adjustment Surface'!$AN$27:$AN$46,1)))*('Adjustment Surface'!AI$26-INDEX('Adjustment Surface'!$AO$26:$BH$26,1,MATCH(('Adjustment Surface'!AI$26),'Adjustment Surface'!$AO$26:$BH$26,1)))))</f>
        <v/>
      </c>
      <c r="AK45" s="203"/>
      <c r="AL45" s="207"/>
      <c r="AN45" s="176"/>
      <c r="AO45" s="192" t="str" cm="1">
        <f t="array" ref="AO45">IF(OR(AO$26="",$AN45=""),"",INDEX(IF($C$2='Data Validation'!$A$2,'Bank Adjustments'!$I$4:$I$103,IF('Adjustment Surface'!$C$2='Data Validation'!$A$3,'Bank Adjustments'!$S$4:$S$103,"Unknown Option Type")),MATCH(1,($AN45=IF($C$2='Data Validation'!$A$2,'Bank Adjustments'!$C$4:$C$103,IF('Adjustment Surface'!$C$2='Data Validation'!$A$3,'Bank Adjustments'!$M$4:$M$103,"Unknown Option Type")))*(AO$26=IF($C$2='Data Validation'!$A$2,'Bank Adjustments'!$E$4:$E$103,IF('Adjustment Surface'!$C$2='Data Validation'!$A$3,'Bank Adjustments'!$O$4:$O$103,"Unknown Option Type"))),0)))</f>
        <v/>
      </c>
      <c r="AP45" s="193" t="str" cm="1">
        <f t="array" ref="AP45">IF(OR(AP$26="",$AN45=""),"",INDEX(IF($C$2='Data Validation'!$A$2,'Bank Adjustments'!$I$4:$I$103,IF('Adjustment Surface'!$C$2='Data Validation'!$A$3,'Bank Adjustments'!$S$4:$S$103,"Unknown Option Type")),MATCH(1,($AN45=IF($C$2='Data Validation'!$A$2,'Bank Adjustments'!$C$4:$C$103,IF('Adjustment Surface'!$C$2='Data Validation'!$A$3,'Bank Adjustments'!$M$4:$M$103,"Unknown Option Type")))*(AP$26=IF($C$2='Data Validation'!$A$2,'Bank Adjustments'!$E$4:$E$103,IF('Adjustment Surface'!$C$2='Data Validation'!$A$3,'Bank Adjustments'!$O$4:$O$103,"Unknown Option Type"))),0)))</f>
        <v/>
      </c>
      <c r="AQ45" s="193" t="str" cm="1">
        <f t="array" ref="AQ45">IF(OR(AQ$26="",$AN45=""),"",INDEX(IF($C$2='Data Validation'!$A$2,'Bank Adjustments'!$I$4:$I$103,IF('Adjustment Surface'!$C$2='Data Validation'!$A$3,'Bank Adjustments'!$S$4:$S$103,"Unknown Option Type")),MATCH(1,($AN45=IF($C$2='Data Validation'!$A$2,'Bank Adjustments'!$C$4:$C$103,IF('Adjustment Surface'!$C$2='Data Validation'!$A$3,'Bank Adjustments'!$M$4:$M$103,"Unknown Option Type")))*(AQ$26=IF($C$2='Data Validation'!$A$2,'Bank Adjustments'!$E$4:$E$103,IF('Adjustment Surface'!$C$2='Data Validation'!$A$3,'Bank Adjustments'!$O$4:$O$103,"Unknown Option Type"))),0)))</f>
        <v/>
      </c>
      <c r="AR45" s="193" t="str" cm="1">
        <f t="array" ref="AR45">IF(OR(AR$26="",$AN45=""),"",INDEX(IF($C$2='Data Validation'!$A$2,'Bank Adjustments'!$I$4:$I$103,IF('Adjustment Surface'!$C$2='Data Validation'!$A$3,'Bank Adjustments'!$S$4:$S$103,"Unknown Option Type")),MATCH(1,($AN45=IF($C$2='Data Validation'!$A$2,'Bank Adjustments'!$C$4:$C$103,IF('Adjustment Surface'!$C$2='Data Validation'!$A$3,'Bank Adjustments'!$M$4:$M$103,"Unknown Option Type")))*(AR$26=IF($C$2='Data Validation'!$A$2,'Bank Adjustments'!$E$4:$E$103,IF('Adjustment Surface'!$C$2='Data Validation'!$A$3,'Bank Adjustments'!$O$4:$O$103,"Unknown Option Type"))),0)))</f>
        <v/>
      </c>
      <c r="AS45" s="193" t="str" cm="1">
        <f t="array" ref="AS45">IF(OR(AS$26="",$AN45=""),"",INDEX(IF($C$2='Data Validation'!$A$2,'Bank Adjustments'!$I$4:$I$103,IF('Adjustment Surface'!$C$2='Data Validation'!$A$3,'Bank Adjustments'!$S$4:$S$103,"Unknown Option Type")),MATCH(1,($AN45=IF($C$2='Data Validation'!$A$2,'Bank Adjustments'!$C$4:$C$103,IF('Adjustment Surface'!$C$2='Data Validation'!$A$3,'Bank Adjustments'!$M$4:$M$103,"Unknown Option Type")))*(AS$26=IF($C$2='Data Validation'!$A$2,'Bank Adjustments'!$E$4:$E$103,IF('Adjustment Surface'!$C$2='Data Validation'!$A$3,'Bank Adjustments'!$O$4:$O$103,"Unknown Option Type"))),0)))</f>
        <v/>
      </c>
      <c r="AT45" s="193" t="str" cm="1">
        <f t="array" ref="AT45">IF(OR(AT$26="",$AN45=""),"",INDEX(IF($C$2='Data Validation'!$A$2,'Bank Adjustments'!$I$4:$I$103,IF('Adjustment Surface'!$C$2='Data Validation'!$A$3,'Bank Adjustments'!$S$4:$S$103,"Unknown Option Type")),MATCH(1,($AN45=IF($C$2='Data Validation'!$A$2,'Bank Adjustments'!$C$4:$C$103,IF('Adjustment Surface'!$C$2='Data Validation'!$A$3,'Bank Adjustments'!$M$4:$M$103,"Unknown Option Type")))*(AT$26=IF($C$2='Data Validation'!$A$2,'Bank Adjustments'!$E$4:$E$103,IF('Adjustment Surface'!$C$2='Data Validation'!$A$3,'Bank Adjustments'!$O$4:$O$103,"Unknown Option Type"))),0)))</f>
        <v/>
      </c>
      <c r="AU45" s="193" t="str" cm="1">
        <f t="array" ref="AU45">IF(OR(AU$26="",$AN45=""),"",INDEX(IF($C$2='Data Validation'!$A$2,'Bank Adjustments'!$I$4:$I$103,IF('Adjustment Surface'!$C$2='Data Validation'!$A$3,'Bank Adjustments'!$S$4:$S$103,"Unknown Option Type")),MATCH(1,($AN45=IF($C$2='Data Validation'!$A$2,'Bank Adjustments'!$C$4:$C$103,IF('Adjustment Surface'!$C$2='Data Validation'!$A$3,'Bank Adjustments'!$M$4:$M$103,"Unknown Option Type")))*(AU$26=IF($C$2='Data Validation'!$A$2,'Bank Adjustments'!$E$4:$E$103,IF('Adjustment Surface'!$C$2='Data Validation'!$A$3,'Bank Adjustments'!$O$4:$O$103,"Unknown Option Type"))),0)))</f>
        <v/>
      </c>
      <c r="AV45" s="193" t="str" cm="1">
        <f t="array" ref="AV45">IF(OR(AV$26="",$AN45=""),"",INDEX(IF($C$2='Data Validation'!$A$2,'Bank Adjustments'!$I$4:$I$103,IF('Adjustment Surface'!$C$2='Data Validation'!$A$3,'Bank Adjustments'!$S$4:$S$103,"Unknown Option Type")),MATCH(1,($AN45=IF($C$2='Data Validation'!$A$2,'Bank Adjustments'!$C$4:$C$103,IF('Adjustment Surface'!$C$2='Data Validation'!$A$3,'Bank Adjustments'!$M$4:$M$103,"Unknown Option Type")))*(AV$26=IF($C$2='Data Validation'!$A$2,'Bank Adjustments'!$E$4:$E$103,IF('Adjustment Surface'!$C$2='Data Validation'!$A$3,'Bank Adjustments'!$O$4:$O$103,"Unknown Option Type"))),0)))</f>
        <v/>
      </c>
      <c r="AW45" s="193" t="str" cm="1">
        <f t="array" ref="AW45">IF(OR(AW$26="",$AN45=""),"",INDEX(IF($C$2='Data Validation'!$A$2,'Bank Adjustments'!$I$4:$I$103,IF('Adjustment Surface'!$C$2='Data Validation'!$A$3,'Bank Adjustments'!$S$4:$S$103,"Unknown Option Type")),MATCH(1,($AN45=IF($C$2='Data Validation'!$A$2,'Bank Adjustments'!$C$4:$C$103,IF('Adjustment Surface'!$C$2='Data Validation'!$A$3,'Bank Adjustments'!$M$4:$M$103,"Unknown Option Type")))*(AW$26=IF($C$2='Data Validation'!$A$2,'Bank Adjustments'!$E$4:$E$103,IF('Adjustment Surface'!$C$2='Data Validation'!$A$3,'Bank Adjustments'!$O$4:$O$103,"Unknown Option Type"))),0)))</f>
        <v/>
      </c>
      <c r="AX45" s="193" t="str" cm="1">
        <f t="array" ref="AX45">IF(OR(AX$26="",$AN45=""),"",INDEX(IF($C$2='Data Validation'!$A$2,'Bank Adjustments'!$I$4:$I$103,IF('Adjustment Surface'!$C$2='Data Validation'!$A$3,'Bank Adjustments'!$S$4:$S$103,"Unknown Option Type")),MATCH(1,($AN45=IF($C$2='Data Validation'!$A$2,'Bank Adjustments'!$C$4:$C$103,IF('Adjustment Surface'!$C$2='Data Validation'!$A$3,'Bank Adjustments'!$M$4:$M$103,"Unknown Option Type")))*(AX$26=IF($C$2='Data Validation'!$A$2,'Bank Adjustments'!$E$4:$E$103,IF('Adjustment Surface'!$C$2='Data Validation'!$A$3,'Bank Adjustments'!$O$4:$O$103,"Unknown Option Type"))),0)))</f>
        <v/>
      </c>
      <c r="AY45" s="193" t="str" cm="1">
        <f t="array" ref="AY45">IF(OR(AY$26="",$AN45=""),"",INDEX(IF($C$2='Data Validation'!$A$2,'Bank Adjustments'!$I$4:$I$103,IF('Adjustment Surface'!$C$2='Data Validation'!$A$3,'Bank Adjustments'!$S$4:$S$103,"Unknown Option Type")),MATCH(1,($AN45=IF($C$2='Data Validation'!$A$2,'Bank Adjustments'!$C$4:$C$103,IF('Adjustment Surface'!$C$2='Data Validation'!$A$3,'Bank Adjustments'!$M$4:$M$103,"Unknown Option Type")))*(AY$26=IF($C$2='Data Validation'!$A$2,'Bank Adjustments'!$E$4:$E$103,IF('Adjustment Surface'!$C$2='Data Validation'!$A$3,'Bank Adjustments'!$O$4:$O$103,"Unknown Option Type"))),0)))</f>
        <v/>
      </c>
      <c r="AZ45" s="193" t="str" cm="1">
        <f t="array" ref="AZ45">IF(OR(AZ$26="",$AN45=""),"",INDEX(IF($C$2='Data Validation'!$A$2,'Bank Adjustments'!$I$4:$I$103,IF('Adjustment Surface'!$C$2='Data Validation'!$A$3,'Bank Adjustments'!$S$4:$S$103,"Unknown Option Type")),MATCH(1,($AN45=IF($C$2='Data Validation'!$A$2,'Bank Adjustments'!$C$4:$C$103,IF('Adjustment Surface'!$C$2='Data Validation'!$A$3,'Bank Adjustments'!$M$4:$M$103,"Unknown Option Type")))*(AZ$26=IF($C$2='Data Validation'!$A$2,'Bank Adjustments'!$E$4:$E$103,IF('Adjustment Surface'!$C$2='Data Validation'!$A$3,'Bank Adjustments'!$O$4:$O$103,"Unknown Option Type"))),0)))</f>
        <v/>
      </c>
      <c r="BA45" s="193" t="str" cm="1">
        <f t="array" ref="BA45">IF(OR(BA$26="",$AN45=""),"",INDEX(IF($C$2='Data Validation'!$A$2,'Bank Adjustments'!$I$4:$I$103,IF('Adjustment Surface'!$C$2='Data Validation'!$A$3,'Bank Adjustments'!$S$4:$S$103,"Unknown Option Type")),MATCH(1,($AN45=IF($C$2='Data Validation'!$A$2,'Bank Adjustments'!$C$4:$C$103,IF('Adjustment Surface'!$C$2='Data Validation'!$A$3,'Bank Adjustments'!$M$4:$M$103,"Unknown Option Type")))*(BA$26=IF($C$2='Data Validation'!$A$2,'Bank Adjustments'!$E$4:$E$103,IF('Adjustment Surface'!$C$2='Data Validation'!$A$3,'Bank Adjustments'!$O$4:$O$103,"Unknown Option Type"))),0)))</f>
        <v/>
      </c>
      <c r="BB45" s="193" t="str" cm="1">
        <f t="array" ref="BB45">IF(OR(BB$26="",$AN45=""),"",INDEX(IF($C$2='Data Validation'!$A$2,'Bank Adjustments'!$I$4:$I$103,IF('Adjustment Surface'!$C$2='Data Validation'!$A$3,'Bank Adjustments'!$S$4:$S$103,"Unknown Option Type")),MATCH(1,($AN45=IF($C$2='Data Validation'!$A$2,'Bank Adjustments'!$C$4:$C$103,IF('Adjustment Surface'!$C$2='Data Validation'!$A$3,'Bank Adjustments'!$M$4:$M$103,"Unknown Option Type")))*(BB$26=IF($C$2='Data Validation'!$A$2,'Bank Adjustments'!$E$4:$E$103,IF('Adjustment Surface'!$C$2='Data Validation'!$A$3,'Bank Adjustments'!$O$4:$O$103,"Unknown Option Type"))),0)))</f>
        <v/>
      </c>
      <c r="BC45" s="193" t="str" cm="1">
        <f t="array" ref="BC45">IF(OR(BC$26="",$AN45=""),"",INDEX(IF($C$2='Data Validation'!$A$2,'Bank Adjustments'!$I$4:$I$103,IF('Adjustment Surface'!$C$2='Data Validation'!$A$3,'Bank Adjustments'!$S$4:$S$103,"Unknown Option Type")),MATCH(1,($AN45=IF($C$2='Data Validation'!$A$2,'Bank Adjustments'!$C$4:$C$103,IF('Adjustment Surface'!$C$2='Data Validation'!$A$3,'Bank Adjustments'!$M$4:$M$103,"Unknown Option Type")))*(BC$26=IF($C$2='Data Validation'!$A$2,'Bank Adjustments'!$E$4:$E$103,IF('Adjustment Surface'!$C$2='Data Validation'!$A$3,'Bank Adjustments'!$O$4:$O$103,"Unknown Option Type"))),0)))</f>
        <v/>
      </c>
      <c r="BD45" s="193" t="str" cm="1">
        <f t="array" ref="BD45">IF(OR(BD$26="",$AN45=""),"",INDEX(IF($C$2='Data Validation'!$A$2,'Bank Adjustments'!$I$4:$I$103,IF('Adjustment Surface'!$C$2='Data Validation'!$A$3,'Bank Adjustments'!$S$4:$S$103,"Unknown Option Type")),MATCH(1,($AN45=IF($C$2='Data Validation'!$A$2,'Bank Adjustments'!$C$4:$C$103,IF('Adjustment Surface'!$C$2='Data Validation'!$A$3,'Bank Adjustments'!$M$4:$M$103,"Unknown Option Type")))*(BD$26=IF($C$2='Data Validation'!$A$2,'Bank Adjustments'!$E$4:$E$103,IF('Adjustment Surface'!$C$2='Data Validation'!$A$3,'Bank Adjustments'!$O$4:$O$103,"Unknown Option Type"))),0)))</f>
        <v/>
      </c>
      <c r="BE45" s="193" t="str" cm="1">
        <f t="array" ref="BE45">IF(OR(BE$26="",$AN45=""),"",INDEX(IF($C$2='Data Validation'!$A$2,'Bank Adjustments'!$I$4:$I$103,IF('Adjustment Surface'!$C$2='Data Validation'!$A$3,'Bank Adjustments'!$S$4:$S$103,"Unknown Option Type")),MATCH(1,($AN45=IF($C$2='Data Validation'!$A$2,'Bank Adjustments'!$C$4:$C$103,IF('Adjustment Surface'!$C$2='Data Validation'!$A$3,'Bank Adjustments'!$M$4:$M$103,"Unknown Option Type")))*(BE$26=IF($C$2='Data Validation'!$A$2,'Bank Adjustments'!$E$4:$E$103,IF('Adjustment Surface'!$C$2='Data Validation'!$A$3,'Bank Adjustments'!$O$4:$O$103,"Unknown Option Type"))),0)))</f>
        <v/>
      </c>
      <c r="BF45" s="193" t="str" cm="1">
        <f t="array" ref="BF45">IF(OR(BF$26="",$AN45=""),"",INDEX(IF($C$2='Data Validation'!$A$2,'Bank Adjustments'!$I$4:$I$103,IF('Adjustment Surface'!$C$2='Data Validation'!$A$3,'Bank Adjustments'!$S$4:$S$103,"Unknown Option Type")),MATCH(1,($AN45=IF($C$2='Data Validation'!$A$2,'Bank Adjustments'!$C$4:$C$103,IF('Adjustment Surface'!$C$2='Data Validation'!$A$3,'Bank Adjustments'!$M$4:$M$103,"Unknown Option Type")))*(BF$26=IF($C$2='Data Validation'!$A$2,'Bank Adjustments'!$E$4:$E$103,IF('Adjustment Surface'!$C$2='Data Validation'!$A$3,'Bank Adjustments'!$O$4:$O$103,"Unknown Option Type"))),0)))</f>
        <v/>
      </c>
      <c r="BG45" s="193" t="str" cm="1">
        <f t="array" ref="BG45">IF(OR(BG$26="",$AN45=""),"",INDEX(IF($C$2='Data Validation'!$A$2,'Bank Adjustments'!$I$4:$I$103,IF('Adjustment Surface'!$C$2='Data Validation'!$A$3,'Bank Adjustments'!$S$4:$S$103,"Unknown Option Type")),MATCH(1,($AN45=IF($C$2='Data Validation'!$A$2,'Bank Adjustments'!$C$4:$C$103,IF('Adjustment Surface'!$C$2='Data Validation'!$A$3,'Bank Adjustments'!$M$4:$M$103,"Unknown Option Type")))*(BG$26=IF($C$2='Data Validation'!$A$2,'Bank Adjustments'!$E$4:$E$103,IF('Adjustment Surface'!$C$2='Data Validation'!$A$3,'Bank Adjustments'!$O$4:$O$103,"Unknown Option Type"))),0)))</f>
        <v/>
      </c>
      <c r="BH45" s="194" t="str" cm="1">
        <f t="array" ref="BH45">IF(OR(BH$26="",$AN45=""),"",INDEX(IF($C$2='Data Validation'!$A$2,'Bank Adjustments'!$I$4:$I$103,IF('Adjustment Surface'!$C$2='Data Validation'!$A$3,'Bank Adjustments'!$S$4:$S$103,"Unknown Option Type")),MATCH(1,($AN45=IF($C$2='Data Validation'!$A$2,'Bank Adjustments'!$C$4:$C$103,IF('Adjustment Surface'!$C$2='Data Validation'!$A$3,'Bank Adjustments'!$M$4:$M$103,"Unknown Option Type")))*(BH$26=IF($C$2='Data Validation'!$A$2,'Bank Adjustments'!$E$4:$E$103,IF('Adjustment Surface'!$C$2='Data Validation'!$A$3,'Bank Adjustments'!$O$4:$O$103,"Unknown Option Type"))),0)))</f>
        <v/>
      </c>
    </row>
    <row r="46" spans="2:60" x14ac:dyDescent="0.25">
      <c r="B46" s="75">
        <f>B39</f>
        <v>0.06</v>
      </c>
      <c r="C46" s="15">
        <f>ROUNDUP(MAX('Control Panel'!C11,C18+IF($F$9='Data Validation'!$F$2,MIN($F$11,MAX($F$10,C32*C25)),IF($F$9='Data Validation'!$F$3,MIN($F$11,MAX($F$10,C39*C18)),"Unknown Adjustment Type"))),-3)</f>
        <v>15000</v>
      </c>
      <c r="D46" s="15">
        <f>ROUNDUP(MAX('Control Panel'!C11,D18+IF($F$9='Data Validation'!$F$2,MIN($F$11,MAX($F$10,D32*D25)),IF($F$9='Data Validation'!$F$3,MIN($F$11,MAX($F$10,D39*D18)),"Unknown Adjustment Type"))),-3)</f>
        <v>15000</v>
      </c>
      <c r="E46" s="15">
        <f>ROUNDUP(MAX('Control Panel'!C11,E18+IF($F$9='Data Validation'!$F$2,MIN($F$11,MAX($F$10,E32*E25)),IF($F$9='Data Validation'!$F$3,MIN($F$11,MAX($F$10,E39*E18)),"Unknown Adjustment Type"))),-3)</f>
        <v>25000</v>
      </c>
      <c r="F46" s="15">
        <f>ROUNDUP(MAX('Control Panel'!C11,F18+IF($F$9='Data Validation'!$F$2,MIN($F$11,MAX($F$10,F32*F25)),IF($F$9='Data Validation'!$F$3,MIN($F$11,MAX($F$10,F39*F18)),"Unknown Adjustment Type"))),-3)</f>
        <v>15000</v>
      </c>
      <c r="H46" s="176"/>
      <c r="I46" s="56" t="str">
        <f t="shared" si="6"/>
        <v/>
      </c>
      <c r="J46" s="57" t="str">
        <f t="shared" si="6"/>
        <v/>
      </c>
      <c r="K46" s="57" t="str">
        <f t="shared" si="6"/>
        <v/>
      </c>
      <c r="L46" s="57" t="str">
        <f t="shared" si="6"/>
        <v/>
      </c>
      <c r="M46" s="49" t="str">
        <f t="shared" si="6"/>
        <v/>
      </c>
      <c r="O46" s="176"/>
      <c r="P46" s="195" t="str" cm="1">
        <f t="array" ref="P46">IF(OR(P$26="",$O46=""),"",1/((INDEX('Adjustment Surface'!$AN$27:$AN$46,MATCH(('Adjustment Surface'!$O46),'Adjustment Surface'!$AN$27:$AN$46,1)+IF('Adjustment Surface'!$O47="",-1,1))-INDEX('Adjustment Surface'!$AN$27:$AN$46,MATCH(('Adjustment Surface'!$O46),'Adjustment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Surface'!$O46),'Adjustment Surface'!$AN$27:$AN$46,1)),$AN$27:$AN$46,0),MATCH(INDEX('Adjustment Surface'!$AO$26:$BH$26,1,MATCH(('Adjustment Surface'!P$26),'Adjustment Surface'!$AO$26:$BH$26,1)),$AO$26:$BH$26,0))*(INDEX('Adjustment Surface'!$AN$27:$AN$46,MATCH(('Adjustment Surface'!$O46),'Adjustment Surface'!$AN$27:$AN$46,1)+IF('Adjustment Surface'!$O47="",-1,1))-'Adjustment Surface'!$O46)*(INDEX('Adjustment Surface'!$AO$26:$BH$26,1,MATCH(('Adjustment Surface'!P$26),'Adjustment Surface'!$AO$26:$BH$26,1)+IF('Adjustment Surface'!Q$26="",-1,1))-'Adjustment Surface'!P$26)+INDEX($AO$27:$BH$46,MATCH(INDEX('Adjustment Surface'!$AN$27:$AN$46,MATCH(('Adjustment Surface'!$O46),'Adjustment Surface'!$AN$27:$AN$46,1)+IF('Adjustment Surface'!$O47="",-1,1)),$AN$27:$AN$46,0),MATCH(INDEX('Adjustment Surface'!$AO$26:$BH$26,1,MATCH(('Adjustment Surface'!P$26),'Adjustment Surface'!$AO$26:$BH$26,1)),$AO$26:$BH$26,0))*('Adjustment Surface'!$O46-INDEX('Adjustment Surface'!$AN$27:$AN$46,MATCH(('Adjustment Surface'!$O46),'Adjustment Surface'!$AN$27:$AN$46,1)))*(INDEX('Adjustment Surface'!$AO$26:$BH$26,1,MATCH(('Adjustment Surface'!P$26),'Adjustment Surface'!$AO$26:$BH$26,1)+IF('Adjustment Surface'!Q$26="",-1,1))-'Adjustment Surface'!P$26)+INDEX($AO$27:$BH$46,MATCH(INDEX('Adjustment Surface'!$AN$27:$AN$46,MATCH(('Adjustment Surface'!$O46),'Adjustment Surface'!$AN$27:$AN$46,1)),$AN$27:$AN$46,0),MATCH(INDEX('Adjustment Surface'!$AO$26:$BH$26,1,MATCH(('Adjustment Surface'!P$26),'Adjustment Surface'!$AO$26:$BH$26,1)+IF('Adjustment Surface'!Q$26="",-1,1)),$AO$26:$BH$26,0))*(INDEX('Adjustment Surface'!$AN$27:$AN$46,MATCH(('Adjustment Surface'!$O46),'Adjustment Surface'!$AN$27:$AN$46,1)+IF('Adjustment Surface'!$O47="",-1,1))-'Adjustment Surface'!$O46)*('Adjustment Surface'!P$26-INDEX('Adjustment Surface'!$AO$26:$BH$26,1,MATCH(('Adjustment Surface'!P$26),'Adjustment Surface'!$AO$26:$BH$26,1)))+INDEX($AO$27:$BH$46,MATCH(INDEX('Adjustment Surface'!$AN$27:$AN$46,MATCH(('Adjustment Surface'!$O46),'Adjustment Surface'!$AN$27:$AN$46,1)+IF('Adjustment Surface'!$O47="",-1,1)),$AN$27:$AN$46,0),MATCH(INDEX('Adjustment Surface'!$AO$26:$BH$26,1,MATCH(('Adjustment Surface'!P$26),'Adjustment Surface'!$AO$26:$BH$26,1)+IF('Adjustment Surface'!Q$26="",-1,1)),$AO$26:$BH$26,0))*('Adjustment Surface'!$O46-INDEX('Adjustment Surface'!$AN$27:$AN$46,MATCH(('Adjustment Surface'!$O46),'Adjustment Surface'!$AN$27:$AN$46,1)))*('Adjustment Surface'!P$26-INDEX('Adjustment Surface'!$AO$26:$BH$26,1,MATCH(('Adjustment Surface'!P$26),'Adjustment Surface'!$AO$26:$BH$26,1)))))</f>
        <v/>
      </c>
      <c r="Q46" s="196" t="str" cm="1">
        <f t="array" ref="Q46">IF(OR(Q$26="",$O46=""),"",1/((INDEX('Adjustment Surface'!$AN$27:$AN$46,MATCH(('Adjustment Surface'!$O46),'Adjustment Surface'!$AN$27:$AN$46,1)+IF('Adjustment Surface'!$O47="",-1,1))-INDEX('Adjustment Surface'!$AN$27:$AN$46,MATCH(('Adjustment Surface'!$O46),'Adjustment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Surface'!$O46),'Adjustment Surface'!$AN$27:$AN$46,1)),$AN$27:$AN$46,0),MATCH(INDEX('Adjustment Surface'!$AO$26:$BH$26,1,MATCH(('Adjustment Surface'!Q$26),'Adjustment Surface'!$AO$26:$BH$26,1)),$AO$26:$BH$26,0))*(INDEX('Adjustment Surface'!$AN$27:$AN$46,MATCH(('Adjustment Surface'!$O46),'Adjustment Surface'!$AN$27:$AN$46,1)+IF('Adjustment Surface'!$O47="",-1,1))-'Adjustment Surface'!$O46)*(INDEX('Adjustment Surface'!$AO$26:$BH$26,1,MATCH(('Adjustment Surface'!Q$26),'Adjustment Surface'!$AO$26:$BH$26,1)+IF('Adjustment Surface'!R$26="",-1,1))-'Adjustment Surface'!Q$26)+INDEX($AO$27:$BH$46,MATCH(INDEX('Adjustment Surface'!$AN$27:$AN$46,MATCH(('Adjustment Surface'!$O46),'Adjustment Surface'!$AN$27:$AN$46,1)+IF('Adjustment Surface'!$O47="",-1,1)),$AN$27:$AN$46,0),MATCH(INDEX('Adjustment Surface'!$AO$26:$BH$26,1,MATCH(('Adjustment Surface'!Q$26),'Adjustment Surface'!$AO$26:$BH$26,1)),$AO$26:$BH$26,0))*('Adjustment Surface'!$O46-INDEX('Adjustment Surface'!$AN$27:$AN$46,MATCH(('Adjustment Surface'!$O46),'Adjustment Surface'!$AN$27:$AN$46,1)))*(INDEX('Adjustment Surface'!$AO$26:$BH$26,1,MATCH(('Adjustment Surface'!Q$26),'Adjustment Surface'!$AO$26:$BH$26,1)+IF('Adjustment Surface'!R$26="",-1,1))-'Adjustment Surface'!Q$26)+INDEX($AO$27:$BH$46,MATCH(INDEX('Adjustment Surface'!$AN$27:$AN$46,MATCH(('Adjustment Surface'!$O46),'Adjustment Surface'!$AN$27:$AN$46,1)),$AN$27:$AN$46,0),MATCH(INDEX('Adjustment Surface'!$AO$26:$BH$26,1,MATCH(('Adjustment Surface'!Q$26),'Adjustment Surface'!$AO$26:$BH$26,1)+IF('Adjustment Surface'!R$26="",-1,1)),$AO$26:$BH$26,0))*(INDEX('Adjustment Surface'!$AN$27:$AN$46,MATCH(('Adjustment Surface'!$O46),'Adjustment Surface'!$AN$27:$AN$46,1)+IF('Adjustment Surface'!$O47="",-1,1))-'Adjustment Surface'!$O46)*('Adjustment Surface'!Q$26-INDEX('Adjustment Surface'!$AO$26:$BH$26,1,MATCH(('Adjustment Surface'!Q$26),'Adjustment Surface'!$AO$26:$BH$26,1)))+INDEX($AO$27:$BH$46,MATCH(INDEX('Adjustment Surface'!$AN$27:$AN$46,MATCH(('Adjustment Surface'!$O46),'Adjustment Surface'!$AN$27:$AN$46,1)+IF('Adjustment Surface'!$O47="",-1,1)),$AN$27:$AN$46,0),MATCH(INDEX('Adjustment Surface'!$AO$26:$BH$26,1,MATCH(('Adjustment Surface'!Q$26),'Adjustment Surface'!$AO$26:$BH$26,1)+IF('Adjustment Surface'!R$26="",-1,1)),$AO$26:$BH$26,0))*('Adjustment Surface'!$O46-INDEX('Adjustment Surface'!$AN$27:$AN$46,MATCH(('Adjustment Surface'!$O46),'Adjustment Surface'!$AN$27:$AN$46,1)))*('Adjustment Surface'!Q$26-INDEX('Adjustment Surface'!$AO$26:$BH$26,1,MATCH(('Adjustment Surface'!Q$26),'Adjustment Surface'!$AO$26:$BH$26,1)))))</f>
        <v/>
      </c>
      <c r="R46" s="196" t="str" cm="1">
        <f t="array" ref="R46">IF(OR(R$26="",$O46=""),"",1/((INDEX('Adjustment Surface'!$AN$27:$AN$46,MATCH(('Adjustment Surface'!$O46),'Adjustment Surface'!$AN$27:$AN$46,1)+IF('Adjustment Surface'!$O47="",-1,1))-INDEX('Adjustment Surface'!$AN$27:$AN$46,MATCH(('Adjustment Surface'!$O46),'Adjustment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Surface'!$O46),'Adjustment Surface'!$AN$27:$AN$46,1)),$AN$27:$AN$46,0),MATCH(INDEX('Adjustment Surface'!$AO$26:$BH$26,1,MATCH(('Adjustment Surface'!R$26),'Adjustment Surface'!$AO$26:$BH$26,1)),$AO$26:$BH$26,0))*(INDEX('Adjustment Surface'!$AN$27:$AN$46,MATCH(('Adjustment Surface'!$O46),'Adjustment Surface'!$AN$27:$AN$46,1)+IF('Adjustment Surface'!$O47="",-1,1))-'Adjustment Surface'!$O46)*(INDEX('Adjustment Surface'!$AO$26:$BH$26,1,MATCH(('Adjustment Surface'!R$26),'Adjustment Surface'!$AO$26:$BH$26,1)+IF('Adjustment Surface'!S$26="",-1,1))-'Adjustment Surface'!R$26)+INDEX($AO$27:$BH$46,MATCH(INDEX('Adjustment Surface'!$AN$27:$AN$46,MATCH(('Adjustment Surface'!$O46),'Adjustment Surface'!$AN$27:$AN$46,1)+IF('Adjustment Surface'!$O47="",-1,1)),$AN$27:$AN$46,0),MATCH(INDEX('Adjustment Surface'!$AO$26:$BH$26,1,MATCH(('Adjustment Surface'!R$26),'Adjustment Surface'!$AO$26:$BH$26,1)),$AO$26:$BH$26,0))*('Adjustment Surface'!$O46-INDEX('Adjustment Surface'!$AN$27:$AN$46,MATCH(('Adjustment Surface'!$O46),'Adjustment Surface'!$AN$27:$AN$46,1)))*(INDEX('Adjustment Surface'!$AO$26:$BH$26,1,MATCH(('Adjustment Surface'!R$26),'Adjustment Surface'!$AO$26:$BH$26,1)+IF('Adjustment Surface'!S$26="",-1,1))-'Adjustment Surface'!R$26)+INDEX($AO$27:$BH$46,MATCH(INDEX('Adjustment Surface'!$AN$27:$AN$46,MATCH(('Adjustment Surface'!$O46),'Adjustment Surface'!$AN$27:$AN$46,1)),$AN$27:$AN$46,0),MATCH(INDEX('Adjustment Surface'!$AO$26:$BH$26,1,MATCH(('Adjustment Surface'!R$26),'Adjustment Surface'!$AO$26:$BH$26,1)+IF('Adjustment Surface'!S$26="",-1,1)),$AO$26:$BH$26,0))*(INDEX('Adjustment Surface'!$AN$27:$AN$46,MATCH(('Adjustment Surface'!$O46),'Adjustment Surface'!$AN$27:$AN$46,1)+IF('Adjustment Surface'!$O47="",-1,1))-'Adjustment Surface'!$O46)*('Adjustment Surface'!R$26-INDEX('Adjustment Surface'!$AO$26:$BH$26,1,MATCH(('Adjustment Surface'!R$26),'Adjustment Surface'!$AO$26:$BH$26,1)))+INDEX($AO$27:$BH$46,MATCH(INDEX('Adjustment Surface'!$AN$27:$AN$46,MATCH(('Adjustment Surface'!$O46),'Adjustment Surface'!$AN$27:$AN$46,1)+IF('Adjustment Surface'!$O47="",-1,1)),$AN$27:$AN$46,0),MATCH(INDEX('Adjustment Surface'!$AO$26:$BH$26,1,MATCH(('Adjustment Surface'!R$26),'Adjustment Surface'!$AO$26:$BH$26,1)+IF('Adjustment Surface'!S$26="",-1,1)),$AO$26:$BH$26,0))*('Adjustment Surface'!$O46-INDEX('Adjustment Surface'!$AN$27:$AN$46,MATCH(('Adjustment Surface'!$O46),'Adjustment Surface'!$AN$27:$AN$46,1)))*('Adjustment Surface'!R$26-INDEX('Adjustment Surface'!$AO$26:$BH$26,1,MATCH(('Adjustment Surface'!R$26),'Adjustment Surface'!$AO$26:$BH$26,1)))))</f>
        <v/>
      </c>
      <c r="S46" s="196" t="str" cm="1">
        <f t="array" ref="S46">IF(OR(S$26="",$O46=""),"",1/((INDEX('Adjustment Surface'!$AN$27:$AN$46,MATCH(('Adjustment Surface'!$O46),'Adjustment Surface'!$AN$27:$AN$46,1)+IF('Adjustment Surface'!$O47="",-1,1))-INDEX('Adjustment Surface'!$AN$27:$AN$46,MATCH(('Adjustment Surface'!$O46),'Adjustment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Surface'!$O46),'Adjustment Surface'!$AN$27:$AN$46,1)),$AN$27:$AN$46,0),MATCH(INDEX('Adjustment Surface'!$AO$26:$BH$26,1,MATCH(('Adjustment Surface'!S$26),'Adjustment Surface'!$AO$26:$BH$26,1)),$AO$26:$BH$26,0))*(INDEX('Adjustment Surface'!$AN$27:$AN$46,MATCH(('Adjustment Surface'!$O46),'Adjustment Surface'!$AN$27:$AN$46,1)+IF('Adjustment Surface'!$O47="",-1,1))-'Adjustment Surface'!$O46)*(INDEX('Adjustment Surface'!$AO$26:$BH$26,1,MATCH(('Adjustment Surface'!S$26),'Adjustment Surface'!$AO$26:$BH$26,1)+IF('Adjustment Surface'!T$26="",-1,1))-'Adjustment Surface'!S$26)+INDEX($AO$27:$BH$46,MATCH(INDEX('Adjustment Surface'!$AN$27:$AN$46,MATCH(('Adjustment Surface'!$O46),'Adjustment Surface'!$AN$27:$AN$46,1)+IF('Adjustment Surface'!$O47="",-1,1)),$AN$27:$AN$46,0),MATCH(INDEX('Adjustment Surface'!$AO$26:$BH$26,1,MATCH(('Adjustment Surface'!S$26),'Adjustment Surface'!$AO$26:$BH$26,1)),$AO$26:$BH$26,0))*('Adjustment Surface'!$O46-INDEX('Adjustment Surface'!$AN$27:$AN$46,MATCH(('Adjustment Surface'!$O46),'Adjustment Surface'!$AN$27:$AN$46,1)))*(INDEX('Adjustment Surface'!$AO$26:$BH$26,1,MATCH(('Adjustment Surface'!S$26),'Adjustment Surface'!$AO$26:$BH$26,1)+IF('Adjustment Surface'!T$26="",-1,1))-'Adjustment Surface'!S$26)+INDEX($AO$27:$BH$46,MATCH(INDEX('Adjustment Surface'!$AN$27:$AN$46,MATCH(('Adjustment Surface'!$O46),'Adjustment Surface'!$AN$27:$AN$46,1)),$AN$27:$AN$46,0),MATCH(INDEX('Adjustment Surface'!$AO$26:$BH$26,1,MATCH(('Adjustment Surface'!S$26),'Adjustment Surface'!$AO$26:$BH$26,1)+IF('Adjustment Surface'!T$26="",-1,1)),$AO$26:$BH$26,0))*(INDEX('Adjustment Surface'!$AN$27:$AN$46,MATCH(('Adjustment Surface'!$O46),'Adjustment Surface'!$AN$27:$AN$46,1)+IF('Adjustment Surface'!$O47="",-1,1))-'Adjustment Surface'!$O46)*('Adjustment Surface'!S$26-INDEX('Adjustment Surface'!$AO$26:$BH$26,1,MATCH(('Adjustment Surface'!S$26),'Adjustment Surface'!$AO$26:$BH$26,1)))+INDEX($AO$27:$BH$46,MATCH(INDEX('Adjustment Surface'!$AN$27:$AN$46,MATCH(('Adjustment Surface'!$O46),'Adjustment Surface'!$AN$27:$AN$46,1)+IF('Adjustment Surface'!$O47="",-1,1)),$AN$27:$AN$46,0),MATCH(INDEX('Adjustment Surface'!$AO$26:$BH$26,1,MATCH(('Adjustment Surface'!S$26),'Adjustment Surface'!$AO$26:$BH$26,1)+IF('Adjustment Surface'!T$26="",-1,1)),$AO$26:$BH$26,0))*('Adjustment Surface'!$O46-INDEX('Adjustment Surface'!$AN$27:$AN$46,MATCH(('Adjustment Surface'!$O46),'Adjustment Surface'!$AN$27:$AN$46,1)))*('Adjustment Surface'!S$26-INDEX('Adjustment Surface'!$AO$26:$BH$26,1,MATCH(('Adjustment Surface'!S$26),'Adjustment Surface'!$AO$26:$BH$26,1)))))</f>
        <v/>
      </c>
      <c r="T46" s="196" t="str" cm="1">
        <f t="array" ref="T46">IF(OR(T$26="",$O46=""),"",1/((INDEX('Adjustment Surface'!$AN$27:$AN$46,MATCH(('Adjustment Surface'!$O46),'Adjustment Surface'!$AN$27:$AN$46,1)+IF('Adjustment Surface'!$O47="",-1,1))-INDEX('Adjustment Surface'!$AN$27:$AN$46,MATCH(('Adjustment Surface'!$O46),'Adjustment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Surface'!$O46),'Adjustment Surface'!$AN$27:$AN$46,1)),$AN$27:$AN$46,0),MATCH(INDEX('Adjustment Surface'!$AO$26:$BH$26,1,MATCH(('Adjustment Surface'!T$26),'Adjustment Surface'!$AO$26:$BH$26,1)),$AO$26:$BH$26,0))*(INDEX('Adjustment Surface'!$AN$27:$AN$46,MATCH(('Adjustment Surface'!$O46),'Adjustment Surface'!$AN$27:$AN$46,1)+IF('Adjustment Surface'!$O47="",-1,1))-'Adjustment Surface'!$O46)*(INDEX('Adjustment Surface'!$AO$26:$BH$26,1,MATCH(('Adjustment Surface'!T$26),'Adjustment Surface'!$AO$26:$BH$26,1)+IF('Adjustment Surface'!U$26="",-1,1))-'Adjustment Surface'!T$26)+INDEX($AO$27:$BH$46,MATCH(INDEX('Adjustment Surface'!$AN$27:$AN$46,MATCH(('Adjustment Surface'!$O46),'Adjustment Surface'!$AN$27:$AN$46,1)+IF('Adjustment Surface'!$O47="",-1,1)),$AN$27:$AN$46,0),MATCH(INDEX('Adjustment Surface'!$AO$26:$BH$26,1,MATCH(('Adjustment Surface'!T$26),'Adjustment Surface'!$AO$26:$BH$26,1)),$AO$26:$BH$26,0))*('Adjustment Surface'!$O46-INDEX('Adjustment Surface'!$AN$27:$AN$46,MATCH(('Adjustment Surface'!$O46),'Adjustment Surface'!$AN$27:$AN$46,1)))*(INDEX('Adjustment Surface'!$AO$26:$BH$26,1,MATCH(('Adjustment Surface'!T$26),'Adjustment Surface'!$AO$26:$BH$26,1)+IF('Adjustment Surface'!U$26="",-1,1))-'Adjustment Surface'!T$26)+INDEX($AO$27:$BH$46,MATCH(INDEX('Adjustment Surface'!$AN$27:$AN$46,MATCH(('Adjustment Surface'!$O46),'Adjustment Surface'!$AN$27:$AN$46,1)),$AN$27:$AN$46,0),MATCH(INDEX('Adjustment Surface'!$AO$26:$BH$26,1,MATCH(('Adjustment Surface'!T$26),'Adjustment Surface'!$AO$26:$BH$26,1)+IF('Adjustment Surface'!U$26="",-1,1)),$AO$26:$BH$26,0))*(INDEX('Adjustment Surface'!$AN$27:$AN$46,MATCH(('Adjustment Surface'!$O46),'Adjustment Surface'!$AN$27:$AN$46,1)+IF('Adjustment Surface'!$O47="",-1,1))-'Adjustment Surface'!$O46)*('Adjustment Surface'!T$26-INDEX('Adjustment Surface'!$AO$26:$BH$26,1,MATCH(('Adjustment Surface'!T$26),'Adjustment Surface'!$AO$26:$BH$26,1)))+INDEX($AO$27:$BH$46,MATCH(INDEX('Adjustment Surface'!$AN$27:$AN$46,MATCH(('Adjustment Surface'!$O46),'Adjustment Surface'!$AN$27:$AN$46,1)+IF('Adjustment Surface'!$O47="",-1,1)),$AN$27:$AN$46,0),MATCH(INDEX('Adjustment Surface'!$AO$26:$BH$26,1,MATCH(('Adjustment Surface'!T$26),'Adjustment Surface'!$AO$26:$BH$26,1)+IF('Adjustment Surface'!U$26="",-1,1)),$AO$26:$BH$26,0))*('Adjustment Surface'!$O46-INDEX('Adjustment Surface'!$AN$27:$AN$46,MATCH(('Adjustment Surface'!$O46),'Adjustment Surface'!$AN$27:$AN$46,1)))*('Adjustment Surface'!T$26-INDEX('Adjustment Surface'!$AO$26:$BH$26,1,MATCH(('Adjustment Surface'!T$26),'Adjustment Surface'!$AO$26:$BH$26,1)))))</f>
        <v/>
      </c>
      <c r="U46" s="196" t="str" cm="1">
        <f t="array" ref="U46">IF(OR(U$26="",$O46=""),"",1/((INDEX('Adjustment Surface'!$AN$27:$AN$46,MATCH(('Adjustment Surface'!$O46),'Adjustment Surface'!$AN$27:$AN$46,1)+IF('Adjustment Surface'!$O47="",-1,1))-INDEX('Adjustment Surface'!$AN$27:$AN$46,MATCH(('Adjustment Surface'!$O46),'Adjustment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Surface'!$O46),'Adjustment Surface'!$AN$27:$AN$46,1)),$AN$27:$AN$46,0),MATCH(INDEX('Adjustment Surface'!$AO$26:$BH$26,1,MATCH(('Adjustment Surface'!U$26),'Adjustment Surface'!$AO$26:$BH$26,1)),$AO$26:$BH$26,0))*(INDEX('Adjustment Surface'!$AN$27:$AN$46,MATCH(('Adjustment Surface'!$O46),'Adjustment Surface'!$AN$27:$AN$46,1)+IF('Adjustment Surface'!$O47="",-1,1))-'Adjustment Surface'!$O46)*(INDEX('Adjustment Surface'!$AO$26:$BH$26,1,MATCH(('Adjustment Surface'!U$26),'Adjustment Surface'!$AO$26:$BH$26,1)+IF('Adjustment Surface'!V$26="",-1,1))-'Adjustment Surface'!U$26)+INDEX($AO$27:$BH$46,MATCH(INDEX('Adjustment Surface'!$AN$27:$AN$46,MATCH(('Adjustment Surface'!$O46),'Adjustment Surface'!$AN$27:$AN$46,1)+IF('Adjustment Surface'!$O47="",-1,1)),$AN$27:$AN$46,0),MATCH(INDEX('Adjustment Surface'!$AO$26:$BH$26,1,MATCH(('Adjustment Surface'!U$26),'Adjustment Surface'!$AO$26:$BH$26,1)),$AO$26:$BH$26,0))*('Adjustment Surface'!$O46-INDEX('Adjustment Surface'!$AN$27:$AN$46,MATCH(('Adjustment Surface'!$O46),'Adjustment Surface'!$AN$27:$AN$46,1)))*(INDEX('Adjustment Surface'!$AO$26:$BH$26,1,MATCH(('Adjustment Surface'!U$26),'Adjustment Surface'!$AO$26:$BH$26,1)+IF('Adjustment Surface'!V$26="",-1,1))-'Adjustment Surface'!U$26)+INDEX($AO$27:$BH$46,MATCH(INDEX('Adjustment Surface'!$AN$27:$AN$46,MATCH(('Adjustment Surface'!$O46),'Adjustment Surface'!$AN$27:$AN$46,1)),$AN$27:$AN$46,0),MATCH(INDEX('Adjustment Surface'!$AO$26:$BH$26,1,MATCH(('Adjustment Surface'!U$26),'Adjustment Surface'!$AO$26:$BH$26,1)+IF('Adjustment Surface'!V$26="",-1,1)),$AO$26:$BH$26,0))*(INDEX('Adjustment Surface'!$AN$27:$AN$46,MATCH(('Adjustment Surface'!$O46),'Adjustment Surface'!$AN$27:$AN$46,1)+IF('Adjustment Surface'!$O47="",-1,1))-'Adjustment Surface'!$O46)*('Adjustment Surface'!U$26-INDEX('Adjustment Surface'!$AO$26:$BH$26,1,MATCH(('Adjustment Surface'!U$26),'Adjustment Surface'!$AO$26:$BH$26,1)))+INDEX($AO$27:$BH$46,MATCH(INDEX('Adjustment Surface'!$AN$27:$AN$46,MATCH(('Adjustment Surface'!$O46),'Adjustment Surface'!$AN$27:$AN$46,1)+IF('Adjustment Surface'!$O47="",-1,1)),$AN$27:$AN$46,0),MATCH(INDEX('Adjustment Surface'!$AO$26:$BH$26,1,MATCH(('Adjustment Surface'!U$26),'Adjustment Surface'!$AO$26:$BH$26,1)+IF('Adjustment Surface'!V$26="",-1,1)),$AO$26:$BH$26,0))*('Adjustment Surface'!$O46-INDEX('Adjustment Surface'!$AN$27:$AN$46,MATCH(('Adjustment Surface'!$O46),'Adjustment Surface'!$AN$27:$AN$46,1)))*('Adjustment Surface'!U$26-INDEX('Adjustment Surface'!$AO$26:$BH$26,1,MATCH(('Adjustment Surface'!U$26),'Adjustment Surface'!$AO$26:$BH$26,1)))))</f>
        <v/>
      </c>
      <c r="V46" s="196" t="str" cm="1">
        <f t="array" ref="V46">IF(OR(V$26="",$O46=""),"",1/((INDEX('Adjustment Surface'!$AN$27:$AN$46,MATCH(('Adjustment Surface'!$O46),'Adjustment Surface'!$AN$27:$AN$46,1)+IF('Adjustment Surface'!$O47="",-1,1))-INDEX('Adjustment Surface'!$AN$27:$AN$46,MATCH(('Adjustment Surface'!$O46),'Adjustment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Surface'!$O46),'Adjustment Surface'!$AN$27:$AN$46,1)),$AN$27:$AN$46,0),MATCH(INDEX('Adjustment Surface'!$AO$26:$BH$26,1,MATCH(('Adjustment Surface'!V$26),'Adjustment Surface'!$AO$26:$BH$26,1)),$AO$26:$BH$26,0))*(INDEX('Adjustment Surface'!$AN$27:$AN$46,MATCH(('Adjustment Surface'!$O46),'Adjustment Surface'!$AN$27:$AN$46,1)+IF('Adjustment Surface'!$O47="",-1,1))-'Adjustment Surface'!$O46)*(INDEX('Adjustment Surface'!$AO$26:$BH$26,1,MATCH(('Adjustment Surface'!V$26),'Adjustment Surface'!$AO$26:$BH$26,1)+IF('Adjustment Surface'!W$26="",-1,1))-'Adjustment Surface'!V$26)+INDEX($AO$27:$BH$46,MATCH(INDEX('Adjustment Surface'!$AN$27:$AN$46,MATCH(('Adjustment Surface'!$O46),'Adjustment Surface'!$AN$27:$AN$46,1)+IF('Adjustment Surface'!$O47="",-1,1)),$AN$27:$AN$46,0),MATCH(INDEX('Adjustment Surface'!$AO$26:$BH$26,1,MATCH(('Adjustment Surface'!V$26),'Adjustment Surface'!$AO$26:$BH$26,1)),$AO$26:$BH$26,0))*('Adjustment Surface'!$O46-INDEX('Adjustment Surface'!$AN$27:$AN$46,MATCH(('Adjustment Surface'!$O46),'Adjustment Surface'!$AN$27:$AN$46,1)))*(INDEX('Adjustment Surface'!$AO$26:$BH$26,1,MATCH(('Adjustment Surface'!V$26),'Adjustment Surface'!$AO$26:$BH$26,1)+IF('Adjustment Surface'!W$26="",-1,1))-'Adjustment Surface'!V$26)+INDEX($AO$27:$BH$46,MATCH(INDEX('Adjustment Surface'!$AN$27:$AN$46,MATCH(('Adjustment Surface'!$O46),'Adjustment Surface'!$AN$27:$AN$46,1)),$AN$27:$AN$46,0),MATCH(INDEX('Adjustment Surface'!$AO$26:$BH$26,1,MATCH(('Adjustment Surface'!V$26),'Adjustment Surface'!$AO$26:$BH$26,1)+IF('Adjustment Surface'!W$26="",-1,1)),$AO$26:$BH$26,0))*(INDEX('Adjustment Surface'!$AN$27:$AN$46,MATCH(('Adjustment Surface'!$O46),'Adjustment Surface'!$AN$27:$AN$46,1)+IF('Adjustment Surface'!$O47="",-1,1))-'Adjustment Surface'!$O46)*('Adjustment Surface'!V$26-INDEX('Adjustment Surface'!$AO$26:$BH$26,1,MATCH(('Adjustment Surface'!V$26),'Adjustment Surface'!$AO$26:$BH$26,1)))+INDEX($AO$27:$BH$46,MATCH(INDEX('Adjustment Surface'!$AN$27:$AN$46,MATCH(('Adjustment Surface'!$O46),'Adjustment Surface'!$AN$27:$AN$46,1)+IF('Adjustment Surface'!$O47="",-1,1)),$AN$27:$AN$46,0),MATCH(INDEX('Adjustment Surface'!$AO$26:$BH$26,1,MATCH(('Adjustment Surface'!V$26),'Adjustment Surface'!$AO$26:$BH$26,1)+IF('Adjustment Surface'!W$26="",-1,1)),$AO$26:$BH$26,0))*('Adjustment Surface'!$O46-INDEX('Adjustment Surface'!$AN$27:$AN$46,MATCH(('Adjustment Surface'!$O46),'Adjustment Surface'!$AN$27:$AN$46,1)))*('Adjustment Surface'!V$26-INDEX('Adjustment Surface'!$AO$26:$BH$26,1,MATCH(('Adjustment Surface'!V$26),'Adjustment Surface'!$AO$26:$BH$26,1)))))</f>
        <v/>
      </c>
      <c r="W46" s="196" t="str" cm="1">
        <f t="array" ref="W46">IF(OR(W$26="",$O46=""),"",1/((INDEX('Adjustment Surface'!$AN$27:$AN$46,MATCH(('Adjustment Surface'!$O46),'Adjustment Surface'!$AN$27:$AN$46,1)+IF('Adjustment Surface'!$O47="",-1,1))-INDEX('Adjustment Surface'!$AN$27:$AN$46,MATCH(('Adjustment Surface'!$O46),'Adjustment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Surface'!$O46),'Adjustment Surface'!$AN$27:$AN$46,1)),$AN$27:$AN$46,0),MATCH(INDEX('Adjustment Surface'!$AO$26:$BH$26,1,MATCH(('Adjustment Surface'!W$26),'Adjustment Surface'!$AO$26:$BH$26,1)),$AO$26:$BH$26,0))*(INDEX('Adjustment Surface'!$AN$27:$AN$46,MATCH(('Adjustment Surface'!$O46),'Adjustment Surface'!$AN$27:$AN$46,1)+IF('Adjustment Surface'!$O47="",-1,1))-'Adjustment Surface'!$O46)*(INDEX('Adjustment Surface'!$AO$26:$BH$26,1,MATCH(('Adjustment Surface'!W$26),'Adjustment Surface'!$AO$26:$BH$26,1)+IF('Adjustment Surface'!X$26="",-1,1))-'Adjustment Surface'!W$26)+INDEX($AO$27:$BH$46,MATCH(INDEX('Adjustment Surface'!$AN$27:$AN$46,MATCH(('Adjustment Surface'!$O46),'Adjustment Surface'!$AN$27:$AN$46,1)+IF('Adjustment Surface'!$O47="",-1,1)),$AN$27:$AN$46,0),MATCH(INDEX('Adjustment Surface'!$AO$26:$BH$26,1,MATCH(('Adjustment Surface'!W$26),'Adjustment Surface'!$AO$26:$BH$26,1)),$AO$26:$BH$26,0))*('Adjustment Surface'!$O46-INDEX('Adjustment Surface'!$AN$27:$AN$46,MATCH(('Adjustment Surface'!$O46),'Adjustment Surface'!$AN$27:$AN$46,1)))*(INDEX('Adjustment Surface'!$AO$26:$BH$26,1,MATCH(('Adjustment Surface'!W$26),'Adjustment Surface'!$AO$26:$BH$26,1)+IF('Adjustment Surface'!X$26="",-1,1))-'Adjustment Surface'!W$26)+INDEX($AO$27:$BH$46,MATCH(INDEX('Adjustment Surface'!$AN$27:$AN$46,MATCH(('Adjustment Surface'!$O46),'Adjustment Surface'!$AN$27:$AN$46,1)),$AN$27:$AN$46,0),MATCH(INDEX('Adjustment Surface'!$AO$26:$BH$26,1,MATCH(('Adjustment Surface'!W$26),'Adjustment Surface'!$AO$26:$BH$26,1)+IF('Adjustment Surface'!X$26="",-1,1)),$AO$26:$BH$26,0))*(INDEX('Adjustment Surface'!$AN$27:$AN$46,MATCH(('Adjustment Surface'!$O46),'Adjustment Surface'!$AN$27:$AN$46,1)+IF('Adjustment Surface'!$O47="",-1,1))-'Adjustment Surface'!$O46)*('Adjustment Surface'!W$26-INDEX('Adjustment Surface'!$AO$26:$BH$26,1,MATCH(('Adjustment Surface'!W$26),'Adjustment Surface'!$AO$26:$BH$26,1)))+INDEX($AO$27:$BH$46,MATCH(INDEX('Adjustment Surface'!$AN$27:$AN$46,MATCH(('Adjustment Surface'!$O46),'Adjustment Surface'!$AN$27:$AN$46,1)+IF('Adjustment Surface'!$O47="",-1,1)),$AN$27:$AN$46,0),MATCH(INDEX('Adjustment Surface'!$AO$26:$BH$26,1,MATCH(('Adjustment Surface'!W$26),'Adjustment Surface'!$AO$26:$BH$26,1)+IF('Adjustment Surface'!X$26="",-1,1)),$AO$26:$BH$26,0))*('Adjustment Surface'!$O46-INDEX('Adjustment Surface'!$AN$27:$AN$46,MATCH(('Adjustment Surface'!$O46),'Adjustment Surface'!$AN$27:$AN$46,1)))*('Adjustment Surface'!W$26-INDEX('Adjustment Surface'!$AO$26:$BH$26,1,MATCH(('Adjustment Surface'!W$26),'Adjustment Surface'!$AO$26:$BH$26,1)))))</f>
        <v/>
      </c>
      <c r="X46" s="196" t="str" cm="1">
        <f t="array" ref="X46">IF(OR(X$26="",$O46=""),"",1/((INDEX('Adjustment Surface'!$AN$27:$AN$46,MATCH(('Adjustment Surface'!$O46),'Adjustment Surface'!$AN$27:$AN$46,1)+IF('Adjustment Surface'!$O47="",-1,1))-INDEX('Adjustment Surface'!$AN$27:$AN$46,MATCH(('Adjustment Surface'!$O46),'Adjustment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Surface'!$O46),'Adjustment Surface'!$AN$27:$AN$46,1)),$AN$27:$AN$46,0),MATCH(INDEX('Adjustment Surface'!$AO$26:$BH$26,1,MATCH(('Adjustment Surface'!X$26),'Adjustment Surface'!$AO$26:$BH$26,1)),$AO$26:$BH$26,0))*(INDEX('Adjustment Surface'!$AN$27:$AN$46,MATCH(('Adjustment Surface'!$O46),'Adjustment Surface'!$AN$27:$AN$46,1)+IF('Adjustment Surface'!$O47="",-1,1))-'Adjustment Surface'!$O46)*(INDEX('Adjustment Surface'!$AO$26:$BH$26,1,MATCH(('Adjustment Surface'!X$26),'Adjustment Surface'!$AO$26:$BH$26,1)+IF('Adjustment Surface'!Y$26="",-1,1))-'Adjustment Surface'!X$26)+INDEX($AO$27:$BH$46,MATCH(INDEX('Adjustment Surface'!$AN$27:$AN$46,MATCH(('Adjustment Surface'!$O46),'Adjustment Surface'!$AN$27:$AN$46,1)+IF('Adjustment Surface'!$O47="",-1,1)),$AN$27:$AN$46,0),MATCH(INDEX('Adjustment Surface'!$AO$26:$BH$26,1,MATCH(('Adjustment Surface'!X$26),'Adjustment Surface'!$AO$26:$BH$26,1)),$AO$26:$BH$26,0))*('Adjustment Surface'!$O46-INDEX('Adjustment Surface'!$AN$27:$AN$46,MATCH(('Adjustment Surface'!$O46),'Adjustment Surface'!$AN$27:$AN$46,1)))*(INDEX('Adjustment Surface'!$AO$26:$BH$26,1,MATCH(('Adjustment Surface'!X$26),'Adjustment Surface'!$AO$26:$BH$26,1)+IF('Adjustment Surface'!Y$26="",-1,1))-'Adjustment Surface'!X$26)+INDEX($AO$27:$BH$46,MATCH(INDEX('Adjustment Surface'!$AN$27:$AN$46,MATCH(('Adjustment Surface'!$O46),'Adjustment Surface'!$AN$27:$AN$46,1)),$AN$27:$AN$46,0),MATCH(INDEX('Adjustment Surface'!$AO$26:$BH$26,1,MATCH(('Adjustment Surface'!X$26),'Adjustment Surface'!$AO$26:$BH$26,1)+IF('Adjustment Surface'!Y$26="",-1,1)),$AO$26:$BH$26,0))*(INDEX('Adjustment Surface'!$AN$27:$AN$46,MATCH(('Adjustment Surface'!$O46),'Adjustment Surface'!$AN$27:$AN$46,1)+IF('Adjustment Surface'!$O47="",-1,1))-'Adjustment Surface'!$O46)*('Adjustment Surface'!X$26-INDEX('Adjustment Surface'!$AO$26:$BH$26,1,MATCH(('Adjustment Surface'!X$26),'Adjustment Surface'!$AO$26:$BH$26,1)))+INDEX($AO$27:$BH$46,MATCH(INDEX('Adjustment Surface'!$AN$27:$AN$46,MATCH(('Adjustment Surface'!$O46),'Adjustment Surface'!$AN$27:$AN$46,1)+IF('Adjustment Surface'!$O47="",-1,1)),$AN$27:$AN$46,0),MATCH(INDEX('Adjustment Surface'!$AO$26:$BH$26,1,MATCH(('Adjustment Surface'!X$26),'Adjustment Surface'!$AO$26:$BH$26,1)+IF('Adjustment Surface'!Y$26="",-1,1)),$AO$26:$BH$26,0))*('Adjustment Surface'!$O46-INDEX('Adjustment Surface'!$AN$27:$AN$46,MATCH(('Adjustment Surface'!$O46),'Adjustment Surface'!$AN$27:$AN$46,1)))*('Adjustment Surface'!X$26-INDEX('Adjustment Surface'!$AO$26:$BH$26,1,MATCH(('Adjustment Surface'!X$26),'Adjustment Surface'!$AO$26:$BH$26,1)))))</f>
        <v/>
      </c>
      <c r="Y46" s="196" t="str" cm="1">
        <f t="array" ref="Y46">IF(OR(Y$26="",$O46=""),"",1/((INDEX('Adjustment Surface'!$AN$27:$AN$46,MATCH(('Adjustment Surface'!$O46),'Adjustment Surface'!$AN$27:$AN$46,1)+IF('Adjustment Surface'!$O47="",-1,1))-INDEX('Adjustment Surface'!$AN$27:$AN$46,MATCH(('Adjustment Surface'!$O46),'Adjustment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Surface'!$O46),'Adjustment Surface'!$AN$27:$AN$46,1)),$AN$27:$AN$46,0),MATCH(INDEX('Adjustment Surface'!$AO$26:$BH$26,1,MATCH(('Adjustment Surface'!Y$26),'Adjustment Surface'!$AO$26:$BH$26,1)),$AO$26:$BH$26,0))*(INDEX('Adjustment Surface'!$AN$27:$AN$46,MATCH(('Adjustment Surface'!$O46),'Adjustment Surface'!$AN$27:$AN$46,1)+IF('Adjustment Surface'!$O47="",-1,1))-'Adjustment Surface'!$O46)*(INDEX('Adjustment Surface'!$AO$26:$BH$26,1,MATCH(('Adjustment Surface'!Y$26),'Adjustment Surface'!$AO$26:$BH$26,1)+IF('Adjustment Surface'!Z$26="",-1,1))-'Adjustment Surface'!Y$26)+INDEX($AO$27:$BH$46,MATCH(INDEX('Adjustment Surface'!$AN$27:$AN$46,MATCH(('Adjustment Surface'!$O46),'Adjustment Surface'!$AN$27:$AN$46,1)+IF('Adjustment Surface'!$O47="",-1,1)),$AN$27:$AN$46,0),MATCH(INDEX('Adjustment Surface'!$AO$26:$BH$26,1,MATCH(('Adjustment Surface'!Y$26),'Adjustment Surface'!$AO$26:$BH$26,1)),$AO$26:$BH$26,0))*('Adjustment Surface'!$O46-INDEX('Adjustment Surface'!$AN$27:$AN$46,MATCH(('Adjustment Surface'!$O46),'Adjustment Surface'!$AN$27:$AN$46,1)))*(INDEX('Adjustment Surface'!$AO$26:$BH$26,1,MATCH(('Adjustment Surface'!Y$26),'Adjustment Surface'!$AO$26:$BH$26,1)+IF('Adjustment Surface'!Z$26="",-1,1))-'Adjustment Surface'!Y$26)+INDEX($AO$27:$BH$46,MATCH(INDEX('Adjustment Surface'!$AN$27:$AN$46,MATCH(('Adjustment Surface'!$O46),'Adjustment Surface'!$AN$27:$AN$46,1)),$AN$27:$AN$46,0),MATCH(INDEX('Adjustment Surface'!$AO$26:$BH$26,1,MATCH(('Adjustment Surface'!Y$26),'Adjustment Surface'!$AO$26:$BH$26,1)+IF('Adjustment Surface'!Z$26="",-1,1)),$AO$26:$BH$26,0))*(INDEX('Adjustment Surface'!$AN$27:$AN$46,MATCH(('Adjustment Surface'!$O46),'Adjustment Surface'!$AN$27:$AN$46,1)+IF('Adjustment Surface'!$O47="",-1,1))-'Adjustment Surface'!$O46)*('Adjustment Surface'!Y$26-INDEX('Adjustment Surface'!$AO$26:$BH$26,1,MATCH(('Adjustment Surface'!Y$26),'Adjustment Surface'!$AO$26:$BH$26,1)))+INDEX($AO$27:$BH$46,MATCH(INDEX('Adjustment Surface'!$AN$27:$AN$46,MATCH(('Adjustment Surface'!$O46),'Adjustment Surface'!$AN$27:$AN$46,1)+IF('Adjustment Surface'!$O47="",-1,1)),$AN$27:$AN$46,0),MATCH(INDEX('Adjustment Surface'!$AO$26:$BH$26,1,MATCH(('Adjustment Surface'!Y$26),'Adjustment Surface'!$AO$26:$BH$26,1)+IF('Adjustment Surface'!Z$26="",-1,1)),$AO$26:$BH$26,0))*('Adjustment Surface'!$O46-INDEX('Adjustment Surface'!$AN$27:$AN$46,MATCH(('Adjustment Surface'!$O46),'Adjustment Surface'!$AN$27:$AN$46,1)))*('Adjustment Surface'!Y$26-INDEX('Adjustment Surface'!$AO$26:$BH$26,1,MATCH(('Adjustment Surface'!Y$26),'Adjustment Surface'!$AO$26:$BH$26,1)))))</f>
        <v/>
      </c>
      <c r="Z46" s="196" t="str" cm="1">
        <f t="array" ref="Z46">IF(OR(Z$26="",$O46=""),"",1/((INDEX('Adjustment Surface'!$AN$27:$AN$46,MATCH(('Adjustment Surface'!$O46),'Adjustment Surface'!$AN$27:$AN$46,1)+IF('Adjustment Surface'!$O47="",-1,1))-INDEX('Adjustment Surface'!$AN$27:$AN$46,MATCH(('Adjustment Surface'!$O46),'Adjustment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Surface'!$O46),'Adjustment Surface'!$AN$27:$AN$46,1)),$AN$27:$AN$46,0),MATCH(INDEX('Adjustment Surface'!$AO$26:$BH$26,1,MATCH(('Adjustment Surface'!Z$26),'Adjustment Surface'!$AO$26:$BH$26,1)),$AO$26:$BH$26,0))*(INDEX('Adjustment Surface'!$AN$27:$AN$46,MATCH(('Adjustment Surface'!$O46),'Adjustment Surface'!$AN$27:$AN$46,1)+IF('Adjustment Surface'!$O47="",-1,1))-'Adjustment Surface'!$O46)*(INDEX('Adjustment Surface'!$AO$26:$BH$26,1,MATCH(('Adjustment Surface'!Z$26),'Adjustment Surface'!$AO$26:$BH$26,1)+IF('Adjustment Surface'!AA$26="",-1,1))-'Adjustment Surface'!Z$26)+INDEX($AO$27:$BH$46,MATCH(INDEX('Adjustment Surface'!$AN$27:$AN$46,MATCH(('Adjustment Surface'!$O46),'Adjustment Surface'!$AN$27:$AN$46,1)+IF('Adjustment Surface'!$O47="",-1,1)),$AN$27:$AN$46,0),MATCH(INDEX('Adjustment Surface'!$AO$26:$BH$26,1,MATCH(('Adjustment Surface'!Z$26),'Adjustment Surface'!$AO$26:$BH$26,1)),$AO$26:$BH$26,0))*('Adjustment Surface'!$O46-INDEX('Adjustment Surface'!$AN$27:$AN$46,MATCH(('Adjustment Surface'!$O46),'Adjustment Surface'!$AN$27:$AN$46,1)))*(INDEX('Adjustment Surface'!$AO$26:$BH$26,1,MATCH(('Adjustment Surface'!Z$26),'Adjustment Surface'!$AO$26:$BH$26,1)+IF('Adjustment Surface'!AA$26="",-1,1))-'Adjustment Surface'!Z$26)+INDEX($AO$27:$BH$46,MATCH(INDEX('Adjustment Surface'!$AN$27:$AN$46,MATCH(('Adjustment Surface'!$O46),'Adjustment Surface'!$AN$27:$AN$46,1)),$AN$27:$AN$46,0),MATCH(INDEX('Adjustment Surface'!$AO$26:$BH$26,1,MATCH(('Adjustment Surface'!Z$26),'Adjustment Surface'!$AO$26:$BH$26,1)+IF('Adjustment Surface'!AA$26="",-1,1)),$AO$26:$BH$26,0))*(INDEX('Adjustment Surface'!$AN$27:$AN$46,MATCH(('Adjustment Surface'!$O46),'Adjustment Surface'!$AN$27:$AN$46,1)+IF('Adjustment Surface'!$O47="",-1,1))-'Adjustment Surface'!$O46)*('Adjustment Surface'!Z$26-INDEX('Adjustment Surface'!$AO$26:$BH$26,1,MATCH(('Adjustment Surface'!Z$26),'Adjustment Surface'!$AO$26:$BH$26,1)))+INDEX($AO$27:$BH$46,MATCH(INDEX('Adjustment Surface'!$AN$27:$AN$46,MATCH(('Adjustment Surface'!$O46),'Adjustment Surface'!$AN$27:$AN$46,1)+IF('Adjustment Surface'!$O47="",-1,1)),$AN$27:$AN$46,0),MATCH(INDEX('Adjustment Surface'!$AO$26:$BH$26,1,MATCH(('Adjustment Surface'!Z$26),'Adjustment Surface'!$AO$26:$BH$26,1)+IF('Adjustment Surface'!AA$26="",-1,1)),$AO$26:$BH$26,0))*('Adjustment Surface'!$O46-INDEX('Adjustment Surface'!$AN$27:$AN$46,MATCH(('Adjustment Surface'!$O46),'Adjustment Surface'!$AN$27:$AN$46,1)))*('Adjustment Surface'!Z$26-INDEX('Adjustment Surface'!$AO$26:$BH$26,1,MATCH(('Adjustment Surface'!Z$26),'Adjustment Surface'!$AO$26:$BH$26,1)))))</f>
        <v/>
      </c>
      <c r="AA46" s="196" t="str" cm="1">
        <f t="array" ref="AA46">IF(OR(AA$26="",$O46=""),"",1/((INDEX('Adjustment Surface'!$AN$27:$AN$46,MATCH(('Adjustment Surface'!$O46),'Adjustment Surface'!$AN$27:$AN$46,1)+IF('Adjustment Surface'!$O47="",-1,1))-INDEX('Adjustment Surface'!$AN$27:$AN$46,MATCH(('Adjustment Surface'!$O46),'Adjustment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Surface'!$O46),'Adjustment Surface'!$AN$27:$AN$46,1)),$AN$27:$AN$46,0),MATCH(INDEX('Adjustment Surface'!$AO$26:$BH$26,1,MATCH(('Adjustment Surface'!AA$26),'Adjustment Surface'!$AO$26:$BH$26,1)),$AO$26:$BH$26,0))*(INDEX('Adjustment Surface'!$AN$27:$AN$46,MATCH(('Adjustment Surface'!$O46),'Adjustment Surface'!$AN$27:$AN$46,1)+IF('Adjustment Surface'!$O47="",-1,1))-'Adjustment Surface'!$O46)*(INDEX('Adjustment Surface'!$AO$26:$BH$26,1,MATCH(('Adjustment Surface'!AA$26),'Adjustment Surface'!$AO$26:$BH$26,1)+IF('Adjustment Surface'!AB$26="",-1,1))-'Adjustment Surface'!AA$26)+INDEX($AO$27:$BH$46,MATCH(INDEX('Adjustment Surface'!$AN$27:$AN$46,MATCH(('Adjustment Surface'!$O46),'Adjustment Surface'!$AN$27:$AN$46,1)+IF('Adjustment Surface'!$O47="",-1,1)),$AN$27:$AN$46,0),MATCH(INDEX('Adjustment Surface'!$AO$26:$BH$26,1,MATCH(('Adjustment Surface'!AA$26),'Adjustment Surface'!$AO$26:$BH$26,1)),$AO$26:$BH$26,0))*('Adjustment Surface'!$O46-INDEX('Adjustment Surface'!$AN$27:$AN$46,MATCH(('Adjustment Surface'!$O46),'Adjustment Surface'!$AN$27:$AN$46,1)))*(INDEX('Adjustment Surface'!$AO$26:$BH$26,1,MATCH(('Adjustment Surface'!AA$26),'Adjustment Surface'!$AO$26:$BH$26,1)+IF('Adjustment Surface'!AB$26="",-1,1))-'Adjustment Surface'!AA$26)+INDEX($AO$27:$BH$46,MATCH(INDEX('Adjustment Surface'!$AN$27:$AN$46,MATCH(('Adjustment Surface'!$O46),'Adjustment Surface'!$AN$27:$AN$46,1)),$AN$27:$AN$46,0),MATCH(INDEX('Adjustment Surface'!$AO$26:$BH$26,1,MATCH(('Adjustment Surface'!AA$26),'Adjustment Surface'!$AO$26:$BH$26,1)+IF('Adjustment Surface'!AB$26="",-1,1)),$AO$26:$BH$26,0))*(INDEX('Adjustment Surface'!$AN$27:$AN$46,MATCH(('Adjustment Surface'!$O46),'Adjustment Surface'!$AN$27:$AN$46,1)+IF('Adjustment Surface'!$O47="",-1,1))-'Adjustment Surface'!$O46)*('Adjustment Surface'!AA$26-INDEX('Adjustment Surface'!$AO$26:$BH$26,1,MATCH(('Adjustment Surface'!AA$26),'Adjustment Surface'!$AO$26:$BH$26,1)))+INDEX($AO$27:$BH$46,MATCH(INDEX('Adjustment Surface'!$AN$27:$AN$46,MATCH(('Adjustment Surface'!$O46),'Adjustment Surface'!$AN$27:$AN$46,1)+IF('Adjustment Surface'!$O47="",-1,1)),$AN$27:$AN$46,0),MATCH(INDEX('Adjustment Surface'!$AO$26:$BH$26,1,MATCH(('Adjustment Surface'!AA$26),'Adjustment Surface'!$AO$26:$BH$26,1)+IF('Adjustment Surface'!AB$26="",-1,1)),$AO$26:$BH$26,0))*('Adjustment Surface'!$O46-INDEX('Adjustment Surface'!$AN$27:$AN$46,MATCH(('Adjustment Surface'!$O46),'Adjustment Surface'!$AN$27:$AN$46,1)))*('Adjustment Surface'!AA$26-INDEX('Adjustment Surface'!$AO$26:$BH$26,1,MATCH(('Adjustment Surface'!AA$26),'Adjustment Surface'!$AO$26:$BH$26,1)))))</f>
        <v/>
      </c>
      <c r="AB46" s="196" t="str" cm="1">
        <f t="array" ref="AB46">IF(OR(AB$26="",$O46=""),"",1/((INDEX('Adjustment Surface'!$AN$27:$AN$46,MATCH(('Adjustment Surface'!$O46),'Adjustment Surface'!$AN$27:$AN$46,1)+IF('Adjustment Surface'!$O47="",-1,1))-INDEX('Adjustment Surface'!$AN$27:$AN$46,MATCH(('Adjustment Surface'!$O46),'Adjustment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Surface'!$O46),'Adjustment Surface'!$AN$27:$AN$46,1)),$AN$27:$AN$46,0),MATCH(INDEX('Adjustment Surface'!$AO$26:$BH$26,1,MATCH(('Adjustment Surface'!AB$26),'Adjustment Surface'!$AO$26:$BH$26,1)),$AO$26:$BH$26,0))*(INDEX('Adjustment Surface'!$AN$27:$AN$46,MATCH(('Adjustment Surface'!$O46),'Adjustment Surface'!$AN$27:$AN$46,1)+IF('Adjustment Surface'!$O47="",-1,1))-'Adjustment Surface'!$O46)*(INDEX('Adjustment Surface'!$AO$26:$BH$26,1,MATCH(('Adjustment Surface'!AB$26),'Adjustment Surface'!$AO$26:$BH$26,1)+IF('Adjustment Surface'!AC$26="",-1,1))-'Adjustment Surface'!AB$26)+INDEX($AO$27:$BH$46,MATCH(INDEX('Adjustment Surface'!$AN$27:$AN$46,MATCH(('Adjustment Surface'!$O46),'Adjustment Surface'!$AN$27:$AN$46,1)+IF('Adjustment Surface'!$O47="",-1,1)),$AN$27:$AN$46,0),MATCH(INDEX('Adjustment Surface'!$AO$26:$BH$26,1,MATCH(('Adjustment Surface'!AB$26),'Adjustment Surface'!$AO$26:$BH$26,1)),$AO$26:$BH$26,0))*('Adjustment Surface'!$O46-INDEX('Adjustment Surface'!$AN$27:$AN$46,MATCH(('Adjustment Surface'!$O46),'Adjustment Surface'!$AN$27:$AN$46,1)))*(INDEX('Adjustment Surface'!$AO$26:$BH$26,1,MATCH(('Adjustment Surface'!AB$26),'Adjustment Surface'!$AO$26:$BH$26,1)+IF('Adjustment Surface'!AC$26="",-1,1))-'Adjustment Surface'!AB$26)+INDEX($AO$27:$BH$46,MATCH(INDEX('Adjustment Surface'!$AN$27:$AN$46,MATCH(('Adjustment Surface'!$O46),'Adjustment Surface'!$AN$27:$AN$46,1)),$AN$27:$AN$46,0),MATCH(INDEX('Adjustment Surface'!$AO$26:$BH$26,1,MATCH(('Adjustment Surface'!AB$26),'Adjustment Surface'!$AO$26:$BH$26,1)+IF('Adjustment Surface'!AC$26="",-1,1)),$AO$26:$BH$26,0))*(INDEX('Adjustment Surface'!$AN$27:$AN$46,MATCH(('Adjustment Surface'!$O46),'Adjustment Surface'!$AN$27:$AN$46,1)+IF('Adjustment Surface'!$O47="",-1,1))-'Adjustment Surface'!$O46)*('Adjustment Surface'!AB$26-INDEX('Adjustment Surface'!$AO$26:$BH$26,1,MATCH(('Adjustment Surface'!AB$26),'Adjustment Surface'!$AO$26:$BH$26,1)))+INDEX($AO$27:$BH$46,MATCH(INDEX('Adjustment Surface'!$AN$27:$AN$46,MATCH(('Adjustment Surface'!$O46),'Adjustment Surface'!$AN$27:$AN$46,1)+IF('Adjustment Surface'!$O47="",-1,1)),$AN$27:$AN$46,0),MATCH(INDEX('Adjustment Surface'!$AO$26:$BH$26,1,MATCH(('Adjustment Surface'!AB$26),'Adjustment Surface'!$AO$26:$BH$26,1)+IF('Adjustment Surface'!AC$26="",-1,1)),$AO$26:$BH$26,0))*('Adjustment Surface'!$O46-INDEX('Adjustment Surface'!$AN$27:$AN$46,MATCH(('Adjustment Surface'!$O46),'Adjustment Surface'!$AN$27:$AN$46,1)))*('Adjustment Surface'!AB$26-INDEX('Adjustment Surface'!$AO$26:$BH$26,1,MATCH(('Adjustment Surface'!AB$26),'Adjustment Surface'!$AO$26:$BH$26,1)))))</f>
        <v/>
      </c>
      <c r="AC46" s="196" t="str" cm="1">
        <f t="array" ref="AC46">IF(OR(AC$26="",$O46=""),"",1/((INDEX('Adjustment Surface'!$AN$27:$AN$46,MATCH(('Adjustment Surface'!$O46),'Adjustment Surface'!$AN$27:$AN$46,1)+IF('Adjustment Surface'!$O47="",-1,1))-INDEX('Adjustment Surface'!$AN$27:$AN$46,MATCH(('Adjustment Surface'!$O46),'Adjustment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Surface'!$O46),'Adjustment Surface'!$AN$27:$AN$46,1)),$AN$27:$AN$46,0),MATCH(INDEX('Adjustment Surface'!$AO$26:$BH$26,1,MATCH(('Adjustment Surface'!AC$26),'Adjustment Surface'!$AO$26:$BH$26,1)),$AO$26:$BH$26,0))*(INDEX('Adjustment Surface'!$AN$27:$AN$46,MATCH(('Adjustment Surface'!$O46),'Adjustment Surface'!$AN$27:$AN$46,1)+IF('Adjustment Surface'!$O47="",-1,1))-'Adjustment Surface'!$O46)*(INDEX('Adjustment Surface'!$AO$26:$BH$26,1,MATCH(('Adjustment Surface'!AC$26),'Adjustment Surface'!$AO$26:$BH$26,1)+IF('Adjustment Surface'!AD$26="",-1,1))-'Adjustment Surface'!AC$26)+INDEX($AO$27:$BH$46,MATCH(INDEX('Adjustment Surface'!$AN$27:$AN$46,MATCH(('Adjustment Surface'!$O46),'Adjustment Surface'!$AN$27:$AN$46,1)+IF('Adjustment Surface'!$O47="",-1,1)),$AN$27:$AN$46,0),MATCH(INDEX('Adjustment Surface'!$AO$26:$BH$26,1,MATCH(('Adjustment Surface'!AC$26),'Adjustment Surface'!$AO$26:$BH$26,1)),$AO$26:$BH$26,0))*('Adjustment Surface'!$O46-INDEX('Adjustment Surface'!$AN$27:$AN$46,MATCH(('Adjustment Surface'!$O46),'Adjustment Surface'!$AN$27:$AN$46,1)))*(INDEX('Adjustment Surface'!$AO$26:$BH$26,1,MATCH(('Adjustment Surface'!AC$26),'Adjustment Surface'!$AO$26:$BH$26,1)+IF('Adjustment Surface'!AD$26="",-1,1))-'Adjustment Surface'!AC$26)+INDEX($AO$27:$BH$46,MATCH(INDEX('Adjustment Surface'!$AN$27:$AN$46,MATCH(('Adjustment Surface'!$O46),'Adjustment Surface'!$AN$27:$AN$46,1)),$AN$27:$AN$46,0),MATCH(INDEX('Adjustment Surface'!$AO$26:$BH$26,1,MATCH(('Adjustment Surface'!AC$26),'Adjustment Surface'!$AO$26:$BH$26,1)+IF('Adjustment Surface'!AD$26="",-1,1)),$AO$26:$BH$26,0))*(INDEX('Adjustment Surface'!$AN$27:$AN$46,MATCH(('Adjustment Surface'!$O46),'Adjustment Surface'!$AN$27:$AN$46,1)+IF('Adjustment Surface'!$O47="",-1,1))-'Adjustment Surface'!$O46)*('Adjustment Surface'!AC$26-INDEX('Adjustment Surface'!$AO$26:$BH$26,1,MATCH(('Adjustment Surface'!AC$26),'Adjustment Surface'!$AO$26:$BH$26,1)))+INDEX($AO$27:$BH$46,MATCH(INDEX('Adjustment Surface'!$AN$27:$AN$46,MATCH(('Adjustment Surface'!$O46),'Adjustment Surface'!$AN$27:$AN$46,1)+IF('Adjustment Surface'!$O47="",-1,1)),$AN$27:$AN$46,0),MATCH(INDEX('Adjustment Surface'!$AO$26:$BH$26,1,MATCH(('Adjustment Surface'!AC$26),'Adjustment Surface'!$AO$26:$BH$26,1)+IF('Adjustment Surface'!AD$26="",-1,1)),$AO$26:$BH$26,0))*('Adjustment Surface'!$O46-INDEX('Adjustment Surface'!$AN$27:$AN$46,MATCH(('Adjustment Surface'!$O46),'Adjustment Surface'!$AN$27:$AN$46,1)))*('Adjustment Surface'!AC$26-INDEX('Adjustment Surface'!$AO$26:$BH$26,1,MATCH(('Adjustment Surface'!AC$26),'Adjustment Surface'!$AO$26:$BH$26,1)))))</f>
        <v/>
      </c>
      <c r="AD46" s="196" t="str" cm="1">
        <f t="array" ref="AD46">IF(OR(AD$26="",$O46=""),"",1/((INDEX('Adjustment Surface'!$AN$27:$AN$46,MATCH(('Adjustment Surface'!$O46),'Adjustment Surface'!$AN$27:$AN$46,1)+IF('Adjustment Surface'!$O47="",-1,1))-INDEX('Adjustment Surface'!$AN$27:$AN$46,MATCH(('Adjustment Surface'!$O46),'Adjustment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Surface'!$O46),'Adjustment Surface'!$AN$27:$AN$46,1)),$AN$27:$AN$46,0),MATCH(INDEX('Adjustment Surface'!$AO$26:$BH$26,1,MATCH(('Adjustment Surface'!AD$26),'Adjustment Surface'!$AO$26:$BH$26,1)),$AO$26:$BH$26,0))*(INDEX('Adjustment Surface'!$AN$27:$AN$46,MATCH(('Adjustment Surface'!$O46),'Adjustment Surface'!$AN$27:$AN$46,1)+IF('Adjustment Surface'!$O47="",-1,1))-'Adjustment Surface'!$O46)*(INDEX('Adjustment Surface'!$AO$26:$BH$26,1,MATCH(('Adjustment Surface'!AD$26),'Adjustment Surface'!$AO$26:$BH$26,1)+IF('Adjustment Surface'!AE$26="",-1,1))-'Adjustment Surface'!AD$26)+INDEX($AO$27:$BH$46,MATCH(INDEX('Adjustment Surface'!$AN$27:$AN$46,MATCH(('Adjustment Surface'!$O46),'Adjustment Surface'!$AN$27:$AN$46,1)+IF('Adjustment Surface'!$O47="",-1,1)),$AN$27:$AN$46,0),MATCH(INDEX('Adjustment Surface'!$AO$26:$BH$26,1,MATCH(('Adjustment Surface'!AD$26),'Adjustment Surface'!$AO$26:$BH$26,1)),$AO$26:$BH$26,0))*('Adjustment Surface'!$O46-INDEX('Adjustment Surface'!$AN$27:$AN$46,MATCH(('Adjustment Surface'!$O46),'Adjustment Surface'!$AN$27:$AN$46,1)))*(INDEX('Adjustment Surface'!$AO$26:$BH$26,1,MATCH(('Adjustment Surface'!AD$26),'Adjustment Surface'!$AO$26:$BH$26,1)+IF('Adjustment Surface'!AE$26="",-1,1))-'Adjustment Surface'!AD$26)+INDEX($AO$27:$BH$46,MATCH(INDEX('Adjustment Surface'!$AN$27:$AN$46,MATCH(('Adjustment Surface'!$O46),'Adjustment Surface'!$AN$27:$AN$46,1)),$AN$27:$AN$46,0),MATCH(INDEX('Adjustment Surface'!$AO$26:$BH$26,1,MATCH(('Adjustment Surface'!AD$26),'Adjustment Surface'!$AO$26:$BH$26,1)+IF('Adjustment Surface'!AE$26="",-1,1)),$AO$26:$BH$26,0))*(INDEX('Adjustment Surface'!$AN$27:$AN$46,MATCH(('Adjustment Surface'!$O46),'Adjustment Surface'!$AN$27:$AN$46,1)+IF('Adjustment Surface'!$O47="",-1,1))-'Adjustment Surface'!$O46)*('Adjustment Surface'!AD$26-INDEX('Adjustment Surface'!$AO$26:$BH$26,1,MATCH(('Adjustment Surface'!AD$26),'Adjustment Surface'!$AO$26:$BH$26,1)))+INDEX($AO$27:$BH$46,MATCH(INDEX('Adjustment Surface'!$AN$27:$AN$46,MATCH(('Adjustment Surface'!$O46),'Adjustment Surface'!$AN$27:$AN$46,1)+IF('Adjustment Surface'!$O47="",-1,1)),$AN$27:$AN$46,0),MATCH(INDEX('Adjustment Surface'!$AO$26:$BH$26,1,MATCH(('Adjustment Surface'!AD$26),'Adjustment Surface'!$AO$26:$BH$26,1)+IF('Adjustment Surface'!AE$26="",-1,1)),$AO$26:$BH$26,0))*('Adjustment Surface'!$O46-INDEX('Adjustment Surface'!$AN$27:$AN$46,MATCH(('Adjustment Surface'!$O46),'Adjustment Surface'!$AN$27:$AN$46,1)))*('Adjustment Surface'!AD$26-INDEX('Adjustment Surface'!$AO$26:$BH$26,1,MATCH(('Adjustment Surface'!AD$26),'Adjustment Surface'!$AO$26:$BH$26,1)))))</f>
        <v/>
      </c>
      <c r="AE46" s="196" t="str" cm="1">
        <f t="array" ref="AE46">IF(OR(AE$26="",$O46=""),"",1/((INDEX('Adjustment Surface'!$AN$27:$AN$46,MATCH(('Adjustment Surface'!$O46),'Adjustment Surface'!$AN$27:$AN$46,1)+IF('Adjustment Surface'!$O47="",-1,1))-INDEX('Adjustment Surface'!$AN$27:$AN$46,MATCH(('Adjustment Surface'!$O46),'Adjustment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Surface'!$O46),'Adjustment Surface'!$AN$27:$AN$46,1)),$AN$27:$AN$46,0),MATCH(INDEX('Adjustment Surface'!$AO$26:$BH$26,1,MATCH(('Adjustment Surface'!AE$26),'Adjustment Surface'!$AO$26:$BH$26,1)),$AO$26:$BH$26,0))*(INDEX('Adjustment Surface'!$AN$27:$AN$46,MATCH(('Adjustment Surface'!$O46),'Adjustment Surface'!$AN$27:$AN$46,1)+IF('Adjustment Surface'!$O47="",-1,1))-'Adjustment Surface'!$O46)*(INDEX('Adjustment Surface'!$AO$26:$BH$26,1,MATCH(('Adjustment Surface'!AE$26),'Adjustment Surface'!$AO$26:$BH$26,1)+IF('Adjustment Surface'!AF$26="",-1,1))-'Adjustment Surface'!AE$26)+INDEX($AO$27:$BH$46,MATCH(INDEX('Adjustment Surface'!$AN$27:$AN$46,MATCH(('Adjustment Surface'!$O46),'Adjustment Surface'!$AN$27:$AN$46,1)+IF('Adjustment Surface'!$O47="",-1,1)),$AN$27:$AN$46,0),MATCH(INDEX('Adjustment Surface'!$AO$26:$BH$26,1,MATCH(('Adjustment Surface'!AE$26),'Adjustment Surface'!$AO$26:$BH$26,1)),$AO$26:$BH$26,0))*('Adjustment Surface'!$O46-INDEX('Adjustment Surface'!$AN$27:$AN$46,MATCH(('Adjustment Surface'!$O46),'Adjustment Surface'!$AN$27:$AN$46,1)))*(INDEX('Adjustment Surface'!$AO$26:$BH$26,1,MATCH(('Adjustment Surface'!AE$26),'Adjustment Surface'!$AO$26:$BH$26,1)+IF('Adjustment Surface'!AF$26="",-1,1))-'Adjustment Surface'!AE$26)+INDEX($AO$27:$BH$46,MATCH(INDEX('Adjustment Surface'!$AN$27:$AN$46,MATCH(('Adjustment Surface'!$O46),'Adjustment Surface'!$AN$27:$AN$46,1)),$AN$27:$AN$46,0),MATCH(INDEX('Adjustment Surface'!$AO$26:$BH$26,1,MATCH(('Adjustment Surface'!AE$26),'Adjustment Surface'!$AO$26:$BH$26,1)+IF('Adjustment Surface'!AF$26="",-1,1)),$AO$26:$BH$26,0))*(INDEX('Adjustment Surface'!$AN$27:$AN$46,MATCH(('Adjustment Surface'!$O46),'Adjustment Surface'!$AN$27:$AN$46,1)+IF('Adjustment Surface'!$O47="",-1,1))-'Adjustment Surface'!$O46)*('Adjustment Surface'!AE$26-INDEX('Adjustment Surface'!$AO$26:$BH$26,1,MATCH(('Adjustment Surface'!AE$26),'Adjustment Surface'!$AO$26:$BH$26,1)))+INDEX($AO$27:$BH$46,MATCH(INDEX('Adjustment Surface'!$AN$27:$AN$46,MATCH(('Adjustment Surface'!$O46),'Adjustment Surface'!$AN$27:$AN$46,1)+IF('Adjustment Surface'!$O47="",-1,1)),$AN$27:$AN$46,0),MATCH(INDEX('Adjustment Surface'!$AO$26:$BH$26,1,MATCH(('Adjustment Surface'!AE$26),'Adjustment Surface'!$AO$26:$BH$26,1)+IF('Adjustment Surface'!AF$26="",-1,1)),$AO$26:$BH$26,0))*('Adjustment Surface'!$O46-INDEX('Adjustment Surface'!$AN$27:$AN$46,MATCH(('Adjustment Surface'!$O46),'Adjustment Surface'!$AN$27:$AN$46,1)))*('Adjustment Surface'!AE$26-INDEX('Adjustment Surface'!$AO$26:$BH$26,1,MATCH(('Adjustment Surface'!AE$26),'Adjustment Surface'!$AO$26:$BH$26,1)))))</f>
        <v/>
      </c>
      <c r="AF46" s="196" t="str" cm="1">
        <f t="array" ref="AF46">IF(OR(AF$26="",$O46=""),"",1/((INDEX('Adjustment Surface'!$AN$27:$AN$46,MATCH(('Adjustment Surface'!$O46),'Adjustment Surface'!$AN$27:$AN$46,1)+IF('Adjustment Surface'!$O47="",-1,1))-INDEX('Adjustment Surface'!$AN$27:$AN$46,MATCH(('Adjustment Surface'!$O46),'Adjustment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Surface'!$O46),'Adjustment Surface'!$AN$27:$AN$46,1)),$AN$27:$AN$46,0),MATCH(INDEX('Adjustment Surface'!$AO$26:$BH$26,1,MATCH(('Adjustment Surface'!AF$26),'Adjustment Surface'!$AO$26:$BH$26,1)),$AO$26:$BH$26,0))*(INDEX('Adjustment Surface'!$AN$27:$AN$46,MATCH(('Adjustment Surface'!$O46),'Adjustment Surface'!$AN$27:$AN$46,1)+IF('Adjustment Surface'!$O47="",-1,1))-'Adjustment Surface'!$O46)*(INDEX('Adjustment Surface'!$AO$26:$BH$26,1,MATCH(('Adjustment Surface'!AF$26),'Adjustment Surface'!$AO$26:$BH$26,1)+IF('Adjustment Surface'!AG$26="",-1,1))-'Adjustment Surface'!AF$26)+INDEX($AO$27:$BH$46,MATCH(INDEX('Adjustment Surface'!$AN$27:$AN$46,MATCH(('Adjustment Surface'!$O46),'Adjustment Surface'!$AN$27:$AN$46,1)+IF('Adjustment Surface'!$O47="",-1,1)),$AN$27:$AN$46,0),MATCH(INDEX('Adjustment Surface'!$AO$26:$BH$26,1,MATCH(('Adjustment Surface'!AF$26),'Adjustment Surface'!$AO$26:$BH$26,1)),$AO$26:$BH$26,0))*('Adjustment Surface'!$O46-INDEX('Adjustment Surface'!$AN$27:$AN$46,MATCH(('Adjustment Surface'!$O46),'Adjustment Surface'!$AN$27:$AN$46,1)))*(INDEX('Adjustment Surface'!$AO$26:$BH$26,1,MATCH(('Adjustment Surface'!AF$26),'Adjustment Surface'!$AO$26:$BH$26,1)+IF('Adjustment Surface'!AG$26="",-1,1))-'Adjustment Surface'!AF$26)+INDEX($AO$27:$BH$46,MATCH(INDEX('Adjustment Surface'!$AN$27:$AN$46,MATCH(('Adjustment Surface'!$O46),'Adjustment Surface'!$AN$27:$AN$46,1)),$AN$27:$AN$46,0),MATCH(INDEX('Adjustment Surface'!$AO$26:$BH$26,1,MATCH(('Adjustment Surface'!AF$26),'Adjustment Surface'!$AO$26:$BH$26,1)+IF('Adjustment Surface'!AG$26="",-1,1)),$AO$26:$BH$26,0))*(INDEX('Adjustment Surface'!$AN$27:$AN$46,MATCH(('Adjustment Surface'!$O46),'Adjustment Surface'!$AN$27:$AN$46,1)+IF('Adjustment Surface'!$O47="",-1,1))-'Adjustment Surface'!$O46)*('Adjustment Surface'!AF$26-INDEX('Adjustment Surface'!$AO$26:$BH$26,1,MATCH(('Adjustment Surface'!AF$26),'Adjustment Surface'!$AO$26:$BH$26,1)))+INDEX($AO$27:$BH$46,MATCH(INDEX('Adjustment Surface'!$AN$27:$AN$46,MATCH(('Adjustment Surface'!$O46),'Adjustment Surface'!$AN$27:$AN$46,1)+IF('Adjustment Surface'!$O47="",-1,1)),$AN$27:$AN$46,0),MATCH(INDEX('Adjustment Surface'!$AO$26:$BH$26,1,MATCH(('Adjustment Surface'!AF$26),'Adjustment Surface'!$AO$26:$BH$26,1)+IF('Adjustment Surface'!AG$26="",-1,1)),$AO$26:$BH$26,0))*('Adjustment Surface'!$O46-INDEX('Adjustment Surface'!$AN$27:$AN$46,MATCH(('Adjustment Surface'!$O46),'Adjustment Surface'!$AN$27:$AN$46,1)))*('Adjustment Surface'!AF$26-INDEX('Adjustment Surface'!$AO$26:$BH$26,1,MATCH(('Adjustment Surface'!AF$26),'Adjustment Surface'!$AO$26:$BH$26,1)))))</f>
        <v/>
      </c>
      <c r="AG46" s="196" t="str" cm="1">
        <f t="array" ref="AG46">IF(OR(AG$26="",$O46=""),"",1/((INDEX('Adjustment Surface'!$AN$27:$AN$46,MATCH(('Adjustment Surface'!$O46),'Adjustment Surface'!$AN$27:$AN$46,1)+IF('Adjustment Surface'!$O47="",-1,1))-INDEX('Adjustment Surface'!$AN$27:$AN$46,MATCH(('Adjustment Surface'!$O46),'Adjustment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Surface'!$O46),'Adjustment Surface'!$AN$27:$AN$46,1)),$AN$27:$AN$46,0),MATCH(INDEX('Adjustment Surface'!$AO$26:$BH$26,1,MATCH(('Adjustment Surface'!AG$26),'Adjustment Surface'!$AO$26:$BH$26,1)),$AO$26:$BH$26,0))*(INDEX('Adjustment Surface'!$AN$27:$AN$46,MATCH(('Adjustment Surface'!$O46),'Adjustment Surface'!$AN$27:$AN$46,1)+IF('Adjustment Surface'!$O47="",-1,1))-'Adjustment Surface'!$O46)*(INDEX('Adjustment Surface'!$AO$26:$BH$26,1,MATCH(('Adjustment Surface'!AG$26),'Adjustment Surface'!$AO$26:$BH$26,1)+IF('Adjustment Surface'!AH$26="",-1,1))-'Adjustment Surface'!AG$26)+INDEX($AO$27:$BH$46,MATCH(INDEX('Adjustment Surface'!$AN$27:$AN$46,MATCH(('Adjustment Surface'!$O46),'Adjustment Surface'!$AN$27:$AN$46,1)+IF('Adjustment Surface'!$O47="",-1,1)),$AN$27:$AN$46,0),MATCH(INDEX('Adjustment Surface'!$AO$26:$BH$26,1,MATCH(('Adjustment Surface'!AG$26),'Adjustment Surface'!$AO$26:$BH$26,1)),$AO$26:$BH$26,0))*('Adjustment Surface'!$O46-INDEX('Adjustment Surface'!$AN$27:$AN$46,MATCH(('Adjustment Surface'!$O46),'Adjustment Surface'!$AN$27:$AN$46,1)))*(INDEX('Adjustment Surface'!$AO$26:$BH$26,1,MATCH(('Adjustment Surface'!AG$26),'Adjustment Surface'!$AO$26:$BH$26,1)+IF('Adjustment Surface'!AH$26="",-1,1))-'Adjustment Surface'!AG$26)+INDEX($AO$27:$BH$46,MATCH(INDEX('Adjustment Surface'!$AN$27:$AN$46,MATCH(('Adjustment Surface'!$O46),'Adjustment Surface'!$AN$27:$AN$46,1)),$AN$27:$AN$46,0),MATCH(INDEX('Adjustment Surface'!$AO$26:$BH$26,1,MATCH(('Adjustment Surface'!AG$26),'Adjustment Surface'!$AO$26:$BH$26,1)+IF('Adjustment Surface'!AH$26="",-1,1)),$AO$26:$BH$26,0))*(INDEX('Adjustment Surface'!$AN$27:$AN$46,MATCH(('Adjustment Surface'!$O46),'Adjustment Surface'!$AN$27:$AN$46,1)+IF('Adjustment Surface'!$O47="",-1,1))-'Adjustment Surface'!$O46)*('Adjustment Surface'!AG$26-INDEX('Adjustment Surface'!$AO$26:$BH$26,1,MATCH(('Adjustment Surface'!AG$26),'Adjustment Surface'!$AO$26:$BH$26,1)))+INDEX($AO$27:$BH$46,MATCH(INDEX('Adjustment Surface'!$AN$27:$AN$46,MATCH(('Adjustment Surface'!$O46),'Adjustment Surface'!$AN$27:$AN$46,1)+IF('Adjustment Surface'!$O47="",-1,1)),$AN$27:$AN$46,0),MATCH(INDEX('Adjustment Surface'!$AO$26:$BH$26,1,MATCH(('Adjustment Surface'!AG$26),'Adjustment Surface'!$AO$26:$BH$26,1)+IF('Adjustment Surface'!AH$26="",-1,1)),$AO$26:$BH$26,0))*('Adjustment Surface'!$O46-INDEX('Adjustment Surface'!$AN$27:$AN$46,MATCH(('Adjustment Surface'!$O46),'Adjustment Surface'!$AN$27:$AN$46,1)))*('Adjustment Surface'!AG$26-INDEX('Adjustment Surface'!$AO$26:$BH$26,1,MATCH(('Adjustment Surface'!AG$26),'Adjustment Surface'!$AO$26:$BH$26,1)))))</f>
        <v/>
      </c>
      <c r="AH46" s="196" t="str" cm="1">
        <f t="array" ref="AH46">IF(OR(AH$26="",$O46=""),"",1/((INDEX('Adjustment Surface'!$AN$27:$AN$46,MATCH(('Adjustment Surface'!$O46),'Adjustment Surface'!$AN$27:$AN$46,1)+IF('Adjustment Surface'!$O47="",-1,1))-INDEX('Adjustment Surface'!$AN$27:$AN$46,MATCH(('Adjustment Surface'!$O46),'Adjustment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Surface'!$O46),'Adjustment Surface'!$AN$27:$AN$46,1)),$AN$27:$AN$46,0),MATCH(INDEX('Adjustment Surface'!$AO$26:$BH$26,1,MATCH(('Adjustment Surface'!AH$26),'Adjustment Surface'!$AO$26:$BH$26,1)),$AO$26:$BH$26,0))*(INDEX('Adjustment Surface'!$AN$27:$AN$46,MATCH(('Adjustment Surface'!$O46),'Adjustment Surface'!$AN$27:$AN$46,1)+IF('Adjustment Surface'!$O47="",-1,1))-'Adjustment Surface'!$O46)*(INDEX('Adjustment Surface'!$AO$26:$BH$26,1,MATCH(('Adjustment Surface'!AH$26),'Adjustment Surface'!$AO$26:$BH$26,1)+IF('Adjustment Surface'!AI$26="",-1,1))-'Adjustment Surface'!AH$26)+INDEX($AO$27:$BH$46,MATCH(INDEX('Adjustment Surface'!$AN$27:$AN$46,MATCH(('Adjustment Surface'!$O46),'Adjustment Surface'!$AN$27:$AN$46,1)+IF('Adjustment Surface'!$O47="",-1,1)),$AN$27:$AN$46,0),MATCH(INDEX('Adjustment Surface'!$AO$26:$BH$26,1,MATCH(('Adjustment Surface'!AH$26),'Adjustment Surface'!$AO$26:$BH$26,1)),$AO$26:$BH$26,0))*('Adjustment Surface'!$O46-INDEX('Adjustment Surface'!$AN$27:$AN$46,MATCH(('Adjustment Surface'!$O46),'Adjustment Surface'!$AN$27:$AN$46,1)))*(INDEX('Adjustment Surface'!$AO$26:$BH$26,1,MATCH(('Adjustment Surface'!AH$26),'Adjustment Surface'!$AO$26:$BH$26,1)+IF('Adjustment Surface'!AI$26="",-1,1))-'Adjustment Surface'!AH$26)+INDEX($AO$27:$BH$46,MATCH(INDEX('Adjustment Surface'!$AN$27:$AN$46,MATCH(('Adjustment Surface'!$O46),'Adjustment Surface'!$AN$27:$AN$46,1)),$AN$27:$AN$46,0),MATCH(INDEX('Adjustment Surface'!$AO$26:$BH$26,1,MATCH(('Adjustment Surface'!AH$26),'Adjustment Surface'!$AO$26:$BH$26,1)+IF('Adjustment Surface'!AI$26="",-1,1)),$AO$26:$BH$26,0))*(INDEX('Adjustment Surface'!$AN$27:$AN$46,MATCH(('Adjustment Surface'!$O46),'Adjustment Surface'!$AN$27:$AN$46,1)+IF('Adjustment Surface'!$O47="",-1,1))-'Adjustment Surface'!$O46)*('Adjustment Surface'!AH$26-INDEX('Adjustment Surface'!$AO$26:$BH$26,1,MATCH(('Adjustment Surface'!AH$26),'Adjustment Surface'!$AO$26:$BH$26,1)))+INDEX($AO$27:$BH$46,MATCH(INDEX('Adjustment Surface'!$AN$27:$AN$46,MATCH(('Adjustment Surface'!$O46),'Adjustment Surface'!$AN$27:$AN$46,1)+IF('Adjustment Surface'!$O47="",-1,1)),$AN$27:$AN$46,0),MATCH(INDEX('Adjustment Surface'!$AO$26:$BH$26,1,MATCH(('Adjustment Surface'!AH$26),'Adjustment Surface'!$AO$26:$BH$26,1)+IF('Adjustment Surface'!AI$26="",-1,1)),$AO$26:$BH$26,0))*('Adjustment Surface'!$O46-INDEX('Adjustment Surface'!$AN$27:$AN$46,MATCH(('Adjustment Surface'!$O46),'Adjustment Surface'!$AN$27:$AN$46,1)))*('Adjustment Surface'!AH$26-INDEX('Adjustment Surface'!$AO$26:$BH$26,1,MATCH(('Adjustment Surface'!AH$26),'Adjustment Surface'!$AO$26:$BH$26,1)))))</f>
        <v/>
      </c>
      <c r="AI46" s="197" t="str" cm="1">
        <f t="array" ref="AI46">IF(OR(AI$26="",$O46=""),"",1/((INDEX('Adjustment Surface'!$AN$27:$AN$46,MATCH(('Adjustment Surface'!$O46),'Adjustment Surface'!$AN$27:$AN$46,1)+IF('Adjustment Surface'!$O47="",-1,1))-INDEX('Adjustment Surface'!$AN$27:$AN$46,MATCH(('Adjustment Surface'!$O46),'Adjustment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Surface'!$O46),'Adjustment Surface'!$AN$27:$AN$46,1)),$AN$27:$AN$46,0),MATCH(INDEX('Adjustment Surface'!$AO$26:$BH$26,1,MATCH(('Adjustment Surface'!AI$26),'Adjustment Surface'!$AO$26:$BH$26,1)),$AO$26:$BH$26,0))*(INDEX('Adjustment Surface'!$AN$27:$AN$46,MATCH(('Adjustment Surface'!$O46),'Adjustment Surface'!$AN$27:$AN$46,1)+IF('Adjustment Surface'!$O47="",-1,1))-'Adjustment Surface'!$O46)*(INDEX('Adjustment Surface'!$AO$26:$BH$26,1,MATCH(('Adjustment Surface'!AI$26),'Adjustment Surface'!$AO$26:$BH$26,1)+IF('Adjustment Surface'!AJ$26="",-1,1))-'Adjustment Surface'!AI$26)+INDEX($AO$27:$BH$46,MATCH(INDEX('Adjustment Surface'!$AN$27:$AN$46,MATCH(('Adjustment Surface'!$O46),'Adjustment Surface'!$AN$27:$AN$46,1)+IF('Adjustment Surface'!$O47="",-1,1)),$AN$27:$AN$46,0),MATCH(INDEX('Adjustment Surface'!$AO$26:$BH$26,1,MATCH(('Adjustment Surface'!AI$26),'Adjustment Surface'!$AO$26:$BH$26,1)),$AO$26:$BH$26,0))*('Adjustment Surface'!$O46-INDEX('Adjustment Surface'!$AN$27:$AN$46,MATCH(('Adjustment Surface'!$O46),'Adjustment Surface'!$AN$27:$AN$46,1)))*(INDEX('Adjustment Surface'!$AO$26:$BH$26,1,MATCH(('Adjustment Surface'!AI$26),'Adjustment Surface'!$AO$26:$BH$26,1)+IF('Adjustment Surface'!AJ$26="",-1,1))-'Adjustment Surface'!AI$26)+INDEX($AO$27:$BH$46,MATCH(INDEX('Adjustment Surface'!$AN$27:$AN$46,MATCH(('Adjustment Surface'!$O46),'Adjustment Surface'!$AN$27:$AN$46,1)),$AN$27:$AN$46,0),MATCH(INDEX('Adjustment Surface'!$AO$26:$BH$26,1,MATCH(('Adjustment Surface'!AI$26),'Adjustment Surface'!$AO$26:$BH$26,1)+IF('Adjustment Surface'!AJ$26="",-1,1)),$AO$26:$BH$26,0))*(INDEX('Adjustment Surface'!$AN$27:$AN$46,MATCH(('Adjustment Surface'!$O46),'Adjustment Surface'!$AN$27:$AN$46,1)+IF('Adjustment Surface'!$O47="",-1,1))-'Adjustment Surface'!$O46)*('Adjustment Surface'!AI$26-INDEX('Adjustment Surface'!$AO$26:$BH$26,1,MATCH(('Adjustment Surface'!AI$26),'Adjustment Surface'!$AO$26:$BH$26,1)))+INDEX($AO$27:$BH$46,MATCH(INDEX('Adjustment Surface'!$AN$27:$AN$46,MATCH(('Adjustment Surface'!$O46),'Adjustment Surface'!$AN$27:$AN$46,1)+IF('Adjustment Surface'!$O47="",-1,1)),$AN$27:$AN$46,0),MATCH(INDEX('Adjustment Surface'!$AO$26:$BH$26,1,MATCH(('Adjustment Surface'!AI$26),'Adjustment Surface'!$AO$26:$BH$26,1)+IF('Adjustment Surface'!AJ$26="",-1,1)),$AO$26:$BH$26,0))*('Adjustment Surface'!$O46-INDEX('Adjustment Surface'!$AN$27:$AN$46,MATCH(('Adjustment Surface'!$O46),'Adjustment Surface'!$AN$27:$AN$46,1)))*('Adjustment Surface'!AI$26-INDEX('Adjustment Surface'!$AO$26:$BH$26,1,MATCH(('Adjustment Surface'!AI$26),'Adjustment Surface'!$AO$26:$BH$26,1)))))</f>
        <v/>
      </c>
      <c r="AK46" s="205"/>
      <c r="AL46" s="208"/>
      <c r="AN46" s="176"/>
      <c r="AO46" s="195" t="str" cm="1">
        <f t="array" ref="AO46">IF(OR(AO$26="",$AN46=""),"",INDEX(IF($C$2='Data Validation'!$A$2,'Bank Adjustments'!$I$4:$I$103,IF('Adjustment Surface'!$C$2='Data Validation'!$A$3,'Bank Adjustments'!$S$4:$S$103,"Unknown Option Type")),MATCH(1,($AN46=IF($C$2='Data Validation'!$A$2,'Bank Adjustments'!$C$4:$C$103,IF('Adjustment Surface'!$C$2='Data Validation'!$A$3,'Bank Adjustments'!$M$4:$M$103,"Unknown Option Type")))*(AO$26=IF($C$2='Data Validation'!$A$2,'Bank Adjustments'!$E$4:$E$103,IF('Adjustment Surface'!$C$2='Data Validation'!$A$3,'Bank Adjustments'!$O$4:$O$103,"Unknown Option Type"))),0)))</f>
        <v/>
      </c>
      <c r="AP46" s="196" t="str" cm="1">
        <f t="array" ref="AP46">IF(OR(AP$26="",$AN46=""),"",INDEX(IF($C$2='Data Validation'!$A$2,'Bank Adjustments'!$I$4:$I$103,IF('Adjustment Surface'!$C$2='Data Validation'!$A$3,'Bank Adjustments'!$S$4:$S$103,"Unknown Option Type")),MATCH(1,($AN46=IF($C$2='Data Validation'!$A$2,'Bank Adjustments'!$C$4:$C$103,IF('Adjustment Surface'!$C$2='Data Validation'!$A$3,'Bank Adjustments'!$M$4:$M$103,"Unknown Option Type")))*(AP$26=IF($C$2='Data Validation'!$A$2,'Bank Adjustments'!$E$4:$E$103,IF('Adjustment Surface'!$C$2='Data Validation'!$A$3,'Bank Adjustments'!$O$4:$O$103,"Unknown Option Type"))),0)))</f>
        <v/>
      </c>
      <c r="AQ46" s="196" t="str" cm="1">
        <f t="array" ref="AQ46">IF(OR(AQ$26="",$AN46=""),"",INDEX(IF($C$2='Data Validation'!$A$2,'Bank Adjustments'!$I$4:$I$103,IF('Adjustment Surface'!$C$2='Data Validation'!$A$3,'Bank Adjustments'!$S$4:$S$103,"Unknown Option Type")),MATCH(1,($AN46=IF($C$2='Data Validation'!$A$2,'Bank Adjustments'!$C$4:$C$103,IF('Adjustment Surface'!$C$2='Data Validation'!$A$3,'Bank Adjustments'!$M$4:$M$103,"Unknown Option Type")))*(AQ$26=IF($C$2='Data Validation'!$A$2,'Bank Adjustments'!$E$4:$E$103,IF('Adjustment Surface'!$C$2='Data Validation'!$A$3,'Bank Adjustments'!$O$4:$O$103,"Unknown Option Type"))),0)))</f>
        <v/>
      </c>
      <c r="AR46" s="196" t="str" cm="1">
        <f t="array" ref="AR46">IF(OR(AR$26="",$AN46=""),"",INDEX(IF($C$2='Data Validation'!$A$2,'Bank Adjustments'!$I$4:$I$103,IF('Adjustment Surface'!$C$2='Data Validation'!$A$3,'Bank Adjustments'!$S$4:$S$103,"Unknown Option Type")),MATCH(1,($AN46=IF($C$2='Data Validation'!$A$2,'Bank Adjustments'!$C$4:$C$103,IF('Adjustment Surface'!$C$2='Data Validation'!$A$3,'Bank Adjustments'!$M$4:$M$103,"Unknown Option Type")))*(AR$26=IF($C$2='Data Validation'!$A$2,'Bank Adjustments'!$E$4:$E$103,IF('Adjustment Surface'!$C$2='Data Validation'!$A$3,'Bank Adjustments'!$O$4:$O$103,"Unknown Option Type"))),0)))</f>
        <v/>
      </c>
      <c r="AS46" s="196" t="str" cm="1">
        <f t="array" ref="AS46">IF(OR(AS$26="",$AN46=""),"",INDEX(IF($C$2='Data Validation'!$A$2,'Bank Adjustments'!$I$4:$I$103,IF('Adjustment Surface'!$C$2='Data Validation'!$A$3,'Bank Adjustments'!$S$4:$S$103,"Unknown Option Type")),MATCH(1,($AN46=IF($C$2='Data Validation'!$A$2,'Bank Adjustments'!$C$4:$C$103,IF('Adjustment Surface'!$C$2='Data Validation'!$A$3,'Bank Adjustments'!$M$4:$M$103,"Unknown Option Type")))*(AS$26=IF($C$2='Data Validation'!$A$2,'Bank Adjustments'!$E$4:$E$103,IF('Adjustment Surface'!$C$2='Data Validation'!$A$3,'Bank Adjustments'!$O$4:$O$103,"Unknown Option Type"))),0)))</f>
        <v/>
      </c>
      <c r="AT46" s="196" t="str" cm="1">
        <f t="array" ref="AT46">IF(OR(AT$26="",$AN46=""),"",INDEX(IF($C$2='Data Validation'!$A$2,'Bank Adjustments'!$I$4:$I$103,IF('Adjustment Surface'!$C$2='Data Validation'!$A$3,'Bank Adjustments'!$S$4:$S$103,"Unknown Option Type")),MATCH(1,($AN46=IF($C$2='Data Validation'!$A$2,'Bank Adjustments'!$C$4:$C$103,IF('Adjustment Surface'!$C$2='Data Validation'!$A$3,'Bank Adjustments'!$M$4:$M$103,"Unknown Option Type")))*(AT$26=IF($C$2='Data Validation'!$A$2,'Bank Adjustments'!$E$4:$E$103,IF('Adjustment Surface'!$C$2='Data Validation'!$A$3,'Bank Adjustments'!$O$4:$O$103,"Unknown Option Type"))),0)))</f>
        <v/>
      </c>
      <c r="AU46" s="196" t="str" cm="1">
        <f t="array" ref="AU46">IF(OR(AU$26="",$AN46=""),"",INDEX(IF($C$2='Data Validation'!$A$2,'Bank Adjustments'!$I$4:$I$103,IF('Adjustment Surface'!$C$2='Data Validation'!$A$3,'Bank Adjustments'!$S$4:$S$103,"Unknown Option Type")),MATCH(1,($AN46=IF($C$2='Data Validation'!$A$2,'Bank Adjustments'!$C$4:$C$103,IF('Adjustment Surface'!$C$2='Data Validation'!$A$3,'Bank Adjustments'!$M$4:$M$103,"Unknown Option Type")))*(AU$26=IF($C$2='Data Validation'!$A$2,'Bank Adjustments'!$E$4:$E$103,IF('Adjustment Surface'!$C$2='Data Validation'!$A$3,'Bank Adjustments'!$O$4:$O$103,"Unknown Option Type"))),0)))</f>
        <v/>
      </c>
      <c r="AV46" s="196" t="str" cm="1">
        <f t="array" ref="AV46">IF(OR(AV$26="",$AN46=""),"",INDEX(IF($C$2='Data Validation'!$A$2,'Bank Adjustments'!$I$4:$I$103,IF('Adjustment Surface'!$C$2='Data Validation'!$A$3,'Bank Adjustments'!$S$4:$S$103,"Unknown Option Type")),MATCH(1,($AN46=IF($C$2='Data Validation'!$A$2,'Bank Adjustments'!$C$4:$C$103,IF('Adjustment Surface'!$C$2='Data Validation'!$A$3,'Bank Adjustments'!$M$4:$M$103,"Unknown Option Type")))*(AV$26=IF($C$2='Data Validation'!$A$2,'Bank Adjustments'!$E$4:$E$103,IF('Adjustment Surface'!$C$2='Data Validation'!$A$3,'Bank Adjustments'!$O$4:$O$103,"Unknown Option Type"))),0)))</f>
        <v/>
      </c>
      <c r="AW46" s="196" t="str" cm="1">
        <f t="array" ref="AW46">IF(OR(AW$26="",$AN46=""),"",INDEX(IF($C$2='Data Validation'!$A$2,'Bank Adjustments'!$I$4:$I$103,IF('Adjustment Surface'!$C$2='Data Validation'!$A$3,'Bank Adjustments'!$S$4:$S$103,"Unknown Option Type")),MATCH(1,($AN46=IF($C$2='Data Validation'!$A$2,'Bank Adjustments'!$C$4:$C$103,IF('Adjustment Surface'!$C$2='Data Validation'!$A$3,'Bank Adjustments'!$M$4:$M$103,"Unknown Option Type")))*(AW$26=IF($C$2='Data Validation'!$A$2,'Bank Adjustments'!$E$4:$E$103,IF('Adjustment Surface'!$C$2='Data Validation'!$A$3,'Bank Adjustments'!$O$4:$O$103,"Unknown Option Type"))),0)))</f>
        <v/>
      </c>
      <c r="AX46" s="196" t="str" cm="1">
        <f t="array" ref="AX46">IF(OR(AX$26="",$AN46=""),"",INDEX(IF($C$2='Data Validation'!$A$2,'Bank Adjustments'!$I$4:$I$103,IF('Adjustment Surface'!$C$2='Data Validation'!$A$3,'Bank Adjustments'!$S$4:$S$103,"Unknown Option Type")),MATCH(1,($AN46=IF($C$2='Data Validation'!$A$2,'Bank Adjustments'!$C$4:$C$103,IF('Adjustment Surface'!$C$2='Data Validation'!$A$3,'Bank Adjustments'!$M$4:$M$103,"Unknown Option Type")))*(AX$26=IF($C$2='Data Validation'!$A$2,'Bank Adjustments'!$E$4:$E$103,IF('Adjustment Surface'!$C$2='Data Validation'!$A$3,'Bank Adjustments'!$O$4:$O$103,"Unknown Option Type"))),0)))</f>
        <v/>
      </c>
      <c r="AY46" s="196" t="str" cm="1">
        <f t="array" ref="AY46">IF(OR(AY$26="",$AN46=""),"",INDEX(IF($C$2='Data Validation'!$A$2,'Bank Adjustments'!$I$4:$I$103,IF('Adjustment Surface'!$C$2='Data Validation'!$A$3,'Bank Adjustments'!$S$4:$S$103,"Unknown Option Type")),MATCH(1,($AN46=IF($C$2='Data Validation'!$A$2,'Bank Adjustments'!$C$4:$C$103,IF('Adjustment Surface'!$C$2='Data Validation'!$A$3,'Bank Adjustments'!$M$4:$M$103,"Unknown Option Type")))*(AY$26=IF($C$2='Data Validation'!$A$2,'Bank Adjustments'!$E$4:$E$103,IF('Adjustment Surface'!$C$2='Data Validation'!$A$3,'Bank Adjustments'!$O$4:$O$103,"Unknown Option Type"))),0)))</f>
        <v/>
      </c>
      <c r="AZ46" s="196" t="str" cm="1">
        <f t="array" ref="AZ46">IF(OR(AZ$26="",$AN46=""),"",INDEX(IF($C$2='Data Validation'!$A$2,'Bank Adjustments'!$I$4:$I$103,IF('Adjustment Surface'!$C$2='Data Validation'!$A$3,'Bank Adjustments'!$S$4:$S$103,"Unknown Option Type")),MATCH(1,($AN46=IF($C$2='Data Validation'!$A$2,'Bank Adjustments'!$C$4:$C$103,IF('Adjustment Surface'!$C$2='Data Validation'!$A$3,'Bank Adjustments'!$M$4:$M$103,"Unknown Option Type")))*(AZ$26=IF($C$2='Data Validation'!$A$2,'Bank Adjustments'!$E$4:$E$103,IF('Adjustment Surface'!$C$2='Data Validation'!$A$3,'Bank Adjustments'!$O$4:$O$103,"Unknown Option Type"))),0)))</f>
        <v/>
      </c>
      <c r="BA46" s="196" t="str" cm="1">
        <f t="array" ref="BA46">IF(OR(BA$26="",$AN46=""),"",INDEX(IF($C$2='Data Validation'!$A$2,'Bank Adjustments'!$I$4:$I$103,IF('Adjustment Surface'!$C$2='Data Validation'!$A$3,'Bank Adjustments'!$S$4:$S$103,"Unknown Option Type")),MATCH(1,($AN46=IF($C$2='Data Validation'!$A$2,'Bank Adjustments'!$C$4:$C$103,IF('Adjustment Surface'!$C$2='Data Validation'!$A$3,'Bank Adjustments'!$M$4:$M$103,"Unknown Option Type")))*(BA$26=IF($C$2='Data Validation'!$A$2,'Bank Adjustments'!$E$4:$E$103,IF('Adjustment Surface'!$C$2='Data Validation'!$A$3,'Bank Adjustments'!$O$4:$O$103,"Unknown Option Type"))),0)))</f>
        <v/>
      </c>
      <c r="BB46" s="196" t="str" cm="1">
        <f t="array" ref="BB46">IF(OR(BB$26="",$AN46=""),"",INDEX(IF($C$2='Data Validation'!$A$2,'Bank Adjustments'!$I$4:$I$103,IF('Adjustment Surface'!$C$2='Data Validation'!$A$3,'Bank Adjustments'!$S$4:$S$103,"Unknown Option Type")),MATCH(1,($AN46=IF($C$2='Data Validation'!$A$2,'Bank Adjustments'!$C$4:$C$103,IF('Adjustment Surface'!$C$2='Data Validation'!$A$3,'Bank Adjustments'!$M$4:$M$103,"Unknown Option Type")))*(BB$26=IF($C$2='Data Validation'!$A$2,'Bank Adjustments'!$E$4:$E$103,IF('Adjustment Surface'!$C$2='Data Validation'!$A$3,'Bank Adjustments'!$O$4:$O$103,"Unknown Option Type"))),0)))</f>
        <v/>
      </c>
      <c r="BC46" s="196" t="str" cm="1">
        <f t="array" ref="BC46">IF(OR(BC$26="",$AN46=""),"",INDEX(IF($C$2='Data Validation'!$A$2,'Bank Adjustments'!$I$4:$I$103,IF('Adjustment Surface'!$C$2='Data Validation'!$A$3,'Bank Adjustments'!$S$4:$S$103,"Unknown Option Type")),MATCH(1,($AN46=IF($C$2='Data Validation'!$A$2,'Bank Adjustments'!$C$4:$C$103,IF('Adjustment Surface'!$C$2='Data Validation'!$A$3,'Bank Adjustments'!$M$4:$M$103,"Unknown Option Type")))*(BC$26=IF($C$2='Data Validation'!$A$2,'Bank Adjustments'!$E$4:$E$103,IF('Adjustment Surface'!$C$2='Data Validation'!$A$3,'Bank Adjustments'!$O$4:$O$103,"Unknown Option Type"))),0)))</f>
        <v/>
      </c>
      <c r="BD46" s="196" t="str" cm="1">
        <f t="array" ref="BD46">IF(OR(BD$26="",$AN46=""),"",INDEX(IF($C$2='Data Validation'!$A$2,'Bank Adjustments'!$I$4:$I$103,IF('Adjustment Surface'!$C$2='Data Validation'!$A$3,'Bank Adjustments'!$S$4:$S$103,"Unknown Option Type")),MATCH(1,($AN46=IF($C$2='Data Validation'!$A$2,'Bank Adjustments'!$C$4:$C$103,IF('Adjustment Surface'!$C$2='Data Validation'!$A$3,'Bank Adjustments'!$M$4:$M$103,"Unknown Option Type")))*(BD$26=IF($C$2='Data Validation'!$A$2,'Bank Adjustments'!$E$4:$E$103,IF('Adjustment Surface'!$C$2='Data Validation'!$A$3,'Bank Adjustments'!$O$4:$O$103,"Unknown Option Type"))),0)))</f>
        <v/>
      </c>
      <c r="BE46" s="196" t="str" cm="1">
        <f t="array" ref="BE46">IF(OR(BE$26="",$AN46=""),"",INDEX(IF($C$2='Data Validation'!$A$2,'Bank Adjustments'!$I$4:$I$103,IF('Adjustment Surface'!$C$2='Data Validation'!$A$3,'Bank Adjustments'!$S$4:$S$103,"Unknown Option Type")),MATCH(1,($AN46=IF($C$2='Data Validation'!$A$2,'Bank Adjustments'!$C$4:$C$103,IF('Adjustment Surface'!$C$2='Data Validation'!$A$3,'Bank Adjustments'!$M$4:$M$103,"Unknown Option Type")))*(BE$26=IF($C$2='Data Validation'!$A$2,'Bank Adjustments'!$E$4:$E$103,IF('Adjustment Surface'!$C$2='Data Validation'!$A$3,'Bank Adjustments'!$O$4:$O$103,"Unknown Option Type"))),0)))</f>
        <v/>
      </c>
      <c r="BF46" s="196" t="str" cm="1">
        <f t="array" ref="BF46">IF(OR(BF$26="",$AN46=""),"",INDEX(IF($C$2='Data Validation'!$A$2,'Bank Adjustments'!$I$4:$I$103,IF('Adjustment Surface'!$C$2='Data Validation'!$A$3,'Bank Adjustments'!$S$4:$S$103,"Unknown Option Type")),MATCH(1,($AN46=IF($C$2='Data Validation'!$A$2,'Bank Adjustments'!$C$4:$C$103,IF('Adjustment Surface'!$C$2='Data Validation'!$A$3,'Bank Adjustments'!$M$4:$M$103,"Unknown Option Type")))*(BF$26=IF($C$2='Data Validation'!$A$2,'Bank Adjustments'!$E$4:$E$103,IF('Adjustment Surface'!$C$2='Data Validation'!$A$3,'Bank Adjustments'!$O$4:$O$103,"Unknown Option Type"))),0)))</f>
        <v/>
      </c>
      <c r="BG46" s="196" t="str" cm="1">
        <f t="array" ref="BG46">IF(OR(BG$26="",$AN46=""),"",INDEX(IF($C$2='Data Validation'!$A$2,'Bank Adjustments'!$I$4:$I$103,IF('Adjustment Surface'!$C$2='Data Validation'!$A$3,'Bank Adjustments'!$S$4:$S$103,"Unknown Option Type")),MATCH(1,($AN46=IF($C$2='Data Validation'!$A$2,'Bank Adjustments'!$C$4:$C$103,IF('Adjustment Surface'!$C$2='Data Validation'!$A$3,'Bank Adjustments'!$M$4:$M$103,"Unknown Option Type")))*(BG$26=IF($C$2='Data Validation'!$A$2,'Bank Adjustments'!$E$4:$E$103,IF('Adjustment Surface'!$C$2='Data Validation'!$A$3,'Bank Adjustments'!$O$4:$O$103,"Unknown Option Type"))),0)))</f>
        <v/>
      </c>
      <c r="BH46" s="197" t="str" cm="1">
        <f t="array" ref="BH46">IF(OR(BH$26="",$AN46=""),"",INDEX(IF($C$2='Data Validation'!$A$2,'Bank Adjustments'!$I$4:$I$103,IF('Adjustment Surface'!$C$2='Data Validation'!$A$3,'Bank Adjustments'!$S$4:$S$103,"Unknown Option Type")),MATCH(1,($AN46=IF($C$2='Data Validation'!$A$2,'Bank Adjustments'!$C$4:$C$103,IF('Adjustment Surface'!$C$2='Data Validation'!$A$3,'Bank Adjustments'!$M$4:$M$103,"Unknown Option Type")))*(BH$26=IF($C$2='Data Validation'!$A$2,'Bank Adjustments'!$E$4:$E$103,IF('Adjustment Surface'!$C$2='Data Validation'!$A$3,'Bank Adjustments'!$O$4:$O$103,"Unknown Option Type"))),0)))</f>
        <v/>
      </c>
    </row>
    <row r="47" spans="2:60" x14ac:dyDescent="0.25"/>
    <row r="48" spans="2:60" hidden="1" x14ac:dyDescent="0.25">
      <c r="C48" s="15"/>
    </row>
  </sheetData>
  <sheetProtection algorithmName="SHA-512" hashValue="Kl175JqR0yiIjoKv5eeINsINZu1B+RH2hur7EfGWxiSc2pYS6kmpUZEFnZ+oFgibk2NtM+SNp82YtV70auTwlw==" saltValue="NntvEqNWUDp32JLiSSE4eg==" spinCount="100000"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D3264C-99DA-4838-A073-A8EC7191684B}">
  <sheetPr codeName="Sheet12">
    <tabColor theme="6"/>
  </sheetPr>
  <dimension ref="A1:Q221"/>
  <sheetViews>
    <sheetView showGridLines="0" workbookViewId="0"/>
  </sheetViews>
  <sheetFormatPr defaultColWidth="0" defaultRowHeight="15" zeroHeight="1" x14ac:dyDescent="0.25"/>
  <cols>
    <col min="1" max="1" width="2.85546875" hidden="1" customWidth="1"/>
    <col min="2" max="2" width="21.42578125" style="3" hidden="1" customWidth="1"/>
    <col min="3" max="3" width="21.42578125" style="16" hidden="1" customWidth="1"/>
    <col min="4" max="12" width="21.42578125" style="3" hidden="1" customWidth="1"/>
    <col min="13" max="13" width="21.42578125" style="16" hidden="1" customWidth="1"/>
    <col min="14" max="16" width="21.42578125" style="3" hidden="1" customWidth="1"/>
    <col min="17" max="17" width="2.85546875" hidden="1" customWidth="1"/>
    <col min="18" max="16384" width="9.140625" hidden="1"/>
  </cols>
  <sheetData>
    <row r="1" spans="2:16" x14ac:dyDescent="0.25"/>
    <row r="2" spans="2:16" x14ac:dyDescent="0.25">
      <c r="B2" s="7" t="s">
        <v>85</v>
      </c>
      <c r="C2" s="92" t="s">
        <v>8</v>
      </c>
      <c r="D2" s="7" t="str">
        <f>'Data Validation'!G2</f>
        <v>Market Expectations</v>
      </c>
      <c r="E2" s="93" t="str">
        <f>'Data Validation'!G3</f>
        <v>+2 Standard Deviations</v>
      </c>
      <c r="F2" s="93" t="str">
        <f>'Data Validation'!G4</f>
        <v>+1 Standard Deviation</v>
      </c>
      <c r="G2" s="93" t="str">
        <f>'Data Validation'!G5</f>
        <v>-1 Standard Deviation</v>
      </c>
      <c r="H2" s="93" t="str">
        <f>'Data Validation'!G6</f>
        <v>-2 Standard Deviations</v>
      </c>
      <c r="I2" s="93" t="str">
        <f>'Data Validation'!G7</f>
        <v>+50bps</v>
      </c>
      <c r="J2" s="93" t="str">
        <f>'Data Validation'!G8</f>
        <v>+25bps</v>
      </c>
      <c r="K2" s="93" t="str">
        <f>'Data Validation'!G9</f>
        <v>-25bps</v>
      </c>
      <c r="L2" s="93" t="str">
        <f>'Data Validation'!G10</f>
        <v>-50bps</v>
      </c>
      <c r="M2" s="92" t="str">
        <f>'Data Validation'!G11</f>
        <v>Fed Projections</v>
      </c>
      <c r="N2" s="7" t="str">
        <f>'Data Validation'!G12</f>
        <v>Rates at 6.00%</v>
      </c>
      <c r="O2" s="7" t="str">
        <f>'Data Validation'!G13</f>
        <v>Rates at 0.00%</v>
      </c>
      <c r="P2" s="7" t="str">
        <f>'Data Validation'!G14</f>
        <v>Custom Curve</v>
      </c>
    </row>
    <row r="3" spans="2:16" x14ac:dyDescent="0.25">
      <c r="B3" s="4">
        <f>'Bachelier Model'!J4</f>
        <v>46064</v>
      </c>
      <c r="C3" s="16">
        <f>IF(B3="","",IF(B3&lt;'Rate &amp; Vol Update'!$B$8,0,_xlfn.FORECAST.LINEAR(B3,INDEX('Rate &amp; Vol Update'!$E$8:$E$127,MATCH('Market Scenarios'!B3,'Rate &amp; Vol Update'!$B$8:$B$127,1)):INDEX('Rate &amp; Vol Update'!$E$8:$E$127,MATCH('Market Scenarios'!B3,'Rate &amp; Vol Update'!$B$8:$B$127,1)+1),INDEX('Rate &amp; Vol Update'!$B$8:$B$127,MATCH('Market Scenarios'!B3,'Rate &amp; Vol Update'!$B$8:$B$127,1)):INDEX('Rate &amp; Vol Update'!$B$8:$B$127,MATCH('Market Scenarios'!B3,'Rate &amp; Vol Update'!$B$8:$B$127,1)+1)))/100)</f>
        <v>0.61240328238007236</v>
      </c>
      <c r="D3" s="85">
        <f>'Bachelier Model'!P4</f>
        <v>3.659640073776245E-2</v>
      </c>
      <c r="E3" s="16">
        <f>IF(B3="","",$D3*(1+(SQRT(YEARFRAC($B$3,$B3,2))*(2*$C3))))</f>
        <v>3.659640073776245E-2</v>
      </c>
      <c r="F3" s="16">
        <f>IF(B3="","",$D3*(1+(SQRT(YEARFRAC($B$3,$B3,1))*(1*$C3))))</f>
        <v>3.659640073776245E-2</v>
      </c>
      <c r="G3" s="16">
        <f>IF(B3="","",$D3*(1-(SQRT(YEARFRAC($B$3,$B3,1))*(1*$C3))))</f>
        <v>3.659640073776245E-2</v>
      </c>
      <c r="H3" s="16">
        <f>IF(B3="","",$D3*(1-(SQRT(YEARFRAC($B$3,$B3,2))*(2*$C3))))</f>
        <v>3.659640073776245E-2</v>
      </c>
      <c r="I3" s="16">
        <f>IF(B3="","",D3+0.5%)</f>
        <v>4.1596400737762447E-2</v>
      </c>
      <c r="J3" s="16">
        <f>IF(B3="","",D3+0.25%)</f>
        <v>3.9096400737762452E-2</v>
      </c>
      <c r="K3" s="16">
        <f>IF(B3="","",D3-0.25%)</f>
        <v>3.4096400737762447E-2</v>
      </c>
      <c r="L3" s="16">
        <f>IF(B3="","",D3-0.5%)</f>
        <v>3.1596400737762452E-2</v>
      </c>
      <c r="M3" s="16">
        <f>IF(B3="","",IF(B3&gt;'Rate &amp; Vol Update'!$K$2,'Rate &amp; Vol Update'!$K$4,IF(B3&lt;'Rate &amp; Vol Update'!$F$2,D3,_xlfn.FORECAST.LINEAR(B3,INDEX('Rate &amp; Vol Update'!$F$4:$K$4,1,MATCH(B3,'Rate &amp; Vol Update'!$F$2:$K$2,1)):INDEX('Rate &amp; Vol Update'!$F$4:$K$4,1,MATCH(B3,'Rate &amp; Vol Update'!$F$2:$K$2,1)+1),INDEX('Rate &amp; Vol Update'!$F$2:$K$2,1,MATCH(B3,'Rate &amp; Vol Update'!$F$2:$K$2,1)):INDEX('Rate &amp; Vol Update'!$F$2:$K$2,1,MATCH(B3,'Rate &amp; Vol Update'!$F$2:$K$2,1)+1)))))</f>
        <v>3.659640073776238E-2</v>
      </c>
      <c r="N3" s="85">
        <f>IF(B3="","",6%)</f>
        <v>0.06</v>
      </c>
      <c r="O3" s="16">
        <f>IF(B3="","",0.125%)</f>
        <v>1.25E-3</v>
      </c>
      <c r="P3" s="85">
        <f>IF(B3="","",Schedules!D3)</f>
        <v>5.3297799999999992E-2</v>
      </c>
    </row>
    <row r="4" spans="2:16" x14ac:dyDescent="0.25">
      <c r="B4" s="4">
        <f>'Bachelier Model'!J5</f>
        <v>46092</v>
      </c>
      <c r="C4" s="16">
        <f>IF(B4="","",IF(B4&lt;'Rate &amp; Vol Update'!$B$8,0,_xlfn.FORECAST.LINEAR(B4,INDEX('Rate &amp; Vol Update'!$E$8:$E$127,MATCH('Market Scenarios'!B4,'Rate &amp; Vol Update'!$B$8:$B$127,1)):INDEX('Rate &amp; Vol Update'!$E$8:$E$127,MATCH('Market Scenarios'!B4,'Rate &amp; Vol Update'!$B$8:$B$127,1)+1),INDEX('Rate &amp; Vol Update'!$B$8:$B$127,MATCH('Market Scenarios'!B4,'Rate &amp; Vol Update'!$B$8:$B$127,1)):INDEX('Rate &amp; Vol Update'!$B$8:$B$127,MATCH('Market Scenarios'!B4,'Rate &amp; Vol Update'!$B$8:$B$127,1)+1)))/100)</f>
        <v>0.61769496302142557</v>
      </c>
      <c r="D4" s="85">
        <f>'Bachelier Model'!P5</f>
        <v>3.6488071335794528E-2</v>
      </c>
      <c r="E4" s="16">
        <f t="shared" ref="E4:E67" si="0">IF(B4="","",$D4*(1+(SQRT(YEARFRAC($B$3,$B4,2))*(2*$C4))))</f>
        <v>4.9059444822265381E-2</v>
      </c>
      <c r="F4" s="16">
        <f t="shared" ref="F4:F67" si="1">IF(B4="","",$D4*(1+(SQRT(YEARFRAC($B$3,$B4,1))*(1*$C4))))</f>
        <v>4.2730556970928299E-2</v>
      </c>
      <c r="G4" s="16">
        <f t="shared" ref="G4:G67" si="2">IF(B4="","",$D4*(1-(SQRT(YEARFRAC($B$3,$B4,1))*(1*$C4))))</f>
        <v>3.0245585700660754E-2</v>
      </c>
      <c r="H4" s="16">
        <f t="shared" ref="H4:H67" si="3">IF(B4="","",$D4*(1-(SQRT(YEARFRAC($B$3,$B4,2))*(2*$C4))))</f>
        <v>2.3916697849323671E-2</v>
      </c>
      <c r="I4" s="16">
        <f t="shared" ref="I4:I67" si="4">IF(B4="","",D4+0.5%)</f>
        <v>4.1488071335794525E-2</v>
      </c>
      <c r="J4" s="16">
        <f t="shared" ref="J4:J67" si="5">IF(B4="","",D4+0.25%)</f>
        <v>3.898807133579453E-2</v>
      </c>
      <c r="K4" s="16">
        <f t="shared" ref="K4:K67" si="6">IF(B4="","",D4-0.25%)</f>
        <v>3.3988071335794526E-2</v>
      </c>
      <c r="L4" s="16">
        <f t="shared" ref="L4:L67" si="7">IF(B4="","",D4-0.5%)</f>
        <v>3.148807133579453E-2</v>
      </c>
      <c r="M4" s="16">
        <f>IF(B4="","",IF(B4&gt;'Rate &amp; Vol Update'!$K$2,'Rate &amp; Vol Update'!$K$4,IF(B4&lt;'Rate &amp; Vol Update'!$F$2,D4,_xlfn.FORECAST.LINEAR(B4,INDEX('Rate &amp; Vol Update'!$F$4:$K$4,1,MATCH(B4,'Rate &amp; Vol Update'!$F$2:$K$2,1)):INDEX('Rate &amp; Vol Update'!$F$4:$K$4,1,MATCH(B4,'Rate &amp; Vol Update'!$F$2:$K$2,1)+1),INDEX('Rate &amp; Vol Update'!$F$2:$K$2,1,MATCH(B4,'Rate &amp; Vol Update'!$F$2:$K$2,1)):INDEX('Rate &amp; Vol Update'!$F$2:$K$2,1,MATCH(B4,'Rate &amp; Vol Update'!$F$2:$K$2,1)+1)))))</f>
        <v>3.5770547945205511E-2</v>
      </c>
      <c r="N4" s="85">
        <f t="shared" ref="N4:N67" si="8">IF(B4="","",6%)</f>
        <v>0.06</v>
      </c>
      <c r="O4" s="16">
        <f t="shared" ref="O4:O67" si="9">IF(B4="","",0.125%)</f>
        <v>1.25E-3</v>
      </c>
      <c r="P4" s="85">
        <f>IF(B4="","",Schedules!D4)</f>
        <v>5.3483096774193516E-2</v>
      </c>
    </row>
    <row r="5" spans="2:16" x14ac:dyDescent="0.25">
      <c r="B5" s="4">
        <f>'Bachelier Model'!J6</f>
        <v>46123</v>
      </c>
      <c r="C5" s="16">
        <f>IF(B5="","",IF(B5&lt;'Rate &amp; Vol Update'!$B$8,0,_xlfn.FORECAST.LINEAR(B5,INDEX('Rate &amp; Vol Update'!$E$8:$E$127,MATCH('Market Scenarios'!B5,'Rate &amp; Vol Update'!$B$8:$B$127,1)):INDEX('Rate &amp; Vol Update'!$E$8:$E$127,MATCH('Market Scenarios'!B5,'Rate &amp; Vol Update'!$B$8:$B$127,1)+1),INDEX('Rate &amp; Vol Update'!$B$8:$B$127,MATCH('Market Scenarios'!B5,'Rate &amp; Vol Update'!$B$8:$B$127,1)):INDEX('Rate &amp; Vol Update'!$B$8:$B$127,MATCH('Market Scenarios'!B5,'Rate &amp; Vol Update'!$B$8:$B$127,1)+1)))/100)</f>
        <v>0.62267304617569608</v>
      </c>
      <c r="D5" s="85">
        <f>'Bachelier Model'!P6</f>
        <v>3.6294673420255351E-2</v>
      </c>
      <c r="E5" s="16">
        <f t="shared" si="0"/>
        <v>5.4592845639104028E-2</v>
      </c>
      <c r="F5" s="16">
        <f t="shared" si="1"/>
        <v>4.5380878467643007E-2</v>
      </c>
      <c r="G5" s="16">
        <f t="shared" si="2"/>
        <v>2.7208468372867698E-2</v>
      </c>
      <c r="H5" s="16">
        <f t="shared" si="3"/>
        <v>1.7996501201406674E-2</v>
      </c>
      <c r="I5" s="16">
        <f t="shared" si="4"/>
        <v>4.1294673420255348E-2</v>
      </c>
      <c r="J5" s="16">
        <f t="shared" si="5"/>
        <v>3.8794673420255353E-2</v>
      </c>
      <c r="K5" s="16">
        <f t="shared" si="6"/>
        <v>3.3794673420255349E-2</v>
      </c>
      <c r="L5" s="16">
        <f t="shared" si="7"/>
        <v>3.1294673420255353E-2</v>
      </c>
      <c r="M5" s="16">
        <f>IF(B5="","",IF(B5&gt;'Rate &amp; Vol Update'!$K$2,'Rate &amp; Vol Update'!$K$4,IF(B5&lt;'Rate &amp; Vol Update'!$F$2,D5,_xlfn.FORECAST.LINEAR(B5,INDEX('Rate &amp; Vol Update'!$F$4:$K$4,1,MATCH(B5,'Rate &amp; Vol Update'!$F$2:$K$2,1)):INDEX('Rate &amp; Vol Update'!$F$4:$K$4,1,MATCH(B5,'Rate &amp; Vol Update'!$F$2:$K$2,1)+1),INDEX('Rate &amp; Vol Update'!$F$2:$K$2,1,MATCH(B5,'Rate &amp; Vol Update'!$F$2:$K$2,1)):INDEX('Rate &amp; Vol Update'!$F$2:$K$2,1,MATCH(B5,'Rate &amp; Vol Update'!$F$2:$K$2,1)+1)))))</f>
        <v>3.5558219178082218E-2</v>
      </c>
      <c r="N5" s="85">
        <f t="shared" si="8"/>
        <v>0.06</v>
      </c>
      <c r="O5" s="16">
        <f t="shared" si="9"/>
        <v>1.25E-3</v>
      </c>
      <c r="P5" s="85">
        <f>IF(B5="","",Schedules!D5)</f>
        <v>5.3924200000000012E-2</v>
      </c>
    </row>
    <row r="6" spans="2:16" x14ac:dyDescent="0.25">
      <c r="B6" s="4">
        <f>'Bachelier Model'!J7</f>
        <v>46153</v>
      </c>
      <c r="C6" s="16">
        <f>IF(B6="","",IF(B6&lt;'Rate &amp; Vol Update'!$B$8,0,_xlfn.FORECAST.LINEAR(B6,INDEX('Rate &amp; Vol Update'!$E$8:$E$127,MATCH('Market Scenarios'!B6,'Rate &amp; Vol Update'!$B$8:$B$127,1)):INDEX('Rate &amp; Vol Update'!$E$8:$E$127,MATCH('Market Scenarios'!B6,'Rate &amp; Vol Update'!$B$8:$B$127,1)+1),INDEX('Rate &amp; Vol Update'!$B$8:$B$127,MATCH('Market Scenarios'!B6,'Rate &amp; Vol Update'!$B$8:$B$127,1)):INDEX('Rate &amp; Vol Update'!$B$8:$B$127,MATCH('Market Scenarios'!B6,'Rate &amp; Vol Update'!$B$8:$B$127,1)+1)))/100)</f>
        <v>0.61165945154411561</v>
      </c>
      <c r="D6" s="85">
        <f>'Bachelier Model'!P7</f>
        <v>3.6121732232224986E-2</v>
      </c>
      <c r="E6" s="16">
        <f t="shared" si="0"/>
        <v>5.8092842741283408E-2</v>
      </c>
      <c r="F6" s="16">
        <f t="shared" si="1"/>
        <v>4.7031784494083059E-2</v>
      </c>
      <c r="G6" s="16">
        <f t="shared" si="2"/>
        <v>2.5211679970366913E-2</v>
      </c>
      <c r="H6" s="16">
        <f t="shared" si="3"/>
        <v>1.415062172316656E-2</v>
      </c>
      <c r="I6" s="16">
        <f t="shared" si="4"/>
        <v>4.1121732232224983E-2</v>
      </c>
      <c r="J6" s="16">
        <f t="shared" si="5"/>
        <v>3.8621732232224988E-2</v>
      </c>
      <c r="K6" s="16">
        <f t="shared" si="6"/>
        <v>3.3621732232224984E-2</v>
      </c>
      <c r="L6" s="16">
        <f t="shared" si="7"/>
        <v>3.1121732232224985E-2</v>
      </c>
      <c r="M6" s="16">
        <f>IF(B6="","",IF(B6&gt;'Rate &amp; Vol Update'!$K$2,'Rate &amp; Vol Update'!$K$4,IF(B6&lt;'Rate &amp; Vol Update'!$F$2,D6,_xlfn.FORECAST.LINEAR(B6,INDEX('Rate &amp; Vol Update'!$F$4:$K$4,1,MATCH(B6,'Rate &amp; Vol Update'!$F$2:$K$2,1)):INDEX('Rate &amp; Vol Update'!$F$4:$K$4,1,MATCH(B6,'Rate &amp; Vol Update'!$F$2:$K$2,1)+1),INDEX('Rate &amp; Vol Update'!$F$2:$K$2,1,MATCH(B6,'Rate &amp; Vol Update'!$F$2:$K$2,1)):INDEX('Rate &amp; Vol Update'!$F$2:$K$2,1,MATCH(B6,'Rate &amp; Vol Update'!$F$2:$K$2,1)+1)))))</f>
        <v>3.5352739726027427E-2</v>
      </c>
      <c r="N6" s="85">
        <f t="shared" si="8"/>
        <v>0.06</v>
      </c>
      <c r="O6" s="16">
        <f t="shared" si="9"/>
        <v>1.25E-3</v>
      </c>
      <c r="P6" s="85">
        <f>IF(B6="","",Schedules!D6)</f>
        <v>5.425441612903225E-2</v>
      </c>
    </row>
    <row r="7" spans="2:16" x14ac:dyDescent="0.25">
      <c r="B7" s="4">
        <f>'Bachelier Model'!J8</f>
        <v>46184</v>
      </c>
      <c r="C7" s="16">
        <f>IF(B7="","",IF(B7&lt;'Rate &amp; Vol Update'!$B$8,0,_xlfn.FORECAST.LINEAR(B7,INDEX('Rate &amp; Vol Update'!$E$8:$E$127,MATCH('Market Scenarios'!B7,'Rate &amp; Vol Update'!$B$8:$B$127,1)):INDEX('Rate &amp; Vol Update'!$E$8:$E$127,MATCH('Market Scenarios'!B7,'Rate &amp; Vol Update'!$B$8:$B$127,1)+1),INDEX('Rate &amp; Vol Update'!$B$8:$B$127,MATCH('Market Scenarios'!B7,'Rate &amp; Vol Update'!$B$8:$B$127,1)):INDEX('Rate &amp; Vol Update'!$B$8:$B$127,MATCH('Market Scenarios'!B7,'Rate &amp; Vol Update'!$B$8:$B$127,1)+1)))/100)</f>
        <v>0.6132411040030078</v>
      </c>
      <c r="D7" s="85">
        <f>'Bachelier Model'!P8</f>
        <v>3.5034939949360508E-2</v>
      </c>
      <c r="E7" s="16">
        <f t="shared" si="0"/>
        <v>5.9843525424265E-2</v>
      </c>
      <c r="F7" s="16">
        <f t="shared" si="1"/>
        <v>4.7353978805516179E-2</v>
      </c>
      <c r="G7" s="16">
        <f t="shared" si="2"/>
        <v>2.2715901093204833E-2</v>
      </c>
      <c r="H7" s="16">
        <f t="shared" si="3"/>
        <v>1.022635447445602E-2</v>
      </c>
      <c r="I7" s="16">
        <f t="shared" si="4"/>
        <v>4.0034939949360505E-2</v>
      </c>
      <c r="J7" s="16">
        <f t="shared" si="5"/>
        <v>3.753493994936051E-2</v>
      </c>
      <c r="K7" s="16">
        <f t="shared" si="6"/>
        <v>3.2534939949360506E-2</v>
      </c>
      <c r="L7" s="16">
        <f t="shared" si="7"/>
        <v>3.0034939949360507E-2</v>
      </c>
      <c r="M7" s="16">
        <f>IF(B7="","",IF(B7&gt;'Rate &amp; Vol Update'!$K$2,'Rate &amp; Vol Update'!$K$4,IF(B7&lt;'Rate &amp; Vol Update'!$F$2,D7,_xlfn.FORECAST.LINEAR(B7,INDEX('Rate &amp; Vol Update'!$F$4:$K$4,1,MATCH(B7,'Rate &amp; Vol Update'!$F$2:$K$2,1)):INDEX('Rate &amp; Vol Update'!$F$4:$K$4,1,MATCH(B7,'Rate &amp; Vol Update'!$F$2:$K$2,1)+1),INDEX('Rate &amp; Vol Update'!$F$2:$K$2,1,MATCH(B7,'Rate &amp; Vol Update'!$F$2:$K$2,1)):INDEX('Rate &amp; Vol Update'!$F$2:$K$2,1,MATCH(B7,'Rate &amp; Vol Update'!$F$2:$K$2,1)+1)))))</f>
        <v>3.5140410958904134E-2</v>
      </c>
      <c r="N7" s="85">
        <f t="shared" si="8"/>
        <v>0.06</v>
      </c>
      <c r="O7" s="16">
        <f t="shared" si="9"/>
        <v>1.25E-3</v>
      </c>
      <c r="P7" s="85">
        <f>IF(B7="","",Schedules!D7)</f>
        <v>5.4258854838709673E-2</v>
      </c>
    </row>
    <row r="8" spans="2:16" x14ac:dyDescent="0.25">
      <c r="B8" s="4">
        <f>'Bachelier Model'!J9</f>
        <v>46214</v>
      </c>
      <c r="C8" s="16">
        <f>IF(B8="","",IF(B8&lt;'Rate &amp; Vol Update'!$B$8,0,_xlfn.FORECAST.LINEAR(B8,INDEX('Rate &amp; Vol Update'!$E$8:$E$127,MATCH('Market Scenarios'!B8,'Rate &amp; Vol Update'!$B$8:$B$127,1)):INDEX('Rate &amp; Vol Update'!$E$8:$E$127,MATCH('Market Scenarios'!B8,'Rate &amp; Vol Update'!$B$8:$B$127,1)+1),INDEX('Rate &amp; Vol Update'!$B$8:$B$127,MATCH('Market Scenarios'!B8,'Rate &amp; Vol Update'!$B$8:$B$127,1)):INDEX('Rate &amp; Vol Update'!$B$8:$B$127,MATCH('Market Scenarios'!B8,'Rate &amp; Vol Update'!$B$8:$B$127,1)+1)))/100)</f>
        <v>0.61416660793981126</v>
      </c>
      <c r="D8" s="85">
        <f>'Bachelier Model'!P9</f>
        <v>3.4448644433826558E-2</v>
      </c>
      <c r="E8" s="16">
        <f t="shared" si="0"/>
        <v>6.1762481350742193E-2</v>
      </c>
      <c r="F8" s="16">
        <f t="shared" si="1"/>
        <v>4.8011699797485034E-2</v>
      </c>
      <c r="G8" s="16">
        <f t="shared" si="2"/>
        <v>2.0885589070168086E-2</v>
      </c>
      <c r="H8" s="16">
        <f t="shared" si="3"/>
        <v>7.1348075169109263E-3</v>
      </c>
      <c r="I8" s="16">
        <f t="shared" si="4"/>
        <v>3.9448644433826556E-2</v>
      </c>
      <c r="J8" s="16">
        <f t="shared" si="5"/>
        <v>3.6948644433826561E-2</v>
      </c>
      <c r="K8" s="16">
        <f t="shared" si="6"/>
        <v>3.1948644433826556E-2</v>
      </c>
      <c r="L8" s="16">
        <f t="shared" si="7"/>
        <v>2.9448644433826558E-2</v>
      </c>
      <c r="M8" s="16">
        <f>IF(B8="","",IF(B8&gt;'Rate &amp; Vol Update'!$K$2,'Rate &amp; Vol Update'!$K$4,IF(B8&lt;'Rate &amp; Vol Update'!$F$2,D8,_xlfn.FORECAST.LINEAR(B8,INDEX('Rate &amp; Vol Update'!$F$4:$K$4,1,MATCH(B8,'Rate &amp; Vol Update'!$F$2:$K$2,1)):INDEX('Rate &amp; Vol Update'!$F$4:$K$4,1,MATCH(B8,'Rate &amp; Vol Update'!$F$2:$K$2,1)+1),INDEX('Rate &amp; Vol Update'!$F$2:$K$2,1,MATCH(B8,'Rate &amp; Vol Update'!$F$2:$K$2,1)):INDEX('Rate &amp; Vol Update'!$F$2:$K$2,1,MATCH(B8,'Rate &amp; Vol Update'!$F$2:$K$2,1)+1)))))</f>
        <v>3.4934931506849343E-2</v>
      </c>
      <c r="N8" s="85">
        <f t="shared" si="8"/>
        <v>0.06</v>
      </c>
      <c r="O8" s="16">
        <f t="shared" si="9"/>
        <v>1.25E-3</v>
      </c>
      <c r="P8" s="85">
        <f>IF(B8="","",Schedules!D8)</f>
        <v>5.402478965517233E-2</v>
      </c>
    </row>
    <row r="9" spans="2:16" x14ac:dyDescent="0.25">
      <c r="B9" s="4">
        <f>'Bachelier Model'!J10</f>
        <v>46245</v>
      </c>
      <c r="C9" s="16">
        <f>IF(B9="","",IF(B9&lt;'Rate &amp; Vol Update'!$B$8,0,_xlfn.FORECAST.LINEAR(B9,INDEX('Rate &amp; Vol Update'!$E$8:$E$127,MATCH('Market Scenarios'!B9,'Rate &amp; Vol Update'!$B$8:$B$127,1)):INDEX('Rate &amp; Vol Update'!$E$8:$E$127,MATCH('Market Scenarios'!B9,'Rate &amp; Vol Update'!$B$8:$B$127,1)+1),INDEX('Rate &amp; Vol Update'!$B$8:$B$127,MATCH('Market Scenarios'!B9,'Rate &amp; Vol Update'!$B$8:$B$127,1)):INDEX('Rate &amp; Vol Update'!$B$8:$B$127,MATCH('Market Scenarios'!B9,'Rate &amp; Vol Update'!$B$8:$B$127,1)+1)))/100)</f>
        <v>0.61051291527717777</v>
      </c>
      <c r="D9" s="85">
        <f>'Bachelier Model'!P10</f>
        <v>3.3994429169520973E-2</v>
      </c>
      <c r="E9" s="16">
        <f t="shared" si="0"/>
        <v>6.3426487900890879E-2</v>
      </c>
      <c r="F9" s="16">
        <f t="shared" si="1"/>
        <v>4.8609316241384454E-2</v>
      </c>
      <c r="G9" s="16">
        <f t="shared" si="2"/>
        <v>1.9379542097657493E-2</v>
      </c>
      <c r="H9" s="16">
        <f t="shared" si="3"/>
        <v>4.5623704381510697E-3</v>
      </c>
      <c r="I9" s="16">
        <f t="shared" si="4"/>
        <v>3.8994429169520971E-2</v>
      </c>
      <c r="J9" s="16">
        <f t="shared" si="5"/>
        <v>3.6494429169520975E-2</v>
      </c>
      <c r="K9" s="16">
        <f t="shared" si="6"/>
        <v>3.1494429169520971E-2</v>
      </c>
      <c r="L9" s="16">
        <f t="shared" si="7"/>
        <v>2.8994429169520972E-2</v>
      </c>
      <c r="M9" s="16">
        <f>IF(B9="","",IF(B9&gt;'Rate &amp; Vol Update'!$K$2,'Rate &amp; Vol Update'!$K$4,IF(B9&lt;'Rate &amp; Vol Update'!$F$2,D9,_xlfn.FORECAST.LINEAR(B9,INDEX('Rate &amp; Vol Update'!$F$4:$K$4,1,MATCH(B9,'Rate &amp; Vol Update'!$F$2:$K$2,1)):INDEX('Rate &amp; Vol Update'!$F$4:$K$4,1,MATCH(B9,'Rate &amp; Vol Update'!$F$2:$K$2,1)+1),INDEX('Rate &amp; Vol Update'!$F$2:$K$2,1,MATCH(B9,'Rate &amp; Vol Update'!$F$2:$K$2,1)):INDEX('Rate &amp; Vol Update'!$F$2:$K$2,1,MATCH(B9,'Rate &amp; Vol Update'!$F$2:$K$2,1)+1)))))</f>
        <v>3.4722602739726049E-2</v>
      </c>
      <c r="N9" s="85">
        <f t="shared" si="8"/>
        <v>0.06</v>
      </c>
      <c r="O9" s="16">
        <f t="shared" si="9"/>
        <v>1.25E-3</v>
      </c>
      <c r="P9" s="85">
        <f>IF(B9="","",Schedules!D9)</f>
        <v>5.3530958064516201E-2</v>
      </c>
    </row>
    <row r="10" spans="2:16" x14ac:dyDescent="0.25">
      <c r="B10" s="4">
        <f>'Bachelier Model'!J11</f>
        <v>46276</v>
      </c>
      <c r="C10" s="16">
        <f>IF(B10="","",IF(B10&lt;'Rate &amp; Vol Update'!$B$8,0,_xlfn.FORECAST.LINEAR(B10,INDEX('Rate &amp; Vol Update'!$E$8:$E$127,MATCH('Market Scenarios'!B10,'Rate &amp; Vol Update'!$B$8:$B$127,1)):INDEX('Rate &amp; Vol Update'!$E$8:$E$127,MATCH('Market Scenarios'!B10,'Rate &amp; Vol Update'!$B$8:$B$127,1)+1),INDEX('Rate &amp; Vol Update'!$B$8:$B$127,MATCH('Market Scenarios'!B10,'Rate &amp; Vol Update'!$B$8:$B$127,1)):INDEX('Rate &amp; Vol Update'!$B$8:$B$127,MATCH('Market Scenarios'!B10,'Rate &amp; Vol Update'!$B$8:$B$127,1)+1)))/100)</f>
        <v>0.60982952933026413</v>
      </c>
      <c r="D10" s="85">
        <f>'Bachelier Model'!P11</f>
        <v>3.3016426049774027E-2</v>
      </c>
      <c r="E10" s="16">
        <f t="shared" si="0"/>
        <v>6.3918326272533854E-2</v>
      </c>
      <c r="F10" s="16">
        <f t="shared" si="1"/>
        <v>4.8361182805789334E-2</v>
      </c>
      <c r="G10" s="16">
        <f t="shared" si="2"/>
        <v>1.7671669293758713E-2</v>
      </c>
      <c r="H10" s="16">
        <f t="shared" si="3"/>
        <v>2.114525827014204E-3</v>
      </c>
      <c r="I10" s="16">
        <f t="shared" si="4"/>
        <v>3.8016426049774024E-2</v>
      </c>
      <c r="J10" s="16">
        <f t="shared" si="5"/>
        <v>3.5516426049774029E-2</v>
      </c>
      <c r="K10" s="16">
        <f t="shared" si="6"/>
        <v>3.0516426049774028E-2</v>
      </c>
      <c r="L10" s="16">
        <f t="shared" si="7"/>
        <v>2.8016426049774026E-2</v>
      </c>
      <c r="M10" s="16">
        <f>IF(B10="","",IF(B10&gt;'Rate &amp; Vol Update'!$K$2,'Rate &amp; Vol Update'!$K$4,IF(B10&lt;'Rate &amp; Vol Update'!$F$2,D10,_xlfn.FORECAST.LINEAR(B10,INDEX('Rate &amp; Vol Update'!$F$4:$K$4,1,MATCH(B10,'Rate &amp; Vol Update'!$F$2:$K$2,1)):INDEX('Rate &amp; Vol Update'!$F$4:$K$4,1,MATCH(B10,'Rate &amp; Vol Update'!$F$2:$K$2,1)+1),INDEX('Rate &amp; Vol Update'!$F$2:$K$2,1,MATCH(B10,'Rate &amp; Vol Update'!$F$2:$K$2,1)):INDEX('Rate &amp; Vol Update'!$F$2:$K$2,1,MATCH(B10,'Rate &amp; Vol Update'!$F$2:$K$2,1)+1)))))</f>
        <v>3.4510273972602812E-2</v>
      </c>
      <c r="N10" s="85">
        <f t="shared" si="8"/>
        <v>0.06</v>
      </c>
      <c r="O10" s="16">
        <f t="shared" si="9"/>
        <v>1.25E-3</v>
      </c>
      <c r="P10" s="85">
        <f>IF(B10="","",Schedules!D10)</f>
        <v>5.2947000000000057E-2</v>
      </c>
    </row>
    <row r="11" spans="2:16" x14ac:dyDescent="0.25">
      <c r="B11" s="4">
        <f>'Bachelier Model'!J12</f>
        <v>46306</v>
      </c>
      <c r="C11" s="16">
        <f>IF(B11="","",IF(B11&lt;'Rate &amp; Vol Update'!$B$8,0,_xlfn.FORECAST.LINEAR(B11,INDEX('Rate &amp; Vol Update'!$E$8:$E$127,MATCH('Market Scenarios'!B11,'Rate &amp; Vol Update'!$B$8:$B$127,1)):INDEX('Rate &amp; Vol Update'!$E$8:$E$127,MATCH('Market Scenarios'!B11,'Rate &amp; Vol Update'!$B$8:$B$127,1)+1),INDEX('Rate &amp; Vol Update'!$B$8:$B$127,MATCH('Market Scenarios'!B11,'Rate &amp; Vol Update'!$B$8:$B$127,1)):INDEX('Rate &amp; Vol Update'!$B$8:$B$127,MATCH('Market Scenarios'!B11,'Rate &amp; Vol Update'!$B$8:$B$127,1)+1)))/100)</f>
        <v>0.60878121775955885</v>
      </c>
      <c r="D11" s="85">
        <f>'Bachelier Model'!P12</f>
        <v>3.2551878288218393E-2</v>
      </c>
      <c r="E11" s="16">
        <f t="shared" si="0"/>
        <v>6.5047415893329574E-2</v>
      </c>
      <c r="F11" s="16">
        <f t="shared" si="1"/>
        <v>4.868797725339221E-2</v>
      </c>
      <c r="G11" s="16">
        <f t="shared" si="2"/>
        <v>1.6415779323044572E-2</v>
      </c>
      <c r="H11" s="16">
        <f t="shared" si="3"/>
        <v>5.6340683107220372E-5</v>
      </c>
      <c r="I11" s="16">
        <f t="shared" si="4"/>
        <v>3.755187828821839E-2</v>
      </c>
      <c r="J11" s="16">
        <f t="shared" si="5"/>
        <v>3.5051878288218395E-2</v>
      </c>
      <c r="K11" s="16">
        <f t="shared" si="6"/>
        <v>3.0051878288218394E-2</v>
      </c>
      <c r="L11" s="16">
        <f t="shared" si="7"/>
        <v>2.7551878288218392E-2</v>
      </c>
      <c r="M11" s="16">
        <f>IF(B11="","",IF(B11&gt;'Rate &amp; Vol Update'!$K$2,'Rate &amp; Vol Update'!$K$4,IF(B11&lt;'Rate &amp; Vol Update'!$F$2,D11,_xlfn.FORECAST.LINEAR(B11,INDEX('Rate &amp; Vol Update'!$F$4:$K$4,1,MATCH(B11,'Rate &amp; Vol Update'!$F$2:$K$2,1)):INDEX('Rate &amp; Vol Update'!$F$4:$K$4,1,MATCH(B11,'Rate &amp; Vol Update'!$F$2:$K$2,1)+1),INDEX('Rate &amp; Vol Update'!$F$2:$K$2,1,MATCH(B11,'Rate &amp; Vol Update'!$F$2:$K$2,1)):INDEX('Rate &amp; Vol Update'!$F$2:$K$2,1,MATCH(B11,'Rate &amp; Vol Update'!$F$2:$K$2,1)+1)))))</f>
        <v>3.4304794520547965E-2</v>
      </c>
      <c r="N11" s="85">
        <f t="shared" si="8"/>
        <v>0.06</v>
      </c>
      <c r="O11" s="16">
        <f t="shared" si="9"/>
        <v>1.25E-3</v>
      </c>
      <c r="P11" s="85">
        <f>IF(B11="","",Schedules!D11)</f>
        <v>5.2184112903225784E-2</v>
      </c>
    </row>
    <row r="12" spans="2:16" x14ac:dyDescent="0.25">
      <c r="B12" s="4">
        <f>'Bachelier Model'!J13</f>
        <v>46337</v>
      </c>
      <c r="C12" s="16">
        <f>IF(B12="","",IF(B12&lt;'Rate &amp; Vol Update'!$B$8,0,_xlfn.FORECAST.LINEAR(B12,INDEX('Rate &amp; Vol Update'!$E$8:$E$127,MATCH('Market Scenarios'!B12,'Rate &amp; Vol Update'!$B$8:$B$127,1)):INDEX('Rate &amp; Vol Update'!$E$8:$E$127,MATCH('Market Scenarios'!B12,'Rate &amp; Vol Update'!$B$8:$B$127,1)+1),INDEX('Rate &amp; Vol Update'!$B$8:$B$127,MATCH('Market Scenarios'!B12,'Rate &amp; Vol Update'!$B$8:$B$127,1)):INDEX('Rate &amp; Vol Update'!$B$8:$B$127,MATCH('Market Scenarios'!B12,'Rate &amp; Vol Update'!$B$8:$B$127,1)+1)))/100)</f>
        <v>0.61069846300566499</v>
      </c>
      <c r="D12" s="85">
        <f>'Bachelier Model'!P13</f>
        <v>3.2135881179584658E-2</v>
      </c>
      <c r="E12" s="16">
        <f t="shared" si="0"/>
        <v>6.6316278655481634E-2</v>
      </c>
      <c r="F12" s="16">
        <f t="shared" si="1"/>
        <v>4.9108620115077765E-2</v>
      </c>
      <c r="G12" s="16">
        <f t="shared" si="2"/>
        <v>1.5163142244091554E-2</v>
      </c>
      <c r="H12" s="16">
        <f t="shared" si="3"/>
        <v>-2.0445162963123073E-3</v>
      </c>
      <c r="I12" s="16">
        <f t="shared" si="4"/>
        <v>3.7135881179584655E-2</v>
      </c>
      <c r="J12" s="16">
        <f t="shared" si="5"/>
        <v>3.463588117958466E-2</v>
      </c>
      <c r="K12" s="16">
        <f t="shared" si="6"/>
        <v>2.9635881179584659E-2</v>
      </c>
      <c r="L12" s="16">
        <f t="shared" si="7"/>
        <v>2.7135881179584657E-2</v>
      </c>
      <c r="M12" s="16">
        <f>IF(B12="","",IF(B12&gt;'Rate &amp; Vol Update'!$K$2,'Rate &amp; Vol Update'!$K$4,IF(B12&lt;'Rate &amp; Vol Update'!$F$2,D12,_xlfn.FORECAST.LINEAR(B12,INDEX('Rate &amp; Vol Update'!$F$4:$K$4,1,MATCH(B12,'Rate &amp; Vol Update'!$F$2:$K$2,1)):INDEX('Rate &amp; Vol Update'!$F$4:$K$4,1,MATCH(B12,'Rate &amp; Vol Update'!$F$2:$K$2,1)+1),INDEX('Rate &amp; Vol Update'!$F$2:$K$2,1,MATCH(B12,'Rate &amp; Vol Update'!$F$2:$K$2,1)):INDEX('Rate &amp; Vol Update'!$F$2:$K$2,1,MATCH(B12,'Rate &amp; Vol Update'!$F$2:$K$2,1)+1)))))</f>
        <v>3.4092465753424728E-2</v>
      </c>
      <c r="N12" s="85">
        <f t="shared" si="8"/>
        <v>0.06</v>
      </c>
      <c r="O12" s="16">
        <f t="shared" si="9"/>
        <v>1.25E-3</v>
      </c>
      <c r="P12" s="85">
        <f>IF(B12="","",Schedules!D12)</f>
        <v>5.1507550000000041E-2</v>
      </c>
    </row>
    <row r="13" spans="2:16" x14ac:dyDescent="0.25">
      <c r="B13" s="4">
        <f>'Bachelier Model'!J14</f>
        <v>46367</v>
      </c>
      <c r="C13" s="16">
        <f>IF(B13="","",IF(B13&lt;'Rate &amp; Vol Update'!$B$8,0,_xlfn.FORECAST.LINEAR(B13,INDEX('Rate &amp; Vol Update'!$E$8:$E$127,MATCH('Market Scenarios'!B13,'Rate &amp; Vol Update'!$B$8:$B$127,1)):INDEX('Rate &amp; Vol Update'!$E$8:$E$127,MATCH('Market Scenarios'!B13,'Rate &amp; Vol Update'!$B$8:$B$127,1)+1),INDEX('Rate &amp; Vol Update'!$B$8:$B$127,MATCH('Market Scenarios'!B13,'Rate &amp; Vol Update'!$B$8:$B$127,1)):INDEX('Rate &amp; Vol Update'!$B$8:$B$127,MATCH('Market Scenarios'!B13,'Rate &amp; Vol Update'!$B$8:$B$127,1)+1)))/100)</f>
        <v>0.64883321771556435</v>
      </c>
      <c r="D13" s="85">
        <f>'Bachelier Model'!P14</f>
        <v>3.1915661082672034E-2</v>
      </c>
      <c r="E13" s="16">
        <f t="shared" si="0"/>
        <v>6.9911582435467856E-2</v>
      </c>
      <c r="F13" s="16">
        <f t="shared" si="1"/>
        <v>5.0783050035339811E-2</v>
      </c>
      <c r="G13" s="16">
        <f t="shared" si="2"/>
        <v>1.3048272130004264E-2</v>
      </c>
      <c r="H13" s="16">
        <f t="shared" si="3"/>
        <v>-6.0802602701238015E-3</v>
      </c>
      <c r="I13" s="16">
        <f t="shared" si="4"/>
        <v>3.6915661082672031E-2</v>
      </c>
      <c r="J13" s="16">
        <f t="shared" si="5"/>
        <v>3.4415661082672036E-2</v>
      </c>
      <c r="K13" s="16">
        <f t="shared" si="6"/>
        <v>2.9415661082672035E-2</v>
      </c>
      <c r="L13" s="16">
        <f t="shared" si="7"/>
        <v>2.6915661082672033E-2</v>
      </c>
      <c r="M13" s="16">
        <f>IF(B13="","",IF(B13&gt;'Rate &amp; Vol Update'!$K$2,'Rate &amp; Vol Update'!$K$4,IF(B13&lt;'Rate &amp; Vol Update'!$F$2,D13,_xlfn.FORECAST.LINEAR(B13,INDEX('Rate &amp; Vol Update'!$F$4:$K$4,1,MATCH(B13,'Rate &amp; Vol Update'!$F$2:$K$2,1)):INDEX('Rate &amp; Vol Update'!$F$4:$K$4,1,MATCH(B13,'Rate &amp; Vol Update'!$F$2:$K$2,1)+1),INDEX('Rate &amp; Vol Update'!$F$2:$K$2,1,MATCH(B13,'Rate &amp; Vol Update'!$F$2:$K$2,1)):INDEX('Rate &amp; Vol Update'!$F$2:$K$2,1,MATCH(B13,'Rate &amp; Vol Update'!$F$2:$K$2,1)+1)))))</f>
        <v>3.3886986301369937E-2</v>
      </c>
      <c r="N13" s="85">
        <f t="shared" si="8"/>
        <v>0.06</v>
      </c>
      <c r="O13" s="16">
        <f t="shared" si="9"/>
        <v>1.25E-3</v>
      </c>
      <c r="P13" s="85">
        <f>IF(B13="","",Schedules!D13)</f>
        <v>5.0871287096774152E-2</v>
      </c>
    </row>
    <row r="14" spans="2:16" x14ac:dyDescent="0.25">
      <c r="B14" s="4">
        <f>'Bachelier Model'!J15</f>
        <v>46398</v>
      </c>
      <c r="C14" s="16">
        <f>IF(B14="","",IF(B14&lt;'Rate &amp; Vol Update'!$B$8,0,_xlfn.FORECAST.LINEAR(B14,INDEX('Rate &amp; Vol Update'!$E$8:$E$127,MATCH('Market Scenarios'!B14,'Rate &amp; Vol Update'!$B$8:$B$127,1)):INDEX('Rate &amp; Vol Update'!$E$8:$E$127,MATCH('Market Scenarios'!B14,'Rate &amp; Vol Update'!$B$8:$B$127,1)+1),INDEX('Rate &amp; Vol Update'!$B$8:$B$127,MATCH('Market Scenarios'!B14,'Rate &amp; Vol Update'!$B$8:$B$127,1)):INDEX('Rate &amp; Vol Update'!$B$8:$B$127,MATCH('Market Scenarios'!B14,'Rate &amp; Vol Update'!$B$8:$B$127,1)+1)))/100)</f>
        <v>0.68955065706755703</v>
      </c>
      <c r="D14" s="85">
        <f>'Bachelier Model'!P15</f>
        <v>3.1649566751940673E-2</v>
      </c>
      <c r="E14" s="16">
        <f t="shared" si="0"/>
        <v>7.3691814267041869E-2</v>
      </c>
      <c r="F14" s="16">
        <f t="shared" si="1"/>
        <v>5.2526213720086284E-2</v>
      </c>
      <c r="G14" s="16">
        <f t="shared" si="2"/>
        <v>1.0772919783795061E-2</v>
      </c>
      <c r="H14" s="16">
        <f t="shared" si="3"/>
        <v>-1.0392680763160527E-2</v>
      </c>
      <c r="I14" s="16">
        <f t="shared" si="4"/>
        <v>3.6649566751940671E-2</v>
      </c>
      <c r="J14" s="16">
        <f t="shared" si="5"/>
        <v>3.4149566751940676E-2</v>
      </c>
      <c r="K14" s="16">
        <f t="shared" si="6"/>
        <v>2.9149566751940675E-2</v>
      </c>
      <c r="L14" s="16">
        <f t="shared" si="7"/>
        <v>2.6649566751940672E-2</v>
      </c>
      <c r="M14" s="16">
        <f>IF(B14="","",IF(B14&gt;'Rate &amp; Vol Update'!$K$2,'Rate &amp; Vol Update'!$K$4,IF(B14&lt;'Rate &amp; Vol Update'!$F$2,D14,_xlfn.FORECAST.LINEAR(B14,INDEX('Rate &amp; Vol Update'!$F$4:$K$4,1,MATCH(B14,'Rate &amp; Vol Update'!$F$2:$K$2,1)):INDEX('Rate &amp; Vol Update'!$F$4:$K$4,1,MATCH(B14,'Rate &amp; Vol Update'!$F$2:$K$2,1)+1),INDEX('Rate &amp; Vol Update'!$F$2:$K$2,1,MATCH(B14,'Rate &amp; Vol Update'!$F$2:$K$2,1)):INDEX('Rate &amp; Vol Update'!$F$2:$K$2,1,MATCH(B14,'Rate &amp; Vol Update'!$F$2:$K$2,1)+1)))))</f>
        <v>3.3674657534246588E-2</v>
      </c>
      <c r="N14" s="85">
        <f t="shared" si="8"/>
        <v>0.06</v>
      </c>
      <c r="O14" s="16">
        <f t="shared" si="9"/>
        <v>1.25E-3</v>
      </c>
      <c r="P14" s="85">
        <f>IF(B14="","",Schedules!D14)</f>
        <v>4.9988490322580785E-2</v>
      </c>
    </row>
    <row r="15" spans="2:16" x14ac:dyDescent="0.25">
      <c r="B15" s="4">
        <f>'Bachelier Model'!J16</f>
        <v>46429</v>
      </c>
      <c r="C15" s="16">
        <f>IF(B15="","",IF(B15&lt;'Rate &amp; Vol Update'!$B$8,0,_xlfn.FORECAST.LINEAR(B15,INDEX('Rate &amp; Vol Update'!$E$8:$E$127,MATCH('Market Scenarios'!B15,'Rate &amp; Vol Update'!$B$8:$B$127,1)):INDEX('Rate &amp; Vol Update'!$E$8:$E$127,MATCH('Market Scenarios'!B15,'Rate &amp; Vol Update'!$B$8:$B$127,1)+1),INDEX('Rate &amp; Vol Update'!$B$8:$B$127,MATCH('Market Scenarios'!B15,'Rate &amp; Vol Update'!$B$8:$B$127,1)):INDEX('Rate &amp; Vol Update'!$B$8:$B$127,MATCH('Market Scenarios'!B15,'Rate &amp; Vol Update'!$B$8:$B$127,1)+1)))/100)</f>
        <v>0.72962172870918951</v>
      </c>
      <c r="D15" s="85">
        <f>'Bachelier Model'!P16</f>
        <v>3.1655680544151146E-2</v>
      </c>
      <c r="E15" s="16">
        <f t="shared" si="0"/>
        <v>7.8168706208847402E-2</v>
      </c>
      <c r="F15" s="16">
        <f t="shared" si="1"/>
        <v>5.4752352906240566E-2</v>
      </c>
      <c r="G15" s="16">
        <f t="shared" si="2"/>
        <v>8.5590081820617302E-3</v>
      </c>
      <c r="H15" s="16">
        <f t="shared" si="3"/>
        <v>-1.4857345120545108E-2</v>
      </c>
      <c r="I15" s="16">
        <f t="shared" si="4"/>
        <v>3.6655680544151144E-2</v>
      </c>
      <c r="J15" s="16">
        <f t="shared" si="5"/>
        <v>3.4155680544151149E-2</v>
      </c>
      <c r="K15" s="16">
        <f t="shared" si="6"/>
        <v>2.9155680544151148E-2</v>
      </c>
      <c r="L15" s="16">
        <f t="shared" si="7"/>
        <v>2.6655680544151145E-2</v>
      </c>
      <c r="M15" s="16">
        <f>IF(B15="","",IF(B15&gt;'Rate &amp; Vol Update'!$K$2,'Rate &amp; Vol Update'!$K$4,IF(B15&lt;'Rate &amp; Vol Update'!$F$2,D15,_xlfn.FORECAST.LINEAR(B15,INDEX('Rate &amp; Vol Update'!$F$4:$K$4,1,MATCH(B15,'Rate &amp; Vol Update'!$F$2:$K$2,1)):INDEX('Rate &amp; Vol Update'!$F$4:$K$4,1,MATCH(B15,'Rate &amp; Vol Update'!$F$2:$K$2,1)+1),INDEX('Rate &amp; Vol Update'!$F$2:$K$2,1,MATCH(B15,'Rate &amp; Vol Update'!$F$2:$K$2,1)):INDEX('Rate &amp; Vol Update'!$F$2:$K$2,1,MATCH(B15,'Rate &amp; Vol Update'!$F$2:$K$2,1)+1)))))</f>
        <v>3.3462328767123295E-2</v>
      </c>
      <c r="N15" s="85">
        <f t="shared" si="8"/>
        <v>0.06</v>
      </c>
      <c r="O15" s="16">
        <f t="shared" si="9"/>
        <v>1.25E-3</v>
      </c>
      <c r="P15" s="85">
        <f>IF(B15="","",Schedules!D15)</f>
        <v>4.8004149999999871E-2</v>
      </c>
    </row>
    <row r="16" spans="2:16" x14ac:dyDescent="0.25">
      <c r="B16" s="4">
        <f>'Bachelier Model'!J17</f>
        <v>46457</v>
      </c>
      <c r="C16" s="16">
        <f>IF(B16="","",IF(B16&lt;'Rate &amp; Vol Update'!$B$8,0,_xlfn.FORECAST.LINEAR(B16,INDEX('Rate &amp; Vol Update'!$E$8:$E$127,MATCH('Market Scenarios'!B16,'Rate &amp; Vol Update'!$B$8:$B$127,1)):INDEX('Rate &amp; Vol Update'!$E$8:$E$127,MATCH('Market Scenarios'!B16,'Rate &amp; Vol Update'!$B$8:$B$127,1)+1),INDEX('Rate &amp; Vol Update'!$B$8:$B$127,MATCH('Market Scenarios'!B16,'Rate &amp; Vol Update'!$B$8:$B$127,1)):INDEX('Rate &amp; Vol Update'!$B$8:$B$127,MATCH('Market Scenarios'!B16,'Rate &amp; Vol Update'!$B$8:$B$127,1)+1)))/100)</f>
        <v>0.73326830429989542</v>
      </c>
      <c r="D16" s="85">
        <f>'Bachelier Model'!P17</f>
        <v>3.1659714684477917E-2</v>
      </c>
      <c r="E16" s="16">
        <f t="shared" si="0"/>
        <v>8.0171240002230623E-2</v>
      </c>
      <c r="F16" s="16">
        <f t="shared" si="1"/>
        <v>5.5748769095310916E-2</v>
      </c>
      <c r="G16" s="16">
        <f t="shared" si="2"/>
        <v>7.57066027364492E-3</v>
      </c>
      <c r="H16" s="16">
        <f t="shared" si="3"/>
        <v>-1.6851810633274782E-2</v>
      </c>
      <c r="I16" s="16">
        <f t="shared" si="4"/>
        <v>3.6659714684477915E-2</v>
      </c>
      <c r="J16" s="16">
        <f t="shared" si="5"/>
        <v>3.415971468447792E-2</v>
      </c>
      <c r="K16" s="16">
        <f t="shared" si="6"/>
        <v>2.9159714684477919E-2</v>
      </c>
      <c r="L16" s="16">
        <f t="shared" si="7"/>
        <v>2.6659714684477916E-2</v>
      </c>
      <c r="M16" s="16">
        <f>IF(B16="","",IF(B16&gt;'Rate &amp; Vol Update'!$K$2,'Rate &amp; Vol Update'!$K$4,IF(B16&lt;'Rate &amp; Vol Update'!$F$2,D16,_xlfn.FORECAST.LINEAR(B16,INDEX('Rate &amp; Vol Update'!$F$4:$K$4,1,MATCH(B16,'Rate &amp; Vol Update'!$F$2:$K$2,1)):INDEX('Rate &amp; Vol Update'!$F$4:$K$4,1,MATCH(B16,'Rate &amp; Vol Update'!$F$2:$K$2,1)+1),INDEX('Rate &amp; Vol Update'!$F$2:$K$2,1,MATCH(B16,'Rate &amp; Vol Update'!$F$2:$K$2,1)):INDEX('Rate &amp; Vol Update'!$F$2:$K$2,1,MATCH(B16,'Rate &amp; Vol Update'!$F$2:$K$2,1)+1)))))</f>
        <v>3.3270547945205453E-2</v>
      </c>
      <c r="N16" s="85">
        <f t="shared" si="8"/>
        <v>0.06</v>
      </c>
      <c r="O16" s="16">
        <f t="shared" si="9"/>
        <v>1.25E-3</v>
      </c>
      <c r="P16" s="85">
        <f>IF(B16="","",Schedules!D16)</f>
        <v>4.6537551612903225E-2</v>
      </c>
    </row>
    <row r="17" spans="2:16" x14ac:dyDescent="0.25">
      <c r="B17" s="4">
        <f>'Bachelier Model'!J18</f>
        <v>46488</v>
      </c>
      <c r="C17" s="16">
        <f>IF(B17="","",IF(B17&lt;'Rate &amp; Vol Update'!$B$8,0,_xlfn.FORECAST.LINEAR(B17,INDEX('Rate &amp; Vol Update'!$E$8:$E$127,MATCH('Market Scenarios'!B17,'Rate &amp; Vol Update'!$B$8:$B$127,1)):INDEX('Rate &amp; Vol Update'!$E$8:$E$127,MATCH('Market Scenarios'!B17,'Rate &amp; Vol Update'!$B$8:$B$127,1)+1),INDEX('Rate &amp; Vol Update'!$B$8:$B$127,MATCH('Market Scenarios'!B17,'Rate &amp; Vol Update'!$B$8:$B$127,1)):INDEX('Rate &amp; Vol Update'!$B$8:$B$127,MATCH('Market Scenarios'!B17,'Rate &amp; Vol Update'!$B$8:$B$127,1)+1)))/100)</f>
        <v>0.73297047225325651</v>
      </c>
      <c r="D17" s="85">
        <f>'Bachelier Model'!P18</f>
        <v>3.1658323853122283E-2</v>
      </c>
      <c r="E17" s="16">
        <f t="shared" si="0"/>
        <v>8.2024162572390438E-2</v>
      </c>
      <c r="F17" s="16">
        <f t="shared" si="1"/>
        <v>5.6668162678200358E-2</v>
      </c>
      <c r="G17" s="16">
        <f t="shared" si="2"/>
        <v>6.6484850280442058E-3</v>
      </c>
      <c r="H17" s="16">
        <f t="shared" si="3"/>
        <v>-1.8707514866145861E-2</v>
      </c>
      <c r="I17" s="16">
        <f t="shared" si="4"/>
        <v>3.6658323853122281E-2</v>
      </c>
      <c r="J17" s="16">
        <f t="shared" si="5"/>
        <v>3.4158323853122285E-2</v>
      </c>
      <c r="K17" s="16">
        <f t="shared" si="6"/>
        <v>2.9158323853122285E-2</v>
      </c>
      <c r="L17" s="16">
        <f t="shared" si="7"/>
        <v>2.6658323853122282E-2</v>
      </c>
      <c r="M17" s="16">
        <f>IF(B17="","",IF(B17&gt;'Rate &amp; Vol Update'!$K$2,'Rate &amp; Vol Update'!$K$4,IF(B17&lt;'Rate &amp; Vol Update'!$F$2,D17,_xlfn.FORECAST.LINEAR(B17,INDEX('Rate &amp; Vol Update'!$F$4:$K$4,1,MATCH(B17,'Rate &amp; Vol Update'!$F$2:$K$2,1)):INDEX('Rate &amp; Vol Update'!$F$4:$K$4,1,MATCH(B17,'Rate &amp; Vol Update'!$F$2:$K$2,1)+1),INDEX('Rate &amp; Vol Update'!$F$2:$K$2,1,MATCH(B17,'Rate &amp; Vol Update'!$F$2:$K$2,1)):INDEX('Rate &amp; Vol Update'!$F$2:$K$2,1,MATCH(B17,'Rate &amp; Vol Update'!$F$2:$K$2,1)+1)))))</f>
        <v>3.3058219178082215E-2</v>
      </c>
      <c r="N17" s="85">
        <f t="shared" si="8"/>
        <v>0.06</v>
      </c>
      <c r="O17" s="16">
        <f t="shared" si="9"/>
        <v>1.25E-3</v>
      </c>
      <c r="P17" s="85">
        <f>IF(B17="","",Schedules!D17)</f>
        <v>4.6542100000000003E-2</v>
      </c>
    </row>
    <row r="18" spans="2:16" x14ac:dyDescent="0.25">
      <c r="B18" s="4">
        <f>'Bachelier Model'!J19</f>
        <v>46518</v>
      </c>
      <c r="C18" s="16">
        <f>IF(B18="","",IF(B18&lt;'Rate &amp; Vol Update'!$B$8,0,_xlfn.FORECAST.LINEAR(B18,INDEX('Rate &amp; Vol Update'!$E$8:$E$127,MATCH('Market Scenarios'!B18,'Rate &amp; Vol Update'!$B$8:$B$127,1)):INDEX('Rate &amp; Vol Update'!$E$8:$E$127,MATCH('Market Scenarios'!B18,'Rate &amp; Vol Update'!$B$8:$B$127,1)+1),INDEX('Rate &amp; Vol Update'!$B$8:$B$127,MATCH('Market Scenarios'!B18,'Rate &amp; Vol Update'!$B$8:$B$127,1)):INDEX('Rate &amp; Vol Update'!$B$8:$B$127,MATCH('Market Scenarios'!B18,'Rate &amp; Vol Update'!$B$8:$B$127,1)+1)))/100)</f>
        <v>0.73269666057908267</v>
      </c>
      <c r="D18" s="85">
        <f>'Bachelier Model'!P19</f>
        <v>3.1661105597286798E-2</v>
      </c>
      <c r="E18" s="16">
        <f t="shared" si="0"/>
        <v>8.3763413385130867E-2</v>
      </c>
      <c r="F18" s="16">
        <f t="shared" si="1"/>
        <v>5.7533211638282469E-2</v>
      </c>
      <c r="G18" s="16">
        <f t="shared" si="2"/>
        <v>5.7889995562911299E-3</v>
      </c>
      <c r="H18" s="16">
        <f t="shared" si="3"/>
        <v>-2.0441202190557277E-2</v>
      </c>
      <c r="I18" s="16">
        <f t="shared" si="4"/>
        <v>3.6661105597286796E-2</v>
      </c>
      <c r="J18" s="16">
        <f t="shared" si="5"/>
        <v>3.4161105597286801E-2</v>
      </c>
      <c r="K18" s="16">
        <f t="shared" si="6"/>
        <v>2.91611055972868E-2</v>
      </c>
      <c r="L18" s="16">
        <f t="shared" si="7"/>
        <v>2.6661105597286797E-2</v>
      </c>
      <c r="M18" s="16">
        <f>IF(B18="","",IF(B18&gt;'Rate &amp; Vol Update'!$K$2,'Rate &amp; Vol Update'!$K$4,IF(B18&lt;'Rate &amp; Vol Update'!$F$2,D18,_xlfn.FORECAST.LINEAR(B18,INDEX('Rate &amp; Vol Update'!$F$4:$K$4,1,MATCH(B18,'Rate &amp; Vol Update'!$F$2:$K$2,1)):INDEX('Rate &amp; Vol Update'!$F$4:$K$4,1,MATCH(B18,'Rate &amp; Vol Update'!$F$2:$K$2,1)+1),INDEX('Rate &amp; Vol Update'!$F$2:$K$2,1,MATCH(B18,'Rate &amp; Vol Update'!$F$2:$K$2,1)):INDEX('Rate &amp; Vol Update'!$F$2:$K$2,1,MATCH(B18,'Rate &amp; Vol Update'!$F$2:$K$2,1)+1)))))</f>
        <v>3.2852739726027369E-2</v>
      </c>
      <c r="N18" s="85">
        <f t="shared" si="8"/>
        <v>0.06</v>
      </c>
      <c r="O18" s="16">
        <f t="shared" si="9"/>
        <v>1.25E-3</v>
      </c>
      <c r="P18" s="85">
        <f>IF(B18="","",Schedules!D18)</f>
        <v>4.6543454838709676E-2</v>
      </c>
    </row>
    <row r="19" spans="2:16" x14ac:dyDescent="0.25">
      <c r="B19" s="4">
        <f>'Bachelier Model'!J20</f>
        <v>46549</v>
      </c>
      <c r="C19" s="16">
        <f>IF(B19="","",IF(B19&lt;'Rate &amp; Vol Update'!$B$8,0,_xlfn.FORECAST.LINEAR(B19,INDEX('Rate &amp; Vol Update'!$E$8:$E$127,MATCH('Market Scenarios'!B19,'Rate &amp; Vol Update'!$B$8:$B$127,1)):INDEX('Rate &amp; Vol Update'!$E$8:$E$127,MATCH('Market Scenarios'!B19,'Rate &amp; Vol Update'!$B$8:$B$127,1)+1),INDEX('Rate &amp; Vol Update'!$B$8:$B$127,MATCH('Market Scenarios'!B19,'Rate &amp; Vol Update'!$B$8:$B$127,1)):INDEX('Rate &amp; Vol Update'!$B$8:$B$127,MATCH('Market Scenarios'!B19,'Rate &amp; Vol Update'!$B$8:$B$127,1)+1)))/100)</f>
        <v>0.73299650898453139</v>
      </c>
      <c r="D19" s="85">
        <f>'Bachelier Model'!P20</f>
        <v>3.1658323853122283E-2</v>
      </c>
      <c r="E19" s="16">
        <f t="shared" si="0"/>
        <v>8.5527388937446616E-2</v>
      </c>
      <c r="F19" s="16">
        <f t="shared" si="1"/>
        <v>5.8407737139496901E-2</v>
      </c>
      <c r="G19" s="16">
        <f t="shared" si="2"/>
        <v>4.9089105667476669E-3</v>
      </c>
      <c r="H19" s="16">
        <f t="shared" si="3"/>
        <v>-2.2210741231202053E-2</v>
      </c>
      <c r="I19" s="16">
        <f t="shared" si="4"/>
        <v>3.6658323853122281E-2</v>
      </c>
      <c r="J19" s="16">
        <f t="shared" si="5"/>
        <v>3.4158323853122285E-2</v>
      </c>
      <c r="K19" s="16">
        <f t="shared" si="6"/>
        <v>2.9158323853122285E-2</v>
      </c>
      <c r="L19" s="16">
        <f t="shared" si="7"/>
        <v>2.6658323853122282E-2</v>
      </c>
      <c r="M19" s="16">
        <f>IF(B19="","",IF(B19&gt;'Rate &amp; Vol Update'!$K$2,'Rate &amp; Vol Update'!$K$4,IF(B19&lt;'Rate &amp; Vol Update'!$F$2,D19,_xlfn.FORECAST.LINEAR(B19,INDEX('Rate &amp; Vol Update'!$F$4:$K$4,1,MATCH(B19,'Rate &amp; Vol Update'!$F$2:$K$2,1)):INDEX('Rate &amp; Vol Update'!$F$4:$K$4,1,MATCH(B19,'Rate &amp; Vol Update'!$F$2:$K$2,1)+1),INDEX('Rate &amp; Vol Update'!$F$2:$K$2,1,MATCH(B19,'Rate &amp; Vol Update'!$F$2:$K$2,1)):INDEX('Rate &amp; Vol Update'!$F$2:$K$2,1,MATCH(B19,'Rate &amp; Vol Update'!$F$2:$K$2,1)+1)))))</f>
        <v>3.2640410958904131E-2</v>
      </c>
      <c r="N19" s="85">
        <f t="shared" si="8"/>
        <v>0.06</v>
      </c>
      <c r="O19" s="16">
        <f t="shared" si="9"/>
        <v>1.25E-3</v>
      </c>
      <c r="P19" s="85">
        <f>IF(B19="","",Schedules!D19)</f>
        <v>4.6534454838709667E-2</v>
      </c>
    </row>
    <row r="20" spans="2:16" x14ac:dyDescent="0.25">
      <c r="B20" s="4">
        <f>'Bachelier Model'!J21</f>
        <v>46579</v>
      </c>
      <c r="C20" s="16">
        <f>IF(B20="","",IF(B20&lt;'Rate &amp; Vol Update'!$B$8,0,_xlfn.FORECAST.LINEAR(B20,INDEX('Rate &amp; Vol Update'!$E$8:$E$127,MATCH('Market Scenarios'!B20,'Rate &amp; Vol Update'!$B$8:$B$127,1)):INDEX('Rate &amp; Vol Update'!$E$8:$E$127,MATCH('Market Scenarios'!B20,'Rate &amp; Vol Update'!$B$8:$B$127,1)+1),INDEX('Rate &amp; Vol Update'!$B$8:$B$127,MATCH('Market Scenarios'!B20,'Rate &amp; Vol Update'!$B$8:$B$127,1)):INDEX('Rate &amp; Vol Update'!$B$8:$B$127,MATCH('Market Scenarios'!B20,'Rate &amp; Vol Update'!$B$8:$B$127,1)+1)))/100)</f>
        <v>0.73326815944683033</v>
      </c>
      <c r="D20" s="85">
        <f>'Bachelier Model'!P21</f>
        <v>3.1662496591553978E-2</v>
      </c>
      <c r="E20" s="16">
        <f t="shared" si="0"/>
        <v>8.7200510251840613E-2</v>
      </c>
      <c r="F20" s="16">
        <f t="shared" si="1"/>
        <v>5.9240648879473161E-2</v>
      </c>
      <c r="G20" s="16">
        <f t="shared" si="2"/>
        <v>4.0843443036347972E-3</v>
      </c>
      <c r="H20" s="16">
        <f t="shared" si="3"/>
        <v>-2.387551706873265E-2</v>
      </c>
      <c r="I20" s="16">
        <f t="shared" si="4"/>
        <v>3.6662496591553975E-2</v>
      </c>
      <c r="J20" s="16">
        <f t="shared" si="5"/>
        <v>3.416249659155398E-2</v>
      </c>
      <c r="K20" s="16">
        <f t="shared" si="6"/>
        <v>2.9162496591553979E-2</v>
      </c>
      <c r="L20" s="16">
        <f t="shared" si="7"/>
        <v>2.6662496591553977E-2</v>
      </c>
      <c r="M20" s="16">
        <f>IF(B20="","",IF(B20&gt;'Rate &amp; Vol Update'!$K$2,'Rate &amp; Vol Update'!$K$4,IF(B20&lt;'Rate &amp; Vol Update'!$F$2,D20,_xlfn.FORECAST.LINEAR(B20,INDEX('Rate &amp; Vol Update'!$F$4:$K$4,1,MATCH(B20,'Rate &amp; Vol Update'!$F$2:$K$2,1)):INDEX('Rate &amp; Vol Update'!$F$4:$K$4,1,MATCH(B20,'Rate &amp; Vol Update'!$F$2:$K$2,1)+1),INDEX('Rate &amp; Vol Update'!$F$2:$K$2,1,MATCH(B20,'Rate &amp; Vol Update'!$F$2:$K$2,1)):INDEX('Rate &amp; Vol Update'!$F$2:$K$2,1,MATCH(B20,'Rate &amp; Vol Update'!$F$2:$K$2,1)+1)))))</f>
        <v>3.243493150684934E-2</v>
      </c>
      <c r="N20" s="85">
        <f t="shared" si="8"/>
        <v>0.06</v>
      </c>
      <c r="O20" s="16">
        <f t="shared" si="9"/>
        <v>1.25E-3</v>
      </c>
      <c r="P20" s="85">
        <f>IF(B20="","",Schedules!D20)</f>
        <v>4.6537064285714289E-2</v>
      </c>
    </row>
    <row r="21" spans="2:16" x14ac:dyDescent="0.25">
      <c r="B21" s="4">
        <f>'Bachelier Model'!J22</f>
        <v>46610</v>
      </c>
      <c r="C21" s="16">
        <f>IF(B21="","",IF(B21&lt;'Rate &amp; Vol Update'!$B$8,0,_xlfn.FORECAST.LINEAR(B21,INDEX('Rate &amp; Vol Update'!$E$8:$E$127,MATCH('Market Scenarios'!B21,'Rate &amp; Vol Update'!$B$8:$B$127,1)):INDEX('Rate &amp; Vol Update'!$E$8:$E$127,MATCH('Market Scenarios'!B21,'Rate &amp; Vol Update'!$B$8:$B$127,1)+1),INDEX('Rate &amp; Vol Update'!$B$8:$B$127,MATCH('Market Scenarios'!B21,'Rate &amp; Vol Update'!$B$8:$B$127,1)):INDEX('Rate &amp; Vol Update'!$B$8:$B$127,MATCH('Market Scenarios'!B21,'Rate &amp; Vol Update'!$B$8:$B$127,1)+1)))/100)</f>
        <v>0.73180253004523377</v>
      </c>
      <c r="D21" s="85">
        <f>'Bachelier Model'!P22</f>
        <v>3.2142921917914222E-2</v>
      </c>
      <c r="E21" s="16">
        <f t="shared" si="0"/>
        <v>9.0079698204257125E-2</v>
      </c>
      <c r="F21" s="16">
        <f t="shared" si="1"/>
        <v>6.0912212250643478E-2</v>
      </c>
      <c r="G21" s="16">
        <f t="shared" si="2"/>
        <v>3.3736315851849675E-3</v>
      </c>
      <c r="H21" s="16">
        <f t="shared" si="3"/>
        <v>-2.5793854368428685E-2</v>
      </c>
      <c r="I21" s="16">
        <f t="shared" si="4"/>
        <v>3.7142921917914219E-2</v>
      </c>
      <c r="J21" s="16">
        <f t="shared" si="5"/>
        <v>3.4642921917914224E-2</v>
      </c>
      <c r="K21" s="16">
        <f t="shared" si="6"/>
        <v>2.9642921917914223E-2</v>
      </c>
      <c r="L21" s="16">
        <f t="shared" si="7"/>
        <v>2.7142921917914221E-2</v>
      </c>
      <c r="M21" s="16">
        <f>IF(B21="","",IF(B21&gt;'Rate &amp; Vol Update'!$K$2,'Rate &amp; Vol Update'!$K$4,IF(B21&lt;'Rate &amp; Vol Update'!$F$2,D21,_xlfn.FORECAST.LINEAR(B21,INDEX('Rate &amp; Vol Update'!$F$4:$K$4,1,MATCH(B21,'Rate &amp; Vol Update'!$F$2:$K$2,1)):INDEX('Rate &amp; Vol Update'!$F$4:$K$4,1,MATCH(B21,'Rate &amp; Vol Update'!$F$2:$K$2,1)+1),INDEX('Rate &amp; Vol Update'!$F$2:$K$2,1,MATCH(B21,'Rate &amp; Vol Update'!$F$2:$K$2,1)):INDEX('Rate &amp; Vol Update'!$F$2:$K$2,1,MATCH(B21,'Rate &amp; Vol Update'!$F$2:$K$2,1)+1)))))</f>
        <v>3.2222602739726047E-2</v>
      </c>
      <c r="N21" s="85">
        <f t="shared" si="8"/>
        <v>0.06</v>
      </c>
      <c r="O21" s="16">
        <f t="shared" si="9"/>
        <v>1.25E-3</v>
      </c>
      <c r="P21" s="85">
        <f>IF(B21="","",Schedules!D21)</f>
        <v>4.4244816129032645E-2</v>
      </c>
    </row>
    <row r="22" spans="2:16" x14ac:dyDescent="0.25">
      <c r="B22" s="4">
        <f>'Bachelier Model'!J23</f>
        <v>46641</v>
      </c>
      <c r="C22" s="16">
        <f>IF(B22="","",IF(B22&lt;'Rate &amp; Vol Update'!$B$8,0,_xlfn.FORECAST.LINEAR(B22,INDEX('Rate &amp; Vol Update'!$E$8:$E$127,MATCH('Market Scenarios'!B22,'Rate &amp; Vol Update'!$B$8:$B$127,1)):INDEX('Rate &amp; Vol Update'!$E$8:$E$127,MATCH('Market Scenarios'!B22,'Rate &amp; Vol Update'!$B$8:$B$127,1)+1),INDEX('Rate &amp; Vol Update'!$B$8:$B$127,MATCH('Market Scenarios'!B22,'Rate &amp; Vol Update'!$B$8:$B$127,1)):INDEX('Rate &amp; Vol Update'!$B$8:$B$127,MATCH('Market Scenarios'!B22,'Rate &amp; Vol Update'!$B$8:$B$127,1)+1)))/100)</f>
        <v>0.73148860581169439</v>
      </c>
      <c r="D22" s="85">
        <f>'Bachelier Model'!P23</f>
        <v>3.2213069900191904E-2</v>
      </c>
      <c r="E22" s="16">
        <f t="shared" si="0"/>
        <v>9.1876241009285473E-2</v>
      </c>
      <c r="F22" s="16">
        <f t="shared" si="1"/>
        <v>6.1839624945737803E-2</v>
      </c>
      <c r="G22" s="16">
        <f t="shared" si="2"/>
        <v>2.5865148546460044E-3</v>
      </c>
      <c r="H22" s="16">
        <f t="shared" si="3"/>
        <v>-2.7450101208901651E-2</v>
      </c>
      <c r="I22" s="16">
        <f t="shared" si="4"/>
        <v>3.7213069900191902E-2</v>
      </c>
      <c r="J22" s="16">
        <f t="shared" si="5"/>
        <v>3.4713069900191906E-2</v>
      </c>
      <c r="K22" s="16">
        <f t="shared" si="6"/>
        <v>2.9713069900191905E-2</v>
      </c>
      <c r="L22" s="16">
        <f t="shared" si="7"/>
        <v>2.7213069900191903E-2</v>
      </c>
      <c r="M22" s="16">
        <f>IF(B22="","",IF(B22&gt;'Rate &amp; Vol Update'!$K$2,'Rate &amp; Vol Update'!$K$4,IF(B22&lt;'Rate &amp; Vol Update'!$F$2,D22,_xlfn.FORECAST.LINEAR(B22,INDEX('Rate &amp; Vol Update'!$F$4:$K$4,1,MATCH(B22,'Rate &amp; Vol Update'!$F$2:$K$2,1)):INDEX('Rate &amp; Vol Update'!$F$4:$K$4,1,MATCH(B22,'Rate &amp; Vol Update'!$F$2:$K$2,1)+1),INDEX('Rate &amp; Vol Update'!$F$2:$K$2,1,MATCH(B22,'Rate &amp; Vol Update'!$F$2:$K$2,1)):INDEX('Rate &amp; Vol Update'!$F$2:$K$2,1,MATCH(B22,'Rate &amp; Vol Update'!$F$2:$K$2,1)+1)))))</f>
        <v>3.2010273972602754E-2</v>
      </c>
      <c r="N22" s="85">
        <f t="shared" si="8"/>
        <v>0.06</v>
      </c>
      <c r="O22" s="16">
        <f t="shared" si="9"/>
        <v>1.25E-3</v>
      </c>
      <c r="P22" s="85">
        <f>IF(B22="","",Schedules!D22)</f>
        <v>4.2012849999999984E-2</v>
      </c>
    </row>
    <row r="23" spans="2:16" x14ac:dyDescent="0.25">
      <c r="B23" s="4">
        <f>'Bachelier Model'!J24</f>
        <v>46671</v>
      </c>
      <c r="C23" s="16">
        <f>IF(B23="","",IF(B23&lt;'Rate &amp; Vol Update'!$B$8,0,_xlfn.FORECAST.LINEAR(B23,INDEX('Rate &amp; Vol Update'!$E$8:$E$127,MATCH('Market Scenarios'!B23,'Rate &amp; Vol Update'!$B$8:$B$127,1)):INDEX('Rate &amp; Vol Update'!$E$8:$E$127,MATCH('Market Scenarios'!B23,'Rate &amp; Vol Update'!$B$8:$B$127,1)+1),INDEX('Rate &amp; Vol Update'!$B$8:$B$127,MATCH('Market Scenarios'!B23,'Rate &amp; Vol Update'!$B$8:$B$127,1)):INDEX('Rate &amp; Vol Update'!$B$8:$B$127,MATCH('Market Scenarios'!B23,'Rate &amp; Vol Update'!$B$8:$B$127,1)+1)))/100)</f>
        <v>0.73119928436023596</v>
      </c>
      <c r="D23" s="85">
        <f>'Bachelier Model'!P24</f>
        <v>3.2215949945667843E-2</v>
      </c>
      <c r="E23" s="16">
        <f t="shared" si="0"/>
        <v>9.3391768675210776E-2</v>
      </c>
      <c r="F23" s="16">
        <f t="shared" si="1"/>
        <v>6.2593630638052303E-2</v>
      </c>
      <c r="G23" s="16">
        <f t="shared" si="2"/>
        <v>1.8382692532833867E-3</v>
      </c>
      <c r="H23" s="16">
        <f t="shared" si="3"/>
        <v>-2.895986878387509E-2</v>
      </c>
      <c r="I23" s="16">
        <f t="shared" si="4"/>
        <v>3.7215949945667841E-2</v>
      </c>
      <c r="J23" s="16">
        <f t="shared" si="5"/>
        <v>3.4715949945667846E-2</v>
      </c>
      <c r="K23" s="16">
        <f t="shared" si="6"/>
        <v>2.9715949945667845E-2</v>
      </c>
      <c r="L23" s="16">
        <f t="shared" si="7"/>
        <v>2.7215949945667842E-2</v>
      </c>
      <c r="M23" s="16">
        <f>IF(B23="","",IF(B23&gt;'Rate &amp; Vol Update'!$K$2,'Rate &amp; Vol Update'!$K$4,IF(B23&lt;'Rate &amp; Vol Update'!$F$2,D23,_xlfn.FORECAST.LINEAR(B23,INDEX('Rate &amp; Vol Update'!$F$4:$K$4,1,MATCH(B23,'Rate &amp; Vol Update'!$F$2:$K$2,1)):INDEX('Rate &amp; Vol Update'!$F$4:$K$4,1,MATCH(B23,'Rate &amp; Vol Update'!$F$2:$K$2,1)+1),INDEX('Rate &amp; Vol Update'!$F$2:$K$2,1,MATCH(B23,'Rate &amp; Vol Update'!$F$2:$K$2,1)):INDEX('Rate &amp; Vol Update'!$F$2:$K$2,1,MATCH(B23,'Rate &amp; Vol Update'!$F$2:$K$2,1)+1)))))</f>
        <v>3.1804794520547963E-2</v>
      </c>
      <c r="N23" s="85">
        <f t="shared" si="8"/>
        <v>0.06</v>
      </c>
      <c r="O23" s="16">
        <f t="shared" si="9"/>
        <v>1.25E-3</v>
      </c>
      <c r="P23" s="85">
        <f>IF(B23="","",Schedules!D23)</f>
        <v>4.1936109677419349E-2</v>
      </c>
    </row>
    <row r="24" spans="2:16" x14ac:dyDescent="0.25">
      <c r="B24" s="4">
        <f>'Bachelier Model'!J25</f>
        <v>46702</v>
      </c>
      <c r="C24" s="16">
        <f>IF(B24="","",IF(B24&lt;'Rate &amp; Vol Update'!$B$8,0,_xlfn.FORECAST.LINEAR(B24,INDEX('Rate &amp; Vol Update'!$E$8:$E$127,MATCH('Market Scenarios'!B24,'Rate &amp; Vol Update'!$B$8:$B$127,1)):INDEX('Rate &amp; Vol Update'!$E$8:$E$127,MATCH('Market Scenarios'!B24,'Rate &amp; Vol Update'!$B$8:$B$127,1)+1),INDEX('Rate &amp; Vol Update'!$B$8:$B$127,MATCH('Market Scenarios'!B24,'Rate &amp; Vol Update'!$B$8:$B$127,1)):INDEX('Rate &amp; Vol Update'!$B$8:$B$127,MATCH('Market Scenarios'!B24,'Rate &amp; Vol Update'!$B$8:$B$127,1)+1)))/100)</f>
        <v>0.73092037080548833</v>
      </c>
      <c r="D24" s="85">
        <f>'Bachelier Model'!P25</f>
        <v>3.2213069900194569E-2</v>
      </c>
      <c r="E24" s="16">
        <f t="shared" si="0"/>
        <v>9.4902058838178927E-2</v>
      </c>
      <c r="F24" s="16">
        <f t="shared" si="1"/>
        <v>6.3342135737557315E-2</v>
      </c>
      <c r="G24" s="16">
        <f t="shared" si="2"/>
        <v>1.0840040628318248E-3</v>
      </c>
      <c r="H24" s="16">
        <f t="shared" si="3"/>
        <v>-3.0475919037789796E-2</v>
      </c>
      <c r="I24" s="16">
        <f t="shared" si="4"/>
        <v>3.7213069900194566E-2</v>
      </c>
      <c r="J24" s="16">
        <f t="shared" si="5"/>
        <v>3.4713069900194571E-2</v>
      </c>
      <c r="K24" s="16">
        <f t="shared" si="6"/>
        <v>2.971306990019457E-2</v>
      </c>
      <c r="L24" s="16">
        <f t="shared" si="7"/>
        <v>2.7213069900194568E-2</v>
      </c>
      <c r="M24" s="16">
        <f>IF(B24="","",IF(B24&gt;'Rate &amp; Vol Update'!$K$2,'Rate &amp; Vol Update'!$K$4,IF(B24&lt;'Rate &amp; Vol Update'!$F$2,D24,_xlfn.FORECAST.LINEAR(B24,INDEX('Rate &amp; Vol Update'!$F$4:$K$4,1,MATCH(B24,'Rate &amp; Vol Update'!$F$2:$K$2,1)):INDEX('Rate &amp; Vol Update'!$F$4:$K$4,1,MATCH(B24,'Rate &amp; Vol Update'!$F$2:$K$2,1)+1),INDEX('Rate &amp; Vol Update'!$F$2:$K$2,1,MATCH(B24,'Rate &amp; Vol Update'!$F$2:$K$2,1)):INDEX('Rate &amp; Vol Update'!$F$2:$K$2,1,MATCH(B24,'Rate &amp; Vol Update'!$F$2:$K$2,1)+1)))))</f>
        <v>3.159246575342467E-2</v>
      </c>
      <c r="N24" s="85">
        <f t="shared" si="8"/>
        <v>0.06</v>
      </c>
      <c r="O24" s="16">
        <f t="shared" si="9"/>
        <v>1.25E-3</v>
      </c>
      <c r="P24" s="85">
        <f>IF(B24="","",Schedules!D24)</f>
        <v>4.1936149999999991E-2</v>
      </c>
    </row>
    <row r="25" spans="2:16" x14ac:dyDescent="0.25">
      <c r="B25" s="4">
        <f>'Bachelier Model'!J26</f>
        <v>46732</v>
      </c>
      <c r="C25" s="16">
        <f>IF(B25="","",IF(B25&lt;'Rate &amp; Vol Update'!$B$8,0,_xlfn.FORECAST.LINEAR(B25,INDEX('Rate &amp; Vol Update'!$E$8:$E$127,MATCH('Market Scenarios'!B25,'Rate &amp; Vol Update'!$B$8:$B$127,1)):INDEX('Rate &amp; Vol Update'!$E$8:$E$127,MATCH('Market Scenarios'!B25,'Rate &amp; Vol Update'!$B$8:$B$127,1)+1),INDEX('Rate &amp; Vol Update'!$B$8:$B$127,MATCH('Market Scenarios'!B25,'Rate &amp; Vol Update'!$B$8:$B$127,1)):INDEX('Rate &amp; Vol Update'!$B$8:$B$127,MATCH('Market Scenarios'!B25,'Rate &amp; Vol Update'!$B$8:$B$127,1)+1)))/100)</f>
        <v>0.75986675241346346</v>
      </c>
      <c r="D25" s="85">
        <f>'Bachelier Model'!P26</f>
        <v>3.2218830334396993E-2</v>
      </c>
      <c r="E25" s="16">
        <f t="shared" si="0"/>
        <v>9.8917041894989691E-2</v>
      </c>
      <c r="F25" s="16">
        <f t="shared" si="1"/>
        <v>6.5338729922472832E-2</v>
      </c>
      <c r="G25" s="16">
        <f t="shared" si="2"/>
        <v>-9.0106925367883239E-4</v>
      </c>
      <c r="H25" s="16">
        <f t="shared" si="3"/>
        <v>-3.4479381226195704E-2</v>
      </c>
      <c r="I25" s="16">
        <f t="shared" si="4"/>
        <v>3.7218830334396991E-2</v>
      </c>
      <c r="J25" s="16">
        <f t="shared" si="5"/>
        <v>3.4718830334396995E-2</v>
      </c>
      <c r="K25" s="16">
        <f t="shared" si="6"/>
        <v>2.9718830334396994E-2</v>
      </c>
      <c r="L25" s="16">
        <f t="shared" si="7"/>
        <v>2.7218830334396992E-2</v>
      </c>
      <c r="M25" s="16">
        <f>IF(B25="","",IF(B25&gt;'Rate &amp; Vol Update'!$K$2,'Rate &amp; Vol Update'!$K$4,IF(B25&lt;'Rate &amp; Vol Update'!$F$2,D25,_xlfn.FORECAST.LINEAR(B25,INDEX('Rate &amp; Vol Update'!$F$4:$K$4,1,MATCH(B25,'Rate &amp; Vol Update'!$F$2:$K$2,1)):INDEX('Rate &amp; Vol Update'!$F$4:$K$4,1,MATCH(B25,'Rate &amp; Vol Update'!$F$2:$K$2,1)+1),INDEX('Rate &amp; Vol Update'!$F$2:$K$2,1,MATCH(B25,'Rate &amp; Vol Update'!$F$2:$K$2,1)):INDEX('Rate &amp; Vol Update'!$F$2:$K$2,1,MATCH(B25,'Rate &amp; Vol Update'!$F$2:$K$2,1)+1)))))</f>
        <v>3.1386986301369879E-2</v>
      </c>
      <c r="N25" s="85">
        <f t="shared" si="8"/>
        <v>0.06</v>
      </c>
      <c r="O25" s="16">
        <f t="shared" si="9"/>
        <v>1.25E-3</v>
      </c>
      <c r="P25" s="85">
        <f>IF(B25="","",Schedules!D25)</f>
        <v>4.1939929032258058E-2</v>
      </c>
    </row>
    <row r="26" spans="2:16" x14ac:dyDescent="0.25">
      <c r="B26" s="4">
        <f>'Bachelier Model'!J27</f>
        <v>46763</v>
      </c>
      <c r="C26" s="16">
        <f>IF(B26="","",IF(B26&lt;'Rate &amp; Vol Update'!$B$8,0,_xlfn.FORECAST.LINEAR(B26,INDEX('Rate &amp; Vol Update'!$E$8:$E$127,MATCH('Market Scenarios'!B26,'Rate &amp; Vol Update'!$B$8:$B$127,1)):INDEX('Rate &amp; Vol Update'!$E$8:$E$127,MATCH('Market Scenarios'!B26,'Rate &amp; Vol Update'!$B$8:$B$127,1)+1),INDEX('Rate &amp; Vol Update'!$B$8:$B$127,MATCH('Market Scenarios'!B26,'Rate &amp; Vol Update'!$B$8:$B$127,1)):INDEX('Rate &amp; Vol Update'!$B$8:$B$127,MATCH('Market Scenarios'!B26,'Rate &amp; Vol Update'!$B$8:$B$127,1)+1)))/100)</f>
        <v>0.7886327877797612</v>
      </c>
      <c r="D26" s="85">
        <f>'Bachelier Model'!P27</f>
        <v>3.2215949945670556E-2</v>
      </c>
      <c r="E26" s="16">
        <f t="shared" si="0"/>
        <v>0.10302081576404416</v>
      </c>
      <c r="F26" s="16">
        <f t="shared" si="1"/>
        <v>6.7359020879150619E-2</v>
      </c>
      <c r="G26" s="16">
        <f t="shared" si="2"/>
        <v>-2.9271209878095087E-3</v>
      </c>
      <c r="H26" s="16">
        <f t="shared" si="3"/>
        <v>-3.8588915872703043E-2</v>
      </c>
      <c r="I26" s="16">
        <f t="shared" si="4"/>
        <v>3.7215949945670554E-2</v>
      </c>
      <c r="J26" s="16">
        <f t="shared" si="5"/>
        <v>3.4715949945670559E-2</v>
      </c>
      <c r="K26" s="16">
        <f t="shared" si="6"/>
        <v>2.9715949945670558E-2</v>
      </c>
      <c r="L26" s="16">
        <f t="shared" si="7"/>
        <v>2.7215949945670555E-2</v>
      </c>
      <c r="M26" s="16">
        <f>IF(B26="","",IF(B26&gt;'Rate &amp; Vol Update'!$K$2,'Rate &amp; Vol Update'!$K$4,IF(B26&lt;'Rate &amp; Vol Update'!$F$2,D26,_xlfn.FORECAST.LINEAR(B26,INDEX('Rate &amp; Vol Update'!$F$4:$K$4,1,MATCH(B26,'Rate &amp; Vol Update'!$F$2:$K$2,1)):INDEX('Rate &amp; Vol Update'!$F$4:$K$4,1,MATCH(B26,'Rate &amp; Vol Update'!$F$2:$K$2,1)+1),INDEX('Rate &amp; Vol Update'!$F$2:$K$2,1,MATCH(B26,'Rate &amp; Vol Update'!$F$2:$K$2,1)):INDEX('Rate &amp; Vol Update'!$F$2:$K$2,1,MATCH(B26,'Rate &amp; Vol Update'!$F$2:$K$2,1)+1)))))</f>
        <v>3.125E-2</v>
      </c>
      <c r="N26" s="85">
        <f t="shared" si="8"/>
        <v>0.06</v>
      </c>
      <c r="O26" s="16">
        <f t="shared" si="9"/>
        <v>1.25E-3</v>
      </c>
      <c r="P26" s="85">
        <f>IF(B26="","",Schedules!D26)</f>
        <v>4.1941009677419358E-2</v>
      </c>
    </row>
    <row r="27" spans="2:16" x14ac:dyDescent="0.25">
      <c r="B27" s="4">
        <f>'Bachelier Model'!J28</f>
        <v>46794</v>
      </c>
      <c r="C27" s="16">
        <f>IF(B27="","",IF(B27&lt;'Rate &amp; Vol Update'!$B$8,0,_xlfn.FORECAST.LINEAR(B27,INDEX('Rate &amp; Vol Update'!$E$8:$E$127,MATCH('Market Scenarios'!B27,'Rate &amp; Vol Update'!$B$8:$B$127,1)):INDEX('Rate &amp; Vol Update'!$E$8:$E$127,MATCH('Market Scenarios'!B27,'Rate &amp; Vol Update'!$B$8:$B$127,1)+1),INDEX('Rate &amp; Vol Update'!$B$8:$B$127,MATCH('Market Scenarios'!B27,'Rate &amp; Vol Update'!$B$8:$B$127,1)):INDEX('Rate &amp; Vol Update'!$B$8:$B$127,MATCH('Market Scenarios'!B27,'Rate &amp; Vol Update'!$B$8:$B$127,1)+1)))/100)</f>
        <v>0.81325661488618584</v>
      </c>
      <c r="D27" s="85">
        <f>'Bachelier Model'!P28</f>
        <v>3.3516024401973946E-2</v>
      </c>
      <c r="E27" s="16">
        <f t="shared" si="0"/>
        <v>0.11114436054007946</v>
      </c>
      <c r="F27" s="16">
        <f t="shared" si="1"/>
        <v>7.2045835761937654E-2</v>
      </c>
      <c r="G27" s="16">
        <f t="shared" si="2"/>
        <v>-5.0137869579897562E-3</v>
      </c>
      <c r="H27" s="16">
        <f t="shared" si="3"/>
        <v>-4.4112311736131581E-2</v>
      </c>
      <c r="I27" s="16">
        <f t="shared" si="4"/>
        <v>3.8516024401973943E-2</v>
      </c>
      <c r="J27" s="16">
        <f t="shared" si="5"/>
        <v>3.6016024401973948E-2</v>
      </c>
      <c r="K27" s="16">
        <f t="shared" si="6"/>
        <v>3.1016024401973947E-2</v>
      </c>
      <c r="L27" s="16">
        <f t="shared" si="7"/>
        <v>2.8516024401973945E-2</v>
      </c>
      <c r="M27" s="16">
        <f>IF(B27="","",IF(B27&gt;'Rate &amp; Vol Update'!$K$2,'Rate &amp; Vol Update'!$K$4,IF(B27&lt;'Rate &amp; Vol Update'!$F$2,D27,_xlfn.FORECAST.LINEAR(B27,INDEX('Rate &amp; Vol Update'!$F$4:$K$4,1,MATCH(B27,'Rate &amp; Vol Update'!$F$2:$K$2,1)):INDEX('Rate &amp; Vol Update'!$F$4:$K$4,1,MATCH(B27,'Rate &amp; Vol Update'!$F$2:$K$2,1)+1),INDEX('Rate &amp; Vol Update'!$F$2:$K$2,1,MATCH(B27,'Rate &amp; Vol Update'!$F$2:$K$2,1)):INDEX('Rate &amp; Vol Update'!$F$2:$K$2,1,MATCH(B27,'Rate &amp; Vol Update'!$F$2:$K$2,1)+1)))))</f>
        <v>3.125E-2</v>
      </c>
      <c r="N27" s="85">
        <f t="shared" si="8"/>
        <v>0.06</v>
      </c>
      <c r="O27" s="16">
        <f t="shared" si="9"/>
        <v>1.25E-3</v>
      </c>
      <c r="P27" s="85">
        <f>IF(B27="","",Schedules!D27)</f>
        <v>4.1081500000000236E-2</v>
      </c>
    </row>
    <row r="28" spans="2:16" x14ac:dyDescent="0.25">
      <c r="B28" s="4">
        <f>'Bachelier Model'!J29</f>
        <v>46823</v>
      </c>
      <c r="C28" s="16">
        <f>IF(B28="","",IF(B28&lt;'Rate &amp; Vol Update'!$B$8,0,_xlfn.FORECAST.LINEAR(B28,INDEX('Rate &amp; Vol Update'!$E$8:$E$127,MATCH('Market Scenarios'!B28,'Rate &amp; Vol Update'!$B$8:$B$127,1)):INDEX('Rate &amp; Vol Update'!$E$8:$E$127,MATCH('Market Scenarios'!B28,'Rate &amp; Vol Update'!$B$8:$B$127,1)+1),INDEX('Rate &amp; Vol Update'!$B$8:$B$127,MATCH('Market Scenarios'!B28,'Rate &amp; Vol Update'!$B$8:$B$127,1)):INDEX('Rate &amp; Vol Update'!$B$8:$B$127,MATCH('Market Scenarios'!B28,'Rate &amp; Vol Update'!$B$8:$B$127,1)+1)))/100)</f>
        <v>0.81401814667994121</v>
      </c>
      <c r="D28" s="85">
        <f>'Bachelier Model'!P29</f>
        <v>3.3568865638292748E-2</v>
      </c>
      <c r="E28" s="16">
        <f t="shared" si="0"/>
        <v>0.11292315113298709</v>
      </c>
      <c r="F28" s="16">
        <f t="shared" si="1"/>
        <v>7.2955329432593183E-2</v>
      </c>
      <c r="G28" s="16">
        <f t="shared" si="2"/>
        <v>-5.8175981560076801E-3</v>
      </c>
      <c r="H28" s="16">
        <f t="shared" si="3"/>
        <v>-4.5785419856401596E-2</v>
      </c>
      <c r="I28" s="16">
        <f t="shared" si="4"/>
        <v>3.8568865638292746E-2</v>
      </c>
      <c r="J28" s="16">
        <f t="shared" si="5"/>
        <v>3.6068865638292751E-2</v>
      </c>
      <c r="K28" s="16">
        <f t="shared" si="6"/>
        <v>3.106886563829275E-2</v>
      </c>
      <c r="L28" s="16">
        <f t="shared" si="7"/>
        <v>2.8568865638292747E-2</v>
      </c>
      <c r="M28" s="16">
        <f>IF(B28="","",IF(B28&gt;'Rate &amp; Vol Update'!$K$2,'Rate &amp; Vol Update'!$K$4,IF(B28&lt;'Rate &amp; Vol Update'!$F$2,D28,_xlfn.FORECAST.LINEAR(B28,INDEX('Rate &amp; Vol Update'!$F$4:$K$4,1,MATCH(B28,'Rate &amp; Vol Update'!$F$2:$K$2,1)):INDEX('Rate &amp; Vol Update'!$F$4:$K$4,1,MATCH(B28,'Rate &amp; Vol Update'!$F$2:$K$2,1)+1),INDEX('Rate &amp; Vol Update'!$F$2:$K$2,1,MATCH(B28,'Rate &amp; Vol Update'!$F$2:$K$2,1)):INDEX('Rate &amp; Vol Update'!$F$2:$K$2,1,MATCH(B28,'Rate &amp; Vol Update'!$F$2:$K$2,1)+1)))))</f>
        <v>3.125E-2</v>
      </c>
      <c r="N28" s="85">
        <f t="shared" si="8"/>
        <v>0.06</v>
      </c>
      <c r="O28" s="16">
        <f t="shared" si="9"/>
        <v>1.25E-3</v>
      </c>
      <c r="P28" s="85">
        <f>IF(B28="","",Schedules!D28)</f>
        <v>4.0161058064516163E-2</v>
      </c>
    </row>
    <row r="29" spans="2:16" x14ac:dyDescent="0.25">
      <c r="B29" s="4">
        <f>'Bachelier Model'!J30</f>
        <v>46854</v>
      </c>
      <c r="C29" s="16">
        <f>IF(B29="","",IF(B29&lt;'Rate &amp; Vol Update'!$B$8,0,_xlfn.FORECAST.LINEAR(B29,INDEX('Rate &amp; Vol Update'!$E$8:$E$127,MATCH('Market Scenarios'!B29,'Rate &amp; Vol Update'!$B$8:$B$127,1)):INDEX('Rate &amp; Vol Update'!$E$8:$E$127,MATCH('Market Scenarios'!B29,'Rate &amp; Vol Update'!$B$8:$B$127,1)+1),INDEX('Rate &amp; Vol Update'!$B$8:$B$127,MATCH('Market Scenarios'!B29,'Rate &amp; Vol Update'!$B$8:$B$127,1)):INDEX('Rate &amp; Vol Update'!$B$8:$B$127,MATCH('Market Scenarios'!B29,'Rate &amp; Vol Update'!$B$8:$B$127,1)+1)))/100)</f>
        <v>0.81400690016670485</v>
      </c>
      <c r="D29" s="85">
        <f>'Bachelier Model'!P30</f>
        <v>3.3567302194227322E-2</v>
      </c>
      <c r="E29" s="16">
        <f t="shared" si="0"/>
        <v>0.11452102318376806</v>
      </c>
      <c r="F29" s="16">
        <f t="shared" si="1"/>
        <v>7.374762491897327E-2</v>
      </c>
      <c r="G29" s="16">
        <f t="shared" si="2"/>
        <v>-6.6130205305186211E-3</v>
      </c>
      <c r="H29" s="16">
        <f t="shared" si="3"/>
        <v>-4.7386418795313405E-2</v>
      </c>
      <c r="I29" s="16">
        <f t="shared" si="4"/>
        <v>3.8567302194227319E-2</v>
      </c>
      <c r="J29" s="16">
        <f t="shared" si="5"/>
        <v>3.6067302194227324E-2</v>
      </c>
      <c r="K29" s="16">
        <f t="shared" si="6"/>
        <v>3.1067302194227323E-2</v>
      </c>
      <c r="L29" s="16">
        <f t="shared" si="7"/>
        <v>2.8567302194227321E-2</v>
      </c>
      <c r="M29" s="16">
        <f>IF(B29="","",IF(B29&gt;'Rate &amp; Vol Update'!$K$2,'Rate &amp; Vol Update'!$K$4,IF(B29&lt;'Rate &amp; Vol Update'!$F$2,D29,_xlfn.FORECAST.LINEAR(B29,INDEX('Rate &amp; Vol Update'!$F$4:$K$4,1,MATCH(B29,'Rate &amp; Vol Update'!$F$2:$K$2,1)):INDEX('Rate &amp; Vol Update'!$F$4:$K$4,1,MATCH(B29,'Rate &amp; Vol Update'!$F$2:$K$2,1)+1),INDEX('Rate &amp; Vol Update'!$F$2:$K$2,1,MATCH(B29,'Rate &amp; Vol Update'!$F$2:$K$2,1)):INDEX('Rate &amp; Vol Update'!$F$2:$K$2,1,MATCH(B29,'Rate &amp; Vol Update'!$F$2:$K$2,1)+1)))))</f>
        <v>3.125E-2</v>
      </c>
      <c r="N29" s="85">
        <f t="shared" si="8"/>
        <v>0.06</v>
      </c>
      <c r="O29" s="16">
        <f t="shared" si="9"/>
        <v>1.25E-3</v>
      </c>
      <c r="P29" s="85">
        <f>IF(B29="","",Schedules!D29)</f>
        <v>4.0106149999999993E-2</v>
      </c>
    </row>
    <row r="30" spans="2:16" x14ac:dyDescent="0.25">
      <c r="B30" s="4">
        <f>'Bachelier Model'!J31</f>
        <v>46884</v>
      </c>
      <c r="C30" s="16">
        <f>IF(B30="","",IF(B30&lt;'Rate &amp; Vol Update'!$B$8,0,_xlfn.FORECAST.LINEAR(B30,INDEX('Rate &amp; Vol Update'!$E$8:$E$127,MATCH('Market Scenarios'!B30,'Rate &amp; Vol Update'!$B$8:$B$127,1)):INDEX('Rate &amp; Vol Update'!$E$8:$E$127,MATCH('Market Scenarios'!B30,'Rate &amp; Vol Update'!$B$8:$B$127,1)+1),INDEX('Rate &amp; Vol Update'!$B$8:$B$127,MATCH('Market Scenarios'!B30,'Rate &amp; Vol Update'!$B$8:$B$127,1)):INDEX('Rate &amp; Vol Update'!$B$8:$B$127,MATCH('Market Scenarios'!B30,'Rate &amp; Vol Update'!$B$8:$B$127,1)+1)))/100)</f>
        <v>0.81402482695083078</v>
      </c>
      <c r="D30" s="85">
        <f>'Bachelier Model'!P31</f>
        <v>3.3565738847226766E-2</v>
      </c>
      <c r="E30" s="16">
        <f t="shared" si="0"/>
        <v>0.11604020885823842</v>
      </c>
      <c r="F30" s="16">
        <f t="shared" si="1"/>
        <v>7.4500865498452362E-2</v>
      </c>
      <c r="G30" s="16">
        <f t="shared" si="2"/>
        <v>-7.3693878039988248E-3</v>
      </c>
      <c r="H30" s="16">
        <f t="shared" si="3"/>
        <v>-4.8908731163784878E-2</v>
      </c>
      <c r="I30" s="16">
        <f t="shared" si="4"/>
        <v>3.8565738847226763E-2</v>
      </c>
      <c r="J30" s="16">
        <f t="shared" si="5"/>
        <v>3.6065738847226768E-2</v>
      </c>
      <c r="K30" s="16">
        <f t="shared" si="6"/>
        <v>3.1065738847226767E-2</v>
      </c>
      <c r="L30" s="16">
        <f t="shared" si="7"/>
        <v>2.8565738847226765E-2</v>
      </c>
      <c r="M30" s="16">
        <f>IF(B30="","",IF(B30&gt;'Rate &amp; Vol Update'!$K$2,'Rate &amp; Vol Update'!$K$4,IF(B30&lt;'Rate &amp; Vol Update'!$F$2,D30,_xlfn.FORECAST.LINEAR(B30,INDEX('Rate &amp; Vol Update'!$F$4:$K$4,1,MATCH(B30,'Rate &amp; Vol Update'!$F$2:$K$2,1)):INDEX('Rate &amp; Vol Update'!$F$4:$K$4,1,MATCH(B30,'Rate &amp; Vol Update'!$F$2:$K$2,1)+1),INDEX('Rate &amp; Vol Update'!$F$2:$K$2,1,MATCH(B30,'Rate &amp; Vol Update'!$F$2:$K$2,1)):INDEX('Rate &amp; Vol Update'!$F$2:$K$2,1,MATCH(B30,'Rate &amp; Vol Update'!$F$2:$K$2,1)+1)))))</f>
        <v>3.125E-2</v>
      </c>
      <c r="N30" s="85">
        <f t="shared" si="8"/>
        <v>0.06</v>
      </c>
      <c r="O30" s="16">
        <f t="shared" si="9"/>
        <v>1.25E-3</v>
      </c>
      <c r="P30" s="85">
        <f>IF(B30="","",Schedules!D30)</f>
        <v>4.0109499999999999E-2</v>
      </c>
    </row>
    <row r="31" spans="2:16" x14ac:dyDescent="0.25">
      <c r="B31" s="4">
        <f>'Bachelier Model'!J32</f>
        <v>46915</v>
      </c>
      <c r="C31" s="16">
        <f>IF(B31="","",IF(B31&lt;'Rate &amp; Vol Update'!$B$8,0,_xlfn.FORECAST.LINEAR(B31,INDEX('Rate &amp; Vol Update'!$E$8:$E$127,MATCH('Market Scenarios'!B31,'Rate &amp; Vol Update'!$B$8:$B$127,1)):INDEX('Rate &amp; Vol Update'!$E$8:$E$127,MATCH('Market Scenarios'!B31,'Rate &amp; Vol Update'!$B$8:$B$127,1)+1),INDEX('Rate &amp; Vol Update'!$B$8:$B$127,MATCH('Market Scenarios'!B31,'Rate &amp; Vol Update'!$B$8:$B$127,1)):INDEX('Rate &amp; Vol Update'!$B$8:$B$127,MATCH('Market Scenarios'!B31,'Rate &amp; Vol Update'!$B$8:$B$127,1)+1)))/100)</f>
        <v>0.81401359552258368</v>
      </c>
      <c r="D31" s="85">
        <f>'Bachelier Model'!P32</f>
        <v>3.3564175597285306E-2</v>
      </c>
      <c r="E31" s="16">
        <f t="shared" si="0"/>
        <v>0.11757808000665317</v>
      </c>
      <c r="F31" s="16">
        <f t="shared" si="1"/>
        <v>7.5263380417907449E-2</v>
      </c>
      <c r="G31" s="16">
        <f t="shared" si="2"/>
        <v>-8.1350292233368371E-3</v>
      </c>
      <c r="H31" s="16">
        <f t="shared" si="3"/>
        <v>-5.044972881208256E-2</v>
      </c>
      <c r="I31" s="16">
        <f t="shared" si="4"/>
        <v>3.8564175597285304E-2</v>
      </c>
      <c r="J31" s="16">
        <f t="shared" si="5"/>
        <v>3.6064175597285308E-2</v>
      </c>
      <c r="K31" s="16">
        <f t="shared" si="6"/>
        <v>3.1064175597285307E-2</v>
      </c>
      <c r="L31" s="16">
        <f t="shared" si="7"/>
        <v>2.8564175597285305E-2</v>
      </c>
      <c r="M31" s="16">
        <f>IF(B31="","",IF(B31&gt;'Rate &amp; Vol Update'!$K$2,'Rate &amp; Vol Update'!$K$4,IF(B31&lt;'Rate &amp; Vol Update'!$F$2,D31,_xlfn.FORECAST.LINEAR(B31,INDEX('Rate &amp; Vol Update'!$F$4:$K$4,1,MATCH(B31,'Rate &amp; Vol Update'!$F$2:$K$2,1)):INDEX('Rate &amp; Vol Update'!$F$4:$K$4,1,MATCH(B31,'Rate &amp; Vol Update'!$F$2:$K$2,1)+1),INDEX('Rate &amp; Vol Update'!$F$2:$K$2,1,MATCH(B31,'Rate &amp; Vol Update'!$F$2:$K$2,1)):INDEX('Rate &amp; Vol Update'!$F$2:$K$2,1,MATCH(B31,'Rate &amp; Vol Update'!$F$2:$K$2,1)+1)))))</f>
        <v>3.125E-2</v>
      </c>
      <c r="N31" s="85">
        <f t="shared" si="8"/>
        <v>0.06</v>
      </c>
      <c r="O31" s="16">
        <f t="shared" si="9"/>
        <v>1.25E-3</v>
      </c>
      <c r="P31" s="85">
        <f>IF(B31="","",Schedules!D31)</f>
        <v>4.010371935483871E-2</v>
      </c>
    </row>
    <row r="32" spans="2:16" x14ac:dyDescent="0.25">
      <c r="B32" s="4">
        <f>'Bachelier Model'!J33</f>
        <v>46945</v>
      </c>
      <c r="C32" s="16">
        <f>IF(B32="","",IF(B32&lt;'Rate &amp; Vol Update'!$B$8,0,_xlfn.FORECAST.LINEAR(B32,INDEX('Rate &amp; Vol Update'!$E$8:$E$127,MATCH('Market Scenarios'!B32,'Rate &amp; Vol Update'!$B$8:$B$127,1)):INDEX('Rate &amp; Vol Update'!$E$8:$E$127,MATCH('Market Scenarios'!B32,'Rate &amp; Vol Update'!$B$8:$B$127,1)+1),INDEX('Rate &amp; Vol Update'!$B$8:$B$127,MATCH('Market Scenarios'!B32,'Rate &amp; Vol Update'!$B$8:$B$127,1)):INDEX('Rate &amp; Vol Update'!$B$8:$B$127,MATCH('Market Scenarios'!B32,'Rate &amp; Vol Update'!$B$8:$B$127,1)+1)))/100)</f>
        <v>0.81399455343354998</v>
      </c>
      <c r="D32" s="85">
        <f>'Bachelier Model'!P33</f>
        <v>3.3567302194227322E-2</v>
      </c>
      <c r="E32" s="16">
        <f t="shared" si="0"/>
        <v>0.11905519983462673</v>
      </c>
      <c r="F32" s="16">
        <f t="shared" si="1"/>
        <v>7.5998104315047568E-2</v>
      </c>
      <c r="G32" s="16">
        <f t="shared" si="2"/>
        <v>-8.8634999265929278E-3</v>
      </c>
      <c r="H32" s="16">
        <f t="shared" si="3"/>
        <v>-5.1920595446172085E-2</v>
      </c>
      <c r="I32" s="16">
        <f t="shared" si="4"/>
        <v>3.8567302194227319E-2</v>
      </c>
      <c r="J32" s="16">
        <f t="shared" si="5"/>
        <v>3.6067302194227324E-2</v>
      </c>
      <c r="K32" s="16">
        <f t="shared" si="6"/>
        <v>3.1067302194227323E-2</v>
      </c>
      <c r="L32" s="16">
        <f t="shared" si="7"/>
        <v>2.8567302194227321E-2</v>
      </c>
      <c r="M32" s="16">
        <f>IF(B32="","",IF(B32&gt;'Rate &amp; Vol Update'!$K$2,'Rate &amp; Vol Update'!$K$4,IF(B32&lt;'Rate &amp; Vol Update'!$F$2,D32,_xlfn.FORECAST.LINEAR(B32,INDEX('Rate &amp; Vol Update'!$F$4:$K$4,1,MATCH(B32,'Rate &amp; Vol Update'!$F$2:$K$2,1)):INDEX('Rate &amp; Vol Update'!$F$4:$K$4,1,MATCH(B32,'Rate &amp; Vol Update'!$F$2:$K$2,1)+1),INDEX('Rate &amp; Vol Update'!$F$2:$K$2,1,MATCH(B32,'Rate &amp; Vol Update'!$F$2:$K$2,1)):INDEX('Rate &amp; Vol Update'!$F$2:$K$2,1,MATCH(B32,'Rate &amp; Vol Update'!$F$2:$K$2,1)+1)))))</f>
        <v>3.125E-2</v>
      </c>
      <c r="N32" s="85">
        <f t="shared" si="8"/>
        <v>0.06</v>
      </c>
      <c r="O32" s="16">
        <f t="shared" si="9"/>
        <v>1.25E-3</v>
      </c>
      <c r="P32" s="85">
        <f>IF(B32="","",Schedules!D32)</f>
        <v>4.01035E-2</v>
      </c>
    </row>
    <row r="33" spans="2:16" x14ac:dyDescent="0.25">
      <c r="B33" s="4">
        <f>'Bachelier Model'!J34</f>
        <v>46976</v>
      </c>
      <c r="C33" s="16">
        <f>IF(B33="","",IF(B33&lt;'Rate &amp; Vol Update'!$B$8,0,_xlfn.FORECAST.LINEAR(B33,INDEX('Rate &amp; Vol Update'!$E$8:$E$127,MATCH('Market Scenarios'!B33,'Rate &amp; Vol Update'!$B$8:$B$127,1)):INDEX('Rate &amp; Vol Update'!$E$8:$E$127,MATCH('Market Scenarios'!B33,'Rate &amp; Vol Update'!$B$8:$B$127,1)+1),INDEX('Rate &amp; Vol Update'!$B$8:$B$127,MATCH('Market Scenarios'!B33,'Rate &amp; Vol Update'!$B$8:$B$127,1)):INDEX('Rate &amp; Vol Update'!$B$8:$B$127,MATCH('Market Scenarios'!B33,'Rate &amp; Vol Update'!$B$8:$B$127,1)+1)))/100)</f>
        <v>0.814005485245473</v>
      </c>
      <c r="D33" s="85">
        <f>'Bachelier Model'!P34</f>
        <v>3.3565738847226759E-2</v>
      </c>
      <c r="E33" s="16">
        <f t="shared" si="0"/>
        <v>0.12054179421187909</v>
      </c>
      <c r="F33" s="16">
        <f t="shared" si="1"/>
        <v>7.6735168629566516E-2</v>
      </c>
      <c r="G33" s="16">
        <f t="shared" si="2"/>
        <v>-9.6036909351129886E-3</v>
      </c>
      <c r="H33" s="16">
        <f t="shared" si="3"/>
        <v>-5.3410316517425581E-2</v>
      </c>
      <c r="I33" s="16">
        <f t="shared" si="4"/>
        <v>3.8565738847226756E-2</v>
      </c>
      <c r="J33" s="16">
        <f t="shared" si="5"/>
        <v>3.6065738847226761E-2</v>
      </c>
      <c r="K33" s="16">
        <f t="shared" si="6"/>
        <v>3.106573884722676E-2</v>
      </c>
      <c r="L33" s="16">
        <f t="shared" si="7"/>
        <v>2.8565738847226758E-2</v>
      </c>
      <c r="M33" s="16">
        <f>IF(B33="","",IF(B33&gt;'Rate &amp; Vol Update'!$K$2,'Rate &amp; Vol Update'!$K$4,IF(B33&lt;'Rate &amp; Vol Update'!$F$2,D33,_xlfn.FORECAST.LINEAR(B33,INDEX('Rate &amp; Vol Update'!$F$4:$K$4,1,MATCH(B33,'Rate &amp; Vol Update'!$F$2:$K$2,1)):INDEX('Rate &amp; Vol Update'!$F$4:$K$4,1,MATCH(B33,'Rate &amp; Vol Update'!$F$2:$K$2,1)+1),INDEX('Rate &amp; Vol Update'!$F$2:$K$2,1,MATCH(B33,'Rate &amp; Vol Update'!$F$2:$K$2,1)):INDEX('Rate &amp; Vol Update'!$F$2:$K$2,1,MATCH(B33,'Rate &amp; Vol Update'!$F$2:$K$2,1)+1)))))</f>
        <v>3.125E-2</v>
      </c>
      <c r="N33" s="85">
        <f t="shared" si="8"/>
        <v>0.06</v>
      </c>
      <c r="O33" s="16">
        <f t="shared" si="9"/>
        <v>1.25E-3</v>
      </c>
      <c r="P33" s="85">
        <f>IF(B33="","",Schedules!D33)</f>
        <v>4.0106041935483859E-2</v>
      </c>
    </row>
    <row r="34" spans="2:16" x14ac:dyDescent="0.25">
      <c r="B34" s="4">
        <f>'Bachelier Model'!J35</f>
        <v>47007</v>
      </c>
      <c r="C34" s="16">
        <f>IF(B34="","",IF(B34&lt;'Rate &amp; Vol Update'!$B$8,0,_xlfn.FORECAST.LINEAR(B34,INDEX('Rate &amp; Vol Update'!$E$8:$E$127,MATCH('Market Scenarios'!B34,'Rate &amp; Vol Update'!$B$8:$B$127,1)):INDEX('Rate &amp; Vol Update'!$E$8:$E$127,MATCH('Market Scenarios'!B34,'Rate &amp; Vol Update'!$B$8:$B$127,1)+1),INDEX('Rate &amp; Vol Update'!$B$8:$B$127,MATCH('Market Scenarios'!B34,'Rate &amp; Vol Update'!$B$8:$B$127,1)):INDEX('Rate &amp; Vol Update'!$B$8:$B$127,MATCH('Market Scenarios'!B34,'Rate &amp; Vol Update'!$B$8:$B$127,1)+1)))/100)</f>
        <v>0.81400456825450107</v>
      </c>
      <c r="D34" s="85">
        <f>'Bachelier Model'!P35</f>
        <v>3.3564175597287978E-2</v>
      </c>
      <c r="E34" s="16">
        <f t="shared" si="0"/>
        <v>0.12200187132156654</v>
      </c>
      <c r="F34" s="16">
        <f t="shared" si="1"/>
        <v>7.7459071493345744E-2</v>
      </c>
      <c r="G34" s="16">
        <f t="shared" si="2"/>
        <v>-1.0330720298769781E-2</v>
      </c>
      <c r="H34" s="16">
        <f t="shared" si="3"/>
        <v>-5.4873520126990573E-2</v>
      </c>
      <c r="I34" s="16">
        <f t="shared" si="4"/>
        <v>3.8564175597287975E-2</v>
      </c>
      <c r="J34" s="16">
        <f t="shared" si="5"/>
        <v>3.606417559728798E-2</v>
      </c>
      <c r="K34" s="16">
        <f t="shared" si="6"/>
        <v>3.1064175597287979E-2</v>
      </c>
      <c r="L34" s="16">
        <f t="shared" si="7"/>
        <v>2.8564175597287977E-2</v>
      </c>
      <c r="M34" s="16">
        <f>IF(B34="","",IF(B34&gt;'Rate &amp; Vol Update'!$K$2,'Rate &amp; Vol Update'!$K$4,IF(B34&lt;'Rate &amp; Vol Update'!$F$2,D34,_xlfn.FORECAST.LINEAR(B34,INDEX('Rate &amp; Vol Update'!$F$4:$K$4,1,MATCH(B34,'Rate &amp; Vol Update'!$F$2:$K$2,1)):INDEX('Rate &amp; Vol Update'!$F$4:$K$4,1,MATCH(B34,'Rate &amp; Vol Update'!$F$2:$K$2,1)+1),INDEX('Rate &amp; Vol Update'!$F$2:$K$2,1,MATCH(B34,'Rate &amp; Vol Update'!$F$2:$K$2,1)):INDEX('Rate &amp; Vol Update'!$F$2:$K$2,1,MATCH(B34,'Rate &amp; Vol Update'!$F$2:$K$2,1)+1)))))</f>
        <v>3.125E-2</v>
      </c>
      <c r="N34" s="85">
        <f t="shared" si="8"/>
        <v>0.06</v>
      </c>
      <c r="O34" s="16">
        <f t="shared" si="9"/>
        <v>1.25E-3</v>
      </c>
      <c r="P34" s="85">
        <f>IF(B34="","",Schedules!D34)</f>
        <v>4.0106149999999993E-2</v>
      </c>
    </row>
    <row r="35" spans="2:16" x14ac:dyDescent="0.25">
      <c r="B35" s="4">
        <f>'Bachelier Model'!J36</f>
        <v>47037</v>
      </c>
      <c r="C35" s="16">
        <f>IF(B35="","",IF(B35&lt;'Rate &amp; Vol Update'!$B$8,0,_xlfn.FORECAST.LINEAR(B35,INDEX('Rate &amp; Vol Update'!$E$8:$E$127,MATCH('Market Scenarios'!B35,'Rate &amp; Vol Update'!$B$8:$B$127,1)):INDEX('Rate &amp; Vol Update'!$E$8:$E$127,MATCH('Market Scenarios'!B35,'Rate &amp; Vol Update'!$B$8:$B$127,1)+1),INDEX('Rate &amp; Vol Update'!$B$8:$B$127,MATCH('Market Scenarios'!B35,'Rate &amp; Vol Update'!$B$8:$B$127,1)):INDEX('Rate &amp; Vol Update'!$B$8:$B$127,MATCH('Market Scenarios'!B35,'Rate &amp; Vol Update'!$B$8:$B$127,1)+1)))/100)</f>
        <v>0.81399549098838464</v>
      </c>
      <c r="D35" s="85">
        <f>'Bachelier Model'!P36</f>
        <v>3.3565738847226766E-2</v>
      </c>
      <c r="E35" s="16">
        <f t="shared" si="0"/>
        <v>0.12340235308896247</v>
      </c>
      <c r="F35" s="16">
        <f t="shared" si="1"/>
        <v>7.8154969689349735E-2</v>
      </c>
      <c r="G35" s="16">
        <f t="shared" si="2"/>
        <v>-1.1023491994896216E-2</v>
      </c>
      <c r="H35" s="16">
        <f t="shared" si="3"/>
        <v>-5.6270875394508937E-2</v>
      </c>
      <c r="I35" s="16">
        <f t="shared" si="4"/>
        <v>3.8565738847226763E-2</v>
      </c>
      <c r="J35" s="16">
        <f t="shared" si="5"/>
        <v>3.6065738847226768E-2</v>
      </c>
      <c r="K35" s="16">
        <f t="shared" si="6"/>
        <v>3.1065738847226767E-2</v>
      </c>
      <c r="L35" s="16">
        <f t="shared" si="7"/>
        <v>2.8565738847226765E-2</v>
      </c>
      <c r="M35" s="16">
        <f>IF(B35="","",IF(B35&gt;'Rate &amp; Vol Update'!$K$2,'Rate &amp; Vol Update'!$K$4,IF(B35&lt;'Rate &amp; Vol Update'!$F$2,D35,_xlfn.FORECAST.LINEAR(B35,INDEX('Rate &amp; Vol Update'!$F$4:$K$4,1,MATCH(B35,'Rate &amp; Vol Update'!$F$2:$K$2,1)):INDEX('Rate &amp; Vol Update'!$F$4:$K$4,1,MATCH(B35,'Rate &amp; Vol Update'!$F$2:$K$2,1)+1),INDEX('Rate &amp; Vol Update'!$F$2:$K$2,1,MATCH(B35,'Rate &amp; Vol Update'!$F$2:$K$2,1)):INDEX('Rate &amp; Vol Update'!$F$2:$K$2,1,MATCH(B35,'Rate &amp; Vol Update'!$F$2:$K$2,1)+1)))))</f>
        <v>3.125E-2</v>
      </c>
      <c r="N35" s="85">
        <f t="shared" si="8"/>
        <v>0.06</v>
      </c>
      <c r="O35" s="16">
        <f t="shared" si="9"/>
        <v>1.25E-3</v>
      </c>
      <c r="P35" s="85">
        <f>IF(B35="","",Schedules!D35)</f>
        <v>4.0108364516129036E-2</v>
      </c>
    </row>
    <row r="36" spans="2:16" x14ac:dyDescent="0.25">
      <c r="B36" s="4">
        <f>'Bachelier Model'!J37</f>
        <v>47068</v>
      </c>
      <c r="C36" s="16">
        <f>IF(B36="","",IF(B36&lt;'Rate &amp; Vol Update'!$B$8,0,_xlfn.FORECAST.LINEAR(B36,INDEX('Rate &amp; Vol Update'!$E$8:$E$127,MATCH('Market Scenarios'!B36,'Rate &amp; Vol Update'!$B$8:$B$127,1)):INDEX('Rate &amp; Vol Update'!$E$8:$E$127,MATCH('Market Scenarios'!B36,'Rate &amp; Vol Update'!$B$8:$B$127,1)+1),INDEX('Rate &amp; Vol Update'!$B$8:$B$127,MATCH('Market Scenarios'!B36,'Rate &amp; Vol Update'!$B$8:$B$127,1)):INDEX('Rate &amp; Vol Update'!$B$8:$B$127,MATCH('Market Scenarios'!B36,'Rate &amp; Vol Update'!$B$8:$B$127,1)+1)))/100)</f>
        <v>0.81473528237509074</v>
      </c>
      <c r="D36" s="85">
        <f>'Bachelier Model'!P37</f>
        <v>3.3564175597290635E-2</v>
      </c>
      <c r="E36" s="16">
        <f t="shared" si="0"/>
        <v>0.12489936005191202</v>
      </c>
      <c r="F36" s="16">
        <f t="shared" si="1"/>
        <v>7.8897202203751834E-2</v>
      </c>
      <c r="G36" s="16">
        <f t="shared" si="2"/>
        <v>-1.1768851009170569E-2</v>
      </c>
      <c r="H36" s="16">
        <f t="shared" si="3"/>
        <v>-5.7771008857330747E-2</v>
      </c>
      <c r="I36" s="16">
        <f t="shared" si="4"/>
        <v>3.8564175597290633E-2</v>
      </c>
      <c r="J36" s="16">
        <f t="shared" si="5"/>
        <v>3.6064175597290637E-2</v>
      </c>
      <c r="K36" s="16">
        <f t="shared" si="6"/>
        <v>3.1064175597290637E-2</v>
      </c>
      <c r="L36" s="16">
        <f t="shared" si="7"/>
        <v>2.8564175597290634E-2</v>
      </c>
      <c r="M36" s="16">
        <f>IF(B36="","",IF(B36&gt;'Rate &amp; Vol Update'!$K$2,'Rate &amp; Vol Update'!$K$4,IF(B36&lt;'Rate &amp; Vol Update'!$F$2,D36,_xlfn.FORECAST.LINEAR(B36,INDEX('Rate &amp; Vol Update'!$F$4:$K$4,1,MATCH(B36,'Rate &amp; Vol Update'!$F$2:$K$2,1)):INDEX('Rate &amp; Vol Update'!$F$4:$K$4,1,MATCH(B36,'Rate &amp; Vol Update'!$F$2:$K$2,1)+1),INDEX('Rate &amp; Vol Update'!$F$2:$K$2,1,MATCH(B36,'Rate &amp; Vol Update'!$F$2:$K$2,1)):INDEX('Rate &amp; Vol Update'!$F$2:$K$2,1,MATCH(B36,'Rate &amp; Vol Update'!$F$2:$K$2,1)+1)))))</f>
        <v>3.125E-2</v>
      </c>
      <c r="N36" s="85">
        <f t="shared" si="8"/>
        <v>0.06</v>
      </c>
      <c r="O36" s="16">
        <f t="shared" si="9"/>
        <v>1.25E-3</v>
      </c>
      <c r="P36" s="85">
        <f>IF(B36="","",Schedules!D36)</f>
        <v>4.0106149999999993E-2</v>
      </c>
    </row>
    <row r="37" spans="2:16" x14ac:dyDescent="0.25">
      <c r="B37" s="4">
        <f>'Bachelier Model'!J38</f>
        <v>47098</v>
      </c>
      <c r="C37" s="16">
        <f>IF(B37="","",IF(B37&lt;'Rate &amp; Vol Update'!$B$8,0,_xlfn.FORECAST.LINEAR(B37,INDEX('Rate &amp; Vol Update'!$E$8:$E$127,MATCH('Market Scenarios'!B37,'Rate &amp; Vol Update'!$B$8:$B$127,1)):INDEX('Rate &amp; Vol Update'!$E$8:$E$127,MATCH('Market Scenarios'!B37,'Rate &amp; Vol Update'!$B$8:$B$127,1)+1),INDEX('Rate &amp; Vol Update'!$B$8:$B$127,MATCH('Market Scenarios'!B37,'Rate &amp; Vol Update'!$B$8:$B$127,1)):INDEX('Rate &amp; Vol Update'!$B$8:$B$127,MATCH('Market Scenarios'!B37,'Rate &amp; Vol Update'!$B$8:$B$127,1)+1)))/100)</f>
        <v>0.82549170775054337</v>
      </c>
      <c r="D37" s="85">
        <f>'Bachelier Model'!P38</f>
        <v>3.3570429179421046E-2</v>
      </c>
      <c r="E37" s="16">
        <f t="shared" si="0"/>
        <v>0.12750135938116011</v>
      </c>
      <c r="F37" s="16">
        <f t="shared" si="1"/>
        <v>8.0191820305211145E-2</v>
      </c>
      <c r="G37" s="16">
        <f t="shared" si="2"/>
        <v>-1.305096194636904E-2</v>
      </c>
      <c r="H37" s="16">
        <f t="shared" si="3"/>
        <v>-6.0360501022318026E-2</v>
      </c>
      <c r="I37" s="16">
        <f t="shared" si="4"/>
        <v>3.8570429179421044E-2</v>
      </c>
      <c r="J37" s="16">
        <f t="shared" si="5"/>
        <v>3.6070429179421049E-2</v>
      </c>
      <c r="K37" s="16">
        <f t="shared" si="6"/>
        <v>3.1070429179421048E-2</v>
      </c>
      <c r="L37" s="16">
        <f t="shared" si="7"/>
        <v>2.8570429179421045E-2</v>
      </c>
      <c r="M37" s="16">
        <f>IF(B37="","",IF(B37&gt;'Rate &amp; Vol Update'!$K$2,'Rate &amp; Vol Update'!$K$4,IF(B37&lt;'Rate &amp; Vol Update'!$F$2,D37,_xlfn.FORECAST.LINEAR(B37,INDEX('Rate &amp; Vol Update'!$F$4:$K$4,1,MATCH(B37,'Rate &amp; Vol Update'!$F$2:$K$2,1)):INDEX('Rate &amp; Vol Update'!$F$4:$K$4,1,MATCH(B37,'Rate &amp; Vol Update'!$F$2:$K$2,1)+1),INDEX('Rate &amp; Vol Update'!$F$2:$K$2,1,MATCH(B37,'Rate &amp; Vol Update'!$F$2:$K$2,1)):INDEX('Rate &amp; Vol Update'!$F$2:$K$2,1,MATCH(B37,'Rate &amp; Vol Update'!$F$2:$K$2,1)+1)))))</f>
        <v>3.125E-2</v>
      </c>
      <c r="N37" s="85">
        <f t="shared" si="8"/>
        <v>0.06</v>
      </c>
      <c r="O37" s="16">
        <f t="shared" si="9"/>
        <v>1.25E-3</v>
      </c>
      <c r="P37" s="85">
        <f>IF(B37="","",Schedules!D37)</f>
        <v>4.0107322580645172E-2</v>
      </c>
    </row>
    <row r="38" spans="2:16" x14ac:dyDescent="0.25">
      <c r="B38" s="4">
        <f>'Bachelier Model'!J39</f>
        <v>47129</v>
      </c>
      <c r="C38" s="16">
        <f>IF(B38="","",IF(B38&lt;'Rate &amp; Vol Update'!$B$8,0,_xlfn.FORECAST.LINEAR(B38,INDEX('Rate &amp; Vol Update'!$E$8:$E$127,MATCH('Market Scenarios'!B38,'Rate &amp; Vol Update'!$B$8:$B$127,1)):INDEX('Rate &amp; Vol Update'!$E$8:$E$127,MATCH('Market Scenarios'!B38,'Rate &amp; Vol Update'!$B$8:$B$127,1)+1),INDEX('Rate &amp; Vol Update'!$B$8:$B$127,MATCH('Market Scenarios'!B38,'Rate &amp; Vol Update'!$B$8:$B$127,1)):INDEX('Rate &amp; Vol Update'!$B$8:$B$127,MATCH('Market Scenarios'!B38,'Rate &amp; Vol Update'!$B$8:$B$127,1)+1)))/100)</f>
        <v>0.83849878552980595</v>
      </c>
      <c r="D38" s="85">
        <f>'Bachelier Model'!P39</f>
        <v>3.3622331704801528E-2</v>
      </c>
      <c r="E38" s="16">
        <f t="shared" si="0"/>
        <v>0.13060269697042562</v>
      </c>
      <c r="F38" s="16">
        <f t="shared" si="1"/>
        <v>8.1762760902085327E-2</v>
      </c>
      <c r="G38" s="16">
        <f t="shared" si="2"/>
        <v>-1.4518097492482257E-2</v>
      </c>
      <c r="H38" s="16">
        <f t="shared" si="3"/>
        <v>-6.3358033560822549E-2</v>
      </c>
      <c r="I38" s="16">
        <f t="shared" si="4"/>
        <v>3.8622331704801525E-2</v>
      </c>
      <c r="J38" s="16">
        <f t="shared" si="5"/>
        <v>3.612233170480153E-2</v>
      </c>
      <c r="K38" s="16">
        <f t="shared" si="6"/>
        <v>3.1122331704801529E-2</v>
      </c>
      <c r="L38" s="16">
        <f t="shared" si="7"/>
        <v>2.8622331704801527E-2</v>
      </c>
      <c r="M38" s="16">
        <f>IF(B38="","",IF(B38&gt;'Rate &amp; Vol Update'!$K$2,'Rate &amp; Vol Update'!$K$4,IF(B38&lt;'Rate &amp; Vol Update'!$F$2,D38,_xlfn.FORECAST.LINEAR(B38,INDEX('Rate &amp; Vol Update'!$F$4:$K$4,1,MATCH(B38,'Rate &amp; Vol Update'!$F$2:$K$2,1)):INDEX('Rate &amp; Vol Update'!$F$4:$K$4,1,MATCH(B38,'Rate &amp; Vol Update'!$F$2:$K$2,1)+1),INDEX('Rate &amp; Vol Update'!$F$2:$K$2,1,MATCH(B38,'Rate &amp; Vol Update'!$F$2:$K$2,1)):INDEX('Rate &amp; Vol Update'!$F$2:$K$2,1,MATCH(B38,'Rate &amp; Vol Update'!$F$2:$K$2,1)+1)))))</f>
        <v>3.1212328767123293E-2</v>
      </c>
      <c r="N38" s="85">
        <f t="shared" si="8"/>
        <v>0.06</v>
      </c>
      <c r="O38" s="16">
        <f t="shared" si="9"/>
        <v>1.25E-3</v>
      </c>
      <c r="P38" s="85">
        <f>IF(B38="","",Schedules!D38)</f>
        <v>4.0107177419354843E-2</v>
      </c>
    </row>
    <row r="39" spans="2:16" x14ac:dyDescent="0.25">
      <c r="B39" s="4" t="str">
        <f>'Bachelier Model'!J40</f>
        <v/>
      </c>
      <c r="C39" s="16" t="str">
        <f>IF(B39="","",IF(B39&lt;'Rate &amp; Vol Update'!$B$8,0,_xlfn.FORECAST.LINEAR(B39,INDEX('Rate &amp; Vol Update'!$E$8:$E$127,MATCH('Market Scenarios'!B39,'Rate &amp; Vol Update'!$B$8:$B$127,1)):INDEX('Rate &amp; Vol Update'!$E$8:$E$127,MATCH('Market Scenarios'!B39,'Rate &amp; Vol Update'!$B$8:$B$127,1)+1),INDEX('Rate &amp; Vol Update'!$B$8:$B$127,MATCH('Market Scenarios'!B39,'Rate &amp; Vol Update'!$B$8:$B$127,1)):INDEX('Rate &amp; Vol Update'!$B$8:$B$127,MATCH('Market Scenarios'!B39,'Rate &amp; Vol Update'!$B$8:$B$127,1)+1)))/100)</f>
        <v/>
      </c>
      <c r="D39" s="85" t="str">
        <f>'Bachelier Model'!P40</f>
        <v/>
      </c>
      <c r="E39" s="16" t="str">
        <f t="shared" si="0"/>
        <v/>
      </c>
      <c r="F39" s="16" t="str">
        <f t="shared" si="1"/>
        <v/>
      </c>
      <c r="G39" s="16" t="str">
        <f t="shared" si="2"/>
        <v/>
      </c>
      <c r="H39" s="16" t="str">
        <f t="shared" si="3"/>
        <v/>
      </c>
      <c r="I39" s="16" t="str">
        <f t="shared" si="4"/>
        <v/>
      </c>
      <c r="J39" s="16" t="str">
        <f t="shared" si="5"/>
        <v/>
      </c>
      <c r="K39" s="16" t="str">
        <f t="shared" si="6"/>
        <v/>
      </c>
      <c r="L39" s="16" t="str">
        <f t="shared" si="7"/>
        <v/>
      </c>
      <c r="M39" s="16" t="str">
        <f>IF(B39="","",IF(B39&gt;'Rate &amp; Vol Update'!$K$2,'Rate &amp; Vol Update'!$K$4,IF(B39&lt;'Rate &amp; Vol Update'!$F$2,D39,_xlfn.FORECAST.LINEAR(B39,INDEX('Rate &amp; Vol Update'!$F$4:$K$4,1,MATCH(B39,'Rate &amp; Vol Update'!$F$2:$K$2,1)):INDEX('Rate &amp; Vol Update'!$F$4:$K$4,1,MATCH(B39,'Rate &amp; Vol Update'!$F$2:$K$2,1)+1),INDEX('Rate &amp; Vol Update'!$F$2:$K$2,1,MATCH(B39,'Rate &amp; Vol Update'!$F$2:$K$2,1)):INDEX('Rate &amp; Vol Update'!$F$2:$K$2,1,MATCH(B39,'Rate &amp; Vol Update'!$F$2:$K$2,1)+1)))))</f>
        <v/>
      </c>
      <c r="N39" s="85" t="str">
        <f t="shared" si="8"/>
        <v/>
      </c>
      <c r="O39" s="16" t="str">
        <f t="shared" si="9"/>
        <v/>
      </c>
      <c r="P39" s="85" t="str">
        <f>IF(B39="","",Schedules!D39)</f>
        <v/>
      </c>
    </row>
    <row r="40" spans="2:16" x14ac:dyDescent="0.25">
      <c r="B40" s="4" t="str">
        <f>'Bachelier Model'!J41</f>
        <v/>
      </c>
      <c r="C40" s="16" t="str">
        <f>IF(B40="","",IF(B40&lt;'Rate &amp; Vol Update'!$B$8,0,_xlfn.FORECAST.LINEAR(B40,INDEX('Rate &amp; Vol Update'!$E$8:$E$127,MATCH('Market Scenarios'!B40,'Rate &amp; Vol Update'!$B$8:$B$127,1)):INDEX('Rate &amp; Vol Update'!$E$8:$E$127,MATCH('Market Scenarios'!B40,'Rate &amp; Vol Update'!$B$8:$B$127,1)+1),INDEX('Rate &amp; Vol Update'!$B$8:$B$127,MATCH('Market Scenarios'!B40,'Rate &amp; Vol Update'!$B$8:$B$127,1)):INDEX('Rate &amp; Vol Update'!$B$8:$B$127,MATCH('Market Scenarios'!B40,'Rate &amp; Vol Update'!$B$8:$B$127,1)+1)))/100)</f>
        <v/>
      </c>
      <c r="D40" s="85" t="str">
        <f>'Bachelier Model'!P41</f>
        <v/>
      </c>
      <c r="E40" s="16" t="str">
        <f t="shared" si="0"/>
        <v/>
      </c>
      <c r="F40" s="16" t="str">
        <f t="shared" si="1"/>
        <v/>
      </c>
      <c r="G40" s="16" t="str">
        <f t="shared" si="2"/>
        <v/>
      </c>
      <c r="H40" s="16" t="str">
        <f t="shared" si="3"/>
        <v/>
      </c>
      <c r="I40" s="16" t="str">
        <f t="shared" si="4"/>
        <v/>
      </c>
      <c r="J40" s="16" t="str">
        <f t="shared" si="5"/>
        <v/>
      </c>
      <c r="K40" s="16" t="str">
        <f t="shared" si="6"/>
        <v/>
      </c>
      <c r="L40" s="16" t="str">
        <f t="shared" si="7"/>
        <v/>
      </c>
      <c r="M40" s="16" t="str">
        <f>IF(B40="","",IF(B40&gt;'Rate &amp; Vol Update'!$K$2,'Rate &amp; Vol Update'!$K$4,IF(B40&lt;'Rate &amp; Vol Update'!$F$2,D40,_xlfn.FORECAST.LINEAR(B40,INDEX('Rate &amp; Vol Update'!$F$4:$K$4,1,MATCH(B40,'Rate &amp; Vol Update'!$F$2:$K$2,1)):INDEX('Rate &amp; Vol Update'!$F$4:$K$4,1,MATCH(B40,'Rate &amp; Vol Update'!$F$2:$K$2,1)+1),INDEX('Rate &amp; Vol Update'!$F$2:$K$2,1,MATCH(B40,'Rate &amp; Vol Update'!$F$2:$K$2,1)):INDEX('Rate &amp; Vol Update'!$F$2:$K$2,1,MATCH(B40,'Rate &amp; Vol Update'!$F$2:$K$2,1)+1)))))</f>
        <v/>
      </c>
      <c r="N40" s="85" t="str">
        <f t="shared" si="8"/>
        <v/>
      </c>
      <c r="O40" s="16" t="str">
        <f t="shared" si="9"/>
        <v/>
      </c>
      <c r="P40" s="85" t="str">
        <f>IF(B40="","",Schedules!D40)</f>
        <v/>
      </c>
    </row>
    <row r="41" spans="2:16" x14ac:dyDescent="0.25">
      <c r="B41" s="4" t="str">
        <f>'Bachelier Model'!J42</f>
        <v/>
      </c>
      <c r="C41" s="16" t="str">
        <f>IF(B41="","",IF(B41&lt;'Rate &amp; Vol Update'!$B$8,0,_xlfn.FORECAST.LINEAR(B41,INDEX('Rate &amp; Vol Update'!$E$8:$E$127,MATCH('Market Scenarios'!B41,'Rate &amp; Vol Update'!$B$8:$B$127,1)):INDEX('Rate &amp; Vol Update'!$E$8:$E$127,MATCH('Market Scenarios'!B41,'Rate &amp; Vol Update'!$B$8:$B$127,1)+1),INDEX('Rate &amp; Vol Update'!$B$8:$B$127,MATCH('Market Scenarios'!B41,'Rate &amp; Vol Update'!$B$8:$B$127,1)):INDEX('Rate &amp; Vol Update'!$B$8:$B$127,MATCH('Market Scenarios'!B41,'Rate &amp; Vol Update'!$B$8:$B$127,1)+1)))/100)</f>
        <v/>
      </c>
      <c r="D41" s="85" t="str">
        <f>'Bachelier Model'!P42</f>
        <v/>
      </c>
      <c r="E41" s="16" t="str">
        <f t="shared" si="0"/>
        <v/>
      </c>
      <c r="F41" s="16" t="str">
        <f t="shared" si="1"/>
        <v/>
      </c>
      <c r="G41" s="16" t="str">
        <f t="shared" si="2"/>
        <v/>
      </c>
      <c r="H41" s="16" t="str">
        <f t="shared" si="3"/>
        <v/>
      </c>
      <c r="I41" s="16" t="str">
        <f t="shared" si="4"/>
        <v/>
      </c>
      <c r="J41" s="16" t="str">
        <f t="shared" si="5"/>
        <v/>
      </c>
      <c r="K41" s="16" t="str">
        <f t="shared" si="6"/>
        <v/>
      </c>
      <c r="L41" s="16" t="str">
        <f t="shared" si="7"/>
        <v/>
      </c>
      <c r="M41" s="16" t="str">
        <f>IF(B41="","",IF(B41&gt;'Rate &amp; Vol Update'!$K$2,'Rate &amp; Vol Update'!$K$4,IF(B41&lt;'Rate &amp; Vol Update'!$F$2,D41,_xlfn.FORECAST.LINEAR(B41,INDEX('Rate &amp; Vol Update'!$F$4:$K$4,1,MATCH(B41,'Rate &amp; Vol Update'!$F$2:$K$2,1)):INDEX('Rate &amp; Vol Update'!$F$4:$K$4,1,MATCH(B41,'Rate &amp; Vol Update'!$F$2:$K$2,1)+1),INDEX('Rate &amp; Vol Update'!$F$2:$K$2,1,MATCH(B41,'Rate &amp; Vol Update'!$F$2:$K$2,1)):INDEX('Rate &amp; Vol Update'!$F$2:$K$2,1,MATCH(B41,'Rate &amp; Vol Update'!$F$2:$K$2,1)+1)))))</f>
        <v/>
      </c>
      <c r="N41" s="85" t="str">
        <f t="shared" si="8"/>
        <v/>
      </c>
      <c r="O41" s="16" t="str">
        <f t="shared" si="9"/>
        <v/>
      </c>
      <c r="P41" s="85" t="str">
        <f>IF(B41="","",Schedules!D41)</f>
        <v/>
      </c>
    </row>
    <row r="42" spans="2:16" x14ac:dyDescent="0.25">
      <c r="B42" s="4" t="str">
        <f>'Bachelier Model'!J43</f>
        <v/>
      </c>
      <c r="C42" s="16" t="str">
        <f>IF(B42="","",IF(B42&lt;'Rate &amp; Vol Update'!$B$8,0,_xlfn.FORECAST.LINEAR(B42,INDEX('Rate &amp; Vol Update'!$E$8:$E$127,MATCH('Market Scenarios'!B42,'Rate &amp; Vol Update'!$B$8:$B$127,1)):INDEX('Rate &amp; Vol Update'!$E$8:$E$127,MATCH('Market Scenarios'!B42,'Rate &amp; Vol Update'!$B$8:$B$127,1)+1),INDEX('Rate &amp; Vol Update'!$B$8:$B$127,MATCH('Market Scenarios'!B42,'Rate &amp; Vol Update'!$B$8:$B$127,1)):INDEX('Rate &amp; Vol Update'!$B$8:$B$127,MATCH('Market Scenarios'!B42,'Rate &amp; Vol Update'!$B$8:$B$127,1)+1)))/100)</f>
        <v/>
      </c>
      <c r="D42" s="85" t="str">
        <f>'Bachelier Model'!P43</f>
        <v/>
      </c>
      <c r="E42" s="16" t="str">
        <f t="shared" si="0"/>
        <v/>
      </c>
      <c r="F42" s="16" t="str">
        <f t="shared" si="1"/>
        <v/>
      </c>
      <c r="G42" s="16" t="str">
        <f t="shared" si="2"/>
        <v/>
      </c>
      <c r="H42" s="16" t="str">
        <f t="shared" si="3"/>
        <v/>
      </c>
      <c r="I42" s="16" t="str">
        <f t="shared" si="4"/>
        <v/>
      </c>
      <c r="J42" s="16" t="str">
        <f t="shared" si="5"/>
        <v/>
      </c>
      <c r="K42" s="16" t="str">
        <f t="shared" si="6"/>
        <v/>
      </c>
      <c r="L42" s="16" t="str">
        <f t="shared" si="7"/>
        <v/>
      </c>
      <c r="M42" s="16" t="str">
        <f>IF(B42="","",IF(B42&gt;'Rate &amp; Vol Update'!$K$2,'Rate &amp; Vol Update'!$K$4,IF(B42&lt;'Rate &amp; Vol Update'!$F$2,D42,_xlfn.FORECAST.LINEAR(B42,INDEX('Rate &amp; Vol Update'!$F$4:$K$4,1,MATCH(B42,'Rate &amp; Vol Update'!$F$2:$K$2,1)):INDEX('Rate &amp; Vol Update'!$F$4:$K$4,1,MATCH(B42,'Rate &amp; Vol Update'!$F$2:$K$2,1)+1),INDEX('Rate &amp; Vol Update'!$F$2:$K$2,1,MATCH(B42,'Rate &amp; Vol Update'!$F$2:$K$2,1)):INDEX('Rate &amp; Vol Update'!$F$2:$K$2,1,MATCH(B42,'Rate &amp; Vol Update'!$F$2:$K$2,1)+1)))))</f>
        <v/>
      </c>
      <c r="N42" s="85" t="str">
        <f t="shared" si="8"/>
        <v/>
      </c>
      <c r="O42" s="16" t="str">
        <f t="shared" si="9"/>
        <v/>
      </c>
      <c r="P42" s="85" t="str">
        <f>IF(B42="","",Schedules!D42)</f>
        <v/>
      </c>
    </row>
    <row r="43" spans="2:16" x14ac:dyDescent="0.25">
      <c r="B43" s="4" t="str">
        <f>'Bachelier Model'!J44</f>
        <v/>
      </c>
      <c r="C43" s="16" t="str">
        <f>IF(B43="","",IF(B43&lt;'Rate &amp; Vol Update'!$B$8,0,_xlfn.FORECAST.LINEAR(B43,INDEX('Rate &amp; Vol Update'!$E$8:$E$127,MATCH('Market Scenarios'!B43,'Rate &amp; Vol Update'!$B$8:$B$127,1)):INDEX('Rate &amp; Vol Update'!$E$8:$E$127,MATCH('Market Scenarios'!B43,'Rate &amp; Vol Update'!$B$8:$B$127,1)+1),INDEX('Rate &amp; Vol Update'!$B$8:$B$127,MATCH('Market Scenarios'!B43,'Rate &amp; Vol Update'!$B$8:$B$127,1)):INDEX('Rate &amp; Vol Update'!$B$8:$B$127,MATCH('Market Scenarios'!B43,'Rate &amp; Vol Update'!$B$8:$B$127,1)+1)))/100)</f>
        <v/>
      </c>
      <c r="D43" s="85" t="str">
        <f>'Bachelier Model'!P44</f>
        <v/>
      </c>
      <c r="E43" s="16" t="str">
        <f t="shared" si="0"/>
        <v/>
      </c>
      <c r="F43" s="16" t="str">
        <f t="shared" si="1"/>
        <v/>
      </c>
      <c r="G43" s="16" t="str">
        <f t="shared" si="2"/>
        <v/>
      </c>
      <c r="H43" s="16" t="str">
        <f t="shared" si="3"/>
        <v/>
      </c>
      <c r="I43" s="16" t="str">
        <f t="shared" si="4"/>
        <v/>
      </c>
      <c r="J43" s="16" t="str">
        <f t="shared" si="5"/>
        <v/>
      </c>
      <c r="K43" s="16" t="str">
        <f t="shared" si="6"/>
        <v/>
      </c>
      <c r="L43" s="16" t="str">
        <f t="shared" si="7"/>
        <v/>
      </c>
      <c r="M43" s="16" t="str">
        <f>IF(B43="","",IF(B43&gt;'Rate &amp; Vol Update'!$K$2,'Rate &amp; Vol Update'!$K$4,IF(B43&lt;'Rate &amp; Vol Update'!$F$2,D43,_xlfn.FORECAST.LINEAR(B43,INDEX('Rate &amp; Vol Update'!$F$4:$K$4,1,MATCH(B43,'Rate &amp; Vol Update'!$F$2:$K$2,1)):INDEX('Rate &amp; Vol Update'!$F$4:$K$4,1,MATCH(B43,'Rate &amp; Vol Update'!$F$2:$K$2,1)+1),INDEX('Rate &amp; Vol Update'!$F$2:$K$2,1,MATCH(B43,'Rate &amp; Vol Update'!$F$2:$K$2,1)):INDEX('Rate &amp; Vol Update'!$F$2:$K$2,1,MATCH(B43,'Rate &amp; Vol Update'!$F$2:$K$2,1)+1)))))</f>
        <v/>
      </c>
      <c r="N43" s="85" t="str">
        <f t="shared" si="8"/>
        <v/>
      </c>
      <c r="O43" s="16" t="str">
        <f t="shared" si="9"/>
        <v/>
      </c>
      <c r="P43" s="85" t="str">
        <f>IF(B43="","",Schedules!D43)</f>
        <v/>
      </c>
    </row>
    <row r="44" spans="2:16" x14ac:dyDescent="0.25">
      <c r="B44" s="4" t="str">
        <f>'Bachelier Model'!J45</f>
        <v/>
      </c>
      <c r="C44" s="16" t="str">
        <f>IF(B44="","",IF(B44&lt;'Rate &amp; Vol Update'!$B$8,0,_xlfn.FORECAST.LINEAR(B44,INDEX('Rate &amp; Vol Update'!$E$8:$E$127,MATCH('Market Scenarios'!B44,'Rate &amp; Vol Update'!$B$8:$B$127,1)):INDEX('Rate &amp; Vol Update'!$E$8:$E$127,MATCH('Market Scenarios'!B44,'Rate &amp; Vol Update'!$B$8:$B$127,1)+1),INDEX('Rate &amp; Vol Update'!$B$8:$B$127,MATCH('Market Scenarios'!B44,'Rate &amp; Vol Update'!$B$8:$B$127,1)):INDEX('Rate &amp; Vol Update'!$B$8:$B$127,MATCH('Market Scenarios'!B44,'Rate &amp; Vol Update'!$B$8:$B$127,1)+1)))/100)</f>
        <v/>
      </c>
      <c r="D44" s="85" t="str">
        <f>'Bachelier Model'!P45</f>
        <v/>
      </c>
      <c r="E44" s="16" t="str">
        <f t="shared" si="0"/>
        <v/>
      </c>
      <c r="F44" s="16" t="str">
        <f t="shared" si="1"/>
        <v/>
      </c>
      <c r="G44" s="16" t="str">
        <f t="shared" si="2"/>
        <v/>
      </c>
      <c r="H44" s="16" t="str">
        <f t="shared" si="3"/>
        <v/>
      </c>
      <c r="I44" s="16" t="str">
        <f t="shared" si="4"/>
        <v/>
      </c>
      <c r="J44" s="16" t="str">
        <f t="shared" si="5"/>
        <v/>
      </c>
      <c r="K44" s="16" t="str">
        <f t="shared" si="6"/>
        <v/>
      </c>
      <c r="L44" s="16" t="str">
        <f t="shared" si="7"/>
        <v/>
      </c>
      <c r="M44" s="16" t="str">
        <f>IF(B44="","",IF(B44&gt;'Rate &amp; Vol Update'!$K$2,'Rate &amp; Vol Update'!$K$4,IF(B44&lt;'Rate &amp; Vol Update'!$F$2,D44,_xlfn.FORECAST.LINEAR(B44,INDEX('Rate &amp; Vol Update'!$F$4:$K$4,1,MATCH(B44,'Rate &amp; Vol Update'!$F$2:$K$2,1)):INDEX('Rate &amp; Vol Update'!$F$4:$K$4,1,MATCH(B44,'Rate &amp; Vol Update'!$F$2:$K$2,1)+1),INDEX('Rate &amp; Vol Update'!$F$2:$K$2,1,MATCH(B44,'Rate &amp; Vol Update'!$F$2:$K$2,1)):INDEX('Rate &amp; Vol Update'!$F$2:$K$2,1,MATCH(B44,'Rate &amp; Vol Update'!$F$2:$K$2,1)+1)))))</f>
        <v/>
      </c>
      <c r="N44" s="85" t="str">
        <f t="shared" si="8"/>
        <v/>
      </c>
      <c r="O44" s="16" t="str">
        <f t="shared" si="9"/>
        <v/>
      </c>
      <c r="P44" s="85" t="str">
        <f>IF(B44="","",Schedules!D44)</f>
        <v/>
      </c>
    </row>
    <row r="45" spans="2:16" x14ac:dyDescent="0.25">
      <c r="B45" s="4" t="str">
        <f>'Bachelier Model'!J46</f>
        <v/>
      </c>
      <c r="C45" s="16" t="str">
        <f>IF(B45="","",IF(B45&lt;'Rate &amp; Vol Update'!$B$8,0,_xlfn.FORECAST.LINEAR(B45,INDEX('Rate &amp; Vol Update'!$E$8:$E$127,MATCH('Market Scenarios'!B45,'Rate &amp; Vol Update'!$B$8:$B$127,1)):INDEX('Rate &amp; Vol Update'!$E$8:$E$127,MATCH('Market Scenarios'!B45,'Rate &amp; Vol Update'!$B$8:$B$127,1)+1),INDEX('Rate &amp; Vol Update'!$B$8:$B$127,MATCH('Market Scenarios'!B45,'Rate &amp; Vol Update'!$B$8:$B$127,1)):INDEX('Rate &amp; Vol Update'!$B$8:$B$127,MATCH('Market Scenarios'!B45,'Rate &amp; Vol Update'!$B$8:$B$127,1)+1)))/100)</f>
        <v/>
      </c>
      <c r="D45" s="85" t="str">
        <f>'Bachelier Model'!P46</f>
        <v/>
      </c>
      <c r="E45" s="16" t="str">
        <f t="shared" si="0"/>
        <v/>
      </c>
      <c r="F45" s="16" t="str">
        <f t="shared" si="1"/>
        <v/>
      </c>
      <c r="G45" s="16" t="str">
        <f t="shared" si="2"/>
        <v/>
      </c>
      <c r="H45" s="16" t="str">
        <f t="shared" si="3"/>
        <v/>
      </c>
      <c r="I45" s="16" t="str">
        <f t="shared" si="4"/>
        <v/>
      </c>
      <c r="J45" s="16" t="str">
        <f t="shared" si="5"/>
        <v/>
      </c>
      <c r="K45" s="16" t="str">
        <f t="shared" si="6"/>
        <v/>
      </c>
      <c r="L45" s="16" t="str">
        <f t="shared" si="7"/>
        <v/>
      </c>
      <c r="M45" s="16" t="str">
        <f>IF(B45="","",IF(B45&gt;'Rate &amp; Vol Update'!$K$2,'Rate &amp; Vol Update'!$K$4,IF(B45&lt;'Rate &amp; Vol Update'!$F$2,D45,_xlfn.FORECAST.LINEAR(B45,INDEX('Rate &amp; Vol Update'!$F$4:$K$4,1,MATCH(B45,'Rate &amp; Vol Update'!$F$2:$K$2,1)):INDEX('Rate &amp; Vol Update'!$F$4:$K$4,1,MATCH(B45,'Rate &amp; Vol Update'!$F$2:$K$2,1)+1),INDEX('Rate &amp; Vol Update'!$F$2:$K$2,1,MATCH(B45,'Rate &amp; Vol Update'!$F$2:$K$2,1)):INDEX('Rate &amp; Vol Update'!$F$2:$K$2,1,MATCH(B45,'Rate &amp; Vol Update'!$F$2:$K$2,1)+1)))))</f>
        <v/>
      </c>
      <c r="N45" s="85" t="str">
        <f t="shared" si="8"/>
        <v/>
      </c>
      <c r="O45" s="16" t="str">
        <f t="shared" si="9"/>
        <v/>
      </c>
      <c r="P45" s="85" t="str">
        <f>IF(B45="","",Schedules!D45)</f>
        <v/>
      </c>
    </row>
    <row r="46" spans="2:16" x14ac:dyDescent="0.25">
      <c r="B46" s="4" t="str">
        <f>'Bachelier Model'!J47</f>
        <v/>
      </c>
      <c r="C46" s="16" t="str">
        <f>IF(B46="","",IF(B46&lt;'Rate &amp; Vol Update'!$B$8,0,_xlfn.FORECAST.LINEAR(B46,INDEX('Rate &amp; Vol Update'!$E$8:$E$127,MATCH('Market Scenarios'!B46,'Rate &amp; Vol Update'!$B$8:$B$127,1)):INDEX('Rate &amp; Vol Update'!$E$8:$E$127,MATCH('Market Scenarios'!B46,'Rate &amp; Vol Update'!$B$8:$B$127,1)+1),INDEX('Rate &amp; Vol Update'!$B$8:$B$127,MATCH('Market Scenarios'!B46,'Rate &amp; Vol Update'!$B$8:$B$127,1)):INDEX('Rate &amp; Vol Update'!$B$8:$B$127,MATCH('Market Scenarios'!B46,'Rate &amp; Vol Update'!$B$8:$B$127,1)+1)))/100)</f>
        <v/>
      </c>
      <c r="D46" s="85" t="str">
        <f>'Bachelier Model'!P47</f>
        <v/>
      </c>
      <c r="E46" s="16" t="str">
        <f t="shared" si="0"/>
        <v/>
      </c>
      <c r="F46" s="16" t="str">
        <f t="shared" si="1"/>
        <v/>
      </c>
      <c r="G46" s="16" t="str">
        <f t="shared" si="2"/>
        <v/>
      </c>
      <c r="H46" s="16" t="str">
        <f t="shared" si="3"/>
        <v/>
      </c>
      <c r="I46" s="16" t="str">
        <f t="shared" si="4"/>
        <v/>
      </c>
      <c r="J46" s="16" t="str">
        <f t="shared" si="5"/>
        <v/>
      </c>
      <c r="K46" s="16" t="str">
        <f t="shared" si="6"/>
        <v/>
      </c>
      <c r="L46" s="16" t="str">
        <f t="shared" si="7"/>
        <v/>
      </c>
      <c r="M46" s="16" t="str">
        <f>IF(B46="","",IF(B46&gt;'Rate &amp; Vol Update'!$K$2,'Rate &amp; Vol Update'!$K$4,IF(B46&lt;'Rate &amp; Vol Update'!$F$2,D46,_xlfn.FORECAST.LINEAR(B46,INDEX('Rate &amp; Vol Update'!$F$4:$K$4,1,MATCH(B46,'Rate &amp; Vol Update'!$F$2:$K$2,1)):INDEX('Rate &amp; Vol Update'!$F$4:$K$4,1,MATCH(B46,'Rate &amp; Vol Update'!$F$2:$K$2,1)+1),INDEX('Rate &amp; Vol Update'!$F$2:$K$2,1,MATCH(B46,'Rate &amp; Vol Update'!$F$2:$K$2,1)):INDEX('Rate &amp; Vol Update'!$F$2:$K$2,1,MATCH(B46,'Rate &amp; Vol Update'!$F$2:$K$2,1)+1)))))</f>
        <v/>
      </c>
      <c r="N46" s="85" t="str">
        <f t="shared" si="8"/>
        <v/>
      </c>
      <c r="O46" s="16" t="str">
        <f t="shared" si="9"/>
        <v/>
      </c>
      <c r="P46" s="85" t="str">
        <f>IF(B46="","",Schedules!D46)</f>
        <v/>
      </c>
    </row>
    <row r="47" spans="2:16" x14ac:dyDescent="0.25">
      <c r="B47" s="4" t="str">
        <f>'Bachelier Model'!J48</f>
        <v/>
      </c>
      <c r="C47" s="16" t="str">
        <f>IF(B47="","",IF(B47&lt;'Rate &amp; Vol Update'!$B$8,0,_xlfn.FORECAST.LINEAR(B47,INDEX('Rate &amp; Vol Update'!$E$8:$E$127,MATCH('Market Scenarios'!B47,'Rate &amp; Vol Update'!$B$8:$B$127,1)):INDEX('Rate &amp; Vol Update'!$E$8:$E$127,MATCH('Market Scenarios'!B47,'Rate &amp; Vol Update'!$B$8:$B$127,1)+1),INDEX('Rate &amp; Vol Update'!$B$8:$B$127,MATCH('Market Scenarios'!B47,'Rate &amp; Vol Update'!$B$8:$B$127,1)):INDEX('Rate &amp; Vol Update'!$B$8:$B$127,MATCH('Market Scenarios'!B47,'Rate &amp; Vol Update'!$B$8:$B$127,1)+1)))/100)</f>
        <v/>
      </c>
      <c r="D47" s="85" t="str">
        <f>'Bachelier Model'!P48</f>
        <v/>
      </c>
      <c r="E47" s="16" t="str">
        <f t="shared" si="0"/>
        <v/>
      </c>
      <c r="F47" s="16" t="str">
        <f t="shared" si="1"/>
        <v/>
      </c>
      <c r="G47" s="16" t="str">
        <f t="shared" si="2"/>
        <v/>
      </c>
      <c r="H47" s="16" t="str">
        <f t="shared" si="3"/>
        <v/>
      </c>
      <c r="I47" s="16" t="str">
        <f t="shared" si="4"/>
        <v/>
      </c>
      <c r="J47" s="16" t="str">
        <f t="shared" si="5"/>
        <v/>
      </c>
      <c r="K47" s="16" t="str">
        <f t="shared" si="6"/>
        <v/>
      </c>
      <c r="L47" s="16" t="str">
        <f t="shared" si="7"/>
        <v/>
      </c>
      <c r="M47" s="16" t="str">
        <f>IF(B47="","",IF(B47&gt;'Rate &amp; Vol Update'!$K$2,'Rate &amp; Vol Update'!$K$4,IF(B47&lt;'Rate &amp; Vol Update'!$F$2,D47,_xlfn.FORECAST.LINEAR(B47,INDEX('Rate &amp; Vol Update'!$F$4:$K$4,1,MATCH(B47,'Rate &amp; Vol Update'!$F$2:$K$2,1)):INDEX('Rate &amp; Vol Update'!$F$4:$K$4,1,MATCH(B47,'Rate &amp; Vol Update'!$F$2:$K$2,1)+1),INDEX('Rate &amp; Vol Update'!$F$2:$K$2,1,MATCH(B47,'Rate &amp; Vol Update'!$F$2:$K$2,1)):INDEX('Rate &amp; Vol Update'!$F$2:$K$2,1,MATCH(B47,'Rate &amp; Vol Update'!$F$2:$K$2,1)+1)))))</f>
        <v/>
      </c>
      <c r="N47" s="85" t="str">
        <f t="shared" si="8"/>
        <v/>
      </c>
      <c r="O47" s="16" t="str">
        <f t="shared" si="9"/>
        <v/>
      </c>
      <c r="P47" s="85" t="str">
        <f>IF(B47="","",Schedules!D47)</f>
        <v/>
      </c>
    </row>
    <row r="48" spans="2:16" x14ac:dyDescent="0.25">
      <c r="B48" s="4" t="str">
        <f>'Bachelier Model'!J49</f>
        <v/>
      </c>
      <c r="C48" s="16" t="str">
        <f>IF(B48="","",IF(B48&lt;'Rate &amp; Vol Update'!$B$8,0,_xlfn.FORECAST.LINEAR(B48,INDEX('Rate &amp; Vol Update'!$E$8:$E$127,MATCH('Market Scenarios'!B48,'Rate &amp; Vol Update'!$B$8:$B$127,1)):INDEX('Rate &amp; Vol Update'!$E$8:$E$127,MATCH('Market Scenarios'!B48,'Rate &amp; Vol Update'!$B$8:$B$127,1)+1),INDEX('Rate &amp; Vol Update'!$B$8:$B$127,MATCH('Market Scenarios'!B48,'Rate &amp; Vol Update'!$B$8:$B$127,1)):INDEX('Rate &amp; Vol Update'!$B$8:$B$127,MATCH('Market Scenarios'!B48,'Rate &amp; Vol Update'!$B$8:$B$127,1)+1)))/100)</f>
        <v/>
      </c>
      <c r="D48" s="85" t="str">
        <f>'Bachelier Model'!P49</f>
        <v/>
      </c>
      <c r="E48" s="16" t="str">
        <f t="shared" si="0"/>
        <v/>
      </c>
      <c r="F48" s="16" t="str">
        <f t="shared" si="1"/>
        <v/>
      </c>
      <c r="G48" s="16" t="str">
        <f t="shared" si="2"/>
        <v/>
      </c>
      <c r="H48" s="16" t="str">
        <f t="shared" si="3"/>
        <v/>
      </c>
      <c r="I48" s="16" t="str">
        <f t="shared" si="4"/>
        <v/>
      </c>
      <c r="J48" s="16" t="str">
        <f t="shared" si="5"/>
        <v/>
      </c>
      <c r="K48" s="16" t="str">
        <f t="shared" si="6"/>
        <v/>
      </c>
      <c r="L48" s="16" t="str">
        <f t="shared" si="7"/>
        <v/>
      </c>
      <c r="M48" s="16" t="str">
        <f>IF(B48="","",IF(B48&gt;'Rate &amp; Vol Update'!$K$2,'Rate &amp; Vol Update'!$K$4,IF(B48&lt;'Rate &amp; Vol Update'!$F$2,D48,_xlfn.FORECAST.LINEAR(B48,INDEX('Rate &amp; Vol Update'!$F$4:$K$4,1,MATCH(B48,'Rate &amp; Vol Update'!$F$2:$K$2,1)):INDEX('Rate &amp; Vol Update'!$F$4:$K$4,1,MATCH(B48,'Rate &amp; Vol Update'!$F$2:$K$2,1)+1),INDEX('Rate &amp; Vol Update'!$F$2:$K$2,1,MATCH(B48,'Rate &amp; Vol Update'!$F$2:$K$2,1)):INDEX('Rate &amp; Vol Update'!$F$2:$K$2,1,MATCH(B48,'Rate &amp; Vol Update'!$F$2:$K$2,1)+1)))))</f>
        <v/>
      </c>
      <c r="N48" s="85" t="str">
        <f t="shared" si="8"/>
        <v/>
      </c>
      <c r="O48" s="16" t="str">
        <f t="shared" si="9"/>
        <v/>
      </c>
      <c r="P48" s="85" t="str">
        <f>IF(B48="","",Schedules!D48)</f>
        <v/>
      </c>
    </row>
    <row r="49" spans="2:16" x14ac:dyDescent="0.25">
      <c r="B49" s="4" t="str">
        <f>'Bachelier Model'!J50</f>
        <v/>
      </c>
      <c r="C49" s="16" t="str">
        <f>IF(B49="","",IF(B49&lt;'Rate &amp; Vol Update'!$B$8,0,_xlfn.FORECAST.LINEAR(B49,INDEX('Rate &amp; Vol Update'!$E$8:$E$127,MATCH('Market Scenarios'!B49,'Rate &amp; Vol Update'!$B$8:$B$127,1)):INDEX('Rate &amp; Vol Update'!$E$8:$E$127,MATCH('Market Scenarios'!B49,'Rate &amp; Vol Update'!$B$8:$B$127,1)+1),INDEX('Rate &amp; Vol Update'!$B$8:$B$127,MATCH('Market Scenarios'!B49,'Rate &amp; Vol Update'!$B$8:$B$127,1)):INDEX('Rate &amp; Vol Update'!$B$8:$B$127,MATCH('Market Scenarios'!B49,'Rate &amp; Vol Update'!$B$8:$B$127,1)+1)))/100)</f>
        <v/>
      </c>
      <c r="D49" s="85" t="str">
        <f>'Bachelier Model'!P50</f>
        <v/>
      </c>
      <c r="E49" s="16" t="str">
        <f t="shared" si="0"/>
        <v/>
      </c>
      <c r="F49" s="16" t="str">
        <f t="shared" si="1"/>
        <v/>
      </c>
      <c r="G49" s="16" t="str">
        <f t="shared" si="2"/>
        <v/>
      </c>
      <c r="H49" s="16" t="str">
        <f t="shared" si="3"/>
        <v/>
      </c>
      <c r="I49" s="16" t="str">
        <f t="shared" si="4"/>
        <v/>
      </c>
      <c r="J49" s="16" t="str">
        <f t="shared" si="5"/>
        <v/>
      </c>
      <c r="K49" s="16" t="str">
        <f t="shared" si="6"/>
        <v/>
      </c>
      <c r="L49" s="16" t="str">
        <f t="shared" si="7"/>
        <v/>
      </c>
      <c r="M49" s="16" t="str">
        <f>IF(B49="","",IF(B49&gt;'Rate &amp; Vol Update'!$K$2,'Rate &amp; Vol Update'!$K$4,IF(B49&lt;'Rate &amp; Vol Update'!$F$2,D49,_xlfn.FORECAST.LINEAR(B49,INDEX('Rate &amp; Vol Update'!$F$4:$K$4,1,MATCH(B49,'Rate &amp; Vol Update'!$F$2:$K$2,1)):INDEX('Rate &amp; Vol Update'!$F$4:$K$4,1,MATCH(B49,'Rate &amp; Vol Update'!$F$2:$K$2,1)+1),INDEX('Rate &amp; Vol Update'!$F$2:$K$2,1,MATCH(B49,'Rate &amp; Vol Update'!$F$2:$K$2,1)):INDEX('Rate &amp; Vol Update'!$F$2:$K$2,1,MATCH(B49,'Rate &amp; Vol Update'!$F$2:$K$2,1)+1)))))</f>
        <v/>
      </c>
      <c r="N49" s="85" t="str">
        <f t="shared" si="8"/>
        <v/>
      </c>
      <c r="O49" s="16" t="str">
        <f t="shared" si="9"/>
        <v/>
      </c>
      <c r="P49" s="85" t="str">
        <f>IF(B49="","",Schedules!D49)</f>
        <v/>
      </c>
    </row>
    <row r="50" spans="2:16" x14ac:dyDescent="0.25">
      <c r="B50" s="4" t="str">
        <f>'Bachelier Model'!J51</f>
        <v/>
      </c>
      <c r="C50" s="16" t="str">
        <f>IF(B50="","",IF(B50&lt;'Rate &amp; Vol Update'!$B$8,0,_xlfn.FORECAST.LINEAR(B50,INDEX('Rate &amp; Vol Update'!$E$8:$E$127,MATCH('Market Scenarios'!B50,'Rate &amp; Vol Update'!$B$8:$B$127,1)):INDEX('Rate &amp; Vol Update'!$E$8:$E$127,MATCH('Market Scenarios'!B50,'Rate &amp; Vol Update'!$B$8:$B$127,1)+1),INDEX('Rate &amp; Vol Update'!$B$8:$B$127,MATCH('Market Scenarios'!B50,'Rate &amp; Vol Update'!$B$8:$B$127,1)):INDEX('Rate &amp; Vol Update'!$B$8:$B$127,MATCH('Market Scenarios'!B50,'Rate &amp; Vol Update'!$B$8:$B$127,1)+1)))/100)</f>
        <v/>
      </c>
      <c r="D50" s="85" t="str">
        <f>'Bachelier Model'!P51</f>
        <v/>
      </c>
      <c r="E50" s="16" t="str">
        <f t="shared" si="0"/>
        <v/>
      </c>
      <c r="F50" s="16" t="str">
        <f t="shared" si="1"/>
        <v/>
      </c>
      <c r="G50" s="16" t="str">
        <f t="shared" si="2"/>
        <v/>
      </c>
      <c r="H50" s="16" t="str">
        <f t="shared" si="3"/>
        <v/>
      </c>
      <c r="I50" s="16" t="str">
        <f t="shared" si="4"/>
        <v/>
      </c>
      <c r="J50" s="16" t="str">
        <f t="shared" si="5"/>
        <v/>
      </c>
      <c r="K50" s="16" t="str">
        <f t="shared" si="6"/>
        <v/>
      </c>
      <c r="L50" s="16" t="str">
        <f t="shared" si="7"/>
        <v/>
      </c>
      <c r="M50" s="16" t="str">
        <f>IF(B50="","",IF(B50&gt;'Rate &amp; Vol Update'!$K$2,'Rate &amp; Vol Update'!$K$4,IF(B50&lt;'Rate &amp; Vol Update'!$F$2,D50,_xlfn.FORECAST.LINEAR(B50,INDEX('Rate &amp; Vol Update'!$F$4:$K$4,1,MATCH(B50,'Rate &amp; Vol Update'!$F$2:$K$2,1)):INDEX('Rate &amp; Vol Update'!$F$4:$K$4,1,MATCH(B50,'Rate &amp; Vol Update'!$F$2:$K$2,1)+1),INDEX('Rate &amp; Vol Update'!$F$2:$K$2,1,MATCH(B50,'Rate &amp; Vol Update'!$F$2:$K$2,1)):INDEX('Rate &amp; Vol Update'!$F$2:$K$2,1,MATCH(B50,'Rate &amp; Vol Update'!$F$2:$K$2,1)+1)))))</f>
        <v/>
      </c>
      <c r="N50" s="85" t="str">
        <f t="shared" si="8"/>
        <v/>
      </c>
      <c r="O50" s="16" t="str">
        <f t="shared" si="9"/>
        <v/>
      </c>
      <c r="P50" s="85" t="str">
        <f>IF(B50="","",Schedules!D50)</f>
        <v/>
      </c>
    </row>
    <row r="51" spans="2:16" x14ac:dyDescent="0.25">
      <c r="B51" s="4" t="str">
        <f>'Bachelier Model'!J52</f>
        <v/>
      </c>
      <c r="C51" s="16" t="str">
        <f>IF(B51="","",IF(B51&lt;'Rate &amp; Vol Update'!$B$8,0,_xlfn.FORECAST.LINEAR(B51,INDEX('Rate &amp; Vol Update'!$E$8:$E$127,MATCH('Market Scenarios'!B51,'Rate &amp; Vol Update'!$B$8:$B$127,1)):INDEX('Rate &amp; Vol Update'!$E$8:$E$127,MATCH('Market Scenarios'!B51,'Rate &amp; Vol Update'!$B$8:$B$127,1)+1),INDEX('Rate &amp; Vol Update'!$B$8:$B$127,MATCH('Market Scenarios'!B51,'Rate &amp; Vol Update'!$B$8:$B$127,1)):INDEX('Rate &amp; Vol Update'!$B$8:$B$127,MATCH('Market Scenarios'!B51,'Rate &amp; Vol Update'!$B$8:$B$127,1)+1)))/100)</f>
        <v/>
      </c>
      <c r="D51" s="85" t="str">
        <f>'Bachelier Model'!P52</f>
        <v/>
      </c>
      <c r="E51" s="16" t="str">
        <f t="shared" si="0"/>
        <v/>
      </c>
      <c r="F51" s="16" t="str">
        <f t="shared" si="1"/>
        <v/>
      </c>
      <c r="G51" s="16" t="str">
        <f t="shared" si="2"/>
        <v/>
      </c>
      <c r="H51" s="16" t="str">
        <f t="shared" si="3"/>
        <v/>
      </c>
      <c r="I51" s="16" t="str">
        <f t="shared" si="4"/>
        <v/>
      </c>
      <c r="J51" s="16" t="str">
        <f t="shared" si="5"/>
        <v/>
      </c>
      <c r="K51" s="16" t="str">
        <f t="shared" si="6"/>
        <v/>
      </c>
      <c r="L51" s="16" t="str">
        <f t="shared" si="7"/>
        <v/>
      </c>
      <c r="M51" s="16" t="str">
        <f>IF(B51="","",IF(B51&gt;'Rate &amp; Vol Update'!$K$2,'Rate &amp; Vol Update'!$K$4,IF(B51&lt;'Rate &amp; Vol Update'!$F$2,D51,_xlfn.FORECAST.LINEAR(B51,INDEX('Rate &amp; Vol Update'!$F$4:$K$4,1,MATCH(B51,'Rate &amp; Vol Update'!$F$2:$K$2,1)):INDEX('Rate &amp; Vol Update'!$F$4:$K$4,1,MATCH(B51,'Rate &amp; Vol Update'!$F$2:$K$2,1)+1),INDEX('Rate &amp; Vol Update'!$F$2:$K$2,1,MATCH(B51,'Rate &amp; Vol Update'!$F$2:$K$2,1)):INDEX('Rate &amp; Vol Update'!$F$2:$K$2,1,MATCH(B51,'Rate &amp; Vol Update'!$F$2:$K$2,1)+1)))))</f>
        <v/>
      </c>
      <c r="N51" s="85" t="str">
        <f t="shared" si="8"/>
        <v/>
      </c>
      <c r="O51" s="16" t="str">
        <f t="shared" si="9"/>
        <v/>
      </c>
      <c r="P51" s="85" t="str">
        <f>IF(B51="","",Schedules!D51)</f>
        <v/>
      </c>
    </row>
    <row r="52" spans="2:16" x14ac:dyDescent="0.25">
      <c r="B52" s="4" t="str">
        <f>'Bachelier Model'!J53</f>
        <v/>
      </c>
      <c r="C52" s="16" t="str">
        <f>IF(B52="","",IF(B52&lt;'Rate &amp; Vol Update'!$B$8,0,_xlfn.FORECAST.LINEAR(B52,INDEX('Rate &amp; Vol Update'!$E$8:$E$127,MATCH('Market Scenarios'!B52,'Rate &amp; Vol Update'!$B$8:$B$127,1)):INDEX('Rate &amp; Vol Update'!$E$8:$E$127,MATCH('Market Scenarios'!B52,'Rate &amp; Vol Update'!$B$8:$B$127,1)+1),INDEX('Rate &amp; Vol Update'!$B$8:$B$127,MATCH('Market Scenarios'!B52,'Rate &amp; Vol Update'!$B$8:$B$127,1)):INDEX('Rate &amp; Vol Update'!$B$8:$B$127,MATCH('Market Scenarios'!B52,'Rate &amp; Vol Update'!$B$8:$B$127,1)+1)))/100)</f>
        <v/>
      </c>
      <c r="D52" s="85" t="str">
        <f>'Bachelier Model'!P53</f>
        <v/>
      </c>
      <c r="E52" s="16" t="str">
        <f t="shared" si="0"/>
        <v/>
      </c>
      <c r="F52" s="16" t="str">
        <f t="shared" si="1"/>
        <v/>
      </c>
      <c r="G52" s="16" t="str">
        <f t="shared" si="2"/>
        <v/>
      </c>
      <c r="H52" s="16" t="str">
        <f t="shared" si="3"/>
        <v/>
      </c>
      <c r="I52" s="16" t="str">
        <f t="shared" si="4"/>
        <v/>
      </c>
      <c r="J52" s="16" t="str">
        <f t="shared" si="5"/>
        <v/>
      </c>
      <c r="K52" s="16" t="str">
        <f t="shared" si="6"/>
        <v/>
      </c>
      <c r="L52" s="16" t="str">
        <f t="shared" si="7"/>
        <v/>
      </c>
      <c r="M52" s="16" t="str">
        <f>IF(B52="","",IF(B52&gt;'Rate &amp; Vol Update'!$K$2,'Rate &amp; Vol Update'!$K$4,IF(B52&lt;'Rate &amp; Vol Update'!$F$2,D52,_xlfn.FORECAST.LINEAR(B52,INDEX('Rate &amp; Vol Update'!$F$4:$K$4,1,MATCH(B52,'Rate &amp; Vol Update'!$F$2:$K$2,1)):INDEX('Rate &amp; Vol Update'!$F$4:$K$4,1,MATCH(B52,'Rate &amp; Vol Update'!$F$2:$K$2,1)+1),INDEX('Rate &amp; Vol Update'!$F$2:$K$2,1,MATCH(B52,'Rate &amp; Vol Update'!$F$2:$K$2,1)):INDEX('Rate &amp; Vol Update'!$F$2:$K$2,1,MATCH(B52,'Rate &amp; Vol Update'!$F$2:$K$2,1)+1)))))</f>
        <v/>
      </c>
      <c r="N52" s="85" t="str">
        <f t="shared" si="8"/>
        <v/>
      </c>
      <c r="O52" s="16" t="str">
        <f t="shared" si="9"/>
        <v/>
      </c>
      <c r="P52" s="85" t="str">
        <f>IF(B52="","",Schedules!D52)</f>
        <v/>
      </c>
    </row>
    <row r="53" spans="2:16" x14ac:dyDescent="0.25">
      <c r="B53" s="4" t="str">
        <f>'Bachelier Model'!J54</f>
        <v/>
      </c>
      <c r="C53" s="16" t="str">
        <f>IF(B53="","",IF(B53&lt;'Rate &amp; Vol Update'!$B$8,0,_xlfn.FORECAST.LINEAR(B53,INDEX('Rate &amp; Vol Update'!$E$8:$E$127,MATCH('Market Scenarios'!B53,'Rate &amp; Vol Update'!$B$8:$B$127,1)):INDEX('Rate &amp; Vol Update'!$E$8:$E$127,MATCH('Market Scenarios'!B53,'Rate &amp; Vol Update'!$B$8:$B$127,1)+1),INDEX('Rate &amp; Vol Update'!$B$8:$B$127,MATCH('Market Scenarios'!B53,'Rate &amp; Vol Update'!$B$8:$B$127,1)):INDEX('Rate &amp; Vol Update'!$B$8:$B$127,MATCH('Market Scenarios'!B53,'Rate &amp; Vol Update'!$B$8:$B$127,1)+1)))/100)</f>
        <v/>
      </c>
      <c r="D53" s="85" t="str">
        <f>'Bachelier Model'!P54</f>
        <v/>
      </c>
      <c r="E53" s="16" t="str">
        <f t="shared" si="0"/>
        <v/>
      </c>
      <c r="F53" s="16" t="str">
        <f t="shared" si="1"/>
        <v/>
      </c>
      <c r="G53" s="16" t="str">
        <f t="shared" si="2"/>
        <v/>
      </c>
      <c r="H53" s="16" t="str">
        <f t="shared" si="3"/>
        <v/>
      </c>
      <c r="I53" s="16" t="str">
        <f t="shared" si="4"/>
        <v/>
      </c>
      <c r="J53" s="16" t="str">
        <f t="shared" si="5"/>
        <v/>
      </c>
      <c r="K53" s="16" t="str">
        <f t="shared" si="6"/>
        <v/>
      </c>
      <c r="L53" s="16" t="str">
        <f t="shared" si="7"/>
        <v/>
      </c>
      <c r="M53" s="16" t="str">
        <f>IF(B53="","",IF(B53&gt;'Rate &amp; Vol Update'!$K$2,'Rate &amp; Vol Update'!$K$4,IF(B53&lt;'Rate &amp; Vol Update'!$F$2,D53,_xlfn.FORECAST.LINEAR(B53,INDEX('Rate &amp; Vol Update'!$F$4:$K$4,1,MATCH(B53,'Rate &amp; Vol Update'!$F$2:$K$2,1)):INDEX('Rate &amp; Vol Update'!$F$4:$K$4,1,MATCH(B53,'Rate &amp; Vol Update'!$F$2:$K$2,1)+1),INDEX('Rate &amp; Vol Update'!$F$2:$K$2,1,MATCH(B53,'Rate &amp; Vol Update'!$F$2:$K$2,1)):INDEX('Rate &amp; Vol Update'!$F$2:$K$2,1,MATCH(B53,'Rate &amp; Vol Update'!$F$2:$K$2,1)+1)))))</f>
        <v/>
      </c>
      <c r="N53" s="85" t="str">
        <f t="shared" si="8"/>
        <v/>
      </c>
      <c r="O53" s="16" t="str">
        <f t="shared" si="9"/>
        <v/>
      </c>
      <c r="P53" s="85" t="str">
        <f>IF(B53="","",Schedules!D53)</f>
        <v/>
      </c>
    </row>
    <row r="54" spans="2:16" x14ac:dyDescent="0.25">
      <c r="B54" s="4" t="str">
        <f>'Bachelier Model'!J55</f>
        <v/>
      </c>
      <c r="C54" s="16" t="str">
        <f>IF(B54="","",IF(B54&lt;'Rate &amp; Vol Update'!$B$8,0,_xlfn.FORECAST.LINEAR(B54,INDEX('Rate &amp; Vol Update'!$E$8:$E$127,MATCH('Market Scenarios'!B54,'Rate &amp; Vol Update'!$B$8:$B$127,1)):INDEX('Rate &amp; Vol Update'!$E$8:$E$127,MATCH('Market Scenarios'!B54,'Rate &amp; Vol Update'!$B$8:$B$127,1)+1),INDEX('Rate &amp; Vol Update'!$B$8:$B$127,MATCH('Market Scenarios'!B54,'Rate &amp; Vol Update'!$B$8:$B$127,1)):INDEX('Rate &amp; Vol Update'!$B$8:$B$127,MATCH('Market Scenarios'!B54,'Rate &amp; Vol Update'!$B$8:$B$127,1)+1)))/100)</f>
        <v/>
      </c>
      <c r="D54" s="85" t="str">
        <f>'Bachelier Model'!P55</f>
        <v/>
      </c>
      <c r="E54" s="16" t="str">
        <f t="shared" si="0"/>
        <v/>
      </c>
      <c r="F54" s="16" t="str">
        <f t="shared" si="1"/>
        <v/>
      </c>
      <c r="G54" s="16" t="str">
        <f t="shared" si="2"/>
        <v/>
      </c>
      <c r="H54" s="16" t="str">
        <f t="shared" si="3"/>
        <v/>
      </c>
      <c r="I54" s="16" t="str">
        <f t="shared" si="4"/>
        <v/>
      </c>
      <c r="J54" s="16" t="str">
        <f t="shared" si="5"/>
        <v/>
      </c>
      <c r="K54" s="16" t="str">
        <f t="shared" si="6"/>
        <v/>
      </c>
      <c r="L54" s="16" t="str">
        <f t="shared" si="7"/>
        <v/>
      </c>
      <c r="M54" s="16" t="str">
        <f>IF(B54="","",IF(B54&gt;'Rate &amp; Vol Update'!$K$2,'Rate &amp; Vol Update'!$K$4,IF(B54&lt;'Rate &amp; Vol Update'!$F$2,D54,_xlfn.FORECAST.LINEAR(B54,INDEX('Rate &amp; Vol Update'!$F$4:$K$4,1,MATCH(B54,'Rate &amp; Vol Update'!$F$2:$K$2,1)):INDEX('Rate &amp; Vol Update'!$F$4:$K$4,1,MATCH(B54,'Rate &amp; Vol Update'!$F$2:$K$2,1)+1),INDEX('Rate &amp; Vol Update'!$F$2:$K$2,1,MATCH(B54,'Rate &amp; Vol Update'!$F$2:$K$2,1)):INDEX('Rate &amp; Vol Update'!$F$2:$K$2,1,MATCH(B54,'Rate &amp; Vol Update'!$F$2:$K$2,1)+1)))))</f>
        <v/>
      </c>
      <c r="N54" s="85" t="str">
        <f t="shared" si="8"/>
        <v/>
      </c>
      <c r="O54" s="16" t="str">
        <f t="shared" si="9"/>
        <v/>
      </c>
      <c r="P54" s="85" t="str">
        <f>IF(B54="","",Schedules!D54)</f>
        <v/>
      </c>
    </row>
    <row r="55" spans="2:16" x14ac:dyDescent="0.25">
      <c r="B55" s="4" t="str">
        <f>'Bachelier Model'!J56</f>
        <v/>
      </c>
      <c r="C55" s="16" t="str">
        <f>IF(B55="","",IF(B55&lt;'Rate &amp; Vol Update'!$B$8,0,_xlfn.FORECAST.LINEAR(B55,INDEX('Rate &amp; Vol Update'!$E$8:$E$127,MATCH('Market Scenarios'!B55,'Rate &amp; Vol Update'!$B$8:$B$127,1)):INDEX('Rate &amp; Vol Update'!$E$8:$E$127,MATCH('Market Scenarios'!B55,'Rate &amp; Vol Update'!$B$8:$B$127,1)+1),INDEX('Rate &amp; Vol Update'!$B$8:$B$127,MATCH('Market Scenarios'!B55,'Rate &amp; Vol Update'!$B$8:$B$127,1)):INDEX('Rate &amp; Vol Update'!$B$8:$B$127,MATCH('Market Scenarios'!B55,'Rate &amp; Vol Update'!$B$8:$B$127,1)+1)))/100)</f>
        <v/>
      </c>
      <c r="D55" s="85" t="str">
        <f>'Bachelier Model'!P56</f>
        <v/>
      </c>
      <c r="E55" s="16" t="str">
        <f t="shared" si="0"/>
        <v/>
      </c>
      <c r="F55" s="16" t="str">
        <f t="shared" si="1"/>
        <v/>
      </c>
      <c r="G55" s="16" t="str">
        <f t="shared" si="2"/>
        <v/>
      </c>
      <c r="H55" s="16" t="str">
        <f t="shared" si="3"/>
        <v/>
      </c>
      <c r="I55" s="16" t="str">
        <f t="shared" si="4"/>
        <v/>
      </c>
      <c r="J55" s="16" t="str">
        <f t="shared" si="5"/>
        <v/>
      </c>
      <c r="K55" s="16" t="str">
        <f t="shared" si="6"/>
        <v/>
      </c>
      <c r="L55" s="16" t="str">
        <f t="shared" si="7"/>
        <v/>
      </c>
      <c r="M55" s="16" t="str">
        <f>IF(B55="","",IF(B55&gt;'Rate &amp; Vol Update'!$K$2,'Rate &amp; Vol Update'!$K$4,IF(B55&lt;'Rate &amp; Vol Update'!$F$2,D55,_xlfn.FORECAST.LINEAR(B55,INDEX('Rate &amp; Vol Update'!$F$4:$K$4,1,MATCH(B55,'Rate &amp; Vol Update'!$F$2:$K$2,1)):INDEX('Rate &amp; Vol Update'!$F$4:$K$4,1,MATCH(B55,'Rate &amp; Vol Update'!$F$2:$K$2,1)+1),INDEX('Rate &amp; Vol Update'!$F$2:$K$2,1,MATCH(B55,'Rate &amp; Vol Update'!$F$2:$K$2,1)):INDEX('Rate &amp; Vol Update'!$F$2:$K$2,1,MATCH(B55,'Rate &amp; Vol Update'!$F$2:$K$2,1)+1)))))</f>
        <v/>
      </c>
      <c r="N55" s="85" t="str">
        <f t="shared" si="8"/>
        <v/>
      </c>
      <c r="O55" s="16" t="str">
        <f t="shared" si="9"/>
        <v/>
      </c>
      <c r="P55" s="85" t="str">
        <f>IF(B55="","",Schedules!D55)</f>
        <v/>
      </c>
    </row>
    <row r="56" spans="2:16" x14ac:dyDescent="0.25">
      <c r="B56" s="4" t="str">
        <f>'Bachelier Model'!J57</f>
        <v/>
      </c>
      <c r="C56" s="16" t="str">
        <f>IF(B56="","",IF(B56&lt;'Rate &amp; Vol Update'!$B$8,0,_xlfn.FORECAST.LINEAR(B56,INDEX('Rate &amp; Vol Update'!$E$8:$E$127,MATCH('Market Scenarios'!B56,'Rate &amp; Vol Update'!$B$8:$B$127,1)):INDEX('Rate &amp; Vol Update'!$E$8:$E$127,MATCH('Market Scenarios'!B56,'Rate &amp; Vol Update'!$B$8:$B$127,1)+1),INDEX('Rate &amp; Vol Update'!$B$8:$B$127,MATCH('Market Scenarios'!B56,'Rate &amp; Vol Update'!$B$8:$B$127,1)):INDEX('Rate &amp; Vol Update'!$B$8:$B$127,MATCH('Market Scenarios'!B56,'Rate &amp; Vol Update'!$B$8:$B$127,1)+1)))/100)</f>
        <v/>
      </c>
      <c r="D56" s="85" t="str">
        <f>'Bachelier Model'!P57</f>
        <v/>
      </c>
      <c r="E56" s="16" t="str">
        <f t="shared" si="0"/>
        <v/>
      </c>
      <c r="F56" s="16" t="str">
        <f t="shared" si="1"/>
        <v/>
      </c>
      <c r="G56" s="16" t="str">
        <f t="shared" si="2"/>
        <v/>
      </c>
      <c r="H56" s="16" t="str">
        <f t="shared" si="3"/>
        <v/>
      </c>
      <c r="I56" s="16" t="str">
        <f t="shared" si="4"/>
        <v/>
      </c>
      <c r="J56" s="16" t="str">
        <f t="shared" si="5"/>
        <v/>
      </c>
      <c r="K56" s="16" t="str">
        <f t="shared" si="6"/>
        <v/>
      </c>
      <c r="L56" s="16" t="str">
        <f t="shared" si="7"/>
        <v/>
      </c>
      <c r="M56" s="16" t="str">
        <f>IF(B56="","",IF(B56&gt;'Rate &amp; Vol Update'!$K$2,'Rate &amp; Vol Update'!$K$4,IF(B56&lt;'Rate &amp; Vol Update'!$F$2,D56,_xlfn.FORECAST.LINEAR(B56,INDEX('Rate &amp; Vol Update'!$F$4:$K$4,1,MATCH(B56,'Rate &amp; Vol Update'!$F$2:$K$2,1)):INDEX('Rate &amp; Vol Update'!$F$4:$K$4,1,MATCH(B56,'Rate &amp; Vol Update'!$F$2:$K$2,1)+1),INDEX('Rate &amp; Vol Update'!$F$2:$K$2,1,MATCH(B56,'Rate &amp; Vol Update'!$F$2:$K$2,1)):INDEX('Rate &amp; Vol Update'!$F$2:$K$2,1,MATCH(B56,'Rate &amp; Vol Update'!$F$2:$K$2,1)+1)))))</f>
        <v/>
      </c>
      <c r="N56" s="85" t="str">
        <f t="shared" si="8"/>
        <v/>
      </c>
      <c r="O56" s="16" t="str">
        <f t="shared" si="9"/>
        <v/>
      </c>
      <c r="P56" s="85" t="str">
        <f>IF(B56="","",Schedules!D56)</f>
        <v/>
      </c>
    </row>
    <row r="57" spans="2:16" x14ac:dyDescent="0.25">
      <c r="B57" s="4" t="str">
        <f>'Bachelier Model'!J58</f>
        <v/>
      </c>
      <c r="C57" s="16" t="str">
        <f>IF(B57="","",IF(B57&lt;'Rate &amp; Vol Update'!$B$8,0,_xlfn.FORECAST.LINEAR(B57,INDEX('Rate &amp; Vol Update'!$E$8:$E$127,MATCH('Market Scenarios'!B57,'Rate &amp; Vol Update'!$B$8:$B$127,1)):INDEX('Rate &amp; Vol Update'!$E$8:$E$127,MATCH('Market Scenarios'!B57,'Rate &amp; Vol Update'!$B$8:$B$127,1)+1),INDEX('Rate &amp; Vol Update'!$B$8:$B$127,MATCH('Market Scenarios'!B57,'Rate &amp; Vol Update'!$B$8:$B$127,1)):INDEX('Rate &amp; Vol Update'!$B$8:$B$127,MATCH('Market Scenarios'!B57,'Rate &amp; Vol Update'!$B$8:$B$127,1)+1)))/100)</f>
        <v/>
      </c>
      <c r="D57" s="85" t="str">
        <f>'Bachelier Model'!P58</f>
        <v/>
      </c>
      <c r="E57" s="16" t="str">
        <f t="shared" si="0"/>
        <v/>
      </c>
      <c r="F57" s="16" t="str">
        <f t="shared" si="1"/>
        <v/>
      </c>
      <c r="G57" s="16" t="str">
        <f t="shared" si="2"/>
        <v/>
      </c>
      <c r="H57" s="16" t="str">
        <f t="shared" si="3"/>
        <v/>
      </c>
      <c r="I57" s="16" t="str">
        <f t="shared" si="4"/>
        <v/>
      </c>
      <c r="J57" s="16" t="str">
        <f t="shared" si="5"/>
        <v/>
      </c>
      <c r="K57" s="16" t="str">
        <f t="shared" si="6"/>
        <v/>
      </c>
      <c r="L57" s="16" t="str">
        <f t="shared" si="7"/>
        <v/>
      </c>
      <c r="M57" s="16" t="str">
        <f>IF(B57="","",IF(B57&gt;'Rate &amp; Vol Update'!$K$2,'Rate &amp; Vol Update'!$K$4,IF(B57&lt;'Rate &amp; Vol Update'!$F$2,D57,_xlfn.FORECAST.LINEAR(B57,INDEX('Rate &amp; Vol Update'!$F$4:$K$4,1,MATCH(B57,'Rate &amp; Vol Update'!$F$2:$K$2,1)):INDEX('Rate &amp; Vol Update'!$F$4:$K$4,1,MATCH(B57,'Rate &amp; Vol Update'!$F$2:$K$2,1)+1),INDEX('Rate &amp; Vol Update'!$F$2:$K$2,1,MATCH(B57,'Rate &amp; Vol Update'!$F$2:$K$2,1)):INDEX('Rate &amp; Vol Update'!$F$2:$K$2,1,MATCH(B57,'Rate &amp; Vol Update'!$F$2:$K$2,1)+1)))))</f>
        <v/>
      </c>
      <c r="N57" s="85" t="str">
        <f t="shared" si="8"/>
        <v/>
      </c>
      <c r="O57" s="16" t="str">
        <f t="shared" si="9"/>
        <v/>
      </c>
      <c r="P57" s="85" t="str">
        <f>IF(B57="","",Schedules!D57)</f>
        <v/>
      </c>
    </row>
    <row r="58" spans="2:16" x14ac:dyDescent="0.25">
      <c r="B58" s="4" t="str">
        <f>'Bachelier Model'!J59</f>
        <v/>
      </c>
      <c r="C58" s="16" t="str">
        <f>IF(B58="","",IF(B58&lt;'Rate &amp; Vol Update'!$B$8,0,_xlfn.FORECAST.LINEAR(B58,INDEX('Rate &amp; Vol Update'!$E$8:$E$127,MATCH('Market Scenarios'!B58,'Rate &amp; Vol Update'!$B$8:$B$127,1)):INDEX('Rate &amp; Vol Update'!$E$8:$E$127,MATCH('Market Scenarios'!B58,'Rate &amp; Vol Update'!$B$8:$B$127,1)+1),INDEX('Rate &amp; Vol Update'!$B$8:$B$127,MATCH('Market Scenarios'!B58,'Rate &amp; Vol Update'!$B$8:$B$127,1)):INDEX('Rate &amp; Vol Update'!$B$8:$B$127,MATCH('Market Scenarios'!B58,'Rate &amp; Vol Update'!$B$8:$B$127,1)+1)))/100)</f>
        <v/>
      </c>
      <c r="D58" s="85" t="str">
        <f>'Bachelier Model'!P59</f>
        <v/>
      </c>
      <c r="E58" s="16" t="str">
        <f t="shared" si="0"/>
        <v/>
      </c>
      <c r="F58" s="16" t="str">
        <f t="shared" si="1"/>
        <v/>
      </c>
      <c r="G58" s="16" t="str">
        <f t="shared" si="2"/>
        <v/>
      </c>
      <c r="H58" s="16" t="str">
        <f t="shared" si="3"/>
        <v/>
      </c>
      <c r="I58" s="16" t="str">
        <f t="shared" si="4"/>
        <v/>
      </c>
      <c r="J58" s="16" t="str">
        <f t="shared" si="5"/>
        <v/>
      </c>
      <c r="K58" s="16" t="str">
        <f t="shared" si="6"/>
        <v/>
      </c>
      <c r="L58" s="16" t="str">
        <f t="shared" si="7"/>
        <v/>
      </c>
      <c r="M58" s="16" t="str">
        <f>IF(B58="","",IF(B58&gt;'Rate &amp; Vol Update'!$K$2,'Rate &amp; Vol Update'!$K$4,IF(B58&lt;'Rate &amp; Vol Update'!$F$2,D58,_xlfn.FORECAST.LINEAR(B58,INDEX('Rate &amp; Vol Update'!$F$4:$K$4,1,MATCH(B58,'Rate &amp; Vol Update'!$F$2:$K$2,1)):INDEX('Rate &amp; Vol Update'!$F$4:$K$4,1,MATCH(B58,'Rate &amp; Vol Update'!$F$2:$K$2,1)+1),INDEX('Rate &amp; Vol Update'!$F$2:$K$2,1,MATCH(B58,'Rate &amp; Vol Update'!$F$2:$K$2,1)):INDEX('Rate &amp; Vol Update'!$F$2:$K$2,1,MATCH(B58,'Rate &amp; Vol Update'!$F$2:$K$2,1)+1)))))</f>
        <v/>
      </c>
      <c r="N58" s="85" t="str">
        <f t="shared" si="8"/>
        <v/>
      </c>
      <c r="O58" s="16" t="str">
        <f t="shared" si="9"/>
        <v/>
      </c>
      <c r="P58" s="85" t="str">
        <f>IF(B58="","",Schedules!D58)</f>
        <v/>
      </c>
    </row>
    <row r="59" spans="2:16" x14ac:dyDescent="0.25">
      <c r="B59" s="4" t="str">
        <f>'Bachelier Model'!J60</f>
        <v/>
      </c>
      <c r="C59" s="16" t="str">
        <f>IF(B59="","",IF(B59&lt;'Rate &amp; Vol Update'!$B$8,0,_xlfn.FORECAST.LINEAR(B59,INDEX('Rate &amp; Vol Update'!$E$8:$E$127,MATCH('Market Scenarios'!B59,'Rate &amp; Vol Update'!$B$8:$B$127,1)):INDEX('Rate &amp; Vol Update'!$E$8:$E$127,MATCH('Market Scenarios'!B59,'Rate &amp; Vol Update'!$B$8:$B$127,1)+1),INDEX('Rate &amp; Vol Update'!$B$8:$B$127,MATCH('Market Scenarios'!B59,'Rate &amp; Vol Update'!$B$8:$B$127,1)):INDEX('Rate &amp; Vol Update'!$B$8:$B$127,MATCH('Market Scenarios'!B59,'Rate &amp; Vol Update'!$B$8:$B$127,1)+1)))/100)</f>
        <v/>
      </c>
      <c r="D59" s="85" t="str">
        <f>'Bachelier Model'!P60</f>
        <v/>
      </c>
      <c r="E59" s="16" t="str">
        <f t="shared" si="0"/>
        <v/>
      </c>
      <c r="F59" s="16" t="str">
        <f t="shared" si="1"/>
        <v/>
      </c>
      <c r="G59" s="16" t="str">
        <f t="shared" si="2"/>
        <v/>
      </c>
      <c r="H59" s="16" t="str">
        <f t="shared" si="3"/>
        <v/>
      </c>
      <c r="I59" s="16" t="str">
        <f t="shared" si="4"/>
        <v/>
      </c>
      <c r="J59" s="16" t="str">
        <f t="shared" si="5"/>
        <v/>
      </c>
      <c r="K59" s="16" t="str">
        <f t="shared" si="6"/>
        <v/>
      </c>
      <c r="L59" s="16" t="str">
        <f t="shared" si="7"/>
        <v/>
      </c>
      <c r="M59" s="16" t="str">
        <f>IF(B59="","",IF(B59&gt;'Rate &amp; Vol Update'!$K$2,'Rate &amp; Vol Update'!$K$4,IF(B59&lt;'Rate &amp; Vol Update'!$F$2,D59,_xlfn.FORECAST.LINEAR(B59,INDEX('Rate &amp; Vol Update'!$F$4:$K$4,1,MATCH(B59,'Rate &amp; Vol Update'!$F$2:$K$2,1)):INDEX('Rate &amp; Vol Update'!$F$4:$K$4,1,MATCH(B59,'Rate &amp; Vol Update'!$F$2:$K$2,1)+1),INDEX('Rate &amp; Vol Update'!$F$2:$K$2,1,MATCH(B59,'Rate &amp; Vol Update'!$F$2:$K$2,1)):INDEX('Rate &amp; Vol Update'!$F$2:$K$2,1,MATCH(B59,'Rate &amp; Vol Update'!$F$2:$K$2,1)+1)))))</f>
        <v/>
      </c>
      <c r="N59" s="85" t="str">
        <f t="shared" si="8"/>
        <v/>
      </c>
      <c r="O59" s="16" t="str">
        <f t="shared" si="9"/>
        <v/>
      </c>
      <c r="P59" s="85" t="str">
        <f>IF(B59="","",Schedules!D59)</f>
        <v/>
      </c>
    </row>
    <row r="60" spans="2:16" x14ac:dyDescent="0.25">
      <c r="B60" s="4" t="str">
        <f>'Bachelier Model'!J61</f>
        <v/>
      </c>
      <c r="C60" s="16" t="str">
        <f>IF(B60="","",IF(B60&lt;'Rate &amp; Vol Update'!$B$8,0,_xlfn.FORECAST.LINEAR(B60,INDEX('Rate &amp; Vol Update'!$E$8:$E$127,MATCH('Market Scenarios'!B60,'Rate &amp; Vol Update'!$B$8:$B$127,1)):INDEX('Rate &amp; Vol Update'!$E$8:$E$127,MATCH('Market Scenarios'!B60,'Rate &amp; Vol Update'!$B$8:$B$127,1)+1),INDEX('Rate &amp; Vol Update'!$B$8:$B$127,MATCH('Market Scenarios'!B60,'Rate &amp; Vol Update'!$B$8:$B$127,1)):INDEX('Rate &amp; Vol Update'!$B$8:$B$127,MATCH('Market Scenarios'!B60,'Rate &amp; Vol Update'!$B$8:$B$127,1)+1)))/100)</f>
        <v/>
      </c>
      <c r="D60" s="85" t="str">
        <f>'Bachelier Model'!P61</f>
        <v/>
      </c>
      <c r="E60" s="16" t="str">
        <f t="shared" si="0"/>
        <v/>
      </c>
      <c r="F60" s="16" t="str">
        <f t="shared" si="1"/>
        <v/>
      </c>
      <c r="G60" s="16" t="str">
        <f t="shared" si="2"/>
        <v/>
      </c>
      <c r="H60" s="16" t="str">
        <f t="shared" si="3"/>
        <v/>
      </c>
      <c r="I60" s="16" t="str">
        <f t="shared" si="4"/>
        <v/>
      </c>
      <c r="J60" s="16" t="str">
        <f t="shared" si="5"/>
        <v/>
      </c>
      <c r="K60" s="16" t="str">
        <f t="shared" si="6"/>
        <v/>
      </c>
      <c r="L60" s="16" t="str">
        <f t="shared" si="7"/>
        <v/>
      </c>
      <c r="M60" s="16" t="str">
        <f>IF(B60="","",IF(B60&gt;'Rate &amp; Vol Update'!$K$2,'Rate &amp; Vol Update'!$K$4,IF(B60&lt;'Rate &amp; Vol Update'!$F$2,D60,_xlfn.FORECAST.LINEAR(B60,INDEX('Rate &amp; Vol Update'!$F$4:$K$4,1,MATCH(B60,'Rate &amp; Vol Update'!$F$2:$K$2,1)):INDEX('Rate &amp; Vol Update'!$F$4:$K$4,1,MATCH(B60,'Rate &amp; Vol Update'!$F$2:$K$2,1)+1),INDEX('Rate &amp; Vol Update'!$F$2:$K$2,1,MATCH(B60,'Rate &amp; Vol Update'!$F$2:$K$2,1)):INDEX('Rate &amp; Vol Update'!$F$2:$K$2,1,MATCH(B60,'Rate &amp; Vol Update'!$F$2:$K$2,1)+1)))))</f>
        <v/>
      </c>
      <c r="N60" s="85" t="str">
        <f t="shared" si="8"/>
        <v/>
      </c>
      <c r="O60" s="16" t="str">
        <f t="shared" si="9"/>
        <v/>
      </c>
      <c r="P60" s="85" t="str">
        <f>IF(B60="","",Schedules!D60)</f>
        <v/>
      </c>
    </row>
    <row r="61" spans="2:16" x14ac:dyDescent="0.25">
      <c r="B61" s="4" t="str">
        <f>'Bachelier Model'!J62</f>
        <v/>
      </c>
      <c r="C61" s="16" t="str">
        <f>IF(B61="","",IF(B61&lt;'Rate &amp; Vol Update'!$B$8,0,_xlfn.FORECAST.LINEAR(B61,INDEX('Rate &amp; Vol Update'!$E$8:$E$127,MATCH('Market Scenarios'!B61,'Rate &amp; Vol Update'!$B$8:$B$127,1)):INDEX('Rate &amp; Vol Update'!$E$8:$E$127,MATCH('Market Scenarios'!B61,'Rate &amp; Vol Update'!$B$8:$B$127,1)+1),INDEX('Rate &amp; Vol Update'!$B$8:$B$127,MATCH('Market Scenarios'!B61,'Rate &amp; Vol Update'!$B$8:$B$127,1)):INDEX('Rate &amp; Vol Update'!$B$8:$B$127,MATCH('Market Scenarios'!B61,'Rate &amp; Vol Update'!$B$8:$B$127,1)+1)))/100)</f>
        <v/>
      </c>
      <c r="D61" s="85" t="str">
        <f>'Bachelier Model'!P62</f>
        <v/>
      </c>
      <c r="E61" s="16" t="str">
        <f t="shared" si="0"/>
        <v/>
      </c>
      <c r="F61" s="16" t="str">
        <f t="shared" si="1"/>
        <v/>
      </c>
      <c r="G61" s="16" t="str">
        <f t="shared" si="2"/>
        <v/>
      </c>
      <c r="H61" s="16" t="str">
        <f t="shared" si="3"/>
        <v/>
      </c>
      <c r="I61" s="16" t="str">
        <f t="shared" si="4"/>
        <v/>
      </c>
      <c r="J61" s="16" t="str">
        <f t="shared" si="5"/>
        <v/>
      </c>
      <c r="K61" s="16" t="str">
        <f t="shared" si="6"/>
        <v/>
      </c>
      <c r="L61" s="16" t="str">
        <f t="shared" si="7"/>
        <v/>
      </c>
      <c r="M61" s="16" t="str">
        <f>IF(B61="","",IF(B61&gt;'Rate &amp; Vol Update'!$K$2,'Rate &amp; Vol Update'!$K$4,IF(B61&lt;'Rate &amp; Vol Update'!$F$2,D61,_xlfn.FORECAST.LINEAR(B61,INDEX('Rate &amp; Vol Update'!$F$4:$K$4,1,MATCH(B61,'Rate &amp; Vol Update'!$F$2:$K$2,1)):INDEX('Rate &amp; Vol Update'!$F$4:$K$4,1,MATCH(B61,'Rate &amp; Vol Update'!$F$2:$K$2,1)+1),INDEX('Rate &amp; Vol Update'!$F$2:$K$2,1,MATCH(B61,'Rate &amp; Vol Update'!$F$2:$K$2,1)):INDEX('Rate &amp; Vol Update'!$F$2:$K$2,1,MATCH(B61,'Rate &amp; Vol Update'!$F$2:$K$2,1)+1)))))</f>
        <v/>
      </c>
      <c r="N61" s="85" t="str">
        <f t="shared" si="8"/>
        <v/>
      </c>
      <c r="O61" s="16" t="str">
        <f t="shared" si="9"/>
        <v/>
      </c>
      <c r="P61" s="85" t="str">
        <f>IF(B61="","",Schedules!D61)</f>
        <v/>
      </c>
    </row>
    <row r="62" spans="2:16" x14ac:dyDescent="0.25">
      <c r="B62" s="4" t="str">
        <f>'Bachelier Model'!J63</f>
        <v/>
      </c>
      <c r="C62" s="16" t="str">
        <f>IF(B62="","",IF(B62&lt;'Rate &amp; Vol Update'!$B$8,0,_xlfn.FORECAST.LINEAR(B62,INDEX('Rate &amp; Vol Update'!$E$8:$E$127,MATCH('Market Scenarios'!B62,'Rate &amp; Vol Update'!$B$8:$B$127,1)):INDEX('Rate &amp; Vol Update'!$E$8:$E$127,MATCH('Market Scenarios'!B62,'Rate &amp; Vol Update'!$B$8:$B$127,1)+1),INDEX('Rate &amp; Vol Update'!$B$8:$B$127,MATCH('Market Scenarios'!B62,'Rate &amp; Vol Update'!$B$8:$B$127,1)):INDEX('Rate &amp; Vol Update'!$B$8:$B$127,MATCH('Market Scenarios'!B62,'Rate &amp; Vol Update'!$B$8:$B$127,1)+1)))/100)</f>
        <v/>
      </c>
      <c r="D62" s="85" t="str">
        <f>'Bachelier Model'!P63</f>
        <v/>
      </c>
      <c r="E62" s="16" t="str">
        <f t="shared" si="0"/>
        <v/>
      </c>
      <c r="F62" s="16" t="str">
        <f t="shared" si="1"/>
        <v/>
      </c>
      <c r="G62" s="16" t="str">
        <f t="shared" si="2"/>
        <v/>
      </c>
      <c r="H62" s="16" t="str">
        <f t="shared" si="3"/>
        <v/>
      </c>
      <c r="I62" s="16" t="str">
        <f t="shared" si="4"/>
        <v/>
      </c>
      <c r="J62" s="16" t="str">
        <f t="shared" si="5"/>
        <v/>
      </c>
      <c r="K62" s="16" t="str">
        <f t="shared" si="6"/>
        <v/>
      </c>
      <c r="L62" s="16" t="str">
        <f t="shared" si="7"/>
        <v/>
      </c>
      <c r="M62" s="16" t="str">
        <f>IF(B62="","",IF(B62&gt;'Rate &amp; Vol Update'!$K$2,'Rate &amp; Vol Update'!$K$4,IF(B62&lt;'Rate &amp; Vol Update'!$F$2,D62,_xlfn.FORECAST.LINEAR(B62,INDEX('Rate &amp; Vol Update'!$F$4:$K$4,1,MATCH(B62,'Rate &amp; Vol Update'!$F$2:$K$2,1)):INDEX('Rate &amp; Vol Update'!$F$4:$K$4,1,MATCH(B62,'Rate &amp; Vol Update'!$F$2:$K$2,1)+1),INDEX('Rate &amp; Vol Update'!$F$2:$K$2,1,MATCH(B62,'Rate &amp; Vol Update'!$F$2:$K$2,1)):INDEX('Rate &amp; Vol Update'!$F$2:$K$2,1,MATCH(B62,'Rate &amp; Vol Update'!$F$2:$K$2,1)+1)))))</f>
        <v/>
      </c>
      <c r="N62" s="85" t="str">
        <f t="shared" si="8"/>
        <v/>
      </c>
      <c r="O62" s="16" t="str">
        <f t="shared" si="9"/>
        <v/>
      </c>
      <c r="P62" s="85" t="str">
        <f>IF(B62="","",Schedules!D62)</f>
        <v/>
      </c>
    </row>
    <row r="63" spans="2:16" x14ac:dyDescent="0.25">
      <c r="B63" s="4" t="str">
        <f>'Bachelier Model'!J64</f>
        <v/>
      </c>
      <c r="C63" s="16" t="str">
        <f>IF(B63="","",IF(B63&lt;'Rate &amp; Vol Update'!$B$8,0,_xlfn.FORECAST.LINEAR(B63,INDEX('Rate &amp; Vol Update'!$E$8:$E$127,MATCH('Market Scenarios'!B63,'Rate &amp; Vol Update'!$B$8:$B$127,1)):INDEX('Rate &amp; Vol Update'!$E$8:$E$127,MATCH('Market Scenarios'!B63,'Rate &amp; Vol Update'!$B$8:$B$127,1)+1),INDEX('Rate &amp; Vol Update'!$B$8:$B$127,MATCH('Market Scenarios'!B63,'Rate &amp; Vol Update'!$B$8:$B$127,1)):INDEX('Rate &amp; Vol Update'!$B$8:$B$127,MATCH('Market Scenarios'!B63,'Rate &amp; Vol Update'!$B$8:$B$127,1)+1)))/100)</f>
        <v/>
      </c>
      <c r="D63" s="85" t="str">
        <f>'Bachelier Model'!P64</f>
        <v/>
      </c>
      <c r="E63" s="16" t="str">
        <f t="shared" si="0"/>
        <v/>
      </c>
      <c r="F63" s="16" t="str">
        <f t="shared" si="1"/>
        <v/>
      </c>
      <c r="G63" s="16" t="str">
        <f t="shared" si="2"/>
        <v/>
      </c>
      <c r="H63" s="16" t="str">
        <f t="shared" si="3"/>
        <v/>
      </c>
      <c r="I63" s="16" t="str">
        <f t="shared" si="4"/>
        <v/>
      </c>
      <c r="J63" s="16" t="str">
        <f t="shared" si="5"/>
        <v/>
      </c>
      <c r="K63" s="16" t="str">
        <f t="shared" si="6"/>
        <v/>
      </c>
      <c r="L63" s="16" t="str">
        <f t="shared" si="7"/>
        <v/>
      </c>
      <c r="M63" s="16" t="str">
        <f>IF(B63="","",IF(B63&gt;'Rate &amp; Vol Update'!$K$2,'Rate &amp; Vol Update'!$K$4,IF(B63&lt;'Rate &amp; Vol Update'!$F$2,D63,_xlfn.FORECAST.LINEAR(B63,INDEX('Rate &amp; Vol Update'!$F$4:$K$4,1,MATCH(B63,'Rate &amp; Vol Update'!$F$2:$K$2,1)):INDEX('Rate &amp; Vol Update'!$F$4:$K$4,1,MATCH(B63,'Rate &amp; Vol Update'!$F$2:$K$2,1)+1),INDEX('Rate &amp; Vol Update'!$F$2:$K$2,1,MATCH(B63,'Rate &amp; Vol Update'!$F$2:$K$2,1)):INDEX('Rate &amp; Vol Update'!$F$2:$K$2,1,MATCH(B63,'Rate &amp; Vol Update'!$F$2:$K$2,1)+1)))))</f>
        <v/>
      </c>
      <c r="N63" s="85" t="str">
        <f t="shared" si="8"/>
        <v/>
      </c>
      <c r="O63" s="16" t="str">
        <f t="shared" si="9"/>
        <v/>
      </c>
      <c r="P63" s="85" t="str">
        <f>IF(B63="","",Schedules!D63)</f>
        <v/>
      </c>
    </row>
    <row r="64" spans="2:16" x14ac:dyDescent="0.25">
      <c r="B64" s="4" t="str">
        <f>'Bachelier Model'!J65</f>
        <v/>
      </c>
      <c r="C64" s="16" t="str">
        <f>IF(B64="","",IF(B64&lt;'Rate &amp; Vol Update'!$B$8,0,_xlfn.FORECAST.LINEAR(B64,INDEX('Rate &amp; Vol Update'!$E$8:$E$127,MATCH('Market Scenarios'!B64,'Rate &amp; Vol Update'!$B$8:$B$127,1)):INDEX('Rate &amp; Vol Update'!$E$8:$E$127,MATCH('Market Scenarios'!B64,'Rate &amp; Vol Update'!$B$8:$B$127,1)+1),INDEX('Rate &amp; Vol Update'!$B$8:$B$127,MATCH('Market Scenarios'!B64,'Rate &amp; Vol Update'!$B$8:$B$127,1)):INDEX('Rate &amp; Vol Update'!$B$8:$B$127,MATCH('Market Scenarios'!B64,'Rate &amp; Vol Update'!$B$8:$B$127,1)+1)))/100)</f>
        <v/>
      </c>
      <c r="D64" s="85" t="str">
        <f>'Bachelier Model'!P65</f>
        <v/>
      </c>
      <c r="E64" s="16" t="str">
        <f t="shared" si="0"/>
        <v/>
      </c>
      <c r="F64" s="16" t="str">
        <f t="shared" si="1"/>
        <v/>
      </c>
      <c r="G64" s="16" t="str">
        <f t="shared" si="2"/>
        <v/>
      </c>
      <c r="H64" s="16" t="str">
        <f t="shared" si="3"/>
        <v/>
      </c>
      <c r="I64" s="16" t="str">
        <f t="shared" si="4"/>
        <v/>
      </c>
      <c r="J64" s="16" t="str">
        <f t="shared" si="5"/>
        <v/>
      </c>
      <c r="K64" s="16" t="str">
        <f t="shared" si="6"/>
        <v/>
      </c>
      <c r="L64" s="16" t="str">
        <f t="shared" si="7"/>
        <v/>
      </c>
      <c r="M64" s="16" t="str">
        <f>IF(B64="","",IF(B64&gt;'Rate &amp; Vol Update'!$K$2,'Rate &amp; Vol Update'!$K$4,IF(B64&lt;'Rate &amp; Vol Update'!$F$2,D64,_xlfn.FORECAST.LINEAR(B64,INDEX('Rate &amp; Vol Update'!$F$4:$K$4,1,MATCH(B64,'Rate &amp; Vol Update'!$F$2:$K$2,1)):INDEX('Rate &amp; Vol Update'!$F$4:$K$4,1,MATCH(B64,'Rate &amp; Vol Update'!$F$2:$K$2,1)+1),INDEX('Rate &amp; Vol Update'!$F$2:$K$2,1,MATCH(B64,'Rate &amp; Vol Update'!$F$2:$K$2,1)):INDEX('Rate &amp; Vol Update'!$F$2:$K$2,1,MATCH(B64,'Rate &amp; Vol Update'!$F$2:$K$2,1)+1)))))</f>
        <v/>
      </c>
      <c r="N64" s="85" t="str">
        <f t="shared" si="8"/>
        <v/>
      </c>
      <c r="O64" s="16" t="str">
        <f t="shared" si="9"/>
        <v/>
      </c>
      <c r="P64" s="85" t="str">
        <f>IF(B64="","",Schedules!D64)</f>
        <v/>
      </c>
    </row>
    <row r="65" spans="2:16" x14ac:dyDescent="0.25">
      <c r="B65" s="4" t="str">
        <f>'Bachelier Model'!J66</f>
        <v/>
      </c>
      <c r="C65" s="16" t="str">
        <f>IF(B65="","",IF(B65&lt;'Rate &amp; Vol Update'!$B$8,0,_xlfn.FORECAST.LINEAR(B65,INDEX('Rate &amp; Vol Update'!$E$8:$E$127,MATCH('Market Scenarios'!B65,'Rate &amp; Vol Update'!$B$8:$B$127,1)):INDEX('Rate &amp; Vol Update'!$E$8:$E$127,MATCH('Market Scenarios'!B65,'Rate &amp; Vol Update'!$B$8:$B$127,1)+1),INDEX('Rate &amp; Vol Update'!$B$8:$B$127,MATCH('Market Scenarios'!B65,'Rate &amp; Vol Update'!$B$8:$B$127,1)):INDEX('Rate &amp; Vol Update'!$B$8:$B$127,MATCH('Market Scenarios'!B65,'Rate &amp; Vol Update'!$B$8:$B$127,1)+1)))/100)</f>
        <v/>
      </c>
      <c r="D65" s="85" t="str">
        <f>'Bachelier Model'!P66</f>
        <v/>
      </c>
      <c r="E65" s="16" t="str">
        <f t="shared" si="0"/>
        <v/>
      </c>
      <c r="F65" s="16" t="str">
        <f t="shared" si="1"/>
        <v/>
      </c>
      <c r="G65" s="16" t="str">
        <f t="shared" si="2"/>
        <v/>
      </c>
      <c r="H65" s="16" t="str">
        <f t="shared" si="3"/>
        <v/>
      </c>
      <c r="I65" s="16" t="str">
        <f t="shared" si="4"/>
        <v/>
      </c>
      <c r="J65" s="16" t="str">
        <f t="shared" si="5"/>
        <v/>
      </c>
      <c r="K65" s="16" t="str">
        <f t="shared" si="6"/>
        <v/>
      </c>
      <c r="L65" s="16" t="str">
        <f t="shared" si="7"/>
        <v/>
      </c>
      <c r="M65" s="16" t="str">
        <f>IF(B65="","",IF(B65&gt;'Rate &amp; Vol Update'!$K$2,'Rate &amp; Vol Update'!$K$4,IF(B65&lt;'Rate &amp; Vol Update'!$F$2,D65,_xlfn.FORECAST.LINEAR(B65,INDEX('Rate &amp; Vol Update'!$F$4:$K$4,1,MATCH(B65,'Rate &amp; Vol Update'!$F$2:$K$2,1)):INDEX('Rate &amp; Vol Update'!$F$4:$K$4,1,MATCH(B65,'Rate &amp; Vol Update'!$F$2:$K$2,1)+1),INDEX('Rate &amp; Vol Update'!$F$2:$K$2,1,MATCH(B65,'Rate &amp; Vol Update'!$F$2:$K$2,1)):INDEX('Rate &amp; Vol Update'!$F$2:$K$2,1,MATCH(B65,'Rate &amp; Vol Update'!$F$2:$K$2,1)+1)))))</f>
        <v/>
      </c>
      <c r="N65" s="85" t="str">
        <f t="shared" si="8"/>
        <v/>
      </c>
      <c r="O65" s="16" t="str">
        <f t="shared" si="9"/>
        <v/>
      </c>
      <c r="P65" s="85" t="str">
        <f>IF(B65="","",Schedules!D65)</f>
        <v/>
      </c>
    </row>
    <row r="66" spans="2:16" x14ac:dyDescent="0.25">
      <c r="B66" s="4" t="str">
        <f>'Bachelier Model'!J67</f>
        <v/>
      </c>
      <c r="C66" s="16" t="str">
        <f>IF(B66="","",IF(B66&lt;'Rate &amp; Vol Update'!$B$8,0,_xlfn.FORECAST.LINEAR(B66,INDEX('Rate &amp; Vol Update'!$E$8:$E$127,MATCH('Market Scenarios'!B66,'Rate &amp; Vol Update'!$B$8:$B$127,1)):INDEX('Rate &amp; Vol Update'!$E$8:$E$127,MATCH('Market Scenarios'!B66,'Rate &amp; Vol Update'!$B$8:$B$127,1)+1),INDEX('Rate &amp; Vol Update'!$B$8:$B$127,MATCH('Market Scenarios'!B66,'Rate &amp; Vol Update'!$B$8:$B$127,1)):INDEX('Rate &amp; Vol Update'!$B$8:$B$127,MATCH('Market Scenarios'!B66,'Rate &amp; Vol Update'!$B$8:$B$127,1)+1)))/100)</f>
        <v/>
      </c>
      <c r="D66" s="85" t="str">
        <f>'Bachelier Model'!P67</f>
        <v/>
      </c>
      <c r="E66" s="16" t="str">
        <f t="shared" si="0"/>
        <v/>
      </c>
      <c r="F66" s="16" t="str">
        <f t="shared" si="1"/>
        <v/>
      </c>
      <c r="G66" s="16" t="str">
        <f t="shared" si="2"/>
        <v/>
      </c>
      <c r="H66" s="16" t="str">
        <f t="shared" si="3"/>
        <v/>
      </c>
      <c r="I66" s="16" t="str">
        <f t="shared" si="4"/>
        <v/>
      </c>
      <c r="J66" s="16" t="str">
        <f t="shared" si="5"/>
        <v/>
      </c>
      <c r="K66" s="16" t="str">
        <f t="shared" si="6"/>
        <v/>
      </c>
      <c r="L66" s="16" t="str">
        <f t="shared" si="7"/>
        <v/>
      </c>
      <c r="M66" s="16" t="str">
        <f>IF(B66="","",IF(B66&gt;'Rate &amp; Vol Update'!$K$2,'Rate &amp; Vol Update'!$K$4,IF(B66&lt;'Rate &amp; Vol Update'!$F$2,D66,_xlfn.FORECAST.LINEAR(B66,INDEX('Rate &amp; Vol Update'!$F$4:$K$4,1,MATCH(B66,'Rate &amp; Vol Update'!$F$2:$K$2,1)):INDEX('Rate &amp; Vol Update'!$F$4:$K$4,1,MATCH(B66,'Rate &amp; Vol Update'!$F$2:$K$2,1)+1),INDEX('Rate &amp; Vol Update'!$F$2:$K$2,1,MATCH(B66,'Rate &amp; Vol Update'!$F$2:$K$2,1)):INDEX('Rate &amp; Vol Update'!$F$2:$K$2,1,MATCH(B66,'Rate &amp; Vol Update'!$F$2:$K$2,1)+1)))))</f>
        <v/>
      </c>
      <c r="N66" s="85" t="str">
        <f t="shared" si="8"/>
        <v/>
      </c>
      <c r="O66" s="16" t="str">
        <f t="shared" si="9"/>
        <v/>
      </c>
      <c r="P66" s="85" t="str">
        <f>IF(B66="","",Schedules!D66)</f>
        <v/>
      </c>
    </row>
    <row r="67" spans="2:16" x14ac:dyDescent="0.25">
      <c r="B67" s="4" t="str">
        <f>'Bachelier Model'!J68</f>
        <v/>
      </c>
      <c r="C67" s="16" t="str">
        <f>IF(B67="","",IF(B67&lt;'Rate &amp; Vol Update'!$B$8,0,_xlfn.FORECAST.LINEAR(B67,INDEX('Rate &amp; Vol Update'!$E$8:$E$127,MATCH('Market Scenarios'!B67,'Rate &amp; Vol Update'!$B$8:$B$127,1)):INDEX('Rate &amp; Vol Update'!$E$8:$E$127,MATCH('Market Scenarios'!B67,'Rate &amp; Vol Update'!$B$8:$B$127,1)+1),INDEX('Rate &amp; Vol Update'!$B$8:$B$127,MATCH('Market Scenarios'!B67,'Rate &amp; Vol Update'!$B$8:$B$127,1)):INDEX('Rate &amp; Vol Update'!$B$8:$B$127,MATCH('Market Scenarios'!B67,'Rate &amp; Vol Update'!$B$8:$B$127,1)+1)))/100)</f>
        <v/>
      </c>
      <c r="D67" s="85" t="str">
        <f>'Bachelier Model'!P68</f>
        <v/>
      </c>
      <c r="E67" s="16" t="str">
        <f t="shared" si="0"/>
        <v/>
      </c>
      <c r="F67" s="16" t="str">
        <f t="shared" si="1"/>
        <v/>
      </c>
      <c r="G67" s="16" t="str">
        <f t="shared" si="2"/>
        <v/>
      </c>
      <c r="H67" s="16" t="str">
        <f t="shared" si="3"/>
        <v/>
      </c>
      <c r="I67" s="16" t="str">
        <f t="shared" si="4"/>
        <v/>
      </c>
      <c r="J67" s="16" t="str">
        <f t="shared" si="5"/>
        <v/>
      </c>
      <c r="K67" s="16" t="str">
        <f t="shared" si="6"/>
        <v/>
      </c>
      <c r="L67" s="16" t="str">
        <f t="shared" si="7"/>
        <v/>
      </c>
      <c r="M67" s="16" t="str">
        <f>IF(B67="","",IF(B67&gt;'Rate &amp; Vol Update'!$K$2,'Rate &amp; Vol Update'!$K$4,IF(B67&lt;'Rate &amp; Vol Update'!$F$2,D67,_xlfn.FORECAST.LINEAR(B67,INDEX('Rate &amp; Vol Update'!$F$4:$K$4,1,MATCH(B67,'Rate &amp; Vol Update'!$F$2:$K$2,1)):INDEX('Rate &amp; Vol Update'!$F$4:$K$4,1,MATCH(B67,'Rate &amp; Vol Update'!$F$2:$K$2,1)+1),INDEX('Rate &amp; Vol Update'!$F$2:$K$2,1,MATCH(B67,'Rate &amp; Vol Update'!$F$2:$K$2,1)):INDEX('Rate &amp; Vol Update'!$F$2:$K$2,1,MATCH(B67,'Rate &amp; Vol Update'!$F$2:$K$2,1)+1)))))</f>
        <v/>
      </c>
      <c r="N67" s="85" t="str">
        <f t="shared" si="8"/>
        <v/>
      </c>
      <c r="O67" s="16" t="str">
        <f t="shared" si="9"/>
        <v/>
      </c>
      <c r="P67" s="85" t="str">
        <f>IF(B67="","",Schedules!D67)</f>
        <v/>
      </c>
    </row>
    <row r="68" spans="2:16" x14ac:dyDescent="0.25">
      <c r="B68" s="4" t="str">
        <f>'Bachelier Model'!J69</f>
        <v/>
      </c>
      <c r="C68" s="16" t="str">
        <f>IF(B68="","",IF(B68&lt;'Rate &amp; Vol Update'!$B$8,0,_xlfn.FORECAST.LINEAR(B68,INDEX('Rate &amp; Vol Update'!$E$8:$E$127,MATCH('Market Scenarios'!B68,'Rate &amp; Vol Update'!$B$8:$B$127,1)):INDEX('Rate &amp; Vol Update'!$E$8:$E$127,MATCH('Market Scenarios'!B68,'Rate &amp; Vol Update'!$B$8:$B$127,1)+1),INDEX('Rate &amp; Vol Update'!$B$8:$B$127,MATCH('Market Scenarios'!B68,'Rate &amp; Vol Update'!$B$8:$B$127,1)):INDEX('Rate &amp; Vol Update'!$B$8:$B$127,MATCH('Market Scenarios'!B68,'Rate &amp; Vol Update'!$B$8:$B$127,1)+1)))/100)</f>
        <v/>
      </c>
      <c r="D68" s="85" t="str">
        <f>'Bachelier Model'!P69</f>
        <v/>
      </c>
      <c r="E68" s="16" t="str">
        <f t="shared" ref="E68:E123" si="10">IF(B68="","",$D68*(1+(SQRT(YEARFRAC($B$3,$B68,2))*(2*$C68))))</f>
        <v/>
      </c>
      <c r="F68" s="16" t="str">
        <f t="shared" ref="F68:F123" si="11">IF(B68="","",$D68*(1+(SQRT(YEARFRAC($B$3,$B68,1))*(1*$C68))))</f>
        <v/>
      </c>
      <c r="G68" s="16" t="str">
        <f t="shared" ref="G68:G123" si="12">IF(B68="","",$D68*(1-(SQRT(YEARFRAC($B$3,$B68,1))*(1*$C68))))</f>
        <v/>
      </c>
      <c r="H68" s="16" t="str">
        <f t="shared" ref="H68:H123" si="13">IF(B68="","",$D68*(1-(SQRT(YEARFRAC($B$3,$B68,2))*(2*$C68))))</f>
        <v/>
      </c>
      <c r="I68" s="16" t="str">
        <f t="shared" ref="I68:I123" si="14">IF(B68="","",D68+0.5%)</f>
        <v/>
      </c>
      <c r="J68" s="16" t="str">
        <f t="shared" ref="J68:J123" si="15">IF(B68="","",D68+0.25%)</f>
        <v/>
      </c>
      <c r="K68" s="16" t="str">
        <f t="shared" ref="K68:K123" si="16">IF(B68="","",D68-0.25%)</f>
        <v/>
      </c>
      <c r="L68" s="16" t="str">
        <f t="shared" ref="L68:L123" si="17">IF(B68="","",D68-0.5%)</f>
        <v/>
      </c>
      <c r="M68" s="16" t="str">
        <f>IF(B68="","",IF(B68&gt;'Rate &amp; Vol Update'!$K$2,'Rate &amp; Vol Update'!$K$4,IF(B68&lt;'Rate &amp; Vol Update'!$F$2,D68,_xlfn.FORECAST.LINEAR(B68,INDEX('Rate &amp; Vol Update'!$F$4:$K$4,1,MATCH(B68,'Rate &amp; Vol Update'!$F$2:$K$2,1)):INDEX('Rate &amp; Vol Update'!$F$4:$K$4,1,MATCH(B68,'Rate &amp; Vol Update'!$F$2:$K$2,1)+1),INDEX('Rate &amp; Vol Update'!$F$2:$K$2,1,MATCH(B68,'Rate &amp; Vol Update'!$F$2:$K$2,1)):INDEX('Rate &amp; Vol Update'!$F$2:$K$2,1,MATCH(B68,'Rate &amp; Vol Update'!$F$2:$K$2,1)+1)))))</f>
        <v/>
      </c>
      <c r="N68" s="85" t="str">
        <f t="shared" ref="N68:N123" si="18">IF(B68="","",6%)</f>
        <v/>
      </c>
      <c r="O68" s="16" t="str">
        <f t="shared" ref="O68:O123" si="19">IF(B68="","",0.125%)</f>
        <v/>
      </c>
      <c r="P68" s="85" t="str">
        <f>IF(B68="","",Schedules!D68)</f>
        <v/>
      </c>
    </row>
    <row r="69" spans="2:16" x14ac:dyDescent="0.25">
      <c r="B69" s="4" t="str">
        <f>'Bachelier Model'!J70</f>
        <v/>
      </c>
      <c r="C69" s="16" t="str">
        <f>IF(B69="","",IF(B69&lt;'Rate &amp; Vol Update'!$B$8,0,_xlfn.FORECAST.LINEAR(B69,INDEX('Rate &amp; Vol Update'!$E$8:$E$127,MATCH('Market Scenarios'!B69,'Rate &amp; Vol Update'!$B$8:$B$127,1)):INDEX('Rate &amp; Vol Update'!$E$8:$E$127,MATCH('Market Scenarios'!B69,'Rate &amp; Vol Update'!$B$8:$B$127,1)+1),INDEX('Rate &amp; Vol Update'!$B$8:$B$127,MATCH('Market Scenarios'!B69,'Rate &amp; Vol Update'!$B$8:$B$127,1)):INDEX('Rate &amp; Vol Update'!$B$8:$B$127,MATCH('Market Scenarios'!B69,'Rate &amp; Vol Update'!$B$8:$B$127,1)+1)))/100)</f>
        <v/>
      </c>
      <c r="D69" s="85" t="str">
        <f>'Bachelier Model'!P70</f>
        <v/>
      </c>
      <c r="E69" s="16" t="str">
        <f t="shared" si="10"/>
        <v/>
      </c>
      <c r="F69" s="16" t="str">
        <f t="shared" si="11"/>
        <v/>
      </c>
      <c r="G69" s="16" t="str">
        <f t="shared" si="12"/>
        <v/>
      </c>
      <c r="H69" s="16" t="str">
        <f t="shared" si="13"/>
        <v/>
      </c>
      <c r="I69" s="16" t="str">
        <f t="shared" si="14"/>
        <v/>
      </c>
      <c r="J69" s="16" t="str">
        <f t="shared" si="15"/>
        <v/>
      </c>
      <c r="K69" s="16" t="str">
        <f t="shared" si="16"/>
        <v/>
      </c>
      <c r="L69" s="16" t="str">
        <f t="shared" si="17"/>
        <v/>
      </c>
      <c r="M69" s="16" t="str">
        <f>IF(B69="","",IF(B69&gt;'Rate &amp; Vol Update'!$K$2,'Rate &amp; Vol Update'!$K$4,IF(B69&lt;'Rate &amp; Vol Update'!$F$2,D69,_xlfn.FORECAST.LINEAR(B69,INDEX('Rate &amp; Vol Update'!$F$4:$K$4,1,MATCH(B69,'Rate &amp; Vol Update'!$F$2:$K$2,1)):INDEX('Rate &amp; Vol Update'!$F$4:$K$4,1,MATCH(B69,'Rate &amp; Vol Update'!$F$2:$K$2,1)+1),INDEX('Rate &amp; Vol Update'!$F$2:$K$2,1,MATCH(B69,'Rate &amp; Vol Update'!$F$2:$K$2,1)):INDEX('Rate &amp; Vol Update'!$F$2:$K$2,1,MATCH(B69,'Rate &amp; Vol Update'!$F$2:$K$2,1)+1)))))</f>
        <v/>
      </c>
      <c r="N69" s="85" t="str">
        <f t="shared" si="18"/>
        <v/>
      </c>
      <c r="O69" s="16" t="str">
        <f t="shared" si="19"/>
        <v/>
      </c>
      <c r="P69" s="85" t="str">
        <f>IF(B69="","",Schedules!D69)</f>
        <v/>
      </c>
    </row>
    <row r="70" spans="2:16" x14ac:dyDescent="0.25">
      <c r="B70" s="4" t="str">
        <f>'Bachelier Model'!J71</f>
        <v/>
      </c>
      <c r="C70" s="16" t="str">
        <f>IF(B70="","",IF(B70&lt;'Rate &amp; Vol Update'!$B$8,0,_xlfn.FORECAST.LINEAR(B70,INDEX('Rate &amp; Vol Update'!$E$8:$E$127,MATCH('Market Scenarios'!B70,'Rate &amp; Vol Update'!$B$8:$B$127,1)):INDEX('Rate &amp; Vol Update'!$E$8:$E$127,MATCH('Market Scenarios'!B70,'Rate &amp; Vol Update'!$B$8:$B$127,1)+1),INDEX('Rate &amp; Vol Update'!$B$8:$B$127,MATCH('Market Scenarios'!B70,'Rate &amp; Vol Update'!$B$8:$B$127,1)):INDEX('Rate &amp; Vol Update'!$B$8:$B$127,MATCH('Market Scenarios'!B70,'Rate &amp; Vol Update'!$B$8:$B$127,1)+1)))/100)</f>
        <v/>
      </c>
      <c r="D70" s="85" t="str">
        <f>'Bachelier Model'!P71</f>
        <v/>
      </c>
      <c r="E70" s="16" t="str">
        <f t="shared" si="10"/>
        <v/>
      </c>
      <c r="F70" s="16" t="str">
        <f t="shared" si="11"/>
        <v/>
      </c>
      <c r="G70" s="16" t="str">
        <f t="shared" si="12"/>
        <v/>
      </c>
      <c r="H70" s="16" t="str">
        <f t="shared" si="13"/>
        <v/>
      </c>
      <c r="I70" s="16" t="str">
        <f t="shared" si="14"/>
        <v/>
      </c>
      <c r="J70" s="16" t="str">
        <f t="shared" si="15"/>
        <v/>
      </c>
      <c r="K70" s="16" t="str">
        <f t="shared" si="16"/>
        <v/>
      </c>
      <c r="L70" s="16" t="str">
        <f t="shared" si="17"/>
        <v/>
      </c>
      <c r="M70" s="16" t="str">
        <f>IF(B70="","",IF(B70&gt;'Rate &amp; Vol Update'!$K$2,'Rate &amp; Vol Update'!$K$4,IF(B70&lt;'Rate &amp; Vol Update'!$F$2,D70,_xlfn.FORECAST.LINEAR(B70,INDEX('Rate &amp; Vol Update'!$F$4:$K$4,1,MATCH(B70,'Rate &amp; Vol Update'!$F$2:$K$2,1)):INDEX('Rate &amp; Vol Update'!$F$4:$K$4,1,MATCH(B70,'Rate &amp; Vol Update'!$F$2:$K$2,1)+1),INDEX('Rate &amp; Vol Update'!$F$2:$K$2,1,MATCH(B70,'Rate &amp; Vol Update'!$F$2:$K$2,1)):INDEX('Rate &amp; Vol Update'!$F$2:$K$2,1,MATCH(B70,'Rate &amp; Vol Update'!$F$2:$K$2,1)+1)))))</f>
        <v/>
      </c>
      <c r="N70" s="85" t="str">
        <f t="shared" si="18"/>
        <v/>
      </c>
      <c r="O70" s="16" t="str">
        <f t="shared" si="19"/>
        <v/>
      </c>
      <c r="P70" s="85" t="str">
        <f>IF(B70="","",Schedules!D70)</f>
        <v/>
      </c>
    </row>
    <row r="71" spans="2:16" x14ac:dyDescent="0.25">
      <c r="B71" s="4" t="str">
        <f>'Bachelier Model'!J72</f>
        <v/>
      </c>
      <c r="C71" s="16" t="str">
        <f>IF(B71="","",IF(B71&lt;'Rate &amp; Vol Update'!$B$8,0,_xlfn.FORECAST.LINEAR(B71,INDEX('Rate &amp; Vol Update'!$E$8:$E$127,MATCH('Market Scenarios'!B71,'Rate &amp; Vol Update'!$B$8:$B$127,1)):INDEX('Rate &amp; Vol Update'!$E$8:$E$127,MATCH('Market Scenarios'!B71,'Rate &amp; Vol Update'!$B$8:$B$127,1)+1),INDEX('Rate &amp; Vol Update'!$B$8:$B$127,MATCH('Market Scenarios'!B71,'Rate &amp; Vol Update'!$B$8:$B$127,1)):INDEX('Rate &amp; Vol Update'!$B$8:$B$127,MATCH('Market Scenarios'!B71,'Rate &amp; Vol Update'!$B$8:$B$127,1)+1)))/100)</f>
        <v/>
      </c>
      <c r="D71" s="85" t="str">
        <f>'Bachelier Model'!P72</f>
        <v/>
      </c>
      <c r="E71" s="16" t="str">
        <f t="shared" si="10"/>
        <v/>
      </c>
      <c r="F71" s="16" t="str">
        <f t="shared" si="11"/>
        <v/>
      </c>
      <c r="G71" s="16" t="str">
        <f t="shared" si="12"/>
        <v/>
      </c>
      <c r="H71" s="16" t="str">
        <f t="shared" si="13"/>
        <v/>
      </c>
      <c r="I71" s="16" t="str">
        <f t="shared" si="14"/>
        <v/>
      </c>
      <c r="J71" s="16" t="str">
        <f t="shared" si="15"/>
        <v/>
      </c>
      <c r="K71" s="16" t="str">
        <f t="shared" si="16"/>
        <v/>
      </c>
      <c r="L71" s="16" t="str">
        <f t="shared" si="17"/>
        <v/>
      </c>
      <c r="M71" s="16" t="str">
        <f>IF(B71="","",IF(B71&gt;'Rate &amp; Vol Update'!$K$2,'Rate &amp; Vol Update'!$K$4,IF(B71&lt;'Rate &amp; Vol Update'!$F$2,D71,_xlfn.FORECAST.LINEAR(B71,INDEX('Rate &amp; Vol Update'!$F$4:$K$4,1,MATCH(B71,'Rate &amp; Vol Update'!$F$2:$K$2,1)):INDEX('Rate &amp; Vol Update'!$F$4:$K$4,1,MATCH(B71,'Rate &amp; Vol Update'!$F$2:$K$2,1)+1),INDEX('Rate &amp; Vol Update'!$F$2:$K$2,1,MATCH(B71,'Rate &amp; Vol Update'!$F$2:$K$2,1)):INDEX('Rate &amp; Vol Update'!$F$2:$K$2,1,MATCH(B71,'Rate &amp; Vol Update'!$F$2:$K$2,1)+1)))))</f>
        <v/>
      </c>
      <c r="N71" s="85" t="str">
        <f t="shared" si="18"/>
        <v/>
      </c>
      <c r="O71" s="16" t="str">
        <f t="shared" si="19"/>
        <v/>
      </c>
      <c r="P71" s="85" t="str">
        <f>IF(B71="","",Schedules!D71)</f>
        <v/>
      </c>
    </row>
    <row r="72" spans="2:16" x14ac:dyDescent="0.25">
      <c r="B72" s="4" t="str">
        <f>'Bachelier Model'!J73</f>
        <v/>
      </c>
      <c r="C72" s="16" t="str">
        <f>IF(B72="","",IF(B72&lt;'Rate &amp; Vol Update'!$B$8,0,_xlfn.FORECAST.LINEAR(B72,INDEX('Rate &amp; Vol Update'!$E$8:$E$127,MATCH('Market Scenarios'!B72,'Rate &amp; Vol Update'!$B$8:$B$127,1)):INDEX('Rate &amp; Vol Update'!$E$8:$E$127,MATCH('Market Scenarios'!B72,'Rate &amp; Vol Update'!$B$8:$B$127,1)+1),INDEX('Rate &amp; Vol Update'!$B$8:$B$127,MATCH('Market Scenarios'!B72,'Rate &amp; Vol Update'!$B$8:$B$127,1)):INDEX('Rate &amp; Vol Update'!$B$8:$B$127,MATCH('Market Scenarios'!B72,'Rate &amp; Vol Update'!$B$8:$B$127,1)+1)))/100)</f>
        <v/>
      </c>
      <c r="D72" s="85" t="str">
        <f>'Bachelier Model'!P73</f>
        <v/>
      </c>
      <c r="E72" s="16" t="str">
        <f t="shared" si="10"/>
        <v/>
      </c>
      <c r="F72" s="16" t="str">
        <f t="shared" si="11"/>
        <v/>
      </c>
      <c r="G72" s="16" t="str">
        <f t="shared" si="12"/>
        <v/>
      </c>
      <c r="H72" s="16" t="str">
        <f t="shared" si="13"/>
        <v/>
      </c>
      <c r="I72" s="16" t="str">
        <f t="shared" si="14"/>
        <v/>
      </c>
      <c r="J72" s="16" t="str">
        <f t="shared" si="15"/>
        <v/>
      </c>
      <c r="K72" s="16" t="str">
        <f t="shared" si="16"/>
        <v/>
      </c>
      <c r="L72" s="16" t="str">
        <f t="shared" si="17"/>
        <v/>
      </c>
      <c r="M72" s="16" t="str">
        <f>IF(B72="","",IF(B72&gt;'Rate &amp; Vol Update'!$K$2,'Rate &amp; Vol Update'!$K$4,IF(B72&lt;'Rate &amp; Vol Update'!$F$2,D72,_xlfn.FORECAST.LINEAR(B72,INDEX('Rate &amp; Vol Update'!$F$4:$K$4,1,MATCH(B72,'Rate &amp; Vol Update'!$F$2:$K$2,1)):INDEX('Rate &amp; Vol Update'!$F$4:$K$4,1,MATCH(B72,'Rate &amp; Vol Update'!$F$2:$K$2,1)+1),INDEX('Rate &amp; Vol Update'!$F$2:$K$2,1,MATCH(B72,'Rate &amp; Vol Update'!$F$2:$K$2,1)):INDEX('Rate &amp; Vol Update'!$F$2:$K$2,1,MATCH(B72,'Rate &amp; Vol Update'!$F$2:$K$2,1)+1)))))</f>
        <v/>
      </c>
      <c r="N72" s="85" t="str">
        <f t="shared" si="18"/>
        <v/>
      </c>
      <c r="O72" s="16" t="str">
        <f t="shared" si="19"/>
        <v/>
      </c>
      <c r="P72" s="85" t="str">
        <f>IF(B72="","",Schedules!D72)</f>
        <v/>
      </c>
    </row>
    <row r="73" spans="2:16" x14ac:dyDescent="0.25">
      <c r="B73" s="4" t="str">
        <f>'Bachelier Model'!J74</f>
        <v/>
      </c>
      <c r="C73" s="16" t="str">
        <f>IF(B73="","",IF(B73&lt;'Rate &amp; Vol Update'!$B$8,0,_xlfn.FORECAST.LINEAR(B73,INDEX('Rate &amp; Vol Update'!$E$8:$E$127,MATCH('Market Scenarios'!B73,'Rate &amp; Vol Update'!$B$8:$B$127,1)):INDEX('Rate &amp; Vol Update'!$E$8:$E$127,MATCH('Market Scenarios'!B73,'Rate &amp; Vol Update'!$B$8:$B$127,1)+1),INDEX('Rate &amp; Vol Update'!$B$8:$B$127,MATCH('Market Scenarios'!B73,'Rate &amp; Vol Update'!$B$8:$B$127,1)):INDEX('Rate &amp; Vol Update'!$B$8:$B$127,MATCH('Market Scenarios'!B73,'Rate &amp; Vol Update'!$B$8:$B$127,1)+1)))/100)</f>
        <v/>
      </c>
      <c r="D73" s="85" t="str">
        <f>'Bachelier Model'!P74</f>
        <v/>
      </c>
      <c r="E73" s="16" t="str">
        <f t="shared" si="10"/>
        <v/>
      </c>
      <c r="F73" s="16" t="str">
        <f t="shared" si="11"/>
        <v/>
      </c>
      <c r="G73" s="16" t="str">
        <f t="shared" si="12"/>
        <v/>
      </c>
      <c r="H73" s="16" t="str">
        <f t="shared" si="13"/>
        <v/>
      </c>
      <c r="I73" s="16" t="str">
        <f t="shared" si="14"/>
        <v/>
      </c>
      <c r="J73" s="16" t="str">
        <f t="shared" si="15"/>
        <v/>
      </c>
      <c r="K73" s="16" t="str">
        <f t="shared" si="16"/>
        <v/>
      </c>
      <c r="L73" s="16" t="str">
        <f t="shared" si="17"/>
        <v/>
      </c>
      <c r="M73" s="16" t="str">
        <f>IF(B73="","",IF(B73&gt;'Rate &amp; Vol Update'!$K$2,'Rate &amp; Vol Update'!$K$4,IF(B73&lt;'Rate &amp; Vol Update'!$F$2,D73,_xlfn.FORECAST.LINEAR(B73,INDEX('Rate &amp; Vol Update'!$F$4:$K$4,1,MATCH(B73,'Rate &amp; Vol Update'!$F$2:$K$2,1)):INDEX('Rate &amp; Vol Update'!$F$4:$K$4,1,MATCH(B73,'Rate &amp; Vol Update'!$F$2:$K$2,1)+1),INDEX('Rate &amp; Vol Update'!$F$2:$K$2,1,MATCH(B73,'Rate &amp; Vol Update'!$F$2:$K$2,1)):INDEX('Rate &amp; Vol Update'!$F$2:$K$2,1,MATCH(B73,'Rate &amp; Vol Update'!$F$2:$K$2,1)+1)))))</f>
        <v/>
      </c>
      <c r="N73" s="85" t="str">
        <f t="shared" si="18"/>
        <v/>
      </c>
      <c r="O73" s="16" t="str">
        <f t="shared" si="19"/>
        <v/>
      </c>
      <c r="P73" s="85" t="str">
        <f>IF(B73="","",Schedules!D73)</f>
        <v/>
      </c>
    </row>
    <row r="74" spans="2:16" x14ac:dyDescent="0.25">
      <c r="B74" s="4" t="str">
        <f>'Bachelier Model'!J75</f>
        <v/>
      </c>
      <c r="C74" s="16" t="str">
        <f>IF(B74="","",IF(B74&lt;'Rate &amp; Vol Update'!$B$8,0,_xlfn.FORECAST.LINEAR(B74,INDEX('Rate &amp; Vol Update'!$E$8:$E$127,MATCH('Market Scenarios'!B74,'Rate &amp; Vol Update'!$B$8:$B$127,1)):INDEX('Rate &amp; Vol Update'!$E$8:$E$127,MATCH('Market Scenarios'!B74,'Rate &amp; Vol Update'!$B$8:$B$127,1)+1),INDEX('Rate &amp; Vol Update'!$B$8:$B$127,MATCH('Market Scenarios'!B74,'Rate &amp; Vol Update'!$B$8:$B$127,1)):INDEX('Rate &amp; Vol Update'!$B$8:$B$127,MATCH('Market Scenarios'!B74,'Rate &amp; Vol Update'!$B$8:$B$127,1)+1)))/100)</f>
        <v/>
      </c>
      <c r="D74" s="85" t="str">
        <f>'Bachelier Model'!P75</f>
        <v/>
      </c>
      <c r="E74" s="16" t="str">
        <f t="shared" si="10"/>
        <v/>
      </c>
      <c r="F74" s="16" t="str">
        <f t="shared" si="11"/>
        <v/>
      </c>
      <c r="G74" s="16" t="str">
        <f t="shared" si="12"/>
        <v/>
      </c>
      <c r="H74" s="16" t="str">
        <f t="shared" si="13"/>
        <v/>
      </c>
      <c r="I74" s="16" t="str">
        <f t="shared" si="14"/>
        <v/>
      </c>
      <c r="J74" s="16" t="str">
        <f t="shared" si="15"/>
        <v/>
      </c>
      <c r="K74" s="16" t="str">
        <f t="shared" si="16"/>
        <v/>
      </c>
      <c r="L74" s="16" t="str">
        <f t="shared" si="17"/>
        <v/>
      </c>
      <c r="M74" s="16" t="str">
        <f>IF(B74="","",IF(B74&gt;'Rate &amp; Vol Update'!$K$2,'Rate &amp; Vol Update'!$K$4,IF(B74&lt;'Rate &amp; Vol Update'!$F$2,D74,_xlfn.FORECAST.LINEAR(B74,INDEX('Rate &amp; Vol Update'!$F$4:$K$4,1,MATCH(B74,'Rate &amp; Vol Update'!$F$2:$K$2,1)):INDEX('Rate &amp; Vol Update'!$F$4:$K$4,1,MATCH(B74,'Rate &amp; Vol Update'!$F$2:$K$2,1)+1),INDEX('Rate &amp; Vol Update'!$F$2:$K$2,1,MATCH(B74,'Rate &amp; Vol Update'!$F$2:$K$2,1)):INDEX('Rate &amp; Vol Update'!$F$2:$K$2,1,MATCH(B74,'Rate &amp; Vol Update'!$F$2:$K$2,1)+1)))))</f>
        <v/>
      </c>
      <c r="N74" s="85" t="str">
        <f t="shared" si="18"/>
        <v/>
      </c>
      <c r="O74" s="16" t="str">
        <f t="shared" si="19"/>
        <v/>
      </c>
      <c r="P74" s="85" t="str">
        <f>IF(B74="","",Schedules!D74)</f>
        <v/>
      </c>
    </row>
    <row r="75" spans="2:16" x14ac:dyDescent="0.25">
      <c r="B75" s="4" t="str">
        <f>'Bachelier Model'!J76</f>
        <v/>
      </c>
      <c r="C75" s="16" t="str">
        <f>IF(B75="","",IF(B75&lt;'Rate &amp; Vol Update'!$B$8,0,_xlfn.FORECAST.LINEAR(B75,INDEX('Rate &amp; Vol Update'!$E$8:$E$127,MATCH('Market Scenarios'!B75,'Rate &amp; Vol Update'!$B$8:$B$127,1)):INDEX('Rate &amp; Vol Update'!$E$8:$E$127,MATCH('Market Scenarios'!B75,'Rate &amp; Vol Update'!$B$8:$B$127,1)+1),INDEX('Rate &amp; Vol Update'!$B$8:$B$127,MATCH('Market Scenarios'!B75,'Rate &amp; Vol Update'!$B$8:$B$127,1)):INDEX('Rate &amp; Vol Update'!$B$8:$B$127,MATCH('Market Scenarios'!B75,'Rate &amp; Vol Update'!$B$8:$B$127,1)+1)))/100)</f>
        <v/>
      </c>
      <c r="D75" s="85" t="str">
        <f>'Bachelier Model'!P76</f>
        <v/>
      </c>
      <c r="E75" s="16" t="str">
        <f t="shared" si="10"/>
        <v/>
      </c>
      <c r="F75" s="16" t="str">
        <f t="shared" si="11"/>
        <v/>
      </c>
      <c r="G75" s="16" t="str">
        <f t="shared" si="12"/>
        <v/>
      </c>
      <c r="H75" s="16" t="str">
        <f t="shared" si="13"/>
        <v/>
      </c>
      <c r="I75" s="16" t="str">
        <f t="shared" si="14"/>
        <v/>
      </c>
      <c r="J75" s="16" t="str">
        <f t="shared" si="15"/>
        <v/>
      </c>
      <c r="K75" s="16" t="str">
        <f t="shared" si="16"/>
        <v/>
      </c>
      <c r="L75" s="16" t="str">
        <f t="shared" si="17"/>
        <v/>
      </c>
      <c r="M75" s="16" t="str">
        <f>IF(B75="","",IF(B75&gt;'Rate &amp; Vol Update'!$K$2,'Rate &amp; Vol Update'!$K$4,IF(B75&lt;'Rate &amp; Vol Update'!$F$2,D75,_xlfn.FORECAST.LINEAR(B75,INDEX('Rate &amp; Vol Update'!$F$4:$K$4,1,MATCH(B75,'Rate &amp; Vol Update'!$F$2:$K$2,1)):INDEX('Rate &amp; Vol Update'!$F$4:$K$4,1,MATCH(B75,'Rate &amp; Vol Update'!$F$2:$K$2,1)+1),INDEX('Rate &amp; Vol Update'!$F$2:$K$2,1,MATCH(B75,'Rate &amp; Vol Update'!$F$2:$K$2,1)):INDEX('Rate &amp; Vol Update'!$F$2:$K$2,1,MATCH(B75,'Rate &amp; Vol Update'!$F$2:$K$2,1)+1)))))</f>
        <v/>
      </c>
      <c r="N75" s="85" t="str">
        <f t="shared" si="18"/>
        <v/>
      </c>
      <c r="O75" s="16" t="str">
        <f t="shared" si="19"/>
        <v/>
      </c>
      <c r="P75" s="85" t="str">
        <f>IF(B75="","",Schedules!D75)</f>
        <v/>
      </c>
    </row>
    <row r="76" spans="2:16" x14ac:dyDescent="0.25">
      <c r="B76" s="4" t="str">
        <f>'Bachelier Model'!J77</f>
        <v/>
      </c>
      <c r="C76" s="16" t="str">
        <f>IF(B76="","",IF(B76&lt;'Rate &amp; Vol Update'!$B$8,0,_xlfn.FORECAST.LINEAR(B76,INDEX('Rate &amp; Vol Update'!$E$8:$E$127,MATCH('Market Scenarios'!B76,'Rate &amp; Vol Update'!$B$8:$B$127,1)):INDEX('Rate &amp; Vol Update'!$E$8:$E$127,MATCH('Market Scenarios'!B76,'Rate &amp; Vol Update'!$B$8:$B$127,1)+1),INDEX('Rate &amp; Vol Update'!$B$8:$B$127,MATCH('Market Scenarios'!B76,'Rate &amp; Vol Update'!$B$8:$B$127,1)):INDEX('Rate &amp; Vol Update'!$B$8:$B$127,MATCH('Market Scenarios'!B76,'Rate &amp; Vol Update'!$B$8:$B$127,1)+1)))/100)</f>
        <v/>
      </c>
      <c r="D76" s="85" t="str">
        <f>'Bachelier Model'!P77</f>
        <v/>
      </c>
      <c r="E76" s="16" t="str">
        <f t="shared" si="10"/>
        <v/>
      </c>
      <c r="F76" s="16" t="str">
        <f t="shared" si="11"/>
        <v/>
      </c>
      <c r="G76" s="16" t="str">
        <f t="shared" si="12"/>
        <v/>
      </c>
      <c r="H76" s="16" t="str">
        <f t="shared" si="13"/>
        <v/>
      </c>
      <c r="I76" s="16" t="str">
        <f t="shared" si="14"/>
        <v/>
      </c>
      <c r="J76" s="16" t="str">
        <f t="shared" si="15"/>
        <v/>
      </c>
      <c r="K76" s="16" t="str">
        <f t="shared" si="16"/>
        <v/>
      </c>
      <c r="L76" s="16" t="str">
        <f t="shared" si="17"/>
        <v/>
      </c>
      <c r="M76" s="16" t="str">
        <f>IF(B76="","",IF(B76&gt;'Rate &amp; Vol Update'!$K$2,'Rate &amp; Vol Update'!$K$4,IF(B76&lt;'Rate &amp; Vol Update'!$F$2,D76,_xlfn.FORECAST.LINEAR(B76,INDEX('Rate &amp; Vol Update'!$F$4:$K$4,1,MATCH(B76,'Rate &amp; Vol Update'!$F$2:$K$2,1)):INDEX('Rate &amp; Vol Update'!$F$4:$K$4,1,MATCH(B76,'Rate &amp; Vol Update'!$F$2:$K$2,1)+1),INDEX('Rate &amp; Vol Update'!$F$2:$K$2,1,MATCH(B76,'Rate &amp; Vol Update'!$F$2:$K$2,1)):INDEX('Rate &amp; Vol Update'!$F$2:$K$2,1,MATCH(B76,'Rate &amp; Vol Update'!$F$2:$K$2,1)+1)))))</f>
        <v/>
      </c>
      <c r="N76" s="85" t="str">
        <f t="shared" si="18"/>
        <v/>
      </c>
      <c r="O76" s="16" t="str">
        <f t="shared" si="19"/>
        <v/>
      </c>
      <c r="P76" s="85" t="str">
        <f>IF(B76="","",Schedules!D76)</f>
        <v/>
      </c>
    </row>
    <row r="77" spans="2:16" x14ac:dyDescent="0.25">
      <c r="B77" s="4" t="str">
        <f>'Bachelier Model'!J78</f>
        <v/>
      </c>
      <c r="C77" s="16" t="str">
        <f>IF(B77="","",IF(B77&lt;'Rate &amp; Vol Update'!$B$8,0,_xlfn.FORECAST.LINEAR(B77,INDEX('Rate &amp; Vol Update'!$E$8:$E$127,MATCH('Market Scenarios'!B77,'Rate &amp; Vol Update'!$B$8:$B$127,1)):INDEX('Rate &amp; Vol Update'!$E$8:$E$127,MATCH('Market Scenarios'!B77,'Rate &amp; Vol Update'!$B$8:$B$127,1)+1),INDEX('Rate &amp; Vol Update'!$B$8:$B$127,MATCH('Market Scenarios'!B77,'Rate &amp; Vol Update'!$B$8:$B$127,1)):INDEX('Rate &amp; Vol Update'!$B$8:$B$127,MATCH('Market Scenarios'!B77,'Rate &amp; Vol Update'!$B$8:$B$127,1)+1)))/100)</f>
        <v/>
      </c>
      <c r="D77" s="85" t="str">
        <f>'Bachelier Model'!P78</f>
        <v/>
      </c>
      <c r="E77" s="16" t="str">
        <f t="shared" si="10"/>
        <v/>
      </c>
      <c r="F77" s="16" t="str">
        <f t="shared" si="11"/>
        <v/>
      </c>
      <c r="G77" s="16" t="str">
        <f t="shared" si="12"/>
        <v/>
      </c>
      <c r="H77" s="16" t="str">
        <f t="shared" si="13"/>
        <v/>
      </c>
      <c r="I77" s="16" t="str">
        <f t="shared" si="14"/>
        <v/>
      </c>
      <c r="J77" s="16" t="str">
        <f t="shared" si="15"/>
        <v/>
      </c>
      <c r="K77" s="16" t="str">
        <f t="shared" si="16"/>
        <v/>
      </c>
      <c r="L77" s="16" t="str">
        <f t="shared" si="17"/>
        <v/>
      </c>
      <c r="M77" s="16" t="str">
        <f>IF(B77="","",IF(B77&gt;'Rate &amp; Vol Update'!$K$2,'Rate &amp; Vol Update'!$K$4,IF(B77&lt;'Rate &amp; Vol Update'!$F$2,D77,_xlfn.FORECAST.LINEAR(B77,INDEX('Rate &amp; Vol Update'!$F$4:$K$4,1,MATCH(B77,'Rate &amp; Vol Update'!$F$2:$K$2,1)):INDEX('Rate &amp; Vol Update'!$F$4:$K$4,1,MATCH(B77,'Rate &amp; Vol Update'!$F$2:$K$2,1)+1),INDEX('Rate &amp; Vol Update'!$F$2:$K$2,1,MATCH(B77,'Rate &amp; Vol Update'!$F$2:$K$2,1)):INDEX('Rate &amp; Vol Update'!$F$2:$K$2,1,MATCH(B77,'Rate &amp; Vol Update'!$F$2:$K$2,1)+1)))))</f>
        <v/>
      </c>
      <c r="N77" s="85" t="str">
        <f t="shared" si="18"/>
        <v/>
      </c>
      <c r="O77" s="16" t="str">
        <f t="shared" si="19"/>
        <v/>
      </c>
      <c r="P77" s="85" t="str">
        <f>IF(B77="","",Schedules!D77)</f>
        <v/>
      </c>
    </row>
    <row r="78" spans="2:16" x14ac:dyDescent="0.25">
      <c r="B78" s="4" t="str">
        <f>'Bachelier Model'!J79</f>
        <v/>
      </c>
      <c r="C78" s="16" t="str">
        <f>IF(B78="","",IF(B78&lt;'Rate &amp; Vol Update'!$B$8,0,_xlfn.FORECAST.LINEAR(B78,INDEX('Rate &amp; Vol Update'!$E$8:$E$127,MATCH('Market Scenarios'!B78,'Rate &amp; Vol Update'!$B$8:$B$127,1)):INDEX('Rate &amp; Vol Update'!$E$8:$E$127,MATCH('Market Scenarios'!B78,'Rate &amp; Vol Update'!$B$8:$B$127,1)+1),INDEX('Rate &amp; Vol Update'!$B$8:$B$127,MATCH('Market Scenarios'!B78,'Rate &amp; Vol Update'!$B$8:$B$127,1)):INDEX('Rate &amp; Vol Update'!$B$8:$B$127,MATCH('Market Scenarios'!B78,'Rate &amp; Vol Update'!$B$8:$B$127,1)+1)))/100)</f>
        <v/>
      </c>
      <c r="D78" s="85" t="str">
        <f>'Bachelier Model'!P79</f>
        <v/>
      </c>
      <c r="E78" s="16" t="str">
        <f t="shared" si="10"/>
        <v/>
      </c>
      <c r="F78" s="16" t="str">
        <f t="shared" si="11"/>
        <v/>
      </c>
      <c r="G78" s="16" t="str">
        <f t="shared" si="12"/>
        <v/>
      </c>
      <c r="H78" s="16" t="str">
        <f t="shared" si="13"/>
        <v/>
      </c>
      <c r="I78" s="16" t="str">
        <f t="shared" si="14"/>
        <v/>
      </c>
      <c r="J78" s="16" t="str">
        <f t="shared" si="15"/>
        <v/>
      </c>
      <c r="K78" s="16" t="str">
        <f t="shared" si="16"/>
        <v/>
      </c>
      <c r="L78" s="16" t="str">
        <f t="shared" si="17"/>
        <v/>
      </c>
      <c r="M78" s="16" t="str">
        <f>IF(B78="","",IF(B78&gt;'Rate &amp; Vol Update'!$K$2,'Rate &amp; Vol Update'!$K$4,IF(B78&lt;'Rate &amp; Vol Update'!$F$2,D78,_xlfn.FORECAST.LINEAR(B78,INDEX('Rate &amp; Vol Update'!$F$4:$K$4,1,MATCH(B78,'Rate &amp; Vol Update'!$F$2:$K$2,1)):INDEX('Rate &amp; Vol Update'!$F$4:$K$4,1,MATCH(B78,'Rate &amp; Vol Update'!$F$2:$K$2,1)+1),INDEX('Rate &amp; Vol Update'!$F$2:$K$2,1,MATCH(B78,'Rate &amp; Vol Update'!$F$2:$K$2,1)):INDEX('Rate &amp; Vol Update'!$F$2:$K$2,1,MATCH(B78,'Rate &amp; Vol Update'!$F$2:$K$2,1)+1)))))</f>
        <v/>
      </c>
      <c r="N78" s="85" t="str">
        <f t="shared" si="18"/>
        <v/>
      </c>
      <c r="O78" s="16" t="str">
        <f t="shared" si="19"/>
        <v/>
      </c>
      <c r="P78" s="85" t="str">
        <f>IF(B78="","",Schedules!D78)</f>
        <v/>
      </c>
    </row>
    <row r="79" spans="2:16" x14ac:dyDescent="0.25">
      <c r="B79" s="4" t="str">
        <f>'Bachelier Model'!J80</f>
        <v/>
      </c>
      <c r="C79" s="16" t="str">
        <f>IF(B79="","",IF(B79&lt;'Rate &amp; Vol Update'!$B$8,0,_xlfn.FORECAST.LINEAR(B79,INDEX('Rate &amp; Vol Update'!$E$8:$E$127,MATCH('Market Scenarios'!B79,'Rate &amp; Vol Update'!$B$8:$B$127,1)):INDEX('Rate &amp; Vol Update'!$E$8:$E$127,MATCH('Market Scenarios'!B79,'Rate &amp; Vol Update'!$B$8:$B$127,1)+1),INDEX('Rate &amp; Vol Update'!$B$8:$B$127,MATCH('Market Scenarios'!B79,'Rate &amp; Vol Update'!$B$8:$B$127,1)):INDEX('Rate &amp; Vol Update'!$B$8:$B$127,MATCH('Market Scenarios'!B79,'Rate &amp; Vol Update'!$B$8:$B$127,1)+1)))/100)</f>
        <v/>
      </c>
      <c r="D79" s="85" t="str">
        <f>'Bachelier Model'!P80</f>
        <v/>
      </c>
      <c r="E79" s="16" t="str">
        <f t="shared" si="10"/>
        <v/>
      </c>
      <c r="F79" s="16" t="str">
        <f t="shared" si="11"/>
        <v/>
      </c>
      <c r="G79" s="16" t="str">
        <f t="shared" si="12"/>
        <v/>
      </c>
      <c r="H79" s="16" t="str">
        <f t="shared" si="13"/>
        <v/>
      </c>
      <c r="I79" s="16" t="str">
        <f t="shared" si="14"/>
        <v/>
      </c>
      <c r="J79" s="16" t="str">
        <f t="shared" si="15"/>
        <v/>
      </c>
      <c r="K79" s="16" t="str">
        <f t="shared" si="16"/>
        <v/>
      </c>
      <c r="L79" s="16" t="str">
        <f t="shared" si="17"/>
        <v/>
      </c>
      <c r="M79" s="16" t="str">
        <f>IF(B79="","",IF(B79&gt;'Rate &amp; Vol Update'!$K$2,'Rate &amp; Vol Update'!$K$4,IF(B79&lt;'Rate &amp; Vol Update'!$F$2,D79,_xlfn.FORECAST.LINEAR(B79,INDEX('Rate &amp; Vol Update'!$F$4:$K$4,1,MATCH(B79,'Rate &amp; Vol Update'!$F$2:$K$2,1)):INDEX('Rate &amp; Vol Update'!$F$4:$K$4,1,MATCH(B79,'Rate &amp; Vol Update'!$F$2:$K$2,1)+1),INDEX('Rate &amp; Vol Update'!$F$2:$K$2,1,MATCH(B79,'Rate &amp; Vol Update'!$F$2:$K$2,1)):INDEX('Rate &amp; Vol Update'!$F$2:$K$2,1,MATCH(B79,'Rate &amp; Vol Update'!$F$2:$K$2,1)+1)))))</f>
        <v/>
      </c>
      <c r="N79" s="85" t="str">
        <f t="shared" si="18"/>
        <v/>
      </c>
      <c r="O79" s="16" t="str">
        <f t="shared" si="19"/>
        <v/>
      </c>
      <c r="P79" s="85" t="str">
        <f>IF(B79="","",Schedules!D79)</f>
        <v/>
      </c>
    </row>
    <row r="80" spans="2:16" x14ac:dyDescent="0.25">
      <c r="B80" s="4" t="str">
        <f>'Bachelier Model'!J81</f>
        <v/>
      </c>
      <c r="C80" s="16" t="str">
        <f>IF(B80="","",IF(B80&lt;'Rate &amp; Vol Update'!$B$8,0,_xlfn.FORECAST.LINEAR(B80,INDEX('Rate &amp; Vol Update'!$E$8:$E$127,MATCH('Market Scenarios'!B80,'Rate &amp; Vol Update'!$B$8:$B$127,1)):INDEX('Rate &amp; Vol Update'!$E$8:$E$127,MATCH('Market Scenarios'!B80,'Rate &amp; Vol Update'!$B$8:$B$127,1)+1),INDEX('Rate &amp; Vol Update'!$B$8:$B$127,MATCH('Market Scenarios'!B80,'Rate &amp; Vol Update'!$B$8:$B$127,1)):INDEX('Rate &amp; Vol Update'!$B$8:$B$127,MATCH('Market Scenarios'!B80,'Rate &amp; Vol Update'!$B$8:$B$127,1)+1)))/100)</f>
        <v/>
      </c>
      <c r="D80" s="85" t="str">
        <f>'Bachelier Model'!P81</f>
        <v/>
      </c>
      <c r="E80" s="16" t="str">
        <f t="shared" si="10"/>
        <v/>
      </c>
      <c r="F80" s="16" t="str">
        <f t="shared" si="11"/>
        <v/>
      </c>
      <c r="G80" s="16" t="str">
        <f t="shared" si="12"/>
        <v/>
      </c>
      <c r="H80" s="16" t="str">
        <f t="shared" si="13"/>
        <v/>
      </c>
      <c r="I80" s="16" t="str">
        <f t="shared" si="14"/>
        <v/>
      </c>
      <c r="J80" s="16" t="str">
        <f t="shared" si="15"/>
        <v/>
      </c>
      <c r="K80" s="16" t="str">
        <f t="shared" si="16"/>
        <v/>
      </c>
      <c r="L80" s="16" t="str">
        <f t="shared" si="17"/>
        <v/>
      </c>
      <c r="M80" s="16" t="str">
        <f>IF(B80="","",IF(B80&gt;'Rate &amp; Vol Update'!$K$2,'Rate &amp; Vol Update'!$K$4,IF(B80&lt;'Rate &amp; Vol Update'!$F$2,D80,_xlfn.FORECAST.LINEAR(B80,INDEX('Rate &amp; Vol Update'!$F$4:$K$4,1,MATCH(B80,'Rate &amp; Vol Update'!$F$2:$K$2,1)):INDEX('Rate &amp; Vol Update'!$F$4:$K$4,1,MATCH(B80,'Rate &amp; Vol Update'!$F$2:$K$2,1)+1),INDEX('Rate &amp; Vol Update'!$F$2:$K$2,1,MATCH(B80,'Rate &amp; Vol Update'!$F$2:$K$2,1)):INDEX('Rate &amp; Vol Update'!$F$2:$K$2,1,MATCH(B80,'Rate &amp; Vol Update'!$F$2:$K$2,1)+1)))))</f>
        <v/>
      </c>
      <c r="N80" s="85" t="str">
        <f t="shared" si="18"/>
        <v/>
      </c>
      <c r="O80" s="16" t="str">
        <f t="shared" si="19"/>
        <v/>
      </c>
      <c r="P80" s="85" t="str">
        <f>IF(B80="","",Schedules!D80)</f>
        <v/>
      </c>
    </row>
    <row r="81" spans="2:16" x14ac:dyDescent="0.25">
      <c r="B81" s="4" t="str">
        <f>'Bachelier Model'!J82</f>
        <v/>
      </c>
      <c r="C81" s="16" t="str">
        <f>IF(B81="","",IF(B81&lt;'Rate &amp; Vol Update'!$B$8,0,_xlfn.FORECAST.LINEAR(B81,INDEX('Rate &amp; Vol Update'!$E$8:$E$127,MATCH('Market Scenarios'!B81,'Rate &amp; Vol Update'!$B$8:$B$127,1)):INDEX('Rate &amp; Vol Update'!$E$8:$E$127,MATCH('Market Scenarios'!B81,'Rate &amp; Vol Update'!$B$8:$B$127,1)+1),INDEX('Rate &amp; Vol Update'!$B$8:$B$127,MATCH('Market Scenarios'!B81,'Rate &amp; Vol Update'!$B$8:$B$127,1)):INDEX('Rate &amp; Vol Update'!$B$8:$B$127,MATCH('Market Scenarios'!B81,'Rate &amp; Vol Update'!$B$8:$B$127,1)+1)))/100)</f>
        <v/>
      </c>
      <c r="D81" s="85" t="str">
        <f>'Bachelier Model'!P82</f>
        <v/>
      </c>
      <c r="E81" s="16" t="str">
        <f t="shared" si="10"/>
        <v/>
      </c>
      <c r="F81" s="16" t="str">
        <f t="shared" si="11"/>
        <v/>
      </c>
      <c r="G81" s="16" t="str">
        <f t="shared" si="12"/>
        <v/>
      </c>
      <c r="H81" s="16" t="str">
        <f t="shared" si="13"/>
        <v/>
      </c>
      <c r="I81" s="16" t="str">
        <f t="shared" si="14"/>
        <v/>
      </c>
      <c r="J81" s="16" t="str">
        <f t="shared" si="15"/>
        <v/>
      </c>
      <c r="K81" s="16" t="str">
        <f t="shared" si="16"/>
        <v/>
      </c>
      <c r="L81" s="16" t="str">
        <f t="shared" si="17"/>
        <v/>
      </c>
      <c r="M81" s="16" t="str">
        <f>IF(B81="","",IF(B81&gt;'Rate &amp; Vol Update'!$K$2,'Rate &amp; Vol Update'!$K$4,IF(B81&lt;'Rate &amp; Vol Update'!$F$2,D81,_xlfn.FORECAST.LINEAR(B81,INDEX('Rate &amp; Vol Update'!$F$4:$K$4,1,MATCH(B81,'Rate &amp; Vol Update'!$F$2:$K$2,1)):INDEX('Rate &amp; Vol Update'!$F$4:$K$4,1,MATCH(B81,'Rate &amp; Vol Update'!$F$2:$K$2,1)+1),INDEX('Rate &amp; Vol Update'!$F$2:$K$2,1,MATCH(B81,'Rate &amp; Vol Update'!$F$2:$K$2,1)):INDEX('Rate &amp; Vol Update'!$F$2:$K$2,1,MATCH(B81,'Rate &amp; Vol Update'!$F$2:$K$2,1)+1)))))</f>
        <v/>
      </c>
      <c r="N81" s="85" t="str">
        <f t="shared" si="18"/>
        <v/>
      </c>
      <c r="O81" s="16" t="str">
        <f t="shared" si="19"/>
        <v/>
      </c>
      <c r="P81" s="85" t="str">
        <f>IF(B81="","",Schedules!D81)</f>
        <v/>
      </c>
    </row>
    <row r="82" spans="2:16" x14ac:dyDescent="0.25">
      <c r="B82" s="4" t="str">
        <f>'Bachelier Model'!J83</f>
        <v/>
      </c>
      <c r="C82" s="16" t="str">
        <f>IF(B82="","",IF(B82&lt;'Rate &amp; Vol Update'!$B$8,0,_xlfn.FORECAST.LINEAR(B82,INDEX('Rate &amp; Vol Update'!$E$8:$E$127,MATCH('Market Scenarios'!B82,'Rate &amp; Vol Update'!$B$8:$B$127,1)):INDEX('Rate &amp; Vol Update'!$E$8:$E$127,MATCH('Market Scenarios'!B82,'Rate &amp; Vol Update'!$B$8:$B$127,1)+1),INDEX('Rate &amp; Vol Update'!$B$8:$B$127,MATCH('Market Scenarios'!B82,'Rate &amp; Vol Update'!$B$8:$B$127,1)):INDEX('Rate &amp; Vol Update'!$B$8:$B$127,MATCH('Market Scenarios'!B82,'Rate &amp; Vol Update'!$B$8:$B$127,1)+1)))/100)</f>
        <v/>
      </c>
      <c r="D82" s="85" t="str">
        <f>'Bachelier Model'!P83</f>
        <v/>
      </c>
      <c r="E82" s="16" t="str">
        <f t="shared" si="10"/>
        <v/>
      </c>
      <c r="F82" s="16" t="str">
        <f t="shared" si="11"/>
        <v/>
      </c>
      <c r="G82" s="16" t="str">
        <f t="shared" si="12"/>
        <v/>
      </c>
      <c r="H82" s="16" t="str">
        <f t="shared" si="13"/>
        <v/>
      </c>
      <c r="I82" s="16" t="str">
        <f t="shared" si="14"/>
        <v/>
      </c>
      <c r="J82" s="16" t="str">
        <f t="shared" si="15"/>
        <v/>
      </c>
      <c r="K82" s="16" t="str">
        <f t="shared" si="16"/>
        <v/>
      </c>
      <c r="L82" s="16" t="str">
        <f t="shared" si="17"/>
        <v/>
      </c>
      <c r="M82" s="16" t="str">
        <f>IF(B82="","",IF(B82&gt;'Rate &amp; Vol Update'!$K$2,'Rate &amp; Vol Update'!$K$4,IF(B82&lt;'Rate &amp; Vol Update'!$F$2,D82,_xlfn.FORECAST.LINEAR(B82,INDEX('Rate &amp; Vol Update'!$F$4:$K$4,1,MATCH(B82,'Rate &amp; Vol Update'!$F$2:$K$2,1)):INDEX('Rate &amp; Vol Update'!$F$4:$K$4,1,MATCH(B82,'Rate &amp; Vol Update'!$F$2:$K$2,1)+1),INDEX('Rate &amp; Vol Update'!$F$2:$K$2,1,MATCH(B82,'Rate &amp; Vol Update'!$F$2:$K$2,1)):INDEX('Rate &amp; Vol Update'!$F$2:$K$2,1,MATCH(B82,'Rate &amp; Vol Update'!$F$2:$K$2,1)+1)))))</f>
        <v/>
      </c>
      <c r="N82" s="85" t="str">
        <f t="shared" si="18"/>
        <v/>
      </c>
      <c r="O82" s="16" t="str">
        <f t="shared" si="19"/>
        <v/>
      </c>
      <c r="P82" s="85" t="str">
        <f>IF(B82="","",Schedules!D82)</f>
        <v/>
      </c>
    </row>
    <row r="83" spans="2:16" x14ac:dyDescent="0.25">
      <c r="B83" s="4" t="str">
        <f>'Bachelier Model'!J84</f>
        <v/>
      </c>
      <c r="C83" s="16" t="str">
        <f>IF(B83="","",IF(B83&lt;'Rate &amp; Vol Update'!$B$8,0,_xlfn.FORECAST.LINEAR(B83,INDEX('Rate &amp; Vol Update'!$E$8:$E$127,MATCH('Market Scenarios'!B83,'Rate &amp; Vol Update'!$B$8:$B$127,1)):INDEX('Rate &amp; Vol Update'!$E$8:$E$127,MATCH('Market Scenarios'!B83,'Rate &amp; Vol Update'!$B$8:$B$127,1)+1),INDEX('Rate &amp; Vol Update'!$B$8:$B$127,MATCH('Market Scenarios'!B83,'Rate &amp; Vol Update'!$B$8:$B$127,1)):INDEX('Rate &amp; Vol Update'!$B$8:$B$127,MATCH('Market Scenarios'!B83,'Rate &amp; Vol Update'!$B$8:$B$127,1)+1)))/100)</f>
        <v/>
      </c>
      <c r="D83" s="85" t="str">
        <f>'Bachelier Model'!P84</f>
        <v/>
      </c>
      <c r="E83" s="16" t="str">
        <f t="shared" si="10"/>
        <v/>
      </c>
      <c r="F83" s="16" t="str">
        <f t="shared" si="11"/>
        <v/>
      </c>
      <c r="G83" s="16" t="str">
        <f t="shared" si="12"/>
        <v/>
      </c>
      <c r="H83" s="16" t="str">
        <f t="shared" si="13"/>
        <v/>
      </c>
      <c r="I83" s="16" t="str">
        <f t="shared" si="14"/>
        <v/>
      </c>
      <c r="J83" s="16" t="str">
        <f t="shared" si="15"/>
        <v/>
      </c>
      <c r="K83" s="16" t="str">
        <f t="shared" si="16"/>
        <v/>
      </c>
      <c r="L83" s="16" t="str">
        <f t="shared" si="17"/>
        <v/>
      </c>
      <c r="M83" s="16" t="str">
        <f>IF(B83="","",IF(B83&gt;'Rate &amp; Vol Update'!$K$2,'Rate &amp; Vol Update'!$K$4,IF(B83&lt;'Rate &amp; Vol Update'!$F$2,D83,_xlfn.FORECAST.LINEAR(B83,INDEX('Rate &amp; Vol Update'!$F$4:$K$4,1,MATCH(B83,'Rate &amp; Vol Update'!$F$2:$K$2,1)):INDEX('Rate &amp; Vol Update'!$F$4:$K$4,1,MATCH(B83,'Rate &amp; Vol Update'!$F$2:$K$2,1)+1),INDEX('Rate &amp; Vol Update'!$F$2:$K$2,1,MATCH(B83,'Rate &amp; Vol Update'!$F$2:$K$2,1)):INDEX('Rate &amp; Vol Update'!$F$2:$K$2,1,MATCH(B83,'Rate &amp; Vol Update'!$F$2:$K$2,1)+1)))))</f>
        <v/>
      </c>
      <c r="N83" s="85" t="str">
        <f t="shared" si="18"/>
        <v/>
      </c>
      <c r="O83" s="16" t="str">
        <f t="shared" si="19"/>
        <v/>
      </c>
      <c r="P83" s="85" t="str">
        <f>IF(B83="","",Schedules!D83)</f>
        <v/>
      </c>
    </row>
    <row r="84" spans="2:16" x14ac:dyDescent="0.25">
      <c r="B84" s="4" t="str">
        <f>'Bachelier Model'!J85</f>
        <v/>
      </c>
      <c r="C84" s="16" t="str">
        <f>IF(B84="","",IF(B84&lt;'Rate &amp; Vol Update'!$B$8,0,_xlfn.FORECAST.LINEAR(B84,INDEX('Rate &amp; Vol Update'!$E$8:$E$127,MATCH('Market Scenarios'!B84,'Rate &amp; Vol Update'!$B$8:$B$127,1)):INDEX('Rate &amp; Vol Update'!$E$8:$E$127,MATCH('Market Scenarios'!B84,'Rate &amp; Vol Update'!$B$8:$B$127,1)+1),INDEX('Rate &amp; Vol Update'!$B$8:$B$127,MATCH('Market Scenarios'!B84,'Rate &amp; Vol Update'!$B$8:$B$127,1)):INDEX('Rate &amp; Vol Update'!$B$8:$B$127,MATCH('Market Scenarios'!B84,'Rate &amp; Vol Update'!$B$8:$B$127,1)+1)))/100)</f>
        <v/>
      </c>
      <c r="D84" s="85" t="str">
        <f>'Bachelier Model'!P85</f>
        <v/>
      </c>
      <c r="E84" s="16" t="str">
        <f t="shared" si="10"/>
        <v/>
      </c>
      <c r="F84" s="16" t="str">
        <f t="shared" si="11"/>
        <v/>
      </c>
      <c r="G84" s="16" t="str">
        <f t="shared" si="12"/>
        <v/>
      </c>
      <c r="H84" s="16" t="str">
        <f t="shared" si="13"/>
        <v/>
      </c>
      <c r="I84" s="16" t="str">
        <f t="shared" si="14"/>
        <v/>
      </c>
      <c r="J84" s="16" t="str">
        <f t="shared" si="15"/>
        <v/>
      </c>
      <c r="K84" s="16" t="str">
        <f t="shared" si="16"/>
        <v/>
      </c>
      <c r="L84" s="16" t="str">
        <f t="shared" si="17"/>
        <v/>
      </c>
      <c r="M84" s="16" t="str">
        <f>IF(B84="","",IF(B84&gt;'Rate &amp; Vol Update'!$K$2,'Rate &amp; Vol Update'!$K$4,IF(B84&lt;'Rate &amp; Vol Update'!$F$2,D84,_xlfn.FORECAST.LINEAR(B84,INDEX('Rate &amp; Vol Update'!$F$4:$K$4,1,MATCH(B84,'Rate &amp; Vol Update'!$F$2:$K$2,1)):INDEX('Rate &amp; Vol Update'!$F$4:$K$4,1,MATCH(B84,'Rate &amp; Vol Update'!$F$2:$K$2,1)+1),INDEX('Rate &amp; Vol Update'!$F$2:$K$2,1,MATCH(B84,'Rate &amp; Vol Update'!$F$2:$K$2,1)):INDEX('Rate &amp; Vol Update'!$F$2:$K$2,1,MATCH(B84,'Rate &amp; Vol Update'!$F$2:$K$2,1)+1)))))</f>
        <v/>
      </c>
      <c r="N84" s="85" t="str">
        <f t="shared" si="18"/>
        <v/>
      </c>
      <c r="O84" s="16" t="str">
        <f t="shared" si="19"/>
        <v/>
      </c>
      <c r="P84" s="85" t="str">
        <f>IF(B84="","",Schedules!D84)</f>
        <v/>
      </c>
    </row>
    <row r="85" spans="2:16" x14ac:dyDescent="0.25">
      <c r="B85" s="4" t="str">
        <f>'Bachelier Model'!J86</f>
        <v/>
      </c>
      <c r="C85" s="16" t="str">
        <f>IF(B85="","",IF(B85&lt;'Rate &amp; Vol Update'!$B$8,0,_xlfn.FORECAST.LINEAR(B85,INDEX('Rate &amp; Vol Update'!$E$8:$E$127,MATCH('Market Scenarios'!B85,'Rate &amp; Vol Update'!$B$8:$B$127,1)):INDEX('Rate &amp; Vol Update'!$E$8:$E$127,MATCH('Market Scenarios'!B85,'Rate &amp; Vol Update'!$B$8:$B$127,1)+1),INDEX('Rate &amp; Vol Update'!$B$8:$B$127,MATCH('Market Scenarios'!B85,'Rate &amp; Vol Update'!$B$8:$B$127,1)):INDEX('Rate &amp; Vol Update'!$B$8:$B$127,MATCH('Market Scenarios'!B85,'Rate &amp; Vol Update'!$B$8:$B$127,1)+1)))/100)</f>
        <v/>
      </c>
      <c r="D85" s="85" t="str">
        <f>'Bachelier Model'!P86</f>
        <v/>
      </c>
      <c r="E85" s="16" t="str">
        <f t="shared" si="10"/>
        <v/>
      </c>
      <c r="F85" s="16" t="str">
        <f t="shared" si="11"/>
        <v/>
      </c>
      <c r="G85" s="16" t="str">
        <f t="shared" si="12"/>
        <v/>
      </c>
      <c r="H85" s="16" t="str">
        <f t="shared" si="13"/>
        <v/>
      </c>
      <c r="I85" s="16" t="str">
        <f t="shared" si="14"/>
        <v/>
      </c>
      <c r="J85" s="16" t="str">
        <f t="shared" si="15"/>
        <v/>
      </c>
      <c r="K85" s="16" t="str">
        <f t="shared" si="16"/>
        <v/>
      </c>
      <c r="L85" s="16" t="str">
        <f t="shared" si="17"/>
        <v/>
      </c>
      <c r="M85" s="16" t="str">
        <f>IF(B85="","",IF(B85&gt;'Rate &amp; Vol Update'!$K$2,'Rate &amp; Vol Update'!$K$4,IF(B85&lt;'Rate &amp; Vol Update'!$F$2,D85,_xlfn.FORECAST.LINEAR(B85,INDEX('Rate &amp; Vol Update'!$F$4:$K$4,1,MATCH(B85,'Rate &amp; Vol Update'!$F$2:$K$2,1)):INDEX('Rate &amp; Vol Update'!$F$4:$K$4,1,MATCH(B85,'Rate &amp; Vol Update'!$F$2:$K$2,1)+1),INDEX('Rate &amp; Vol Update'!$F$2:$K$2,1,MATCH(B85,'Rate &amp; Vol Update'!$F$2:$K$2,1)):INDEX('Rate &amp; Vol Update'!$F$2:$K$2,1,MATCH(B85,'Rate &amp; Vol Update'!$F$2:$K$2,1)+1)))))</f>
        <v/>
      </c>
      <c r="N85" s="85" t="str">
        <f t="shared" si="18"/>
        <v/>
      </c>
      <c r="O85" s="16" t="str">
        <f t="shared" si="19"/>
        <v/>
      </c>
      <c r="P85" s="85" t="str">
        <f>IF(B85="","",Schedules!D85)</f>
        <v/>
      </c>
    </row>
    <row r="86" spans="2:16" x14ac:dyDescent="0.25">
      <c r="B86" s="4" t="str">
        <f>'Bachelier Model'!J87</f>
        <v/>
      </c>
      <c r="C86" s="16" t="str">
        <f>IF(B86="","",IF(B86&lt;'Rate &amp; Vol Update'!$B$8,0,_xlfn.FORECAST.LINEAR(B86,INDEX('Rate &amp; Vol Update'!$E$8:$E$127,MATCH('Market Scenarios'!B86,'Rate &amp; Vol Update'!$B$8:$B$127,1)):INDEX('Rate &amp; Vol Update'!$E$8:$E$127,MATCH('Market Scenarios'!B86,'Rate &amp; Vol Update'!$B$8:$B$127,1)+1),INDEX('Rate &amp; Vol Update'!$B$8:$B$127,MATCH('Market Scenarios'!B86,'Rate &amp; Vol Update'!$B$8:$B$127,1)):INDEX('Rate &amp; Vol Update'!$B$8:$B$127,MATCH('Market Scenarios'!B86,'Rate &amp; Vol Update'!$B$8:$B$127,1)+1)))/100)</f>
        <v/>
      </c>
      <c r="D86" s="85" t="str">
        <f>'Bachelier Model'!P87</f>
        <v/>
      </c>
      <c r="E86" s="16" t="str">
        <f t="shared" si="10"/>
        <v/>
      </c>
      <c r="F86" s="16" t="str">
        <f t="shared" si="11"/>
        <v/>
      </c>
      <c r="G86" s="16" t="str">
        <f t="shared" si="12"/>
        <v/>
      </c>
      <c r="H86" s="16" t="str">
        <f t="shared" si="13"/>
        <v/>
      </c>
      <c r="I86" s="16" t="str">
        <f t="shared" si="14"/>
        <v/>
      </c>
      <c r="J86" s="16" t="str">
        <f t="shared" si="15"/>
        <v/>
      </c>
      <c r="K86" s="16" t="str">
        <f t="shared" si="16"/>
        <v/>
      </c>
      <c r="L86" s="16" t="str">
        <f t="shared" si="17"/>
        <v/>
      </c>
      <c r="M86" s="16" t="str">
        <f>IF(B86="","",IF(B86&gt;'Rate &amp; Vol Update'!$K$2,'Rate &amp; Vol Update'!$K$4,IF(B86&lt;'Rate &amp; Vol Update'!$F$2,D86,_xlfn.FORECAST.LINEAR(B86,INDEX('Rate &amp; Vol Update'!$F$4:$K$4,1,MATCH(B86,'Rate &amp; Vol Update'!$F$2:$K$2,1)):INDEX('Rate &amp; Vol Update'!$F$4:$K$4,1,MATCH(B86,'Rate &amp; Vol Update'!$F$2:$K$2,1)+1),INDEX('Rate &amp; Vol Update'!$F$2:$K$2,1,MATCH(B86,'Rate &amp; Vol Update'!$F$2:$K$2,1)):INDEX('Rate &amp; Vol Update'!$F$2:$K$2,1,MATCH(B86,'Rate &amp; Vol Update'!$F$2:$K$2,1)+1)))))</f>
        <v/>
      </c>
      <c r="N86" s="85" t="str">
        <f t="shared" si="18"/>
        <v/>
      </c>
      <c r="O86" s="16" t="str">
        <f t="shared" si="19"/>
        <v/>
      </c>
      <c r="P86" s="85" t="str">
        <f>IF(B86="","",Schedules!D86)</f>
        <v/>
      </c>
    </row>
    <row r="87" spans="2:16" x14ac:dyDescent="0.25">
      <c r="B87" s="4" t="str">
        <f>'Bachelier Model'!J88</f>
        <v/>
      </c>
      <c r="C87" s="16" t="str">
        <f>IF(B87="","",IF(B87&lt;'Rate &amp; Vol Update'!$B$8,0,_xlfn.FORECAST.LINEAR(B87,INDEX('Rate &amp; Vol Update'!$E$8:$E$127,MATCH('Market Scenarios'!B87,'Rate &amp; Vol Update'!$B$8:$B$127,1)):INDEX('Rate &amp; Vol Update'!$E$8:$E$127,MATCH('Market Scenarios'!B87,'Rate &amp; Vol Update'!$B$8:$B$127,1)+1),INDEX('Rate &amp; Vol Update'!$B$8:$B$127,MATCH('Market Scenarios'!B87,'Rate &amp; Vol Update'!$B$8:$B$127,1)):INDEX('Rate &amp; Vol Update'!$B$8:$B$127,MATCH('Market Scenarios'!B87,'Rate &amp; Vol Update'!$B$8:$B$127,1)+1)))/100)</f>
        <v/>
      </c>
      <c r="D87" s="85" t="str">
        <f>'Bachelier Model'!P88</f>
        <v/>
      </c>
      <c r="E87" s="16" t="str">
        <f t="shared" si="10"/>
        <v/>
      </c>
      <c r="F87" s="16" t="str">
        <f t="shared" si="11"/>
        <v/>
      </c>
      <c r="G87" s="16" t="str">
        <f t="shared" si="12"/>
        <v/>
      </c>
      <c r="H87" s="16" t="str">
        <f t="shared" si="13"/>
        <v/>
      </c>
      <c r="I87" s="16" t="str">
        <f t="shared" si="14"/>
        <v/>
      </c>
      <c r="J87" s="16" t="str">
        <f t="shared" si="15"/>
        <v/>
      </c>
      <c r="K87" s="16" t="str">
        <f t="shared" si="16"/>
        <v/>
      </c>
      <c r="L87" s="16" t="str">
        <f t="shared" si="17"/>
        <v/>
      </c>
      <c r="M87" s="16" t="str">
        <f>IF(B87="","",IF(B87&gt;'Rate &amp; Vol Update'!$K$2,'Rate &amp; Vol Update'!$K$4,IF(B87&lt;'Rate &amp; Vol Update'!$F$2,D87,_xlfn.FORECAST.LINEAR(B87,INDEX('Rate &amp; Vol Update'!$F$4:$K$4,1,MATCH(B87,'Rate &amp; Vol Update'!$F$2:$K$2,1)):INDEX('Rate &amp; Vol Update'!$F$4:$K$4,1,MATCH(B87,'Rate &amp; Vol Update'!$F$2:$K$2,1)+1),INDEX('Rate &amp; Vol Update'!$F$2:$K$2,1,MATCH(B87,'Rate &amp; Vol Update'!$F$2:$K$2,1)):INDEX('Rate &amp; Vol Update'!$F$2:$K$2,1,MATCH(B87,'Rate &amp; Vol Update'!$F$2:$K$2,1)+1)))))</f>
        <v/>
      </c>
      <c r="N87" s="85" t="str">
        <f t="shared" si="18"/>
        <v/>
      </c>
      <c r="O87" s="16" t="str">
        <f t="shared" si="19"/>
        <v/>
      </c>
      <c r="P87" s="85" t="str">
        <f>IF(B87="","",Schedules!D87)</f>
        <v/>
      </c>
    </row>
    <row r="88" spans="2:16" x14ac:dyDescent="0.25">
      <c r="B88" s="4" t="str">
        <f>'Bachelier Model'!J89</f>
        <v/>
      </c>
      <c r="C88" s="16" t="str">
        <f>IF(B88="","",IF(B88&lt;'Rate &amp; Vol Update'!$B$8,0,_xlfn.FORECAST.LINEAR(B88,INDEX('Rate &amp; Vol Update'!$E$8:$E$127,MATCH('Market Scenarios'!B88,'Rate &amp; Vol Update'!$B$8:$B$127,1)):INDEX('Rate &amp; Vol Update'!$E$8:$E$127,MATCH('Market Scenarios'!B88,'Rate &amp; Vol Update'!$B$8:$B$127,1)+1),INDEX('Rate &amp; Vol Update'!$B$8:$B$127,MATCH('Market Scenarios'!B88,'Rate &amp; Vol Update'!$B$8:$B$127,1)):INDEX('Rate &amp; Vol Update'!$B$8:$B$127,MATCH('Market Scenarios'!B88,'Rate &amp; Vol Update'!$B$8:$B$127,1)+1)))/100)</f>
        <v/>
      </c>
      <c r="D88" s="85" t="str">
        <f>'Bachelier Model'!P89</f>
        <v/>
      </c>
      <c r="E88" s="16" t="str">
        <f t="shared" si="10"/>
        <v/>
      </c>
      <c r="F88" s="16" t="str">
        <f t="shared" si="11"/>
        <v/>
      </c>
      <c r="G88" s="16" t="str">
        <f t="shared" si="12"/>
        <v/>
      </c>
      <c r="H88" s="16" t="str">
        <f t="shared" si="13"/>
        <v/>
      </c>
      <c r="I88" s="16" t="str">
        <f t="shared" si="14"/>
        <v/>
      </c>
      <c r="J88" s="16" t="str">
        <f t="shared" si="15"/>
        <v/>
      </c>
      <c r="K88" s="16" t="str">
        <f t="shared" si="16"/>
        <v/>
      </c>
      <c r="L88" s="16" t="str">
        <f t="shared" si="17"/>
        <v/>
      </c>
      <c r="M88" s="16" t="str">
        <f>IF(B88="","",IF(B88&gt;'Rate &amp; Vol Update'!$K$2,'Rate &amp; Vol Update'!$K$4,IF(B88&lt;'Rate &amp; Vol Update'!$F$2,D88,_xlfn.FORECAST.LINEAR(B88,INDEX('Rate &amp; Vol Update'!$F$4:$K$4,1,MATCH(B88,'Rate &amp; Vol Update'!$F$2:$K$2,1)):INDEX('Rate &amp; Vol Update'!$F$4:$K$4,1,MATCH(B88,'Rate &amp; Vol Update'!$F$2:$K$2,1)+1),INDEX('Rate &amp; Vol Update'!$F$2:$K$2,1,MATCH(B88,'Rate &amp; Vol Update'!$F$2:$K$2,1)):INDEX('Rate &amp; Vol Update'!$F$2:$K$2,1,MATCH(B88,'Rate &amp; Vol Update'!$F$2:$K$2,1)+1)))))</f>
        <v/>
      </c>
      <c r="N88" s="85" t="str">
        <f t="shared" si="18"/>
        <v/>
      </c>
      <c r="O88" s="16" t="str">
        <f t="shared" si="19"/>
        <v/>
      </c>
      <c r="P88" s="85" t="str">
        <f>IF(B88="","",Schedules!D88)</f>
        <v/>
      </c>
    </row>
    <row r="89" spans="2:16" x14ac:dyDescent="0.25">
      <c r="B89" s="4" t="str">
        <f>'Bachelier Model'!J90</f>
        <v/>
      </c>
      <c r="C89" s="16" t="str">
        <f>IF(B89="","",IF(B89&lt;'Rate &amp; Vol Update'!$B$8,0,_xlfn.FORECAST.LINEAR(B89,INDEX('Rate &amp; Vol Update'!$E$8:$E$127,MATCH('Market Scenarios'!B89,'Rate &amp; Vol Update'!$B$8:$B$127,1)):INDEX('Rate &amp; Vol Update'!$E$8:$E$127,MATCH('Market Scenarios'!B89,'Rate &amp; Vol Update'!$B$8:$B$127,1)+1),INDEX('Rate &amp; Vol Update'!$B$8:$B$127,MATCH('Market Scenarios'!B89,'Rate &amp; Vol Update'!$B$8:$B$127,1)):INDEX('Rate &amp; Vol Update'!$B$8:$B$127,MATCH('Market Scenarios'!B89,'Rate &amp; Vol Update'!$B$8:$B$127,1)+1)))/100)</f>
        <v/>
      </c>
      <c r="D89" s="85" t="str">
        <f>'Bachelier Model'!P90</f>
        <v/>
      </c>
      <c r="E89" s="16" t="str">
        <f t="shared" si="10"/>
        <v/>
      </c>
      <c r="F89" s="16" t="str">
        <f t="shared" si="11"/>
        <v/>
      </c>
      <c r="G89" s="16" t="str">
        <f t="shared" si="12"/>
        <v/>
      </c>
      <c r="H89" s="16" t="str">
        <f t="shared" si="13"/>
        <v/>
      </c>
      <c r="I89" s="16" t="str">
        <f t="shared" si="14"/>
        <v/>
      </c>
      <c r="J89" s="16" t="str">
        <f t="shared" si="15"/>
        <v/>
      </c>
      <c r="K89" s="16" t="str">
        <f t="shared" si="16"/>
        <v/>
      </c>
      <c r="L89" s="16" t="str">
        <f t="shared" si="17"/>
        <v/>
      </c>
      <c r="M89" s="16" t="str">
        <f>IF(B89="","",IF(B89&gt;'Rate &amp; Vol Update'!$K$2,'Rate &amp; Vol Update'!$K$4,IF(B89&lt;'Rate &amp; Vol Update'!$F$2,D89,_xlfn.FORECAST.LINEAR(B89,INDEX('Rate &amp; Vol Update'!$F$4:$K$4,1,MATCH(B89,'Rate &amp; Vol Update'!$F$2:$K$2,1)):INDEX('Rate &amp; Vol Update'!$F$4:$K$4,1,MATCH(B89,'Rate &amp; Vol Update'!$F$2:$K$2,1)+1),INDEX('Rate &amp; Vol Update'!$F$2:$K$2,1,MATCH(B89,'Rate &amp; Vol Update'!$F$2:$K$2,1)):INDEX('Rate &amp; Vol Update'!$F$2:$K$2,1,MATCH(B89,'Rate &amp; Vol Update'!$F$2:$K$2,1)+1)))))</f>
        <v/>
      </c>
      <c r="N89" s="85" t="str">
        <f t="shared" si="18"/>
        <v/>
      </c>
      <c r="O89" s="16" t="str">
        <f t="shared" si="19"/>
        <v/>
      </c>
      <c r="P89" s="85" t="str">
        <f>IF(B89="","",Schedules!D89)</f>
        <v/>
      </c>
    </row>
    <row r="90" spans="2:16" x14ac:dyDescent="0.25">
      <c r="B90" s="4" t="str">
        <f>'Bachelier Model'!J91</f>
        <v/>
      </c>
      <c r="C90" s="16" t="str">
        <f>IF(B90="","",IF(B90&lt;'Rate &amp; Vol Update'!$B$8,0,_xlfn.FORECAST.LINEAR(B90,INDEX('Rate &amp; Vol Update'!$E$8:$E$127,MATCH('Market Scenarios'!B90,'Rate &amp; Vol Update'!$B$8:$B$127,1)):INDEX('Rate &amp; Vol Update'!$E$8:$E$127,MATCH('Market Scenarios'!B90,'Rate &amp; Vol Update'!$B$8:$B$127,1)+1),INDEX('Rate &amp; Vol Update'!$B$8:$B$127,MATCH('Market Scenarios'!B90,'Rate &amp; Vol Update'!$B$8:$B$127,1)):INDEX('Rate &amp; Vol Update'!$B$8:$B$127,MATCH('Market Scenarios'!B90,'Rate &amp; Vol Update'!$B$8:$B$127,1)+1)))/100)</f>
        <v/>
      </c>
      <c r="D90" s="85" t="str">
        <f>'Bachelier Model'!P91</f>
        <v/>
      </c>
      <c r="E90" s="16" t="str">
        <f t="shared" si="10"/>
        <v/>
      </c>
      <c r="F90" s="16" t="str">
        <f t="shared" si="11"/>
        <v/>
      </c>
      <c r="G90" s="16" t="str">
        <f t="shared" si="12"/>
        <v/>
      </c>
      <c r="H90" s="16" t="str">
        <f t="shared" si="13"/>
        <v/>
      </c>
      <c r="I90" s="16" t="str">
        <f t="shared" si="14"/>
        <v/>
      </c>
      <c r="J90" s="16" t="str">
        <f t="shared" si="15"/>
        <v/>
      </c>
      <c r="K90" s="16" t="str">
        <f t="shared" si="16"/>
        <v/>
      </c>
      <c r="L90" s="16" t="str">
        <f t="shared" si="17"/>
        <v/>
      </c>
      <c r="M90" s="16" t="str">
        <f>IF(B90="","",IF(B90&gt;'Rate &amp; Vol Update'!$K$2,'Rate &amp; Vol Update'!$K$4,IF(B90&lt;'Rate &amp; Vol Update'!$F$2,D90,_xlfn.FORECAST.LINEAR(B90,INDEX('Rate &amp; Vol Update'!$F$4:$K$4,1,MATCH(B90,'Rate &amp; Vol Update'!$F$2:$K$2,1)):INDEX('Rate &amp; Vol Update'!$F$4:$K$4,1,MATCH(B90,'Rate &amp; Vol Update'!$F$2:$K$2,1)+1),INDEX('Rate &amp; Vol Update'!$F$2:$K$2,1,MATCH(B90,'Rate &amp; Vol Update'!$F$2:$K$2,1)):INDEX('Rate &amp; Vol Update'!$F$2:$K$2,1,MATCH(B90,'Rate &amp; Vol Update'!$F$2:$K$2,1)+1)))))</f>
        <v/>
      </c>
      <c r="N90" s="85" t="str">
        <f t="shared" si="18"/>
        <v/>
      </c>
      <c r="O90" s="16" t="str">
        <f t="shared" si="19"/>
        <v/>
      </c>
      <c r="P90" s="85" t="str">
        <f>IF(B90="","",Schedules!D90)</f>
        <v/>
      </c>
    </row>
    <row r="91" spans="2:16" x14ac:dyDescent="0.25">
      <c r="B91" s="4" t="str">
        <f>'Bachelier Model'!J92</f>
        <v/>
      </c>
      <c r="C91" s="16" t="str">
        <f>IF(B91="","",IF(B91&lt;'Rate &amp; Vol Update'!$B$8,0,_xlfn.FORECAST.LINEAR(B91,INDEX('Rate &amp; Vol Update'!$E$8:$E$127,MATCH('Market Scenarios'!B91,'Rate &amp; Vol Update'!$B$8:$B$127,1)):INDEX('Rate &amp; Vol Update'!$E$8:$E$127,MATCH('Market Scenarios'!B91,'Rate &amp; Vol Update'!$B$8:$B$127,1)+1),INDEX('Rate &amp; Vol Update'!$B$8:$B$127,MATCH('Market Scenarios'!B91,'Rate &amp; Vol Update'!$B$8:$B$127,1)):INDEX('Rate &amp; Vol Update'!$B$8:$B$127,MATCH('Market Scenarios'!B91,'Rate &amp; Vol Update'!$B$8:$B$127,1)+1)))/100)</f>
        <v/>
      </c>
      <c r="D91" s="85" t="str">
        <f>'Bachelier Model'!P92</f>
        <v/>
      </c>
      <c r="E91" s="16" t="str">
        <f t="shared" si="10"/>
        <v/>
      </c>
      <c r="F91" s="16" t="str">
        <f t="shared" si="11"/>
        <v/>
      </c>
      <c r="G91" s="16" t="str">
        <f t="shared" si="12"/>
        <v/>
      </c>
      <c r="H91" s="16" t="str">
        <f t="shared" si="13"/>
        <v/>
      </c>
      <c r="I91" s="16" t="str">
        <f t="shared" si="14"/>
        <v/>
      </c>
      <c r="J91" s="16" t="str">
        <f t="shared" si="15"/>
        <v/>
      </c>
      <c r="K91" s="16" t="str">
        <f t="shared" si="16"/>
        <v/>
      </c>
      <c r="L91" s="16" t="str">
        <f t="shared" si="17"/>
        <v/>
      </c>
      <c r="M91" s="16" t="str">
        <f>IF(B91="","",IF(B91&gt;'Rate &amp; Vol Update'!$K$2,'Rate &amp; Vol Update'!$K$4,IF(B91&lt;'Rate &amp; Vol Update'!$F$2,D91,_xlfn.FORECAST.LINEAR(B91,INDEX('Rate &amp; Vol Update'!$F$4:$K$4,1,MATCH(B91,'Rate &amp; Vol Update'!$F$2:$K$2,1)):INDEX('Rate &amp; Vol Update'!$F$4:$K$4,1,MATCH(B91,'Rate &amp; Vol Update'!$F$2:$K$2,1)+1),INDEX('Rate &amp; Vol Update'!$F$2:$K$2,1,MATCH(B91,'Rate &amp; Vol Update'!$F$2:$K$2,1)):INDEX('Rate &amp; Vol Update'!$F$2:$K$2,1,MATCH(B91,'Rate &amp; Vol Update'!$F$2:$K$2,1)+1)))))</f>
        <v/>
      </c>
      <c r="N91" s="85" t="str">
        <f t="shared" si="18"/>
        <v/>
      </c>
      <c r="O91" s="16" t="str">
        <f t="shared" si="19"/>
        <v/>
      </c>
      <c r="P91" s="85" t="str">
        <f>IF(B91="","",Schedules!D91)</f>
        <v/>
      </c>
    </row>
    <row r="92" spans="2:16" x14ac:dyDescent="0.25">
      <c r="B92" s="4" t="str">
        <f>'Bachelier Model'!J93</f>
        <v/>
      </c>
      <c r="C92" s="16" t="str">
        <f>IF(B92="","",IF(B92&lt;'Rate &amp; Vol Update'!$B$8,0,_xlfn.FORECAST.LINEAR(B92,INDEX('Rate &amp; Vol Update'!$E$8:$E$127,MATCH('Market Scenarios'!B92,'Rate &amp; Vol Update'!$B$8:$B$127,1)):INDEX('Rate &amp; Vol Update'!$E$8:$E$127,MATCH('Market Scenarios'!B92,'Rate &amp; Vol Update'!$B$8:$B$127,1)+1),INDEX('Rate &amp; Vol Update'!$B$8:$B$127,MATCH('Market Scenarios'!B92,'Rate &amp; Vol Update'!$B$8:$B$127,1)):INDEX('Rate &amp; Vol Update'!$B$8:$B$127,MATCH('Market Scenarios'!B92,'Rate &amp; Vol Update'!$B$8:$B$127,1)+1)))/100)</f>
        <v/>
      </c>
      <c r="D92" s="85" t="str">
        <f>'Bachelier Model'!P93</f>
        <v/>
      </c>
      <c r="E92" s="16" t="str">
        <f t="shared" si="10"/>
        <v/>
      </c>
      <c r="F92" s="16" t="str">
        <f t="shared" si="11"/>
        <v/>
      </c>
      <c r="G92" s="16" t="str">
        <f t="shared" si="12"/>
        <v/>
      </c>
      <c r="H92" s="16" t="str">
        <f t="shared" si="13"/>
        <v/>
      </c>
      <c r="I92" s="16" t="str">
        <f t="shared" si="14"/>
        <v/>
      </c>
      <c r="J92" s="16" t="str">
        <f t="shared" si="15"/>
        <v/>
      </c>
      <c r="K92" s="16" t="str">
        <f t="shared" si="16"/>
        <v/>
      </c>
      <c r="L92" s="16" t="str">
        <f t="shared" si="17"/>
        <v/>
      </c>
      <c r="M92" s="16" t="str">
        <f>IF(B92="","",IF(B92&gt;'Rate &amp; Vol Update'!$K$2,'Rate &amp; Vol Update'!$K$4,IF(B92&lt;'Rate &amp; Vol Update'!$F$2,D92,_xlfn.FORECAST.LINEAR(B92,INDEX('Rate &amp; Vol Update'!$F$4:$K$4,1,MATCH(B92,'Rate &amp; Vol Update'!$F$2:$K$2,1)):INDEX('Rate &amp; Vol Update'!$F$4:$K$4,1,MATCH(B92,'Rate &amp; Vol Update'!$F$2:$K$2,1)+1),INDEX('Rate &amp; Vol Update'!$F$2:$K$2,1,MATCH(B92,'Rate &amp; Vol Update'!$F$2:$K$2,1)):INDEX('Rate &amp; Vol Update'!$F$2:$K$2,1,MATCH(B92,'Rate &amp; Vol Update'!$F$2:$K$2,1)+1)))))</f>
        <v/>
      </c>
      <c r="N92" s="85" t="str">
        <f t="shared" si="18"/>
        <v/>
      </c>
      <c r="O92" s="16" t="str">
        <f t="shared" si="19"/>
        <v/>
      </c>
      <c r="P92" s="85" t="str">
        <f>IF(B92="","",Schedules!D92)</f>
        <v/>
      </c>
    </row>
    <row r="93" spans="2:16" x14ac:dyDescent="0.25">
      <c r="B93" s="4" t="str">
        <f>'Bachelier Model'!J94</f>
        <v/>
      </c>
      <c r="C93" s="16" t="str">
        <f>IF(B93="","",IF(B93&lt;'Rate &amp; Vol Update'!$B$8,0,_xlfn.FORECAST.LINEAR(B93,INDEX('Rate &amp; Vol Update'!$E$8:$E$127,MATCH('Market Scenarios'!B93,'Rate &amp; Vol Update'!$B$8:$B$127,1)):INDEX('Rate &amp; Vol Update'!$E$8:$E$127,MATCH('Market Scenarios'!B93,'Rate &amp; Vol Update'!$B$8:$B$127,1)+1),INDEX('Rate &amp; Vol Update'!$B$8:$B$127,MATCH('Market Scenarios'!B93,'Rate &amp; Vol Update'!$B$8:$B$127,1)):INDEX('Rate &amp; Vol Update'!$B$8:$B$127,MATCH('Market Scenarios'!B93,'Rate &amp; Vol Update'!$B$8:$B$127,1)+1)))/100)</f>
        <v/>
      </c>
      <c r="D93" s="85" t="str">
        <f>'Bachelier Model'!P94</f>
        <v/>
      </c>
      <c r="E93" s="16" t="str">
        <f t="shared" si="10"/>
        <v/>
      </c>
      <c r="F93" s="16" t="str">
        <f t="shared" si="11"/>
        <v/>
      </c>
      <c r="G93" s="16" t="str">
        <f t="shared" si="12"/>
        <v/>
      </c>
      <c r="H93" s="16" t="str">
        <f t="shared" si="13"/>
        <v/>
      </c>
      <c r="I93" s="16" t="str">
        <f t="shared" si="14"/>
        <v/>
      </c>
      <c r="J93" s="16" t="str">
        <f t="shared" si="15"/>
        <v/>
      </c>
      <c r="K93" s="16" t="str">
        <f t="shared" si="16"/>
        <v/>
      </c>
      <c r="L93" s="16" t="str">
        <f t="shared" si="17"/>
        <v/>
      </c>
      <c r="M93" s="16" t="str">
        <f>IF(B93="","",IF(B93&gt;'Rate &amp; Vol Update'!$K$2,'Rate &amp; Vol Update'!$K$4,IF(B93&lt;'Rate &amp; Vol Update'!$F$2,D93,_xlfn.FORECAST.LINEAR(B93,INDEX('Rate &amp; Vol Update'!$F$4:$K$4,1,MATCH(B93,'Rate &amp; Vol Update'!$F$2:$K$2,1)):INDEX('Rate &amp; Vol Update'!$F$4:$K$4,1,MATCH(B93,'Rate &amp; Vol Update'!$F$2:$K$2,1)+1),INDEX('Rate &amp; Vol Update'!$F$2:$K$2,1,MATCH(B93,'Rate &amp; Vol Update'!$F$2:$K$2,1)):INDEX('Rate &amp; Vol Update'!$F$2:$K$2,1,MATCH(B93,'Rate &amp; Vol Update'!$F$2:$K$2,1)+1)))))</f>
        <v/>
      </c>
      <c r="N93" s="85" t="str">
        <f t="shared" si="18"/>
        <v/>
      </c>
      <c r="O93" s="16" t="str">
        <f t="shared" si="19"/>
        <v/>
      </c>
      <c r="P93" s="85" t="str">
        <f>IF(B93="","",Schedules!D93)</f>
        <v/>
      </c>
    </row>
    <row r="94" spans="2:16" x14ac:dyDescent="0.25">
      <c r="B94" s="4" t="str">
        <f>'Bachelier Model'!J95</f>
        <v/>
      </c>
      <c r="C94" s="16" t="str">
        <f>IF(B94="","",IF(B94&lt;'Rate &amp; Vol Update'!$B$8,0,_xlfn.FORECAST.LINEAR(B94,INDEX('Rate &amp; Vol Update'!$E$8:$E$127,MATCH('Market Scenarios'!B94,'Rate &amp; Vol Update'!$B$8:$B$127,1)):INDEX('Rate &amp; Vol Update'!$E$8:$E$127,MATCH('Market Scenarios'!B94,'Rate &amp; Vol Update'!$B$8:$B$127,1)+1),INDEX('Rate &amp; Vol Update'!$B$8:$B$127,MATCH('Market Scenarios'!B94,'Rate &amp; Vol Update'!$B$8:$B$127,1)):INDEX('Rate &amp; Vol Update'!$B$8:$B$127,MATCH('Market Scenarios'!B94,'Rate &amp; Vol Update'!$B$8:$B$127,1)+1)))/100)</f>
        <v/>
      </c>
      <c r="D94" s="85" t="str">
        <f>'Bachelier Model'!P95</f>
        <v/>
      </c>
      <c r="E94" s="16" t="str">
        <f t="shared" si="10"/>
        <v/>
      </c>
      <c r="F94" s="16" t="str">
        <f t="shared" si="11"/>
        <v/>
      </c>
      <c r="G94" s="16" t="str">
        <f t="shared" si="12"/>
        <v/>
      </c>
      <c r="H94" s="16" t="str">
        <f t="shared" si="13"/>
        <v/>
      </c>
      <c r="I94" s="16" t="str">
        <f t="shared" si="14"/>
        <v/>
      </c>
      <c r="J94" s="16" t="str">
        <f t="shared" si="15"/>
        <v/>
      </c>
      <c r="K94" s="16" t="str">
        <f t="shared" si="16"/>
        <v/>
      </c>
      <c r="L94" s="16" t="str">
        <f t="shared" si="17"/>
        <v/>
      </c>
      <c r="M94" s="16" t="str">
        <f>IF(B94="","",IF(B94&gt;'Rate &amp; Vol Update'!$K$2,'Rate &amp; Vol Update'!$K$4,IF(B94&lt;'Rate &amp; Vol Update'!$F$2,D94,_xlfn.FORECAST.LINEAR(B94,INDEX('Rate &amp; Vol Update'!$F$4:$K$4,1,MATCH(B94,'Rate &amp; Vol Update'!$F$2:$K$2,1)):INDEX('Rate &amp; Vol Update'!$F$4:$K$4,1,MATCH(B94,'Rate &amp; Vol Update'!$F$2:$K$2,1)+1),INDEX('Rate &amp; Vol Update'!$F$2:$K$2,1,MATCH(B94,'Rate &amp; Vol Update'!$F$2:$K$2,1)):INDEX('Rate &amp; Vol Update'!$F$2:$K$2,1,MATCH(B94,'Rate &amp; Vol Update'!$F$2:$K$2,1)+1)))))</f>
        <v/>
      </c>
      <c r="N94" s="85" t="str">
        <f t="shared" si="18"/>
        <v/>
      </c>
      <c r="O94" s="16" t="str">
        <f t="shared" si="19"/>
        <v/>
      </c>
      <c r="P94" s="85" t="str">
        <f>IF(B94="","",Schedules!D94)</f>
        <v/>
      </c>
    </row>
    <row r="95" spans="2:16" x14ac:dyDescent="0.25">
      <c r="B95" s="4" t="str">
        <f>'Bachelier Model'!J96</f>
        <v/>
      </c>
      <c r="C95" s="16" t="str">
        <f>IF(B95="","",IF(B95&lt;'Rate &amp; Vol Update'!$B$8,0,_xlfn.FORECAST.LINEAR(B95,INDEX('Rate &amp; Vol Update'!$E$8:$E$127,MATCH('Market Scenarios'!B95,'Rate &amp; Vol Update'!$B$8:$B$127,1)):INDEX('Rate &amp; Vol Update'!$E$8:$E$127,MATCH('Market Scenarios'!B95,'Rate &amp; Vol Update'!$B$8:$B$127,1)+1),INDEX('Rate &amp; Vol Update'!$B$8:$B$127,MATCH('Market Scenarios'!B95,'Rate &amp; Vol Update'!$B$8:$B$127,1)):INDEX('Rate &amp; Vol Update'!$B$8:$B$127,MATCH('Market Scenarios'!B95,'Rate &amp; Vol Update'!$B$8:$B$127,1)+1)))/100)</f>
        <v/>
      </c>
      <c r="D95" s="85" t="str">
        <f>'Bachelier Model'!P96</f>
        <v/>
      </c>
      <c r="E95" s="16" t="str">
        <f t="shared" si="10"/>
        <v/>
      </c>
      <c r="F95" s="16" t="str">
        <f t="shared" si="11"/>
        <v/>
      </c>
      <c r="G95" s="16" t="str">
        <f t="shared" si="12"/>
        <v/>
      </c>
      <c r="H95" s="16" t="str">
        <f t="shared" si="13"/>
        <v/>
      </c>
      <c r="I95" s="16" t="str">
        <f t="shared" si="14"/>
        <v/>
      </c>
      <c r="J95" s="16" t="str">
        <f t="shared" si="15"/>
        <v/>
      </c>
      <c r="K95" s="16" t="str">
        <f t="shared" si="16"/>
        <v/>
      </c>
      <c r="L95" s="16" t="str">
        <f t="shared" si="17"/>
        <v/>
      </c>
      <c r="M95" s="16" t="str">
        <f>IF(B95="","",IF(B95&gt;'Rate &amp; Vol Update'!$K$2,'Rate &amp; Vol Update'!$K$4,IF(B95&lt;'Rate &amp; Vol Update'!$F$2,D95,_xlfn.FORECAST.LINEAR(B95,INDEX('Rate &amp; Vol Update'!$F$4:$K$4,1,MATCH(B95,'Rate &amp; Vol Update'!$F$2:$K$2,1)):INDEX('Rate &amp; Vol Update'!$F$4:$K$4,1,MATCH(B95,'Rate &amp; Vol Update'!$F$2:$K$2,1)+1),INDEX('Rate &amp; Vol Update'!$F$2:$K$2,1,MATCH(B95,'Rate &amp; Vol Update'!$F$2:$K$2,1)):INDEX('Rate &amp; Vol Update'!$F$2:$K$2,1,MATCH(B95,'Rate &amp; Vol Update'!$F$2:$K$2,1)+1)))))</f>
        <v/>
      </c>
      <c r="N95" s="85" t="str">
        <f t="shared" si="18"/>
        <v/>
      </c>
      <c r="O95" s="16" t="str">
        <f t="shared" si="19"/>
        <v/>
      </c>
      <c r="P95" s="85" t="str">
        <f>IF(B95="","",Schedules!D95)</f>
        <v/>
      </c>
    </row>
    <row r="96" spans="2:16" x14ac:dyDescent="0.25">
      <c r="B96" s="4" t="str">
        <f>'Bachelier Model'!J97</f>
        <v/>
      </c>
      <c r="C96" s="16" t="str">
        <f>IF(B96="","",IF(B96&lt;'Rate &amp; Vol Update'!$B$8,0,_xlfn.FORECAST.LINEAR(B96,INDEX('Rate &amp; Vol Update'!$E$8:$E$127,MATCH('Market Scenarios'!B96,'Rate &amp; Vol Update'!$B$8:$B$127,1)):INDEX('Rate &amp; Vol Update'!$E$8:$E$127,MATCH('Market Scenarios'!B96,'Rate &amp; Vol Update'!$B$8:$B$127,1)+1),INDEX('Rate &amp; Vol Update'!$B$8:$B$127,MATCH('Market Scenarios'!B96,'Rate &amp; Vol Update'!$B$8:$B$127,1)):INDEX('Rate &amp; Vol Update'!$B$8:$B$127,MATCH('Market Scenarios'!B96,'Rate &amp; Vol Update'!$B$8:$B$127,1)+1)))/100)</f>
        <v/>
      </c>
      <c r="D96" s="85" t="str">
        <f>'Bachelier Model'!P97</f>
        <v/>
      </c>
      <c r="E96" s="16" t="str">
        <f t="shared" si="10"/>
        <v/>
      </c>
      <c r="F96" s="16" t="str">
        <f t="shared" si="11"/>
        <v/>
      </c>
      <c r="G96" s="16" t="str">
        <f t="shared" si="12"/>
        <v/>
      </c>
      <c r="H96" s="16" t="str">
        <f t="shared" si="13"/>
        <v/>
      </c>
      <c r="I96" s="16" t="str">
        <f t="shared" si="14"/>
        <v/>
      </c>
      <c r="J96" s="16" t="str">
        <f t="shared" si="15"/>
        <v/>
      </c>
      <c r="K96" s="16" t="str">
        <f t="shared" si="16"/>
        <v/>
      </c>
      <c r="L96" s="16" t="str">
        <f t="shared" si="17"/>
        <v/>
      </c>
      <c r="M96" s="16" t="str">
        <f>IF(B96="","",IF(B96&gt;'Rate &amp; Vol Update'!$K$2,'Rate &amp; Vol Update'!$K$4,IF(B96&lt;'Rate &amp; Vol Update'!$F$2,D96,_xlfn.FORECAST.LINEAR(B96,INDEX('Rate &amp; Vol Update'!$F$4:$K$4,1,MATCH(B96,'Rate &amp; Vol Update'!$F$2:$K$2,1)):INDEX('Rate &amp; Vol Update'!$F$4:$K$4,1,MATCH(B96,'Rate &amp; Vol Update'!$F$2:$K$2,1)+1),INDEX('Rate &amp; Vol Update'!$F$2:$K$2,1,MATCH(B96,'Rate &amp; Vol Update'!$F$2:$K$2,1)):INDEX('Rate &amp; Vol Update'!$F$2:$K$2,1,MATCH(B96,'Rate &amp; Vol Update'!$F$2:$K$2,1)+1)))))</f>
        <v/>
      </c>
      <c r="N96" s="85" t="str">
        <f t="shared" si="18"/>
        <v/>
      </c>
      <c r="O96" s="16" t="str">
        <f t="shared" si="19"/>
        <v/>
      </c>
      <c r="P96" s="85" t="str">
        <f>IF(B96="","",Schedules!D96)</f>
        <v/>
      </c>
    </row>
    <row r="97" spans="2:16" x14ac:dyDescent="0.25">
      <c r="B97" s="4" t="str">
        <f>'Bachelier Model'!J98</f>
        <v/>
      </c>
      <c r="C97" s="16" t="str">
        <f>IF(B97="","",IF(B97&lt;'Rate &amp; Vol Update'!$B$8,0,_xlfn.FORECAST.LINEAR(B97,INDEX('Rate &amp; Vol Update'!$E$8:$E$127,MATCH('Market Scenarios'!B97,'Rate &amp; Vol Update'!$B$8:$B$127,1)):INDEX('Rate &amp; Vol Update'!$E$8:$E$127,MATCH('Market Scenarios'!B97,'Rate &amp; Vol Update'!$B$8:$B$127,1)+1),INDEX('Rate &amp; Vol Update'!$B$8:$B$127,MATCH('Market Scenarios'!B97,'Rate &amp; Vol Update'!$B$8:$B$127,1)):INDEX('Rate &amp; Vol Update'!$B$8:$B$127,MATCH('Market Scenarios'!B97,'Rate &amp; Vol Update'!$B$8:$B$127,1)+1)))/100)</f>
        <v/>
      </c>
      <c r="D97" s="85" t="str">
        <f>'Bachelier Model'!P98</f>
        <v/>
      </c>
      <c r="E97" s="16" t="str">
        <f t="shared" si="10"/>
        <v/>
      </c>
      <c r="F97" s="16" t="str">
        <f t="shared" si="11"/>
        <v/>
      </c>
      <c r="G97" s="16" t="str">
        <f t="shared" si="12"/>
        <v/>
      </c>
      <c r="H97" s="16" t="str">
        <f t="shared" si="13"/>
        <v/>
      </c>
      <c r="I97" s="16" t="str">
        <f t="shared" si="14"/>
        <v/>
      </c>
      <c r="J97" s="16" t="str">
        <f t="shared" si="15"/>
        <v/>
      </c>
      <c r="K97" s="16" t="str">
        <f t="shared" si="16"/>
        <v/>
      </c>
      <c r="L97" s="16" t="str">
        <f t="shared" si="17"/>
        <v/>
      </c>
      <c r="M97" s="16" t="str">
        <f>IF(B97="","",IF(B97&gt;'Rate &amp; Vol Update'!$K$2,'Rate &amp; Vol Update'!$K$4,IF(B97&lt;'Rate &amp; Vol Update'!$F$2,D97,_xlfn.FORECAST.LINEAR(B97,INDEX('Rate &amp; Vol Update'!$F$4:$K$4,1,MATCH(B97,'Rate &amp; Vol Update'!$F$2:$K$2,1)):INDEX('Rate &amp; Vol Update'!$F$4:$K$4,1,MATCH(B97,'Rate &amp; Vol Update'!$F$2:$K$2,1)+1),INDEX('Rate &amp; Vol Update'!$F$2:$K$2,1,MATCH(B97,'Rate &amp; Vol Update'!$F$2:$K$2,1)):INDEX('Rate &amp; Vol Update'!$F$2:$K$2,1,MATCH(B97,'Rate &amp; Vol Update'!$F$2:$K$2,1)+1)))))</f>
        <v/>
      </c>
      <c r="N97" s="85" t="str">
        <f t="shared" si="18"/>
        <v/>
      </c>
      <c r="O97" s="16" t="str">
        <f t="shared" si="19"/>
        <v/>
      </c>
      <c r="P97" s="85" t="str">
        <f>IF(B97="","",Schedules!D97)</f>
        <v/>
      </c>
    </row>
    <row r="98" spans="2:16" x14ac:dyDescent="0.25">
      <c r="B98" s="4" t="str">
        <f>'Bachelier Model'!J99</f>
        <v/>
      </c>
      <c r="C98" s="16" t="str">
        <f>IF(B98="","",IF(B98&lt;'Rate &amp; Vol Update'!$B$8,0,_xlfn.FORECAST.LINEAR(B98,INDEX('Rate &amp; Vol Update'!$E$8:$E$127,MATCH('Market Scenarios'!B98,'Rate &amp; Vol Update'!$B$8:$B$127,1)):INDEX('Rate &amp; Vol Update'!$E$8:$E$127,MATCH('Market Scenarios'!B98,'Rate &amp; Vol Update'!$B$8:$B$127,1)+1),INDEX('Rate &amp; Vol Update'!$B$8:$B$127,MATCH('Market Scenarios'!B98,'Rate &amp; Vol Update'!$B$8:$B$127,1)):INDEX('Rate &amp; Vol Update'!$B$8:$B$127,MATCH('Market Scenarios'!B98,'Rate &amp; Vol Update'!$B$8:$B$127,1)+1)))/100)</f>
        <v/>
      </c>
      <c r="D98" s="85" t="str">
        <f>'Bachelier Model'!P99</f>
        <v/>
      </c>
      <c r="E98" s="16" t="str">
        <f t="shared" si="10"/>
        <v/>
      </c>
      <c r="F98" s="16" t="str">
        <f t="shared" si="11"/>
        <v/>
      </c>
      <c r="G98" s="16" t="str">
        <f t="shared" si="12"/>
        <v/>
      </c>
      <c r="H98" s="16" t="str">
        <f t="shared" si="13"/>
        <v/>
      </c>
      <c r="I98" s="16" t="str">
        <f t="shared" si="14"/>
        <v/>
      </c>
      <c r="J98" s="16" t="str">
        <f t="shared" si="15"/>
        <v/>
      </c>
      <c r="K98" s="16" t="str">
        <f t="shared" si="16"/>
        <v/>
      </c>
      <c r="L98" s="16" t="str">
        <f t="shared" si="17"/>
        <v/>
      </c>
      <c r="M98" s="16" t="str">
        <f>IF(B98="","",IF(B98&gt;'Rate &amp; Vol Update'!$K$2,'Rate &amp; Vol Update'!$K$4,IF(B98&lt;'Rate &amp; Vol Update'!$F$2,D98,_xlfn.FORECAST.LINEAR(B98,INDEX('Rate &amp; Vol Update'!$F$4:$K$4,1,MATCH(B98,'Rate &amp; Vol Update'!$F$2:$K$2,1)):INDEX('Rate &amp; Vol Update'!$F$4:$K$4,1,MATCH(B98,'Rate &amp; Vol Update'!$F$2:$K$2,1)+1),INDEX('Rate &amp; Vol Update'!$F$2:$K$2,1,MATCH(B98,'Rate &amp; Vol Update'!$F$2:$K$2,1)):INDEX('Rate &amp; Vol Update'!$F$2:$K$2,1,MATCH(B98,'Rate &amp; Vol Update'!$F$2:$K$2,1)+1)))))</f>
        <v/>
      </c>
      <c r="N98" s="85" t="str">
        <f t="shared" si="18"/>
        <v/>
      </c>
      <c r="O98" s="16" t="str">
        <f t="shared" si="19"/>
        <v/>
      </c>
      <c r="P98" s="85" t="str">
        <f>IF(B98="","",Schedules!D98)</f>
        <v/>
      </c>
    </row>
    <row r="99" spans="2:16" x14ac:dyDescent="0.25">
      <c r="B99" s="4" t="str">
        <f>'Bachelier Model'!J100</f>
        <v/>
      </c>
      <c r="C99" s="16" t="str">
        <f>IF(B99="","",IF(B99&lt;'Rate &amp; Vol Update'!$B$8,0,_xlfn.FORECAST.LINEAR(B99,INDEX('Rate &amp; Vol Update'!$E$8:$E$127,MATCH('Market Scenarios'!B99,'Rate &amp; Vol Update'!$B$8:$B$127,1)):INDEX('Rate &amp; Vol Update'!$E$8:$E$127,MATCH('Market Scenarios'!B99,'Rate &amp; Vol Update'!$B$8:$B$127,1)+1),INDEX('Rate &amp; Vol Update'!$B$8:$B$127,MATCH('Market Scenarios'!B99,'Rate &amp; Vol Update'!$B$8:$B$127,1)):INDEX('Rate &amp; Vol Update'!$B$8:$B$127,MATCH('Market Scenarios'!B99,'Rate &amp; Vol Update'!$B$8:$B$127,1)+1)))/100)</f>
        <v/>
      </c>
      <c r="D99" s="85" t="str">
        <f>'Bachelier Model'!P100</f>
        <v/>
      </c>
      <c r="E99" s="16" t="str">
        <f t="shared" si="10"/>
        <v/>
      </c>
      <c r="F99" s="16" t="str">
        <f t="shared" si="11"/>
        <v/>
      </c>
      <c r="G99" s="16" t="str">
        <f t="shared" si="12"/>
        <v/>
      </c>
      <c r="H99" s="16" t="str">
        <f t="shared" si="13"/>
        <v/>
      </c>
      <c r="I99" s="16" t="str">
        <f t="shared" si="14"/>
        <v/>
      </c>
      <c r="J99" s="16" t="str">
        <f t="shared" si="15"/>
        <v/>
      </c>
      <c r="K99" s="16" t="str">
        <f t="shared" si="16"/>
        <v/>
      </c>
      <c r="L99" s="16" t="str">
        <f t="shared" si="17"/>
        <v/>
      </c>
      <c r="M99" s="16" t="str">
        <f>IF(B99="","",IF(B99&gt;'Rate &amp; Vol Update'!$K$2,'Rate &amp; Vol Update'!$K$4,IF(B99&lt;'Rate &amp; Vol Update'!$F$2,D99,_xlfn.FORECAST.LINEAR(B99,INDEX('Rate &amp; Vol Update'!$F$4:$K$4,1,MATCH(B99,'Rate &amp; Vol Update'!$F$2:$K$2,1)):INDEX('Rate &amp; Vol Update'!$F$4:$K$4,1,MATCH(B99,'Rate &amp; Vol Update'!$F$2:$K$2,1)+1),INDEX('Rate &amp; Vol Update'!$F$2:$K$2,1,MATCH(B99,'Rate &amp; Vol Update'!$F$2:$K$2,1)):INDEX('Rate &amp; Vol Update'!$F$2:$K$2,1,MATCH(B99,'Rate &amp; Vol Update'!$F$2:$K$2,1)+1)))))</f>
        <v/>
      </c>
      <c r="N99" s="85" t="str">
        <f t="shared" si="18"/>
        <v/>
      </c>
      <c r="O99" s="16" t="str">
        <f t="shared" si="19"/>
        <v/>
      </c>
      <c r="P99" s="85" t="str">
        <f>IF(B99="","",Schedules!D99)</f>
        <v/>
      </c>
    </row>
    <row r="100" spans="2:16" x14ac:dyDescent="0.25">
      <c r="B100" s="4" t="str">
        <f>'Bachelier Model'!J101</f>
        <v/>
      </c>
      <c r="C100" s="16" t="str">
        <f>IF(B100="","",IF(B100&lt;'Rate &amp; Vol Update'!$B$8,0,_xlfn.FORECAST.LINEAR(B100,INDEX('Rate &amp; Vol Update'!$E$8:$E$127,MATCH('Market Scenarios'!B100,'Rate &amp; Vol Update'!$B$8:$B$127,1)):INDEX('Rate &amp; Vol Update'!$E$8:$E$127,MATCH('Market Scenarios'!B100,'Rate &amp; Vol Update'!$B$8:$B$127,1)+1),INDEX('Rate &amp; Vol Update'!$B$8:$B$127,MATCH('Market Scenarios'!B100,'Rate &amp; Vol Update'!$B$8:$B$127,1)):INDEX('Rate &amp; Vol Update'!$B$8:$B$127,MATCH('Market Scenarios'!B100,'Rate &amp; Vol Update'!$B$8:$B$127,1)+1)))/100)</f>
        <v/>
      </c>
      <c r="D100" s="85" t="str">
        <f>'Bachelier Model'!P101</f>
        <v/>
      </c>
      <c r="E100" s="16" t="str">
        <f t="shared" si="10"/>
        <v/>
      </c>
      <c r="F100" s="16" t="str">
        <f t="shared" si="11"/>
        <v/>
      </c>
      <c r="G100" s="16" t="str">
        <f t="shared" si="12"/>
        <v/>
      </c>
      <c r="H100" s="16" t="str">
        <f t="shared" si="13"/>
        <v/>
      </c>
      <c r="I100" s="16" t="str">
        <f t="shared" si="14"/>
        <v/>
      </c>
      <c r="J100" s="16" t="str">
        <f t="shared" si="15"/>
        <v/>
      </c>
      <c r="K100" s="16" t="str">
        <f t="shared" si="16"/>
        <v/>
      </c>
      <c r="L100" s="16" t="str">
        <f t="shared" si="17"/>
        <v/>
      </c>
      <c r="M100" s="16" t="str">
        <f>IF(B100="","",IF(B100&gt;'Rate &amp; Vol Update'!$K$2,'Rate &amp; Vol Update'!$K$4,IF(B100&lt;'Rate &amp; Vol Update'!$F$2,D100,_xlfn.FORECAST.LINEAR(B100,INDEX('Rate &amp; Vol Update'!$F$4:$K$4,1,MATCH(B100,'Rate &amp; Vol Update'!$F$2:$K$2,1)):INDEX('Rate &amp; Vol Update'!$F$4:$K$4,1,MATCH(B100,'Rate &amp; Vol Update'!$F$2:$K$2,1)+1),INDEX('Rate &amp; Vol Update'!$F$2:$K$2,1,MATCH(B100,'Rate &amp; Vol Update'!$F$2:$K$2,1)):INDEX('Rate &amp; Vol Update'!$F$2:$K$2,1,MATCH(B100,'Rate &amp; Vol Update'!$F$2:$K$2,1)+1)))))</f>
        <v/>
      </c>
      <c r="N100" s="85" t="str">
        <f t="shared" si="18"/>
        <v/>
      </c>
      <c r="O100" s="16" t="str">
        <f t="shared" si="19"/>
        <v/>
      </c>
      <c r="P100" s="85" t="str">
        <f>IF(B100="","",Schedules!D100)</f>
        <v/>
      </c>
    </row>
    <row r="101" spans="2:16" x14ac:dyDescent="0.25">
      <c r="B101" s="4" t="str">
        <f>'Bachelier Model'!J102</f>
        <v/>
      </c>
      <c r="C101" s="16" t="str">
        <f>IF(B101="","",IF(B101&lt;'Rate &amp; Vol Update'!$B$8,0,_xlfn.FORECAST.LINEAR(B101,INDEX('Rate &amp; Vol Update'!$E$8:$E$127,MATCH('Market Scenarios'!B101,'Rate &amp; Vol Update'!$B$8:$B$127,1)):INDEX('Rate &amp; Vol Update'!$E$8:$E$127,MATCH('Market Scenarios'!B101,'Rate &amp; Vol Update'!$B$8:$B$127,1)+1),INDEX('Rate &amp; Vol Update'!$B$8:$B$127,MATCH('Market Scenarios'!B101,'Rate &amp; Vol Update'!$B$8:$B$127,1)):INDEX('Rate &amp; Vol Update'!$B$8:$B$127,MATCH('Market Scenarios'!B101,'Rate &amp; Vol Update'!$B$8:$B$127,1)+1)))/100)</f>
        <v/>
      </c>
      <c r="D101" s="85" t="str">
        <f>'Bachelier Model'!P102</f>
        <v/>
      </c>
      <c r="E101" s="16" t="str">
        <f t="shared" si="10"/>
        <v/>
      </c>
      <c r="F101" s="16" t="str">
        <f t="shared" si="11"/>
        <v/>
      </c>
      <c r="G101" s="16" t="str">
        <f t="shared" si="12"/>
        <v/>
      </c>
      <c r="H101" s="16" t="str">
        <f t="shared" si="13"/>
        <v/>
      </c>
      <c r="I101" s="16" t="str">
        <f t="shared" si="14"/>
        <v/>
      </c>
      <c r="J101" s="16" t="str">
        <f t="shared" si="15"/>
        <v/>
      </c>
      <c r="K101" s="16" t="str">
        <f t="shared" si="16"/>
        <v/>
      </c>
      <c r="L101" s="16" t="str">
        <f t="shared" si="17"/>
        <v/>
      </c>
      <c r="M101" s="16" t="str">
        <f>IF(B101="","",IF(B101&gt;'Rate &amp; Vol Update'!$K$2,'Rate &amp; Vol Update'!$K$4,IF(B101&lt;'Rate &amp; Vol Update'!$F$2,D101,_xlfn.FORECAST.LINEAR(B101,INDEX('Rate &amp; Vol Update'!$F$4:$K$4,1,MATCH(B101,'Rate &amp; Vol Update'!$F$2:$K$2,1)):INDEX('Rate &amp; Vol Update'!$F$4:$K$4,1,MATCH(B101,'Rate &amp; Vol Update'!$F$2:$K$2,1)+1),INDEX('Rate &amp; Vol Update'!$F$2:$K$2,1,MATCH(B101,'Rate &amp; Vol Update'!$F$2:$K$2,1)):INDEX('Rate &amp; Vol Update'!$F$2:$K$2,1,MATCH(B101,'Rate &amp; Vol Update'!$F$2:$K$2,1)+1)))))</f>
        <v/>
      </c>
      <c r="N101" s="85" t="str">
        <f t="shared" si="18"/>
        <v/>
      </c>
      <c r="O101" s="16" t="str">
        <f t="shared" si="19"/>
        <v/>
      </c>
      <c r="P101" s="85" t="str">
        <f>IF(B101="","",Schedules!D101)</f>
        <v/>
      </c>
    </row>
    <row r="102" spans="2:16" x14ac:dyDescent="0.25">
      <c r="B102" s="4" t="str">
        <f>'Bachelier Model'!J103</f>
        <v/>
      </c>
      <c r="C102" s="16" t="str">
        <f>IF(B102="","",IF(B102&lt;'Rate &amp; Vol Update'!$B$8,0,_xlfn.FORECAST.LINEAR(B102,INDEX('Rate &amp; Vol Update'!$E$8:$E$127,MATCH('Market Scenarios'!B102,'Rate &amp; Vol Update'!$B$8:$B$127,1)):INDEX('Rate &amp; Vol Update'!$E$8:$E$127,MATCH('Market Scenarios'!B102,'Rate &amp; Vol Update'!$B$8:$B$127,1)+1),INDEX('Rate &amp; Vol Update'!$B$8:$B$127,MATCH('Market Scenarios'!B102,'Rate &amp; Vol Update'!$B$8:$B$127,1)):INDEX('Rate &amp; Vol Update'!$B$8:$B$127,MATCH('Market Scenarios'!B102,'Rate &amp; Vol Update'!$B$8:$B$127,1)+1)))/100)</f>
        <v/>
      </c>
      <c r="D102" s="85" t="str">
        <f>'Bachelier Model'!P103</f>
        <v/>
      </c>
      <c r="E102" s="16" t="str">
        <f t="shared" si="10"/>
        <v/>
      </c>
      <c r="F102" s="16" t="str">
        <f t="shared" si="11"/>
        <v/>
      </c>
      <c r="G102" s="16" t="str">
        <f t="shared" si="12"/>
        <v/>
      </c>
      <c r="H102" s="16" t="str">
        <f t="shared" si="13"/>
        <v/>
      </c>
      <c r="I102" s="16" t="str">
        <f t="shared" si="14"/>
        <v/>
      </c>
      <c r="J102" s="16" t="str">
        <f t="shared" si="15"/>
        <v/>
      </c>
      <c r="K102" s="16" t="str">
        <f t="shared" si="16"/>
        <v/>
      </c>
      <c r="L102" s="16" t="str">
        <f t="shared" si="17"/>
        <v/>
      </c>
      <c r="M102" s="16" t="str">
        <f>IF(B102="","",IF(B102&gt;'Rate &amp; Vol Update'!$K$2,'Rate &amp; Vol Update'!$K$4,IF(B102&lt;'Rate &amp; Vol Update'!$F$2,D102,_xlfn.FORECAST.LINEAR(B102,INDEX('Rate &amp; Vol Update'!$F$4:$K$4,1,MATCH(B102,'Rate &amp; Vol Update'!$F$2:$K$2,1)):INDEX('Rate &amp; Vol Update'!$F$4:$K$4,1,MATCH(B102,'Rate &amp; Vol Update'!$F$2:$K$2,1)+1),INDEX('Rate &amp; Vol Update'!$F$2:$K$2,1,MATCH(B102,'Rate &amp; Vol Update'!$F$2:$K$2,1)):INDEX('Rate &amp; Vol Update'!$F$2:$K$2,1,MATCH(B102,'Rate &amp; Vol Update'!$F$2:$K$2,1)+1)))))</f>
        <v/>
      </c>
      <c r="N102" s="85" t="str">
        <f t="shared" si="18"/>
        <v/>
      </c>
      <c r="O102" s="16" t="str">
        <f t="shared" si="19"/>
        <v/>
      </c>
      <c r="P102" s="85" t="str">
        <f>IF(B102="","",Schedules!D102)</f>
        <v/>
      </c>
    </row>
    <row r="103" spans="2:16" x14ac:dyDescent="0.25">
      <c r="B103" s="4" t="str">
        <f>'Bachelier Model'!J104</f>
        <v/>
      </c>
      <c r="C103" s="16" t="str">
        <f>IF(B103="","",IF(B103&lt;'Rate &amp; Vol Update'!$B$8,0,_xlfn.FORECAST.LINEAR(B103,INDEX('Rate &amp; Vol Update'!$E$8:$E$127,MATCH('Market Scenarios'!B103,'Rate &amp; Vol Update'!$B$8:$B$127,1)):INDEX('Rate &amp; Vol Update'!$E$8:$E$127,MATCH('Market Scenarios'!B103,'Rate &amp; Vol Update'!$B$8:$B$127,1)+1),INDEX('Rate &amp; Vol Update'!$B$8:$B$127,MATCH('Market Scenarios'!B103,'Rate &amp; Vol Update'!$B$8:$B$127,1)):INDEX('Rate &amp; Vol Update'!$B$8:$B$127,MATCH('Market Scenarios'!B103,'Rate &amp; Vol Update'!$B$8:$B$127,1)+1)))/100)</f>
        <v/>
      </c>
      <c r="D103" s="85" t="str">
        <f>'Bachelier Model'!P104</f>
        <v/>
      </c>
      <c r="E103" s="16" t="str">
        <f t="shared" si="10"/>
        <v/>
      </c>
      <c r="F103" s="16" t="str">
        <f t="shared" si="11"/>
        <v/>
      </c>
      <c r="G103" s="16" t="str">
        <f t="shared" si="12"/>
        <v/>
      </c>
      <c r="H103" s="16" t="str">
        <f t="shared" si="13"/>
        <v/>
      </c>
      <c r="I103" s="16" t="str">
        <f t="shared" si="14"/>
        <v/>
      </c>
      <c r="J103" s="16" t="str">
        <f t="shared" si="15"/>
        <v/>
      </c>
      <c r="K103" s="16" t="str">
        <f t="shared" si="16"/>
        <v/>
      </c>
      <c r="L103" s="16" t="str">
        <f t="shared" si="17"/>
        <v/>
      </c>
      <c r="M103" s="16" t="str">
        <f>IF(B103="","",IF(B103&gt;'Rate &amp; Vol Update'!$K$2,'Rate &amp; Vol Update'!$K$4,IF(B103&lt;'Rate &amp; Vol Update'!$F$2,D103,_xlfn.FORECAST.LINEAR(B103,INDEX('Rate &amp; Vol Update'!$F$4:$K$4,1,MATCH(B103,'Rate &amp; Vol Update'!$F$2:$K$2,1)):INDEX('Rate &amp; Vol Update'!$F$4:$K$4,1,MATCH(B103,'Rate &amp; Vol Update'!$F$2:$K$2,1)+1),INDEX('Rate &amp; Vol Update'!$F$2:$K$2,1,MATCH(B103,'Rate &amp; Vol Update'!$F$2:$K$2,1)):INDEX('Rate &amp; Vol Update'!$F$2:$K$2,1,MATCH(B103,'Rate &amp; Vol Update'!$F$2:$K$2,1)+1)))))</f>
        <v/>
      </c>
      <c r="N103" s="85" t="str">
        <f t="shared" si="18"/>
        <v/>
      </c>
      <c r="O103" s="16" t="str">
        <f t="shared" si="19"/>
        <v/>
      </c>
      <c r="P103" s="85" t="str">
        <f>IF(B103="","",Schedules!D103)</f>
        <v/>
      </c>
    </row>
    <row r="104" spans="2:16" x14ac:dyDescent="0.25">
      <c r="B104" s="4" t="str">
        <f>'Bachelier Model'!J105</f>
        <v/>
      </c>
      <c r="C104" s="16" t="str">
        <f>IF(B104="","",IF(B104&lt;'Rate &amp; Vol Update'!$B$8,0,_xlfn.FORECAST.LINEAR(B104,INDEX('Rate &amp; Vol Update'!$E$8:$E$127,MATCH('Market Scenarios'!B104,'Rate &amp; Vol Update'!$B$8:$B$127,1)):INDEX('Rate &amp; Vol Update'!$E$8:$E$127,MATCH('Market Scenarios'!B104,'Rate &amp; Vol Update'!$B$8:$B$127,1)+1),INDEX('Rate &amp; Vol Update'!$B$8:$B$127,MATCH('Market Scenarios'!B104,'Rate &amp; Vol Update'!$B$8:$B$127,1)):INDEX('Rate &amp; Vol Update'!$B$8:$B$127,MATCH('Market Scenarios'!B104,'Rate &amp; Vol Update'!$B$8:$B$127,1)+1)))/100)</f>
        <v/>
      </c>
      <c r="D104" s="85" t="str">
        <f>'Bachelier Model'!P105</f>
        <v/>
      </c>
      <c r="E104" s="16" t="str">
        <f t="shared" si="10"/>
        <v/>
      </c>
      <c r="F104" s="16" t="str">
        <f t="shared" si="11"/>
        <v/>
      </c>
      <c r="G104" s="16" t="str">
        <f t="shared" si="12"/>
        <v/>
      </c>
      <c r="H104" s="16" t="str">
        <f t="shared" si="13"/>
        <v/>
      </c>
      <c r="I104" s="16" t="str">
        <f t="shared" si="14"/>
        <v/>
      </c>
      <c r="J104" s="16" t="str">
        <f t="shared" si="15"/>
        <v/>
      </c>
      <c r="K104" s="16" t="str">
        <f t="shared" si="16"/>
        <v/>
      </c>
      <c r="L104" s="16" t="str">
        <f t="shared" si="17"/>
        <v/>
      </c>
      <c r="M104" s="16" t="str">
        <f>IF(B104="","",IF(B104&gt;'Rate &amp; Vol Update'!$K$2,'Rate &amp; Vol Update'!$K$4,IF(B104&lt;'Rate &amp; Vol Update'!$F$2,D104,_xlfn.FORECAST.LINEAR(B104,INDEX('Rate &amp; Vol Update'!$F$4:$K$4,1,MATCH(B104,'Rate &amp; Vol Update'!$F$2:$K$2,1)):INDEX('Rate &amp; Vol Update'!$F$4:$K$4,1,MATCH(B104,'Rate &amp; Vol Update'!$F$2:$K$2,1)+1),INDEX('Rate &amp; Vol Update'!$F$2:$K$2,1,MATCH(B104,'Rate &amp; Vol Update'!$F$2:$K$2,1)):INDEX('Rate &amp; Vol Update'!$F$2:$K$2,1,MATCH(B104,'Rate &amp; Vol Update'!$F$2:$K$2,1)+1)))))</f>
        <v/>
      </c>
      <c r="N104" s="85" t="str">
        <f t="shared" si="18"/>
        <v/>
      </c>
      <c r="O104" s="16" t="str">
        <f t="shared" si="19"/>
        <v/>
      </c>
      <c r="P104" s="85" t="str">
        <f>IF(B104="","",Schedules!D104)</f>
        <v/>
      </c>
    </row>
    <row r="105" spans="2:16" x14ac:dyDescent="0.25">
      <c r="B105" s="4" t="str">
        <f>'Bachelier Model'!J106</f>
        <v/>
      </c>
      <c r="C105" s="16" t="str">
        <f>IF(B105="","",IF(B105&lt;'Rate &amp; Vol Update'!$B$8,0,_xlfn.FORECAST.LINEAR(B105,INDEX('Rate &amp; Vol Update'!$E$8:$E$127,MATCH('Market Scenarios'!B105,'Rate &amp; Vol Update'!$B$8:$B$127,1)):INDEX('Rate &amp; Vol Update'!$E$8:$E$127,MATCH('Market Scenarios'!B105,'Rate &amp; Vol Update'!$B$8:$B$127,1)+1),INDEX('Rate &amp; Vol Update'!$B$8:$B$127,MATCH('Market Scenarios'!B105,'Rate &amp; Vol Update'!$B$8:$B$127,1)):INDEX('Rate &amp; Vol Update'!$B$8:$B$127,MATCH('Market Scenarios'!B105,'Rate &amp; Vol Update'!$B$8:$B$127,1)+1)))/100)</f>
        <v/>
      </c>
      <c r="D105" s="85" t="str">
        <f>'Bachelier Model'!P106</f>
        <v/>
      </c>
      <c r="E105" s="16" t="str">
        <f t="shared" si="10"/>
        <v/>
      </c>
      <c r="F105" s="16" t="str">
        <f t="shared" si="11"/>
        <v/>
      </c>
      <c r="G105" s="16" t="str">
        <f t="shared" si="12"/>
        <v/>
      </c>
      <c r="H105" s="16" t="str">
        <f t="shared" si="13"/>
        <v/>
      </c>
      <c r="I105" s="16" t="str">
        <f t="shared" si="14"/>
        <v/>
      </c>
      <c r="J105" s="16" t="str">
        <f t="shared" si="15"/>
        <v/>
      </c>
      <c r="K105" s="16" t="str">
        <f t="shared" si="16"/>
        <v/>
      </c>
      <c r="L105" s="16" t="str">
        <f t="shared" si="17"/>
        <v/>
      </c>
      <c r="M105" s="16" t="str">
        <f>IF(B105="","",IF(B105&gt;'Rate &amp; Vol Update'!$K$2,'Rate &amp; Vol Update'!$K$4,IF(B105&lt;'Rate &amp; Vol Update'!$F$2,D105,_xlfn.FORECAST.LINEAR(B105,INDEX('Rate &amp; Vol Update'!$F$4:$K$4,1,MATCH(B105,'Rate &amp; Vol Update'!$F$2:$K$2,1)):INDEX('Rate &amp; Vol Update'!$F$4:$K$4,1,MATCH(B105,'Rate &amp; Vol Update'!$F$2:$K$2,1)+1),INDEX('Rate &amp; Vol Update'!$F$2:$K$2,1,MATCH(B105,'Rate &amp; Vol Update'!$F$2:$K$2,1)):INDEX('Rate &amp; Vol Update'!$F$2:$K$2,1,MATCH(B105,'Rate &amp; Vol Update'!$F$2:$K$2,1)+1)))))</f>
        <v/>
      </c>
      <c r="N105" s="85" t="str">
        <f t="shared" si="18"/>
        <v/>
      </c>
      <c r="O105" s="16" t="str">
        <f t="shared" si="19"/>
        <v/>
      </c>
      <c r="P105" s="85" t="str">
        <f>IF(B105="","",Schedules!D105)</f>
        <v/>
      </c>
    </row>
    <row r="106" spans="2:16" x14ac:dyDescent="0.25">
      <c r="B106" s="4" t="str">
        <f>'Bachelier Model'!J107</f>
        <v/>
      </c>
      <c r="C106" s="16" t="str">
        <f>IF(B106="","",IF(B106&lt;'Rate &amp; Vol Update'!$B$8,0,_xlfn.FORECAST.LINEAR(B106,INDEX('Rate &amp; Vol Update'!$E$8:$E$127,MATCH('Market Scenarios'!B106,'Rate &amp; Vol Update'!$B$8:$B$127,1)):INDEX('Rate &amp; Vol Update'!$E$8:$E$127,MATCH('Market Scenarios'!B106,'Rate &amp; Vol Update'!$B$8:$B$127,1)+1),INDEX('Rate &amp; Vol Update'!$B$8:$B$127,MATCH('Market Scenarios'!B106,'Rate &amp; Vol Update'!$B$8:$B$127,1)):INDEX('Rate &amp; Vol Update'!$B$8:$B$127,MATCH('Market Scenarios'!B106,'Rate &amp; Vol Update'!$B$8:$B$127,1)+1)))/100)</f>
        <v/>
      </c>
      <c r="D106" s="85" t="str">
        <f>'Bachelier Model'!P107</f>
        <v/>
      </c>
      <c r="E106" s="16" t="str">
        <f t="shared" si="10"/>
        <v/>
      </c>
      <c r="F106" s="16" t="str">
        <f t="shared" si="11"/>
        <v/>
      </c>
      <c r="G106" s="16" t="str">
        <f t="shared" si="12"/>
        <v/>
      </c>
      <c r="H106" s="16" t="str">
        <f t="shared" si="13"/>
        <v/>
      </c>
      <c r="I106" s="16" t="str">
        <f t="shared" si="14"/>
        <v/>
      </c>
      <c r="J106" s="16" t="str">
        <f t="shared" si="15"/>
        <v/>
      </c>
      <c r="K106" s="16" t="str">
        <f t="shared" si="16"/>
        <v/>
      </c>
      <c r="L106" s="16" t="str">
        <f t="shared" si="17"/>
        <v/>
      </c>
      <c r="M106" s="16" t="str">
        <f>IF(B106="","",IF(B106&gt;'Rate &amp; Vol Update'!$K$2,'Rate &amp; Vol Update'!$K$4,IF(B106&lt;'Rate &amp; Vol Update'!$F$2,D106,_xlfn.FORECAST.LINEAR(B106,INDEX('Rate &amp; Vol Update'!$F$4:$K$4,1,MATCH(B106,'Rate &amp; Vol Update'!$F$2:$K$2,1)):INDEX('Rate &amp; Vol Update'!$F$4:$K$4,1,MATCH(B106,'Rate &amp; Vol Update'!$F$2:$K$2,1)+1),INDEX('Rate &amp; Vol Update'!$F$2:$K$2,1,MATCH(B106,'Rate &amp; Vol Update'!$F$2:$K$2,1)):INDEX('Rate &amp; Vol Update'!$F$2:$K$2,1,MATCH(B106,'Rate &amp; Vol Update'!$F$2:$K$2,1)+1)))))</f>
        <v/>
      </c>
      <c r="N106" s="85" t="str">
        <f t="shared" si="18"/>
        <v/>
      </c>
      <c r="O106" s="16" t="str">
        <f t="shared" si="19"/>
        <v/>
      </c>
      <c r="P106" s="85" t="str">
        <f>IF(B106="","",Schedules!D106)</f>
        <v/>
      </c>
    </row>
    <row r="107" spans="2:16" x14ac:dyDescent="0.25">
      <c r="B107" s="4" t="str">
        <f>'Bachelier Model'!J108</f>
        <v/>
      </c>
      <c r="C107" s="16" t="str">
        <f>IF(B107="","",IF(B107&lt;'Rate &amp; Vol Update'!$B$8,0,_xlfn.FORECAST.LINEAR(B107,INDEX('Rate &amp; Vol Update'!$E$8:$E$127,MATCH('Market Scenarios'!B107,'Rate &amp; Vol Update'!$B$8:$B$127,1)):INDEX('Rate &amp; Vol Update'!$E$8:$E$127,MATCH('Market Scenarios'!B107,'Rate &amp; Vol Update'!$B$8:$B$127,1)+1),INDEX('Rate &amp; Vol Update'!$B$8:$B$127,MATCH('Market Scenarios'!B107,'Rate &amp; Vol Update'!$B$8:$B$127,1)):INDEX('Rate &amp; Vol Update'!$B$8:$B$127,MATCH('Market Scenarios'!B107,'Rate &amp; Vol Update'!$B$8:$B$127,1)+1)))/100)</f>
        <v/>
      </c>
      <c r="D107" s="85" t="str">
        <f>'Bachelier Model'!P108</f>
        <v/>
      </c>
      <c r="E107" s="16" t="str">
        <f t="shared" si="10"/>
        <v/>
      </c>
      <c r="F107" s="16" t="str">
        <f t="shared" si="11"/>
        <v/>
      </c>
      <c r="G107" s="16" t="str">
        <f t="shared" si="12"/>
        <v/>
      </c>
      <c r="H107" s="16" t="str">
        <f t="shared" si="13"/>
        <v/>
      </c>
      <c r="I107" s="16" t="str">
        <f t="shared" si="14"/>
        <v/>
      </c>
      <c r="J107" s="16" t="str">
        <f t="shared" si="15"/>
        <v/>
      </c>
      <c r="K107" s="16" t="str">
        <f t="shared" si="16"/>
        <v/>
      </c>
      <c r="L107" s="16" t="str">
        <f t="shared" si="17"/>
        <v/>
      </c>
      <c r="M107" s="16" t="str">
        <f>IF(B107="","",IF(B107&gt;'Rate &amp; Vol Update'!$K$2,'Rate &amp; Vol Update'!$K$4,IF(B107&lt;'Rate &amp; Vol Update'!$F$2,D107,_xlfn.FORECAST.LINEAR(B107,INDEX('Rate &amp; Vol Update'!$F$4:$K$4,1,MATCH(B107,'Rate &amp; Vol Update'!$F$2:$K$2,1)):INDEX('Rate &amp; Vol Update'!$F$4:$K$4,1,MATCH(B107,'Rate &amp; Vol Update'!$F$2:$K$2,1)+1),INDEX('Rate &amp; Vol Update'!$F$2:$K$2,1,MATCH(B107,'Rate &amp; Vol Update'!$F$2:$K$2,1)):INDEX('Rate &amp; Vol Update'!$F$2:$K$2,1,MATCH(B107,'Rate &amp; Vol Update'!$F$2:$K$2,1)+1)))))</f>
        <v/>
      </c>
      <c r="N107" s="85" t="str">
        <f t="shared" si="18"/>
        <v/>
      </c>
      <c r="O107" s="16" t="str">
        <f t="shared" si="19"/>
        <v/>
      </c>
      <c r="P107" s="85" t="str">
        <f>IF(B107="","",Schedules!D107)</f>
        <v/>
      </c>
    </row>
    <row r="108" spans="2:16" x14ac:dyDescent="0.25">
      <c r="B108" s="4" t="str">
        <f>'Bachelier Model'!J109</f>
        <v/>
      </c>
      <c r="C108" s="16" t="str">
        <f>IF(B108="","",IF(B108&lt;'Rate &amp; Vol Update'!$B$8,0,_xlfn.FORECAST.LINEAR(B108,INDEX('Rate &amp; Vol Update'!$E$8:$E$127,MATCH('Market Scenarios'!B108,'Rate &amp; Vol Update'!$B$8:$B$127,1)):INDEX('Rate &amp; Vol Update'!$E$8:$E$127,MATCH('Market Scenarios'!B108,'Rate &amp; Vol Update'!$B$8:$B$127,1)+1),INDEX('Rate &amp; Vol Update'!$B$8:$B$127,MATCH('Market Scenarios'!B108,'Rate &amp; Vol Update'!$B$8:$B$127,1)):INDEX('Rate &amp; Vol Update'!$B$8:$B$127,MATCH('Market Scenarios'!B108,'Rate &amp; Vol Update'!$B$8:$B$127,1)+1)))/100)</f>
        <v/>
      </c>
      <c r="D108" s="85" t="str">
        <f>'Bachelier Model'!P109</f>
        <v/>
      </c>
      <c r="E108" s="16" t="str">
        <f t="shared" si="10"/>
        <v/>
      </c>
      <c r="F108" s="16" t="str">
        <f t="shared" si="11"/>
        <v/>
      </c>
      <c r="G108" s="16" t="str">
        <f t="shared" si="12"/>
        <v/>
      </c>
      <c r="H108" s="16" t="str">
        <f t="shared" si="13"/>
        <v/>
      </c>
      <c r="I108" s="16" t="str">
        <f t="shared" si="14"/>
        <v/>
      </c>
      <c r="J108" s="16" t="str">
        <f t="shared" si="15"/>
        <v/>
      </c>
      <c r="K108" s="16" t="str">
        <f t="shared" si="16"/>
        <v/>
      </c>
      <c r="L108" s="16" t="str">
        <f t="shared" si="17"/>
        <v/>
      </c>
      <c r="M108" s="16" t="str">
        <f>IF(B108="","",IF(B108&gt;'Rate &amp; Vol Update'!$K$2,'Rate &amp; Vol Update'!$K$4,IF(B108&lt;'Rate &amp; Vol Update'!$F$2,D108,_xlfn.FORECAST.LINEAR(B108,INDEX('Rate &amp; Vol Update'!$F$4:$K$4,1,MATCH(B108,'Rate &amp; Vol Update'!$F$2:$K$2,1)):INDEX('Rate &amp; Vol Update'!$F$4:$K$4,1,MATCH(B108,'Rate &amp; Vol Update'!$F$2:$K$2,1)+1),INDEX('Rate &amp; Vol Update'!$F$2:$K$2,1,MATCH(B108,'Rate &amp; Vol Update'!$F$2:$K$2,1)):INDEX('Rate &amp; Vol Update'!$F$2:$K$2,1,MATCH(B108,'Rate &amp; Vol Update'!$F$2:$K$2,1)+1)))))</f>
        <v/>
      </c>
      <c r="N108" s="85" t="str">
        <f t="shared" si="18"/>
        <v/>
      </c>
      <c r="O108" s="16" t="str">
        <f t="shared" si="19"/>
        <v/>
      </c>
      <c r="P108" s="85" t="str">
        <f>IF(B108="","",Schedules!D108)</f>
        <v/>
      </c>
    </row>
    <row r="109" spans="2:16" x14ac:dyDescent="0.25">
      <c r="B109" s="4" t="str">
        <f>'Bachelier Model'!J110</f>
        <v/>
      </c>
      <c r="C109" s="16" t="str">
        <f>IF(B109="","",IF(B109&lt;'Rate &amp; Vol Update'!$B$8,0,_xlfn.FORECAST.LINEAR(B109,INDEX('Rate &amp; Vol Update'!$E$8:$E$127,MATCH('Market Scenarios'!B109,'Rate &amp; Vol Update'!$B$8:$B$127,1)):INDEX('Rate &amp; Vol Update'!$E$8:$E$127,MATCH('Market Scenarios'!B109,'Rate &amp; Vol Update'!$B$8:$B$127,1)+1),INDEX('Rate &amp; Vol Update'!$B$8:$B$127,MATCH('Market Scenarios'!B109,'Rate &amp; Vol Update'!$B$8:$B$127,1)):INDEX('Rate &amp; Vol Update'!$B$8:$B$127,MATCH('Market Scenarios'!B109,'Rate &amp; Vol Update'!$B$8:$B$127,1)+1)))/100)</f>
        <v/>
      </c>
      <c r="D109" s="85" t="str">
        <f>'Bachelier Model'!P110</f>
        <v/>
      </c>
      <c r="E109" s="16" t="str">
        <f t="shared" si="10"/>
        <v/>
      </c>
      <c r="F109" s="16" t="str">
        <f t="shared" si="11"/>
        <v/>
      </c>
      <c r="G109" s="16" t="str">
        <f t="shared" si="12"/>
        <v/>
      </c>
      <c r="H109" s="16" t="str">
        <f t="shared" si="13"/>
        <v/>
      </c>
      <c r="I109" s="16" t="str">
        <f t="shared" si="14"/>
        <v/>
      </c>
      <c r="J109" s="16" t="str">
        <f t="shared" si="15"/>
        <v/>
      </c>
      <c r="K109" s="16" t="str">
        <f t="shared" si="16"/>
        <v/>
      </c>
      <c r="L109" s="16" t="str">
        <f t="shared" si="17"/>
        <v/>
      </c>
      <c r="M109" s="16" t="str">
        <f>IF(B109="","",IF(B109&gt;'Rate &amp; Vol Update'!$K$2,'Rate &amp; Vol Update'!$K$4,IF(B109&lt;'Rate &amp; Vol Update'!$F$2,D109,_xlfn.FORECAST.LINEAR(B109,INDEX('Rate &amp; Vol Update'!$F$4:$K$4,1,MATCH(B109,'Rate &amp; Vol Update'!$F$2:$K$2,1)):INDEX('Rate &amp; Vol Update'!$F$4:$K$4,1,MATCH(B109,'Rate &amp; Vol Update'!$F$2:$K$2,1)+1),INDEX('Rate &amp; Vol Update'!$F$2:$K$2,1,MATCH(B109,'Rate &amp; Vol Update'!$F$2:$K$2,1)):INDEX('Rate &amp; Vol Update'!$F$2:$K$2,1,MATCH(B109,'Rate &amp; Vol Update'!$F$2:$K$2,1)+1)))))</f>
        <v/>
      </c>
      <c r="N109" s="85" t="str">
        <f t="shared" si="18"/>
        <v/>
      </c>
      <c r="O109" s="16" t="str">
        <f t="shared" si="19"/>
        <v/>
      </c>
      <c r="P109" s="85" t="str">
        <f>IF(B109="","",Schedules!D109)</f>
        <v/>
      </c>
    </row>
    <row r="110" spans="2:16" x14ac:dyDescent="0.25">
      <c r="B110" s="4" t="str">
        <f>'Bachelier Model'!J111</f>
        <v/>
      </c>
      <c r="C110" s="16" t="str">
        <f>IF(B110="","",IF(B110&lt;'Rate &amp; Vol Update'!$B$8,0,_xlfn.FORECAST.LINEAR(B110,INDEX('Rate &amp; Vol Update'!$E$8:$E$127,MATCH('Market Scenarios'!B110,'Rate &amp; Vol Update'!$B$8:$B$127,1)):INDEX('Rate &amp; Vol Update'!$E$8:$E$127,MATCH('Market Scenarios'!B110,'Rate &amp; Vol Update'!$B$8:$B$127,1)+1),INDEX('Rate &amp; Vol Update'!$B$8:$B$127,MATCH('Market Scenarios'!B110,'Rate &amp; Vol Update'!$B$8:$B$127,1)):INDEX('Rate &amp; Vol Update'!$B$8:$B$127,MATCH('Market Scenarios'!B110,'Rate &amp; Vol Update'!$B$8:$B$127,1)+1)))/100)</f>
        <v/>
      </c>
      <c r="D110" s="85" t="str">
        <f>'Bachelier Model'!P111</f>
        <v/>
      </c>
      <c r="E110" s="16" t="str">
        <f t="shared" si="10"/>
        <v/>
      </c>
      <c r="F110" s="16" t="str">
        <f t="shared" si="11"/>
        <v/>
      </c>
      <c r="G110" s="16" t="str">
        <f t="shared" si="12"/>
        <v/>
      </c>
      <c r="H110" s="16" t="str">
        <f t="shared" si="13"/>
        <v/>
      </c>
      <c r="I110" s="16" t="str">
        <f t="shared" si="14"/>
        <v/>
      </c>
      <c r="J110" s="16" t="str">
        <f t="shared" si="15"/>
        <v/>
      </c>
      <c r="K110" s="16" t="str">
        <f t="shared" si="16"/>
        <v/>
      </c>
      <c r="L110" s="16" t="str">
        <f t="shared" si="17"/>
        <v/>
      </c>
      <c r="M110" s="16" t="str">
        <f>IF(B110="","",IF(B110&gt;'Rate &amp; Vol Update'!$K$2,'Rate &amp; Vol Update'!$K$4,IF(B110&lt;'Rate &amp; Vol Update'!$F$2,D110,_xlfn.FORECAST.LINEAR(B110,INDEX('Rate &amp; Vol Update'!$F$4:$K$4,1,MATCH(B110,'Rate &amp; Vol Update'!$F$2:$K$2,1)):INDEX('Rate &amp; Vol Update'!$F$4:$K$4,1,MATCH(B110,'Rate &amp; Vol Update'!$F$2:$K$2,1)+1),INDEX('Rate &amp; Vol Update'!$F$2:$K$2,1,MATCH(B110,'Rate &amp; Vol Update'!$F$2:$K$2,1)):INDEX('Rate &amp; Vol Update'!$F$2:$K$2,1,MATCH(B110,'Rate &amp; Vol Update'!$F$2:$K$2,1)+1)))))</f>
        <v/>
      </c>
      <c r="N110" s="85" t="str">
        <f t="shared" si="18"/>
        <v/>
      </c>
      <c r="O110" s="16" t="str">
        <f t="shared" si="19"/>
        <v/>
      </c>
      <c r="P110" s="85" t="str">
        <f>IF(B110="","",Schedules!D110)</f>
        <v/>
      </c>
    </row>
    <row r="111" spans="2:16" x14ac:dyDescent="0.25">
      <c r="B111" s="4" t="str">
        <f>'Bachelier Model'!J112</f>
        <v/>
      </c>
      <c r="C111" s="16" t="str">
        <f>IF(B111="","",IF(B111&lt;'Rate &amp; Vol Update'!$B$8,0,_xlfn.FORECAST.LINEAR(B111,INDEX('Rate &amp; Vol Update'!$E$8:$E$127,MATCH('Market Scenarios'!B111,'Rate &amp; Vol Update'!$B$8:$B$127,1)):INDEX('Rate &amp; Vol Update'!$E$8:$E$127,MATCH('Market Scenarios'!B111,'Rate &amp; Vol Update'!$B$8:$B$127,1)+1),INDEX('Rate &amp; Vol Update'!$B$8:$B$127,MATCH('Market Scenarios'!B111,'Rate &amp; Vol Update'!$B$8:$B$127,1)):INDEX('Rate &amp; Vol Update'!$B$8:$B$127,MATCH('Market Scenarios'!B111,'Rate &amp; Vol Update'!$B$8:$B$127,1)+1)))/100)</f>
        <v/>
      </c>
      <c r="D111" s="85" t="str">
        <f>'Bachelier Model'!P112</f>
        <v/>
      </c>
      <c r="E111" s="16" t="str">
        <f t="shared" si="10"/>
        <v/>
      </c>
      <c r="F111" s="16" t="str">
        <f t="shared" si="11"/>
        <v/>
      </c>
      <c r="G111" s="16" t="str">
        <f t="shared" si="12"/>
        <v/>
      </c>
      <c r="H111" s="16" t="str">
        <f t="shared" si="13"/>
        <v/>
      </c>
      <c r="I111" s="16" t="str">
        <f t="shared" si="14"/>
        <v/>
      </c>
      <c r="J111" s="16" t="str">
        <f t="shared" si="15"/>
        <v/>
      </c>
      <c r="K111" s="16" t="str">
        <f t="shared" si="16"/>
        <v/>
      </c>
      <c r="L111" s="16" t="str">
        <f t="shared" si="17"/>
        <v/>
      </c>
      <c r="M111" s="16" t="str">
        <f>IF(B111="","",IF(B111&gt;'Rate &amp; Vol Update'!$K$2,'Rate &amp; Vol Update'!$K$4,IF(B111&lt;'Rate &amp; Vol Update'!$F$2,D111,_xlfn.FORECAST.LINEAR(B111,INDEX('Rate &amp; Vol Update'!$F$4:$K$4,1,MATCH(B111,'Rate &amp; Vol Update'!$F$2:$K$2,1)):INDEX('Rate &amp; Vol Update'!$F$4:$K$4,1,MATCH(B111,'Rate &amp; Vol Update'!$F$2:$K$2,1)+1),INDEX('Rate &amp; Vol Update'!$F$2:$K$2,1,MATCH(B111,'Rate &amp; Vol Update'!$F$2:$K$2,1)):INDEX('Rate &amp; Vol Update'!$F$2:$K$2,1,MATCH(B111,'Rate &amp; Vol Update'!$F$2:$K$2,1)+1)))))</f>
        <v/>
      </c>
      <c r="N111" s="85" t="str">
        <f t="shared" si="18"/>
        <v/>
      </c>
      <c r="O111" s="16" t="str">
        <f t="shared" si="19"/>
        <v/>
      </c>
      <c r="P111" s="85" t="str">
        <f>IF(B111="","",Schedules!D111)</f>
        <v/>
      </c>
    </row>
    <row r="112" spans="2:16" x14ac:dyDescent="0.25">
      <c r="B112" s="4" t="str">
        <f>'Bachelier Model'!J113</f>
        <v/>
      </c>
      <c r="C112" s="16" t="str">
        <f>IF(B112="","",IF(B112&lt;'Rate &amp; Vol Update'!$B$8,0,_xlfn.FORECAST.LINEAR(B112,INDEX('Rate &amp; Vol Update'!$E$8:$E$127,MATCH('Market Scenarios'!B112,'Rate &amp; Vol Update'!$B$8:$B$127,1)):INDEX('Rate &amp; Vol Update'!$E$8:$E$127,MATCH('Market Scenarios'!B112,'Rate &amp; Vol Update'!$B$8:$B$127,1)+1),INDEX('Rate &amp; Vol Update'!$B$8:$B$127,MATCH('Market Scenarios'!B112,'Rate &amp; Vol Update'!$B$8:$B$127,1)):INDEX('Rate &amp; Vol Update'!$B$8:$B$127,MATCH('Market Scenarios'!B112,'Rate &amp; Vol Update'!$B$8:$B$127,1)+1)))/100)</f>
        <v/>
      </c>
      <c r="D112" s="85" t="str">
        <f>'Bachelier Model'!P113</f>
        <v/>
      </c>
      <c r="E112" s="16" t="str">
        <f t="shared" si="10"/>
        <v/>
      </c>
      <c r="F112" s="16" t="str">
        <f t="shared" si="11"/>
        <v/>
      </c>
      <c r="G112" s="16" t="str">
        <f t="shared" si="12"/>
        <v/>
      </c>
      <c r="H112" s="16" t="str">
        <f t="shared" si="13"/>
        <v/>
      </c>
      <c r="I112" s="16" t="str">
        <f t="shared" si="14"/>
        <v/>
      </c>
      <c r="J112" s="16" t="str">
        <f t="shared" si="15"/>
        <v/>
      </c>
      <c r="K112" s="16" t="str">
        <f t="shared" si="16"/>
        <v/>
      </c>
      <c r="L112" s="16" t="str">
        <f t="shared" si="17"/>
        <v/>
      </c>
      <c r="M112" s="16" t="str">
        <f>IF(B112="","",IF(B112&gt;'Rate &amp; Vol Update'!$K$2,'Rate &amp; Vol Update'!$K$4,IF(B112&lt;'Rate &amp; Vol Update'!$F$2,D112,_xlfn.FORECAST.LINEAR(B112,INDEX('Rate &amp; Vol Update'!$F$4:$K$4,1,MATCH(B112,'Rate &amp; Vol Update'!$F$2:$K$2,1)):INDEX('Rate &amp; Vol Update'!$F$4:$K$4,1,MATCH(B112,'Rate &amp; Vol Update'!$F$2:$K$2,1)+1),INDEX('Rate &amp; Vol Update'!$F$2:$K$2,1,MATCH(B112,'Rate &amp; Vol Update'!$F$2:$K$2,1)):INDEX('Rate &amp; Vol Update'!$F$2:$K$2,1,MATCH(B112,'Rate &amp; Vol Update'!$F$2:$K$2,1)+1)))))</f>
        <v/>
      </c>
      <c r="N112" s="85" t="str">
        <f t="shared" si="18"/>
        <v/>
      </c>
      <c r="O112" s="16" t="str">
        <f t="shared" si="19"/>
        <v/>
      </c>
      <c r="P112" s="85" t="str">
        <f>IF(B112="","",Schedules!D112)</f>
        <v/>
      </c>
    </row>
    <row r="113" spans="2:16" x14ac:dyDescent="0.25">
      <c r="B113" s="4" t="str">
        <f>'Bachelier Model'!J114</f>
        <v/>
      </c>
      <c r="C113" s="16" t="str">
        <f>IF(B113="","",IF(B113&lt;'Rate &amp; Vol Update'!$B$8,0,_xlfn.FORECAST.LINEAR(B113,INDEX('Rate &amp; Vol Update'!$E$8:$E$127,MATCH('Market Scenarios'!B113,'Rate &amp; Vol Update'!$B$8:$B$127,1)):INDEX('Rate &amp; Vol Update'!$E$8:$E$127,MATCH('Market Scenarios'!B113,'Rate &amp; Vol Update'!$B$8:$B$127,1)+1),INDEX('Rate &amp; Vol Update'!$B$8:$B$127,MATCH('Market Scenarios'!B113,'Rate &amp; Vol Update'!$B$8:$B$127,1)):INDEX('Rate &amp; Vol Update'!$B$8:$B$127,MATCH('Market Scenarios'!B113,'Rate &amp; Vol Update'!$B$8:$B$127,1)+1)))/100)</f>
        <v/>
      </c>
      <c r="D113" s="85" t="str">
        <f>'Bachelier Model'!P114</f>
        <v/>
      </c>
      <c r="E113" s="16" t="str">
        <f t="shared" si="10"/>
        <v/>
      </c>
      <c r="F113" s="16" t="str">
        <f t="shared" si="11"/>
        <v/>
      </c>
      <c r="G113" s="16" t="str">
        <f t="shared" si="12"/>
        <v/>
      </c>
      <c r="H113" s="16" t="str">
        <f t="shared" si="13"/>
        <v/>
      </c>
      <c r="I113" s="16" t="str">
        <f t="shared" si="14"/>
        <v/>
      </c>
      <c r="J113" s="16" t="str">
        <f t="shared" si="15"/>
        <v/>
      </c>
      <c r="K113" s="16" t="str">
        <f t="shared" si="16"/>
        <v/>
      </c>
      <c r="L113" s="16" t="str">
        <f t="shared" si="17"/>
        <v/>
      </c>
      <c r="M113" s="16" t="str">
        <f>IF(B113="","",IF(B113&gt;'Rate &amp; Vol Update'!$K$2,'Rate &amp; Vol Update'!$K$4,IF(B113&lt;'Rate &amp; Vol Update'!$F$2,D113,_xlfn.FORECAST.LINEAR(B113,INDEX('Rate &amp; Vol Update'!$F$4:$K$4,1,MATCH(B113,'Rate &amp; Vol Update'!$F$2:$K$2,1)):INDEX('Rate &amp; Vol Update'!$F$4:$K$4,1,MATCH(B113,'Rate &amp; Vol Update'!$F$2:$K$2,1)+1),INDEX('Rate &amp; Vol Update'!$F$2:$K$2,1,MATCH(B113,'Rate &amp; Vol Update'!$F$2:$K$2,1)):INDEX('Rate &amp; Vol Update'!$F$2:$K$2,1,MATCH(B113,'Rate &amp; Vol Update'!$F$2:$K$2,1)+1)))))</f>
        <v/>
      </c>
      <c r="N113" s="85" t="str">
        <f t="shared" si="18"/>
        <v/>
      </c>
      <c r="O113" s="16" t="str">
        <f t="shared" si="19"/>
        <v/>
      </c>
      <c r="P113" s="85" t="str">
        <f>IF(B113="","",Schedules!D113)</f>
        <v/>
      </c>
    </row>
    <row r="114" spans="2:16" x14ac:dyDescent="0.25">
      <c r="B114" s="4" t="str">
        <f>'Bachelier Model'!J115</f>
        <v/>
      </c>
      <c r="C114" s="16" t="str">
        <f>IF(B114="","",IF(B114&lt;'Rate &amp; Vol Update'!$B$8,0,_xlfn.FORECAST.LINEAR(B114,INDEX('Rate &amp; Vol Update'!$E$8:$E$127,MATCH('Market Scenarios'!B114,'Rate &amp; Vol Update'!$B$8:$B$127,1)):INDEX('Rate &amp; Vol Update'!$E$8:$E$127,MATCH('Market Scenarios'!B114,'Rate &amp; Vol Update'!$B$8:$B$127,1)+1),INDEX('Rate &amp; Vol Update'!$B$8:$B$127,MATCH('Market Scenarios'!B114,'Rate &amp; Vol Update'!$B$8:$B$127,1)):INDEX('Rate &amp; Vol Update'!$B$8:$B$127,MATCH('Market Scenarios'!B114,'Rate &amp; Vol Update'!$B$8:$B$127,1)+1)))/100)</f>
        <v/>
      </c>
      <c r="D114" s="85" t="str">
        <f>'Bachelier Model'!P115</f>
        <v/>
      </c>
      <c r="E114" s="16" t="str">
        <f t="shared" si="10"/>
        <v/>
      </c>
      <c r="F114" s="16" t="str">
        <f t="shared" si="11"/>
        <v/>
      </c>
      <c r="G114" s="16" t="str">
        <f t="shared" si="12"/>
        <v/>
      </c>
      <c r="H114" s="16" t="str">
        <f t="shared" si="13"/>
        <v/>
      </c>
      <c r="I114" s="16" t="str">
        <f t="shared" si="14"/>
        <v/>
      </c>
      <c r="J114" s="16" t="str">
        <f t="shared" si="15"/>
        <v/>
      </c>
      <c r="K114" s="16" t="str">
        <f t="shared" si="16"/>
        <v/>
      </c>
      <c r="L114" s="16" t="str">
        <f t="shared" si="17"/>
        <v/>
      </c>
      <c r="M114" s="16" t="str">
        <f>IF(B114="","",IF(B114&gt;'Rate &amp; Vol Update'!$K$2,'Rate &amp; Vol Update'!$K$4,IF(B114&lt;'Rate &amp; Vol Update'!$F$2,D114,_xlfn.FORECAST.LINEAR(B114,INDEX('Rate &amp; Vol Update'!$F$4:$K$4,1,MATCH(B114,'Rate &amp; Vol Update'!$F$2:$K$2,1)):INDEX('Rate &amp; Vol Update'!$F$4:$K$4,1,MATCH(B114,'Rate &amp; Vol Update'!$F$2:$K$2,1)+1),INDEX('Rate &amp; Vol Update'!$F$2:$K$2,1,MATCH(B114,'Rate &amp; Vol Update'!$F$2:$K$2,1)):INDEX('Rate &amp; Vol Update'!$F$2:$K$2,1,MATCH(B114,'Rate &amp; Vol Update'!$F$2:$K$2,1)+1)))))</f>
        <v/>
      </c>
      <c r="N114" s="85" t="str">
        <f t="shared" si="18"/>
        <v/>
      </c>
      <c r="O114" s="16" t="str">
        <f t="shared" si="19"/>
        <v/>
      </c>
      <c r="P114" s="85" t="str">
        <f>IF(B114="","",Schedules!D114)</f>
        <v/>
      </c>
    </row>
    <row r="115" spans="2:16" x14ac:dyDescent="0.25">
      <c r="B115" s="4" t="str">
        <f>'Bachelier Model'!J116</f>
        <v/>
      </c>
      <c r="C115" s="16" t="str">
        <f>IF(B115="","",IF(B115&lt;'Rate &amp; Vol Update'!$B$8,0,_xlfn.FORECAST.LINEAR(B115,INDEX('Rate &amp; Vol Update'!$E$8:$E$127,MATCH('Market Scenarios'!B115,'Rate &amp; Vol Update'!$B$8:$B$127,1)):INDEX('Rate &amp; Vol Update'!$E$8:$E$127,MATCH('Market Scenarios'!B115,'Rate &amp; Vol Update'!$B$8:$B$127,1)+1),INDEX('Rate &amp; Vol Update'!$B$8:$B$127,MATCH('Market Scenarios'!B115,'Rate &amp; Vol Update'!$B$8:$B$127,1)):INDEX('Rate &amp; Vol Update'!$B$8:$B$127,MATCH('Market Scenarios'!B115,'Rate &amp; Vol Update'!$B$8:$B$127,1)+1)))/100)</f>
        <v/>
      </c>
      <c r="D115" s="85" t="str">
        <f>'Bachelier Model'!P116</f>
        <v/>
      </c>
      <c r="E115" s="16" t="str">
        <f t="shared" si="10"/>
        <v/>
      </c>
      <c r="F115" s="16" t="str">
        <f t="shared" si="11"/>
        <v/>
      </c>
      <c r="G115" s="16" t="str">
        <f t="shared" si="12"/>
        <v/>
      </c>
      <c r="H115" s="16" t="str">
        <f t="shared" si="13"/>
        <v/>
      </c>
      <c r="I115" s="16" t="str">
        <f t="shared" si="14"/>
        <v/>
      </c>
      <c r="J115" s="16" t="str">
        <f t="shared" si="15"/>
        <v/>
      </c>
      <c r="K115" s="16" t="str">
        <f t="shared" si="16"/>
        <v/>
      </c>
      <c r="L115" s="16" t="str">
        <f t="shared" si="17"/>
        <v/>
      </c>
      <c r="M115" s="16" t="str">
        <f>IF(B115="","",IF(B115&gt;'Rate &amp; Vol Update'!$K$2,'Rate &amp; Vol Update'!$K$4,IF(B115&lt;'Rate &amp; Vol Update'!$F$2,D115,_xlfn.FORECAST.LINEAR(B115,INDEX('Rate &amp; Vol Update'!$F$4:$K$4,1,MATCH(B115,'Rate &amp; Vol Update'!$F$2:$K$2,1)):INDEX('Rate &amp; Vol Update'!$F$4:$K$4,1,MATCH(B115,'Rate &amp; Vol Update'!$F$2:$K$2,1)+1),INDEX('Rate &amp; Vol Update'!$F$2:$K$2,1,MATCH(B115,'Rate &amp; Vol Update'!$F$2:$K$2,1)):INDEX('Rate &amp; Vol Update'!$F$2:$K$2,1,MATCH(B115,'Rate &amp; Vol Update'!$F$2:$K$2,1)+1)))))</f>
        <v/>
      </c>
      <c r="N115" s="85" t="str">
        <f t="shared" si="18"/>
        <v/>
      </c>
      <c r="O115" s="16" t="str">
        <f t="shared" si="19"/>
        <v/>
      </c>
      <c r="P115" s="85" t="str">
        <f>IF(B115="","",Schedules!D115)</f>
        <v/>
      </c>
    </row>
    <row r="116" spans="2:16" x14ac:dyDescent="0.25">
      <c r="B116" s="4" t="str">
        <f>'Bachelier Model'!J117</f>
        <v/>
      </c>
      <c r="C116" s="16" t="str">
        <f>IF(B116="","",IF(B116&lt;'Rate &amp; Vol Update'!$B$8,0,_xlfn.FORECAST.LINEAR(B116,INDEX('Rate &amp; Vol Update'!$E$8:$E$127,MATCH('Market Scenarios'!B116,'Rate &amp; Vol Update'!$B$8:$B$127,1)):INDEX('Rate &amp; Vol Update'!$E$8:$E$127,MATCH('Market Scenarios'!B116,'Rate &amp; Vol Update'!$B$8:$B$127,1)+1),INDEX('Rate &amp; Vol Update'!$B$8:$B$127,MATCH('Market Scenarios'!B116,'Rate &amp; Vol Update'!$B$8:$B$127,1)):INDEX('Rate &amp; Vol Update'!$B$8:$B$127,MATCH('Market Scenarios'!B116,'Rate &amp; Vol Update'!$B$8:$B$127,1)+1)))/100)</f>
        <v/>
      </c>
      <c r="D116" s="85" t="str">
        <f>'Bachelier Model'!P117</f>
        <v/>
      </c>
      <c r="E116" s="16" t="str">
        <f t="shared" si="10"/>
        <v/>
      </c>
      <c r="F116" s="16" t="str">
        <f t="shared" si="11"/>
        <v/>
      </c>
      <c r="G116" s="16" t="str">
        <f t="shared" si="12"/>
        <v/>
      </c>
      <c r="H116" s="16" t="str">
        <f t="shared" si="13"/>
        <v/>
      </c>
      <c r="I116" s="16" t="str">
        <f t="shared" si="14"/>
        <v/>
      </c>
      <c r="J116" s="16" t="str">
        <f t="shared" si="15"/>
        <v/>
      </c>
      <c r="K116" s="16" t="str">
        <f t="shared" si="16"/>
        <v/>
      </c>
      <c r="L116" s="16" t="str">
        <f t="shared" si="17"/>
        <v/>
      </c>
      <c r="M116" s="16" t="str">
        <f>IF(B116="","",IF(B116&gt;'Rate &amp; Vol Update'!$K$2,'Rate &amp; Vol Update'!$K$4,IF(B116&lt;'Rate &amp; Vol Update'!$F$2,D116,_xlfn.FORECAST.LINEAR(B116,INDEX('Rate &amp; Vol Update'!$F$4:$K$4,1,MATCH(B116,'Rate &amp; Vol Update'!$F$2:$K$2,1)):INDEX('Rate &amp; Vol Update'!$F$4:$K$4,1,MATCH(B116,'Rate &amp; Vol Update'!$F$2:$K$2,1)+1),INDEX('Rate &amp; Vol Update'!$F$2:$K$2,1,MATCH(B116,'Rate &amp; Vol Update'!$F$2:$K$2,1)):INDEX('Rate &amp; Vol Update'!$F$2:$K$2,1,MATCH(B116,'Rate &amp; Vol Update'!$F$2:$K$2,1)+1)))))</f>
        <v/>
      </c>
      <c r="N116" s="85" t="str">
        <f t="shared" si="18"/>
        <v/>
      </c>
      <c r="O116" s="16" t="str">
        <f t="shared" si="19"/>
        <v/>
      </c>
      <c r="P116" s="85" t="str">
        <f>IF(B116="","",Schedules!D116)</f>
        <v/>
      </c>
    </row>
    <row r="117" spans="2:16" x14ac:dyDescent="0.25">
      <c r="B117" s="4" t="str">
        <f>'Bachelier Model'!J118</f>
        <v/>
      </c>
      <c r="C117" s="16" t="str">
        <f>IF(B117="","",IF(B117&lt;'Rate &amp; Vol Update'!$B$8,0,_xlfn.FORECAST.LINEAR(B117,INDEX('Rate &amp; Vol Update'!$E$8:$E$127,MATCH('Market Scenarios'!B117,'Rate &amp; Vol Update'!$B$8:$B$127,1)):INDEX('Rate &amp; Vol Update'!$E$8:$E$127,MATCH('Market Scenarios'!B117,'Rate &amp; Vol Update'!$B$8:$B$127,1)+1),INDEX('Rate &amp; Vol Update'!$B$8:$B$127,MATCH('Market Scenarios'!B117,'Rate &amp; Vol Update'!$B$8:$B$127,1)):INDEX('Rate &amp; Vol Update'!$B$8:$B$127,MATCH('Market Scenarios'!B117,'Rate &amp; Vol Update'!$B$8:$B$127,1)+1)))/100)</f>
        <v/>
      </c>
      <c r="D117" s="85" t="str">
        <f>'Bachelier Model'!P118</f>
        <v/>
      </c>
      <c r="E117" s="16" t="str">
        <f t="shared" si="10"/>
        <v/>
      </c>
      <c r="F117" s="16" t="str">
        <f t="shared" si="11"/>
        <v/>
      </c>
      <c r="G117" s="16" t="str">
        <f t="shared" si="12"/>
        <v/>
      </c>
      <c r="H117" s="16" t="str">
        <f t="shared" si="13"/>
        <v/>
      </c>
      <c r="I117" s="16" t="str">
        <f t="shared" si="14"/>
        <v/>
      </c>
      <c r="J117" s="16" t="str">
        <f t="shared" si="15"/>
        <v/>
      </c>
      <c r="K117" s="16" t="str">
        <f t="shared" si="16"/>
        <v/>
      </c>
      <c r="L117" s="16" t="str">
        <f t="shared" si="17"/>
        <v/>
      </c>
      <c r="M117" s="16" t="str">
        <f>IF(B117="","",IF(B117&gt;'Rate &amp; Vol Update'!$K$2,'Rate &amp; Vol Update'!$K$4,IF(B117&lt;'Rate &amp; Vol Update'!$F$2,D117,_xlfn.FORECAST.LINEAR(B117,INDEX('Rate &amp; Vol Update'!$F$4:$K$4,1,MATCH(B117,'Rate &amp; Vol Update'!$F$2:$K$2,1)):INDEX('Rate &amp; Vol Update'!$F$4:$K$4,1,MATCH(B117,'Rate &amp; Vol Update'!$F$2:$K$2,1)+1),INDEX('Rate &amp; Vol Update'!$F$2:$K$2,1,MATCH(B117,'Rate &amp; Vol Update'!$F$2:$K$2,1)):INDEX('Rate &amp; Vol Update'!$F$2:$K$2,1,MATCH(B117,'Rate &amp; Vol Update'!$F$2:$K$2,1)+1)))))</f>
        <v/>
      </c>
      <c r="N117" s="85" t="str">
        <f t="shared" si="18"/>
        <v/>
      </c>
      <c r="O117" s="16" t="str">
        <f t="shared" si="19"/>
        <v/>
      </c>
      <c r="P117" s="85" t="str">
        <f>IF(B117="","",Schedules!D117)</f>
        <v/>
      </c>
    </row>
    <row r="118" spans="2:16" x14ac:dyDescent="0.25">
      <c r="B118" s="4" t="str">
        <f>'Bachelier Model'!J119</f>
        <v/>
      </c>
      <c r="C118" s="16" t="str">
        <f>IF(B118="","",IF(B118&lt;'Rate &amp; Vol Update'!$B$8,0,_xlfn.FORECAST.LINEAR(B118,INDEX('Rate &amp; Vol Update'!$E$8:$E$127,MATCH('Market Scenarios'!B118,'Rate &amp; Vol Update'!$B$8:$B$127,1)):INDEX('Rate &amp; Vol Update'!$E$8:$E$127,MATCH('Market Scenarios'!B118,'Rate &amp; Vol Update'!$B$8:$B$127,1)+1),INDEX('Rate &amp; Vol Update'!$B$8:$B$127,MATCH('Market Scenarios'!B118,'Rate &amp; Vol Update'!$B$8:$B$127,1)):INDEX('Rate &amp; Vol Update'!$B$8:$B$127,MATCH('Market Scenarios'!B118,'Rate &amp; Vol Update'!$B$8:$B$127,1)+1)))/100)</f>
        <v/>
      </c>
      <c r="D118" s="85" t="str">
        <f>'Bachelier Model'!P119</f>
        <v/>
      </c>
      <c r="E118" s="16" t="str">
        <f t="shared" si="10"/>
        <v/>
      </c>
      <c r="F118" s="16" t="str">
        <f t="shared" si="11"/>
        <v/>
      </c>
      <c r="G118" s="16" t="str">
        <f t="shared" si="12"/>
        <v/>
      </c>
      <c r="H118" s="16" t="str">
        <f t="shared" si="13"/>
        <v/>
      </c>
      <c r="I118" s="16" t="str">
        <f t="shared" si="14"/>
        <v/>
      </c>
      <c r="J118" s="16" t="str">
        <f t="shared" si="15"/>
        <v/>
      </c>
      <c r="K118" s="16" t="str">
        <f t="shared" si="16"/>
        <v/>
      </c>
      <c r="L118" s="16" t="str">
        <f t="shared" si="17"/>
        <v/>
      </c>
      <c r="M118" s="16" t="str">
        <f>IF(B118="","",IF(B118&gt;'Rate &amp; Vol Update'!$K$2,'Rate &amp; Vol Update'!$K$4,IF(B118&lt;'Rate &amp; Vol Update'!$F$2,D118,_xlfn.FORECAST.LINEAR(B118,INDEX('Rate &amp; Vol Update'!$F$4:$K$4,1,MATCH(B118,'Rate &amp; Vol Update'!$F$2:$K$2,1)):INDEX('Rate &amp; Vol Update'!$F$4:$K$4,1,MATCH(B118,'Rate &amp; Vol Update'!$F$2:$K$2,1)+1),INDEX('Rate &amp; Vol Update'!$F$2:$K$2,1,MATCH(B118,'Rate &amp; Vol Update'!$F$2:$K$2,1)):INDEX('Rate &amp; Vol Update'!$F$2:$K$2,1,MATCH(B118,'Rate &amp; Vol Update'!$F$2:$K$2,1)+1)))))</f>
        <v/>
      </c>
      <c r="N118" s="85" t="str">
        <f t="shared" si="18"/>
        <v/>
      </c>
      <c r="O118" s="16" t="str">
        <f t="shared" si="19"/>
        <v/>
      </c>
      <c r="P118" s="85" t="str">
        <f>IF(B118="","",Schedules!D118)</f>
        <v/>
      </c>
    </row>
    <row r="119" spans="2:16" x14ac:dyDescent="0.25">
      <c r="B119" s="4" t="str">
        <f>'Bachelier Model'!J120</f>
        <v/>
      </c>
      <c r="C119" s="16" t="str">
        <f>IF(B119="","",IF(B119&lt;'Rate &amp; Vol Update'!$B$8,0,_xlfn.FORECAST.LINEAR(B119,INDEX('Rate &amp; Vol Update'!$E$8:$E$127,MATCH('Market Scenarios'!B119,'Rate &amp; Vol Update'!$B$8:$B$127,1)):INDEX('Rate &amp; Vol Update'!$E$8:$E$127,MATCH('Market Scenarios'!B119,'Rate &amp; Vol Update'!$B$8:$B$127,1)+1),INDEX('Rate &amp; Vol Update'!$B$8:$B$127,MATCH('Market Scenarios'!B119,'Rate &amp; Vol Update'!$B$8:$B$127,1)):INDEX('Rate &amp; Vol Update'!$B$8:$B$127,MATCH('Market Scenarios'!B119,'Rate &amp; Vol Update'!$B$8:$B$127,1)+1)))/100)</f>
        <v/>
      </c>
      <c r="D119" s="85" t="str">
        <f>'Bachelier Model'!P120</f>
        <v/>
      </c>
      <c r="E119" s="16" t="str">
        <f t="shared" si="10"/>
        <v/>
      </c>
      <c r="F119" s="16" t="str">
        <f t="shared" si="11"/>
        <v/>
      </c>
      <c r="G119" s="16" t="str">
        <f t="shared" si="12"/>
        <v/>
      </c>
      <c r="H119" s="16" t="str">
        <f t="shared" si="13"/>
        <v/>
      </c>
      <c r="I119" s="16" t="str">
        <f t="shared" si="14"/>
        <v/>
      </c>
      <c r="J119" s="16" t="str">
        <f t="shared" si="15"/>
        <v/>
      </c>
      <c r="K119" s="16" t="str">
        <f t="shared" si="16"/>
        <v/>
      </c>
      <c r="L119" s="16" t="str">
        <f t="shared" si="17"/>
        <v/>
      </c>
      <c r="M119" s="16" t="str">
        <f>IF(B119="","",IF(B119&gt;'Rate &amp; Vol Update'!$K$2,'Rate &amp; Vol Update'!$K$4,IF(B119&lt;'Rate &amp; Vol Update'!$F$2,D119,_xlfn.FORECAST.LINEAR(B119,INDEX('Rate &amp; Vol Update'!$F$4:$K$4,1,MATCH(B119,'Rate &amp; Vol Update'!$F$2:$K$2,1)):INDEX('Rate &amp; Vol Update'!$F$4:$K$4,1,MATCH(B119,'Rate &amp; Vol Update'!$F$2:$K$2,1)+1),INDEX('Rate &amp; Vol Update'!$F$2:$K$2,1,MATCH(B119,'Rate &amp; Vol Update'!$F$2:$K$2,1)):INDEX('Rate &amp; Vol Update'!$F$2:$K$2,1,MATCH(B119,'Rate &amp; Vol Update'!$F$2:$K$2,1)+1)))))</f>
        <v/>
      </c>
      <c r="N119" s="85" t="str">
        <f t="shared" si="18"/>
        <v/>
      </c>
      <c r="O119" s="16" t="str">
        <f t="shared" si="19"/>
        <v/>
      </c>
      <c r="P119" s="85" t="str">
        <f>IF(B119="","",Schedules!D119)</f>
        <v/>
      </c>
    </row>
    <row r="120" spans="2:16" x14ac:dyDescent="0.25">
      <c r="B120" s="4" t="str">
        <f>'Bachelier Model'!J121</f>
        <v/>
      </c>
      <c r="C120" s="16" t="str">
        <f>IF(B120="","",IF(B120&lt;'Rate &amp; Vol Update'!$B$8,0,_xlfn.FORECAST.LINEAR(B120,INDEX('Rate &amp; Vol Update'!$E$8:$E$127,MATCH('Market Scenarios'!B120,'Rate &amp; Vol Update'!$B$8:$B$127,1)):INDEX('Rate &amp; Vol Update'!$E$8:$E$127,MATCH('Market Scenarios'!B120,'Rate &amp; Vol Update'!$B$8:$B$127,1)+1),INDEX('Rate &amp; Vol Update'!$B$8:$B$127,MATCH('Market Scenarios'!B120,'Rate &amp; Vol Update'!$B$8:$B$127,1)):INDEX('Rate &amp; Vol Update'!$B$8:$B$127,MATCH('Market Scenarios'!B120,'Rate &amp; Vol Update'!$B$8:$B$127,1)+1)))/100)</f>
        <v/>
      </c>
      <c r="D120" s="85" t="str">
        <f>'Bachelier Model'!P121</f>
        <v/>
      </c>
      <c r="E120" s="16" t="str">
        <f t="shared" si="10"/>
        <v/>
      </c>
      <c r="F120" s="16" t="str">
        <f t="shared" si="11"/>
        <v/>
      </c>
      <c r="G120" s="16" t="str">
        <f t="shared" si="12"/>
        <v/>
      </c>
      <c r="H120" s="16" t="str">
        <f t="shared" si="13"/>
        <v/>
      </c>
      <c r="I120" s="16" t="str">
        <f t="shared" si="14"/>
        <v/>
      </c>
      <c r="J120" s="16" t="str">
        <f t="shared" si="15"/>
        <v/>
      </c>
      <c r="K120" s="16" t="str">
        <f t="shared" si="16"/>
        <v/>
      </c>
      <c r="L120" s="16" t="str">
        <f t="shared" si="17"/>
        <v/>
      </c>
      <c r="M120" s="16" t="str">
        <f>IF(B120="","",IF(B120&gt;'Rate &amp; Vol Update'!$K$2,'Rate &amp; Vol Update'!$K$4,IF(B120&lt;'Rate &amp; Vol Update'!$F$2,D120,_xlfn.FORECAST.LINEAR(B120,INDEX('Rate &amp; Vol Update'!$F$4:$K$4,1,MATCH(B120,'Rate &amp; Vol Update'!$F$2:$K$2,1)):INDEX('Rate &amp; Vol Update'!$F$4:$K$4,1,MATCH(B120,'Rate &amp; Vol Update'!$F$2:$K$2,1)+1),INDEX('Rate &amp; Vol Update'!$F$2:$K$2,1,MATCH(B120,'Rate &amp; Vol Update'!$F$2:$K$2,1)):INDEX('Rate &amp; Vol Update'!$F$2:$K$2,1,MATCH(B120,'Rate &amp; Vol Update'!$F$2:$K$2,1)+1)))))</f>
        <v/>
      </c>
      <c r="N120" s="85" t="str">
        <f t="shared" si="18"/>
        <v/>
      </c>
      <c r="O120" s="16" t="str">
        <f t="shared" si="19"/>
        <v/>
      </c>
      <c r="P120" s="85" t="str">
        <f>IF(B120="","",Schedules!D120)</f>
        <v/>
      </c>
    </row>
    <row r="121" spans="2:16" x14ac:dyDescent="0.25">
      <c r="B121" s="4" t="str">
        <f>'Bachelier Model'!J122</f>
        <v/>
      </c>
      <c r="C121" s="16" t="str">
        <f>IF(B121="","",IF(B121&lt;'Rate &amp; Vol Update'!$B$8,0,_xlfn.FORECAST.LINEAR(B121,INDEX('Rate &amp; Vol Update'!$E$8:$E$127,MATCH('Market Scenarios'!B121,'Rate &amp; Vol Update'!$B$8:$B$127,1)):INDEX('Rate &amp; Vol Update'!$E$8:$E$127,MATCH('Market Scenarios'!B121,'Rate &amp; Vol Update'!$B$8:$B$127,1)+1),INDEX('Rate &amp; Vol Update'!$B$8:$B$127,MATCH('Market Scenarios'!B121,'Rate &amp; Vol Update'!$B$8:$B$127,1)):INDEX('Rate &amp; Vol Update'!$B$8:$B$127,MATCH('Market Scenarios'!B121,'Rate &amp; Vol Update'!$B$8:$B$127,1)+1)))/100)</f>
        <v/>
      </c>
      <c r="D121" s="85" t="str">
        <f>'Bachelier Model'!P122</f>
        <v/>
      </c>
      <c r="E121" s="16" t="str">
        <f t="shared" si="10"/>
        <v/>
      </c>
      <c r="F121" s="16" t="str">
        <f t="shared" si="11"/>
        <v/>
      </c>
      <c r="G121" s="16" t="str">
        <f t="shared" si="12"/>
        <v/>
      </c>
      <c r="H121" s="16" t="str">
        <f t="shared" si="13"/>
        <v/>
      </c>
      <c r="I121" s="16" t="str">
        <f t="shared" si="14"/>
        <v/>
      </c>
      <c r="J121" s="16" t="str">
        <f t="shared" si="15"/>
        <v/>
      </c>
      <c r="K121" s="16" t="str">
        <f t="shared" si="16"/>
        <v/>
      </c>
      <c r="L121" s="16" t="str">
        <f t="shared" si="17"/>
        <v/>
      </c>
      <c r="M121" s="16" t="str">
        <f>IF(B121="","",IF(B121&gt;'Rate &amp; Vol Update'!$K$2,'Rate &amp; Vol Update'!$K$4,IF(B121&lt;'Rate &amp; Vol Update'!$F$2,D121,_xlfn.FORECAST.LINEAR(B121,INDEX('Rate &amp; Vol Update'!$F$4:$K$4,1,MATCH(B121,'Rate &amp; Vol Update'!$F$2:$K$2,1)):INDEX('Rate &amp; Vol Update'!$F$4:$K$4,1,MATCH(B121,'Rate &amp; Vol Update'!$F$2:$K$2,1)+1),INDEX('Rate &amp; Vol Update'!$F$2:$K$2,1,MATCH(B121,'Rate &amp; Vol Update'!$F$2:$K$2,1)):INDEX('Rate &amp; Vol Update'!$F$2:$K$2,1,MATCH(B121,'Rate &amp; Vol Update'!$F$2:$K$2,1)+1)))))</f>
        <v/>
      </c>
      <c r="N121" s="85" t="str">
        <f t="shared" si="18"/>
        <v/>
      </c>
      <c r="O121" s="16" t="str">
        <f t="shared" si="19"/>
        <v/>
      </c>
      <c r="P121" s="85" t="str">
        <f>IF(B121="","",Schedules!D121)</f>
        <v/>
      </c>
    </row>
    <row r="122" spans="2:16" x14ac:dyDescent="0.25">
      <c r="B122" s="4" t="str">
        <f>'Bachelier Model'!J123</f>
        <v/>
      </c>
      <c r="C122" s="16" t="str">
        <f>IF(B122="","",IF(B122&lt;'Rate &amp; Vol Update'!$B$8,0,_xlfn.FORECAST.LINEAR(B122,INDEX('Rate &amp; Vol Update'!$E$8:$E$127,MATCH('Market Scenarios'!B122,'Rate &amp; Vol Update'!$B$8:$B$127,1)):INDEX('Rate &amp; Vol Update'!$E$8:$E$127,MATCH('Market Scenarios'!B122,'Rate &amp; Vol Update'!$B$8:$B$127,1)+1),INDEX('Rate &amp; Vol Update'!$B$8:$B$127,MATCH('Market Scenarios'!B122,'Rate &amp; Vol Update'!$B$8:$B$127,1)):INDEX('Rate &amp; Vol Update'!$B$8:$B$127,MATCH('Market Scenarios'!B122,'Rate &amp; Vol Update'!$B$8:$B$127,1)+1)))/100)</f>
        <v/>
      </c>
      <c r="D122" s="85" t="str">
        <f>'Bachelier Model'!P123</f>
        <v/>
      </c>
      <c r="E122" s="16" t="str">
        <f t="shared" si="10"/>
        <v/>
      </c>
      <c r="F122" s="16" t="str">
        <f t="shared" si="11"/>
        <v/>
      </c>
      <c r="G122" s="16" t="str">
        <f t="shared" si="12"/>
        <v/>
      </c>
      <c r="H122" s="16" t="str">
        <f t="shared" si="13"/>
        <v/>
      </c>
      <c r="I122" s="16" t="str">
        <f t="shared" si="14"/>
        <v/>
      </c>
      <c r="J122" s="16" t="str">
        <f t="shared" si="15"/>
        <v/>
      </c>
      <c r="K122" s="16" t="str">
        <f t="shared" si="16"/>
        <v/>
      </c>
      <c r="L122" s="16" t="str">
        <f t="shared" si="17"/>
        <v/>
      </c>
      <c r="M122" s="16" t="str">
        <f>IF(B122="","",IF(B122&gt;'Rate &amp; Vol Update'!$K$2,'Rate &amp; Vol Update'!$K$4,IF(B122&lt;'Rate &amp; Vol Update'!$F$2,D122,_xlfn.FORECAST.LINEAR(B122,INDEX('Rate &amp; Vol Update'!$F$4:$K$4,1,MATCH(B122,'Rate &amp; Vol Update'!$F$2:$K$2,1)):INDEX('Rate &amp; Vol Update'!$F$4:$K$4,1,MATCH(B122,'Rate &amp; Vol Update'!$F$2:$K$2,1)+1),INDEX('Rate &amp; Vol Update'!$F$2:$K$2,1,MATCH(B122,'Rate &amp; Vol Update'!$F$2:$K$2,1)):INDEX('Rate &amp; Vol Update'!$F$2:$K$2,1,MATCH(B122,'Rate &amp; Vol Update'!$F$2:$K$2,1)+1)))))</f>
        <v/>
      </c>
      <c r="N122" s="85" t="str">
        <f t="shared" si="18"/>
        <v/>
      </c>
      <c r="O122" s="16" t="str">
        <f t="shared" si="19"/>
        <v/>
      </c>
      <c r="P122" s="85" t="str">
        <f>IF(B122="","",Schedules!D122)</f>
        <v/>
      </c>
    </row>
    <row r="123" spans="2:16" x14ac:dyDescent="0.25">
      <c r="B123" s="4" t="str">
        <f>'Bachelier Model'!J124</f>
        <v/>
      </c>
      <c r="C123" s="16" t="str">
        <f>IF(B123="","",IF(B123&lt;'Rate &amp; Vol Update'!$B$8,0,_xlfn.FORECAST.LINEAR(B123,INDEX('Rate &amp; Vol Update'!$E$8:$E$127,MATCH('Market Scenarios'!B123,'Rate &amp; Vol Update'!$B$8:$B$127,1)):INDEX('Rate &amp; Vol Update'!$E$8:$E$127,MATCH('Market Scenarios'!B123,'Rate &amp; Vol Update'!$B$8:$B$127,1)+1),INDEX('Rate &amp; Vol Update'!$B$8:$B$127,MATCH('Market Scenarios'!B123,'Rate &amp; Vol Update'!$B$8:$B$127,1)):INDEX('Rate &amp; Vol Update'!$B$8:$B$127,MATCH('Market Scenarios'!B123,'Rate &amp; Vol Update'!$B$8:$B$127,1)+1)))/100)</f>
        <v/>
      </c>
      <c r="D123" s="85" t="str">
        <f>'Bachelier Model'!P124</f>
        <v/>
      </c>
      <c r="E123" s="16" t="str">
        <f t="shared" si="10"/>
        <v/>
      </c>
      <c r="F123" s="16" t="str">
        <f t="shared" si="11"/>
        <v/>
      </c>
      <c r="G123" s="16" t="str">
        <f t="shared" si="12"/>
        <v/>
      </c>
      <c r="H123" s="16" t="str">
        <f t="shared" si="13"/>
        <v/>
      </c>
      <c r="I123" s="16" t="str">
        <f t="shared" si="14"/>
        <v/>
      </c>
      <c r="J123" s="16" t="str">
        <f t="shared" si="15"/>
        <v/>
      </c>
      <c r="K123" s="16" t="str">
        <f t="shared" si="16"/>
        <v/>
      </c>
      <c r="L123" s="16" t="str">
        <f t="shared" si="17"/>
        <v/>
      </c>
      <c r="M123" s="16" t="str">
        <f>IF(B123="","",IF(B123&gt;'Rate &amp; Vol Update'!$K$2,'Rate &amp; Vol Update'!$K$4,IF(B123&lt;'Rate &amp; Vol Update'!$F$2,D123,_xlfn.FORECAST.LINEAR(B123,INDEX('Rate &amp; Vol Update'!$F$4:$K$4,1,MATCH(B123,'Rate &amp; Vol Update'!$F$2:$K$2,1)):INDEX('Rate &amp; Vol Update'!$F$4:$K$4,1,MATCH(B123,'Rate &amp; Vol Update'!$F$2:$K$2,1)+1),INDEX('Rate &amp; Vol Update'!$F$2:$K$2,1,MATCH(B123,'Rate &amp; Vol Update'!$F$2:$K$2,1)):INDEX('Rate &amp; Vol Update'!$F$2:$K$2,1,MATCH(B123,'Rate &amp; Vol Update'!$F$2:$K$2,1)+1)))))</f>
        <v/>
      </c>
      <c r="N123" s="85" t="str">
        <f t="shared" si="18"/>
        <v/>
      </c>
      <c r="O123" s="16" t="str">
        <f t="shared" si="19"/>
        <v/>
      </c>
      <c r="P123" s="85" t="str">
        <f>IF(B123="","",Schedules!D123)</f>
        <v/>
      </c>
    </row>
    <row r="124" spans="2:16" x14ac:dyDescent="0.25">
      <c r="B124" s="4"/>
    </row>
    <row r="125" spans="2:16" hidden="1" x14ac:dyDescent="0.25">
      <c r="B125" s="4"/>
    </row>
    <row r="126" spans="2:16" hidden="1" x14ac:dyDescent="0.25">
      <c r="B126" s="4"/>
    </row>
    <row r="127" spans="2:16" hidden="1" x14ac:dyDescent="0.25">
      <c r="B127" s="4"/>
    </row>
    <row r="128" spans="2:16" hidden="1" x14ac:dyDescent="0.25">
      <c r="B128" s="4"/>
    </row>
    <row r="129" spans="2:2" hidden="1" x14ac:dyDescent="0.25">
      <c r="B129" s="4"/>
    </row>
    <row r="130" spans="2:2" hidden="1" x14ac:dyDescent="0.25">
      <c r="B130" s="4"/>
    </row>
    <row r="131" spans="2:2" hidden="1" x14ac:dyDescent="0.25">
      <c r="B131" s="4"/>
    </row>
    <row r="132" spans="2:2" hidden="1" x14ac:dyDescent="0.25">
      <c r="B132" s="4"/>
    </row>
    <row r="133" spans="2:2" hidden="1" x14ac:dyDescent="0.25">
      <c r="B133" s="4"/>
    </row>
    <row r="134" spans="2:2" hidden="1" x14ac:dyDescent="0.25">
      <c r="B134" s="4"/>
    </row>
    <row r="135" spans="2:2" hidden="1" x14ac:dyDescent="0.25">
      <c r="B135" s="4"/>
    </row>
    <row r="136" spans="2:2" hidden="1" x14ac:dyDescent="0.25">
      <c r="B136" s="4"/>
    </row>
    <row r="137" spans="2:2" hidden="1" x14ac:dyDescent="0.25">
      <c r="B137" s="4"/>
    </row>
    <row r="138" spans="2:2" hidden="1" x14ac:dyDescent="0.25">
      <c r="B138" s="4"/>
    </row>
    <row r="139" spans="2:2" hidden="1" x14ac:dyDescent="0.25">
      <c r="B139" s="4"/>
    </row>
    <row r="140" spans="2:2" hidden="1" x14ac:dyDescent="0.25">
      <c r="B140" s="4"/>
    </row>
    <row r="141" spans="2:2" hidden="1" x14ac:dyDescent="0.25">
      <c r="B141" s="4"/>
    </row>
    <row r="142" spans="2:2" hidden="1" x14ac:dyDescent="0.25">
      <c r="B142" s="4"/>
    </row>
    <row r="143" spans="2:2" hidden="1" x14ac:dyDescent="0.25">
      <c r="B143" s="4"/>
    </row>
    <row r="144" spans="2:2" hidden="1" x14ac:dyDescent="0.25">
      <c r="B144" s="4"/>
    </row>
    <row r="145" spans="2:2" hidden="1" x14ac:dyDescent="0.25">
      <c r="B145" s="4"/>
    </row>
    <row r="146" spans="2:2" hidden="1" x14ac:dyDescent="0.25">
      <c r="B146" s="4"/>
    </row>
    <row r="147" spans="2:2" hidden="1" x14ac:dyDescent="0.25">
      <c r="B147" s="4"/>
    </row>
    <row r="148" spans="2:2" hidden="1" x14ac:dyDescent="0.25">
      <c r="B148" s="4"/>
    </row>
    <row r="149" spans="2:2" hidden="1" x14ac:dyDescent="0.25">
      <c r="B149" s="4"/>
    </row>
    <row r="150" spans="2:2" hidden="1" x14ac:dyDescent="0.25">
      <c r="B150" s="4"/>
    </row>
    <row r="151" spans="2:2" hidden="1" x14ac:dyDescent="0.25">
      <c r="B151" s="4"/>
    </row>
    <row r="152" spans="2:2" hidden="1" x14ac:dyDescent="0.25">
      <c r="B152" s="4"/>
    </row>
    <row r="153" spans="2:2" hidden="1" x14ac:dyDescent="0.25">
      <c r="B153" s="4"/>
    </row>
    <row r="154" spans="2:2" hidden="1" x14ac:dyDescent="0.25">
      <c r="B154" s="4"/>
    </row>
    <row r="155" spans="2:2" hidden="1" x14ac:dyDescent="0.25">
      <c r="B155" s="4"/>
    </row>
    <row r="156" spans="2:2" hidden="1" x14ac:dyDescent="0.25">
      <c r="B156" s="4"/>
    </row>
    <row r="157" spans="2:2" hidden="1" x14ac:dyDescent="0.25">
      <c r="B157" s="4"/>
    </row>
    <row r="158" spans="2:2" hidden="1" x14ac:dyDescent="0.25">
      <c r="B158" s="4"/>
    </row>
    <row r="159" spans="2:2" hidden="1" x14ac:dyDescent="0.25">
      <c r="B159" s="4"/>
    </row>
    <row r="160" spans="2:2" hidden="1" x14ac:dyDescent="0.25">
      <c r="B160" s="4"/>
    </row>
    <row r="161" spans="2:2" hidden="1" x14ac:dyDescent="0.25">
      <c r="B161" s="4"/>
    </row>
    <row r="162" spans="2:2" hidden="1" x14ac:dyDescent="0.25">
      <c r="B162" s="4"/>
    </row>
    <row r="163" spans="2:2" hidden="1" x14ac:dyDescent="0.25">
      <c r="B163" s="4"/>
    </row>
    <row r="164" spans="2:2" hidden="1" x14ac:dyDescent="0.25">
      <c r="B164" s="4"/>
    </row>
    <row r="165" spans="2:2" hidden="1" x14ac:dyDescent="0.25">
      <c r="B165" s="4"/>
    </row>
    <row r="166" spans="2:2" hidden="1" x14ac:dyDescent="0.25">
      <c r="B166" s="4"/>
    </row>
    <row r="167" spans="2:2" hidden="1" x14ac:dyDescent="0.25">
      <c r="B167" s="4"/>
    </row>
    <row r="168" spans="2:2" hidden="1" x14ac:dyDescent="0.25">
      <c r="B168" s="4"/>
    </row>
    <row r="169" spans="2:2" hidden="1" x14ac:dyDescent="0.25">
      <c r="B169" s="4"/>
    </row>
    <row r="170" spans="2:2" hidden="1" x14ac:dyDescent="0.25">
      <c r="B170" s="4"/>
    </row>
    <row r="171" spans="2:2" hidden="1" x14ac:dyDescent="0.25">
      <c r="B171" s="4"/>
    </row>
    <row r="172" spans="2:2" hidden="1" x14ac:dyDescent="0.25">
      <c r="B172" s="4"/>
    </row>
    <row r="173" spans="2:2" hidden="1" x14ac:dyDescent="0.25">
      <c r="B173" s="4"/>
    </row>
    <row r="174" spans="2:2" hidden="1" x14ac:dyDescent="0.25">
      <c r="B174" s="4"/>
    </row>
    <row r="175" spans="2:2" hidden="1" x14ac:dyDescent="0.25">
      <c r="B175" s="4"/>
    </row>
    <row r="176" spans="2:2" hidden="1" x14ac:dyDescent="0.25">
      <c r="B176" s="4"/>
    </row>
    <row r="177" spans="2:2" hidden="1" x14ac:dyDescent="0.25">
      <c r="B177" s="4"/>
    </row>
    <row r="178" spans="2:2" hidden="1" x14ac:dyDescent="0.25">
      <c r="B178" s="4"/>
    </row>
    <row r="179" spans="2:2" hidden="1" x14ac:dyDescent="0.25">
      <c r="B179" s="4"/>
    </row>
    <row r="180" spans="2:2" hidden="1" x14ac:dyDescent="0.25">
      <c r="B180" s="4"/>
    </row>
    <row r="181" spans="2:2" hidden="1" x14ac:dyDescent="0.25">
      <c r="B181" s="4"/>
    </row>
    <row r="182" spans="2:2" hidden="1" x14ac:dyDescent="0.25">
      <c r="B182" s="4"/>
    </row>
    <row r="183" spans="2:2" hidden="1" x14ac:dyDescent="0.25">
      <c r="B183" s="4"/>
    </row>
    <row r="184" spans="2:2" hidden="1" x14ac:dyDescent="0.25">
      <c r="B184" s="4"/>
    </row>
    <row r="185" spans="2:2" hidden="1" x14ac:dyDescent="0.25">
      <c r="B185" s="4"/>
    </row>
    <row r="186" spans="2:2" hidden="1" x14ac:dyDescent="0.25">
      <c r="B186" s="4"/>
    </row>
    <row r="187" spans="2:2" hidden="1" x14ac:dyDescent="0.25">
      <c r="B187" s="4"/>
    </row>
    <row r="188" spans="2:2" hidden="1" x14ac:dyDescent="0.25">
      <c r="B188" s="4"/>
    </row>
    <row r="189" spans="2:2" hidden="1" x14ac:dyDescent="0.25">
      <c r="B189" s="4"/>
    </row>
    <row r="190" spans="2:2" hidden="1" x14ac:dyDescent="0.25">
      <c r="B190" s="4"/>
    </row>
    <row r="191" spans="2:2" hidden="1" x14ac:dyDescent="0.25">
      <c r="B191" s="4"/>
    </row>
    <row r="192" spans="2:2" hidden="1" x14ac:dyDescent="0.25">
      <c r="B192" s="4"/>
    </row>
    <row r="193" spans="2:2" hidden="1" x14ac:dyDescent="0.25">
      <c r="B193" s="4"/>
    </row>
    <row r="194" spans="2:2" hidden="1" x14ac:dyDescent="0.25">
      <c r="B194" s="4"/>
    </row>
    <row r="195" spans="2:2" hidden="1" x14ac:dyDescent="0.25">
      <c r="B195" s="4"/>
    </row>
    <row r="196" spans="2:2" hidden="1" x14ac:dyDescent="0.25">
      <c r="B196" s="4"/>
    </row>
    <row r="197" spans="2:2" hidden="1" x14ac:dyDescent="0.25">
      <c r="B197" s="4"/>
    </row>
    <row r="198" spans="2:2" hidden="1" x14ac:dyDescent="0.25">
      <c r="B198" s="4"/>
    </row>
    <row r="199" spans="2:2" hidden="1" x14ac:dyDescent="0.25">
      <c r="B199" s="4"/>
    </row>
    <row r="200" spans="2:2" hidden="1" x14ac:dyDescent="0.25">
      <c r="B200" s="4"/>
    </row>
    <row r="201" spans="2:2" hidden="1" x14ac:dyDescent="0.25">
      <c r="B201" s="4"/>
    </row>
    <row r="202" spans="2:2" hidden="1" x14ac:dyDescent="0.25">
      <c r="B202" s="4"/>
    </row>
    <row r="203" spans="2:2" hidden="1" x14ac:dyDescent="0.25">
      <c r="B203" s="4"/>
    </row>
    <row r="204" spans="2:2" hidden="1" x14ac:dyDescent="0.25">
      <c r="B204" s="4"/>
    </row>
    <row r="205" spans="2:2" hidden="1" x14ac:dyDescent="0.25">
      <c r="B205" s="4"/>
    </row>
    <row r="206" spans="2:2" hidden="1" x14ac:dyDescent="0.25">
      <c r="B206" s="4"/>
    </row>
    <row r="207" spans="2:2" hidden="1" x14ac:dyDescent="0.25">
      <c r="B207" s="4"/>
    </row>
    <row r="208" spans="2:2" hidden="1" x14ac:dyDescent="0.25">
      <c r="B208" s="4"/>
    </row>
    <row r="209" spans="2:2" hidden="1" x14ac:dyDescent="0.25">
      <c r="B209" s="4"/>
    </row>
    <row r="210" spans="2:2" hidden="1" x14ac:dyDescent="0.25">
      <c r="B210" s="4"/>
    </row>
    <row r="211" spans="2:2" hidden="1" x14ac:dyDescent="0.25">
      <c r="B211" s="4"/>
    </row>
    <row r="212" spans="2:2" hidden="1" x14ac:dyDescent="0.25">
      <c r="B212" s="4"/>
    </row>
    <row r="213" spans="2:2" hidden="1" x14ac:dyDescent="0.25">
      <c r="B213" s="4"/>
    </row>
    <row r="214" spans="2:2" hidden="1" x14ac:dyDescent="0.25">
      <c r="B214" s="4"/>
    </row>
    <row r="215" spans="2:2" hidden="1" x14ac:dyDescent="0.25">
      <c r="B215" s="4"/>
    </row>
    <row r="216" spans="2:2" hidden="1" x14ac:dyDescent="0.25">
      <c r="B216" s="4"/>
    </row>
    <row r="217" spans="2:2" hidden="1" x14ac:dyDescent="0.25">
      <c r="B217" s="4"/>
    </row>
    <row r="218" spans="2:2" hidden="1" x14ac:dyDescent="0.25">
      <c r="B218" s="4"/>
    </row>
    <row r="219" spans="2:2" hidden="1" x14ac:dyDescent="0.25">
      <c r="B219" s="4"/>
    </row>
    <row r="220" spans="2:2" hidden="1" x14ac:dyDescent="0.25">
      <c r="B220" s="4"/>
    </row>
    <row r="221" spans="2:2" hidden="1" x14ac:dyDescent="0.25">
      <c r="B221" s="4"/>
    </row>
  </sheetData>
  <sheetProtection algorithmName="SHA-512" hashValue="+KJd65nk3nJhaotr3u7GdHyT4tAraqhavTtaXaxhfXRgK18OIkZptVDqZCQofScPzr7TScH85UeNN/4TzNcZ3Q==" saltValue="Vl45B//YPBJmmbylltFSig==" spinCount="100000" sheet="1" objects="1" scenario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F2BDE0-B64C-4BCE-B5FF-DB817FB047CE}">
  <sheetPr codeName="Sheet4">
    <tabColor theme="6"/>
  </sheetPr>
  <dimension ref="A1:L14"/>
  <sheetViews>
    <sheetView showGridLines="0" topLeftCell="XFD1" workbookViewId="0"/>
  </sheetViews>
  <sheetFormatPr defaultColWidth="0" defaultRowHeight="15" x14ac:dyDescent="0.25"/>
  <cols>
    <col min="1" max="1" width="11.85546875" hidden="1" customWidth="1"/>
    <col min="2" max="2" width="14.7109375" hidden="1" customWidth="1"/>
    <col min="3" max="3" width="13.42578125" hidden="1" customWidth="1"/>
    <col min="4" max="4" width="10.85546875" hidden="1" customWidth="1"/>
    <col min="5" max="5" width="11.7109375" hidden="1" customWidth="1"/>
    <col min="6" max="6" width="16.28515625" hidden="1" customWidth="1"/>
    <col min="7" max="7" width="21.42578125" hidden="1" customWidth="1"/>
    <col min="8" max="8" width="13.140625" hidden="1" customWidth="1"/>
    <col min="9" max="9" width="66.42578125" hidden="1" customWidth="1"/>
    <col min="10" max="10" width="12.42578125" hidden="1" customWidth="1"/>
    <col min="11" max="11" width="18.7109375" hidden="1" customWidth="1"/>
    <col min="12" max="12" width="9.7109375" hidden="1" customWidth="1"/>
    <col min="13" max="16384" width="9.140625" hidden="1"/>
  </cols>
  <sheetData>
    <row r="1" spans="1:12" x14ac:dyDescent="0.25">
      <c r="A1" s="1" t="s">
        <v>16</v>
      </c>
      <c r="B1" s="1" t="s">
        <v>19</v>
      </c>
      <c r="C1" s="1" t="s">
        <v>23</v>
      </c>
      <c r="D1" s="1" t="s">
        <v>24</v>
      </c>
      <c r="E1" s="1" t="s">
        <v>31</v>
      </c>
      <c r="F1" s="1" t="s">
        <v>54</v>
      </c>
      <c r="G1" s="1" t="s">
        <v>69</v>
      </c>
      <c r="H1" s="1" t="s">
        <v>84</v>
      </c>
      <c r="I1" s="1" t="s">
        <v>101</v>
      </c>
      <c r="J1" s="1" t="s">
        <v>103</v>
      </c>
      <c r="K1" s="1" t="s">
        <v>114</v>
      </c>
    </row>
    <row r="2" spans="1:12" x14ac:dyDescent="0.25">
      <c r="A2" t="s">
        <v>17</v>
      </c>
      <c r="B2" t="s">
        <v>9</v>
      </c>
      <c r="C2" t="s">
        <v>25</v>
      </c>
      <c r="D2" t="s">
        <v>27</v>
      </c>
      <c r="E2" t="s">
        <v>32</v>
      </c>
      <c r="F2" t="s">
        <v>10</v>
      </c>
      <c r="G2" t="s">
        <v>74</v>
      </c>
      <c r="H2" t="s">
        <v>81</v>
      </c>
      <c r="I2" t="str">
        <f>"Calculatable strike range is 0.01% to "&amp;TEXT(MAX('Rate &amp; Vol Update'!F7:Z7),"0.00%")&amp;" - Please use a different strike.  "</f>
        <v xml:space="preserve">Calculatable strike range is 0.01% to 7.00% - Please use a different strike.  </v>
      </c>
      <c r="J2" t="s">
        <v>104</v>
      </c>
      <c r="K2" t="s">
        <v>115</v>
      </c>
    </row>
    <row r="3" spans="1:12" x14ac:dyDescent="0.25">
      <c r="A3" t="s">
        <v>18</v>
      </c>
      <c r="B3" t="s">
        <v>20</v>
      </c>
      <c r="C3" t="s">
        <v>26</v>
      </c>
      <c r="D3" t="s">
        <v>28</v>
      </c>
      <c r="E3" t="s">
        <v>33</v>
      </c>
      <c r="F3" t="s">
        <v>49</v>
      </c>
      <c r="G3" s="88" t="s">
        <v>70</v>
      </c>
      <c r="H3" t="s">
        <v>83</v>
      </c>
      <c r="I3" t="str">
        <f>"Maximum hedge maturity is "&amp;TEXT(EDATE('Rate &amp; Vol Update'!C2,7*12),"m/d/yyyy")&amp;" - Please use a different maturity.  "</f>
        <v xml:space="preserve">Maximum hedge maturity is 2/11/2033 - Please use a different maturity.  </v>
      </c>
      <c r="J3" t="s">
        <v>105</v>
      </c>
      <c r="K3" t="s">
        <v>116</v>
      </c>
    </row>
    <row r="4" spans="1:12" x14ac:dyDescent="0.25">
      <c r="G4" s="88" t="s">
        <v>71</v>
      </c>
      <c r="I4" t="str">
        <f>"Unknown error - Please check inputs or contact Pensford for assistance.  "</f>
        <v xml:space="preserve">Unknown error - Please check inputs or contact Pensford for assistance.  </v>
      </c>
      <c r="L4" s="25"/>
    </row>
    <row r="5" spans="1:12" x14ac:dyDescent="0.25">
      <c r="G5" s="88" t="s">
        <v>72</v>
      </c>
    </row>
    <row r="6" spans="1:12" x14ac:dyDescent="0.25">
      <c r="G6" s="88" t="s">
        <v>73</v>
      </c>
    </row>
    <row r="7" spans="1:12" x14ac:dyDescent="0.25">
      <c r="G7" s="88" t="s">
        <v>76</v>
      </c>
    </row>
    <row r="8" spans="1:12" x14ac:dyDescent="0.25">
      <c r="G8" s="88" t="s">
        <v>77</v>
      </c>
    </row>
    <row r="9" spans="1:12" x14ac:dyDescent="0.25">
      <c r="G9" s="88" t="s">
        <v>78</v>
      </c>
    </row>
    <row r="10" spans="1:12" x14ac:dyDescent="0.25">
      <c r="G10" s="88" t="s">
        <v>79</v>
      </c>
    </row>
    <row r="11" spans="1:12" x14ac:dyDescent="0.25">
      <c r="G11" t="s">
        <v>75</v>
      </c>
    </row>
    <row r="12" spans="1:12" x14ac:dyDescent="0.25">
      <c r="G12" t="s">
        <v>89</v>
      </c>
    </row>
    <row r="13" spans="1:12" x14ac:dyDescent="0.25">
      <c r="G13" t="s">
        <v>90</v>
      </c>
    </row>
    <row r="14" spans="1:12" x14ac:dyDescent="0.25">
      <c r="G14" t="s">
        <v>80</v>
      </c>
    </row>
  </sheetData>
  <sheetProtection algorithmName="SHA-512" hashValue="aE9LyLvDf3kkskkNDszi/w9y8lTxjAN855Nd6vB8jL2qzDbWDa4IxK9PZfBriv1cAxeXAuxCrJziETmZt1tA8w==" saltValue="SW77a+fJdHdpQ7ymh5ovSQ==" spinCount="100000" sheet="1" objects="1" scenarios="1"/>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effa8581-fed0-4249-85c9-b84476797bb1"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81AB8C3B5196E4FBA25A2156C0F339F" ma:contentTypeVersion="4" ma:contentTypeDescription="Create a new document." ma:contentTypeScope="" ma:versionID="99a34bad158ed806aebb186050db9f25">
  <xsd:schema xmlns:xsd="http://www.w3.org/2001/XMLSchema" xmlns:xs="http://www.w3.org/2001/XMLSchema" xmlns:p="http://schemas.microsoft.com/office/2006/metadata/properties" xmlns:ns3="effa8581-fed0-4249-85c9-b84476797bb1" targetNamespace="http://schemas.microsoft.com/office/2006/metadata/properties" ma:root="true" ma:fieldsID="8f2de657b29f0273b5ed3ef7fd86daf2" ns3:_="">
    <xsd:import namespace="effa8581-fed0-4249-85c9-b84476797bb1"/>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fa8581-fed0-4249-85c9-b84476797bb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8817AAC-D9F2-4500-81E8-F7F04CF88CC5}">
  <ds:schemaRefs>
    <ds:schemaRef ds:uri="http://schemas.microsoft.com/office/2006/documentManagement/types"/>
    <ds:schemaRef ds:uri="http://purl.org/dc/terms/"/>
    <ds:schemaRef ds:uri="http://schemas.microsoft.com/office/2006/metadata/properties"/>
    <ds:schemaRef ds:uri="http://purl.org/dc/elements/1.1/"/>
    <ds:schemaRef ds:uri="http://schemas.openxmlformats.org/package/2006/metadata/core-properties"/>
    <ds:schemaRef ds:uri="http://www.w3.org/XML/1998/namespace"/>
    <ds:schemaRef ds:uri="effa8581-fed0-4249-85c9-b84476797bb1"/>
    <ds:schemaRef ds:uri="http://schemas.microsoft.com/office/infopath/2007/PartnerControls"/>
    <ds:schemaRef ds:uri="http://purl.org/dc/dcmitype/"/>
  </ds:schemaRefs>
</ds:datastoreItem>
</file>

<file path=customXml/itemProps2.xml><?xml version="1.0" encoding="utf-8"?>
<ds:datastoreItem xmlns:ds="http://schemas.openxmlformats.org/officeDocument/2006/customXml" ds:itemID="{27FE9E76-41A9-4293-A94A-E3EA3B4B3173}">
  <ds:schemaRefs>
    <ds:schemaRef ds:uri="http://schemas.microsoft.com/sharepoint/v3/contenttype/forms"/>
  </ds:schemaRefs>
</ds:datastoreItem>
</file>

<file path=customXml/itemProps3.xml><?xml version="1.0" encoding="utf-8"?>
<ds:datastoreItem xmlns:ds="http://schemas.openxmlformats.org/officeDocument/2006/customXml" ds:itemID="{4F6E7B0F-C2B4-4340-8F4E-047776FF25E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ffa8581-fed0-4249-85c9-b84476797bb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Cap and Floor Pricer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Pensford3@pensfordfinancial.onmicrosoft.com</dc:creator>
  <cp:lastModifiedBy>Pensford Financial License 4</cp:lastModifiedBy>
  <dcterms:created xsi:type="dcterms:W3CDTF">2023-10-16T14:00:05Z</dcterms:created>
  <dcterms:modified xsi:type="dcterms:W3CDTF">2026-02-11T13:52:35Z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0x010100381AB8C3B5196E4FBA25A2156C0F339F</vt:lpwstr>
  </property>
</Properties>
</file>